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2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6.xml" ContentType="application/vnd.openxmlformats-officedocument.drawing+xml"/>
  <Override PartName="/xl/charts/chart13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2705" windowHeight="5850" tabRatio="684" firstSheet="1" activeTab="5"/>
  </bookViews>
  <sheets>
    <sheet name="Ch. 2.3 Data Rate" sheetId="1" r:id="rId1"/>
    <sheet name="Ch. 2.3 Monthly Data" sheetId="3" r:id="rId2"/>
    <sheet name="Ch. 2.6 Battery Capacity" sheetId="2" r:id="rId3"/>
    <sheet name="NB-IoT" sheetId="8" r:id="rId4"/>
    <sheet name="LoRaWAN" sheetId="9" r:id="rId5"/>
    <sheet name="TS-UNB" sheetId="7" r:id="rId6"/>
    <sheet name="Ch. 4.5 &amp; 4.6 Energy" sheetId="11" r:id="rId7"/>
    <sheet name="Ch. 4.7 Costs" sheetId="4" r:id="rId8"/>
    <sheet name="Ch. 4.7 Alt Costs" sheetId="10" r:id="rId9"/>
    <sheet name="Summary" sheetId="12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9" i="12" l="1"/>
  <c r="K48" i="12"/>
  <c r="I49" i="12"/>
  <c r="I48" i="12"/>
  <c r="I47" i="12"/>
  <c r="I46" i="12"/>
  <c r="K45" i="12"/>
  <c r="I45" i="12"/>
  <c r="I44" i="12"/>
  <c r="I43" i="12"/>
  <c r="G49" i="12"/>
  <c r="G48" i="12"/>
  <c r="G46" i="12"/>
  <c r="G47" i="12"/>
  <c r="G45" i="12"/>
  <c r="G44" i="12"/>
  <c r="G43" i="12"/>
  <c r="G42" i="12"/>
  <c r="F137" i="11"/>
  <c r="F134" i="11"/>
  <c r="F133" i="11"/>
  <c r="F132" i="11"/>
  <c r="F130" i="11"/>
  <c r="F129" i="11"/>
  <c r="F136" i="11"/>
  <c r="F135" i="11"/>
  <c r="F131" i="11"/>
  <c r="F128" i="11"/>
  <c r="F127" i="11"/>
  <c r="F126" i="11"/>
  <c r="F125" i="11"/>
  <c r="F124" i="11"/>
  <c r="F123" i="11"/>
  <c r="F122" i="11"/>
  <c r="F121" i="11"/>
  <c r="F120" i="11"/>
  <c r="I21" i="11"/>
  <c r="C21" i="11"/>
  <c r="M20" i="11"/>
  <c r="L20" i="11"/>
  <c r="K20" i="11"/>
  <c r="J20" i="11"/>
  <c r="I20" i="11"/>
  <c r="C20" i="11"/>
  <c r="H47" i="11" l="1"/>
  <c r="C47" i="11" s="1"/>
  <c r="I52" i="11"/>
  <c r="H48" i="11"/>
  <c r="H53" i="11"/>
  <c r="H54" i="11"/>
  <c r="C54" i="11" s="1"/>
  <c r="I53" i="11"/>
  <c r="I54" i="11"/>
  <c r="H49" i="11"/>
  <c r="H50" i="11"/>
  <c r="C50" i="11" s="1"/>
  <c r="I48" i="11"/>
  <c r="D48" i="11" s="1"/>
  <c r="I49" i="11"/>
  <c r="D49" i="11" s="1"/>
  <c r="I57" i="11"/>
  <c r="D57" i="11" s="1"/>
  <c r="I47" i="11"/>
  <c r="I50" i="11"/>
  <c r="D50" i="11" s="1"/>
  <c r="H58" i="11"/>
  <c r="C58" i="11" s="1"/>
  <c r="I58" i="11"/>
  <c r="D58" i="11" s="1"/>
  <c r="H52" i="11"/>
  <c r="C52" i="11" s="1"/>
  <c r="I51" i="11"/>
  <c r="D51" i="11" s="1"/>
  <c r="H78" i="11" l="1"/>
  <c r="C78" i="11" s="1"/>
  <c r="I85" i="11"/>
  <c r="D85" i="11" s="1"/>
  <c r="D54" i="11"/>
  <c r="I84" i="11"/>
  <c r="D84" i="11" s="1"/>
  <c r="D53" i="11"/>
  <c r="H80" i="11"/>
  <c r="C80" i="11" s="1"/>
  <c r="C49" i="11"/>
  <c r="I62" i="11"/>
  <c r="D62" i="11" s="1"/>
  <c r="D47" i="11"/>
  <c r="H68" i="11"/>
  <c r="C68" i="11" s="1"/>
  <c r="C53" i="11"/>
  <c r="H84" i="11"/>
  <c r="C84" i="11" s="1"/>
  <c r="H79" i="11"/>
  <c r="C79" i="11" s="1"/>
  <c r="C48" i="11"/>
  <c r="I67" i="11"/>
  <c r="D67" i="11" s="1"/>
  <c r="D52" i="11"/>
  <c r="H62" i="11"/>
  <c r="C62" i="11" s="1"/>
  <c r="I69" i="11"/>
  <c r="D69" i="11" s="1"/>
  <c r="H63" i="11"/>
  <c r="C63" i="11" s="1"/>
  <c r="I83" i="11"/>
  <c r="D83" i="11" s="1"/>
  <c r="I68" i="11"/>
  <c r="D68" i="11" s="1"/>
  <c r="H85" i="11"/>
  <c r="C85" i="11" s="1"/>
  <c r="H69" i="11"/>
  <c r="C69" i="11" s="1"/>
  <c r="I78" i="11"/>
  <c r="D78" i="11" s="1"/>
  <c r="H64" i="11"/>
  <c r="C64" i="11" s="1"/>
  <c r="I82" i="11"/>
  <c r="D82" i="11" s="1"/>
  <c r="I66" i="11"/>
  <c r="D66" i="11" s="1"/>
  <c r="H67" i="11"/>
  <c r="C67" i="11" s="1"/>
  <c r="H83" i="11"/>
  <c r="C83" i="11" s="1"/>
  <c r="H81" i="11"/>
  <c r="C81" i="11" s="1"/>
  <c r="H65" i="11"/>
  <c r="C65" i="11" s="1"/>
  <c r="I72" i="11"/>
  <c r="D72" i="11" s="1"/>
  <c r="I88" i="11"/>
  <c r="D88" i="11" s="1"/>
  <c r="I73" i="11"/>
  <c r="D73" i="11" s="1"/>
  <c r="I89" i="11"/>
  <c r="D89" i="11" s="1"/>
  <c r="I80" i="11"/>
  <c r="D80" i="11" s="1"/>
  <c r="I64" i="11"/>
  <c r="D64" i="11" s="1"/>
  <c r="H73" i="11"/>
  <c r="C73" i="11" s="1"/>
  <c r="H89" i="11"/>
  <c r="C89" i="11" s="1"/>
  <c r="I65" i="11"/>
  <c r="D65" i="11" s="1"/>
  <c r="I81" i="11"/>
  <c r="D81" i="11" s="1"/>
  <c r="I63" i="11"/>
  <c r="D63" i="11" s="1"/>
  <c r="I79" i="11"/>
  <c r="D79" i="11" s="1"/>
  <c r="F56" i="4"/>
  <c r="J67" i="10"/>
  <c r="J66" i="10"/>
  <c r="K58" i="12"/>
  <c r="I58" i="12"/>
  <c r="K50" i="12"/>
  <c r="I50" i="12"/>
  <c r="G53" i="12"/>
  <c r="G52" i="12"/>
  <c r="G51" i="12"/>
  <c r="G50" i="12"/>
  <c r="J67" i="4"/>
  <c r="J66" i="4"/>
  <c r="P12" i="9"/>
  <c r="E19" i="7"/>
  <c r="E30" i="7"/>
  <c r="E21" i="7"/>
  <c r="E17" i="7"/>
  <c r="E29" i="7"/>
  <c r="E32" i="7"/>
  <c r="A19" i="3"/>
  <c r="E7" i="3"/>
  <c r="A16" i="3" s="1"/>
  <c r="C94" i="11" l="1"/>
  <c r="C95" i="11"/>
  <c r="D94" i="11"/>
  <c r="C108" i="11" l="1"/>
  <c r="H108" i="11" s="1"/>
  <c r="E107" i="11"/>
  <c r="J107" i="11" s="1"/>
  <c r="E109" i="11"/>
  <c r="J109" i="11" s="1"/>
  <c r="E108" i="11"/>
  <c r="J108" i="11" s="1"/>
  <c r="E116" i="11"/>
  <c r="J116" i="11" s="1"/>
  <c r="E106" i="11"/>
  <c r="J106" i="11" s="1"/>
  <c r="C116" i="11"/>
  <c r="H116" i="11" s="1"/>
  <c r="E102" i="11"/>
  <c r="C102" i="11"/>
  <c r="C112" i="11"/>
  <c r="H112" i="11" s="1"/>
  <c r="C111" i="11"/>
  <c r="H111" i="11" s="1"/>
  <c r="E112" i="11"/>
  <c r="J112" i="11" s="1"/>
  <c r="C106" i="11"/>
  <c r="H106" i="11" s="1"/>
  <c r="C105" i="11"/>
  <c r="H105" i="11" s="1"/>
  <c r="C107" i="11"/>
  <c r="E110" i="11"/>
  <c r="J110" i="11" s="1"/>
  <c r="E105" i="11"/>
  <c r="J105" i="11" s="1"/>
  <c r="E111" i="11"/>
  <c r="J111" i="11" s="1"/>
  <c r="C110" i="11"/>
  <c r="H110" i="11" s="1"/>
  <c r="E115" i="11"/>
  <c r="J115" i="11" s="1"/>
  <c r="F20" i="11"/>
  <c r="E20" i="11"/>
  <c r="D20" i="11"/>
  <c r="G20" i="11"/>
  <c r="D107" i="11" l="1"/>
  <c r="I107" i="11" s="1"/>
  <c r="E122" i="11" s="1"/>
  <c r="H107" i="11"/>
  <c r="H102" i="11"/>
  <c r="D112" i="11"/>
  <c r="I112" i="11" s="1"/>
  <c r="E130" i="11" s="1"/>
  <c r="D111" i="11"/>
  <c r="I111" i="11" s="1"/>
  <c r="E129" i="11" s="1"/>
  <c r="D108" i="11"/>
  <c r="I108" i="11" s="1"/>
  <c r="E123" i="11" s="1"/>
  <c r="D106" i="11"/>
  <c r="I106" i="11" s="1"/>
  <c r="E121" i="11" s="1"/>
  <c r="D110" i="11"/>
  <c r="I110" i="11" s="1"/>
  <c r="E128" i="11" s="1"/>
  <c r="D116" i="11"/>
  <c r="I116" i="11" s="1"/>
  <c r="E135" i="11" s="1"/>
  <c r="D105" i="11"/>
  <c r="I105" i="11" s="1"/>
  <c r="E120" i="11" s="1"/>
  <c r="J102" i="11"/>
  <c r="F109" i="11"/>
  <c r="K109" i="11" s="1"/>
  <c r="E131" i="11" s="1"/>
  <c r="F107" i="11"/>
  <c r="K107" i="11" s="1"/>
  <c r="E126" i="11" s="1"/>
  <c r="F112" i="11"/>
  <c r="K112" i="11" s="1"/>
  <c r="E134" i="11" s="1"/>
  <c r="F115" i="11"/>
  <c r="K115" i="11" s="1"/>
  <c r="E136" i="11" s="1"/>
  <c r="F106" i="11"/>
  <c r="K106" i="11" s="1"/>
  <c r="E125" i="11" s="1"/>
  <c r="F108" i="11"/>
  <c r="K108" i="11" s="1"/>
  <c r="E127" i="11" s="1"/>
  <c r="F116" i="11"/>
  <c r="K116" i="11" s="1"/>
  <c r="E137" i="11" s="1"/>
  <c r="F110" i="11"/>
  <c r="K110" i="11" s="1"/>
  <c r="E132" i="11" s="1"/>
  <c r="F105" i="11"/>
  <c r="K105" i="11" s="1"/>
  <c r="E124" i="11" s="1"/>
  <c r="F111" i="11"/>
  <c r="K111" i="11" s="1"/>
  <c r="E133" i="11" s="1"/>
  <c r="J23" i="7"/>
  <c r="D128" i="11" l="1"/>
  <c r="D120" i="11"/>
  <c r="D127" i="11"/>
  <c r="D125" i="11"/>
  <c r="D122" i="11"/>
  <c r="D130" i="11"/>
  <c r="D133" i="11"/>
  <c r="D129" i="11"/>
  <c r="D136" i="11"/>
  <c r="D134" i="11"/>
  <c r="D137" i="11"/>
  <c r="D132" i="11"/>
  <c r="D121" i="11"/>
  <c r="D124" i="11"/>
  <c r="D135" i="11"/>
  <c r="D126" i="11"/>
  <c r="D131" i="11"/>
  <c r="D123" i="11"/>
  <c r="L10" i="9"/>
  <c r="L12" i="9" s="1"/>
  <c r="F3" i="2" l="1"/>
  <c r="T22" i="8"/>
  <c r="M23" i="8"/>
  <c r="R23" i="8"/>
  <c r="M22" i="8"/>
  <c r="M26" i="8"/>
  <c r="M36" i="8"/>
  <c r="M35" i="8"/>
  <c r="T23" i="8"/>
  <c r="P23" i="8"/>
  <c r="M29" i="8" l="1"/>
  <c r="M19" i="8" l="1"/>
  <c r="M28" i="8" s="1"/>
  <c r="M30" i="8" s="1"/>
  <c r="R36" i="8"/>
  <c r="P39" i="8"/>
  <c r="S36" i="8"/>
  <c r="N22" i="8"/>
  <c r="T35" i="8"/>
  <c r="S39" i="8"/>
  <c r="N44" i="8"/>
  <c r="T39" i="8"/>
  <c r="N36" i="8"/>
  <c r="Q23" i="8"/>
  <c r="O35" i="8"/>
  <c r="Q35" i="8"/>
  <c r="T36" i="8"/>
  <c r="R35" i="8"/>
  <c r="S23" i="8"/>
  <c r="N23" i="8"/>
  <c r="O22" i="8"/>
  <c r="P36" i="8"/>
  <c r="Q39" i="8"/>
  <c r="Q31" i="8"/>
  <c r="R22" i="8"/>
  <c r="P35" i="8"/>
  <c r="P44" i="8"/>
  <c r="Q44" i="8"/>
  <c r="Q22" i="8"/>
  <c r="P22" i="8"/>
  <c r="S35" i="8"/>
  <c r="O23" i="8"/>
  <c r="Q36" i="8"/>
  <c r="O36" i="8"/>
  <c r="S22" i="8"/>
  <c r="N35" i="8"/>
  <c r="R39" i="8"/>
  <c r="P42" i="8" l="1"/>
  <c r="S42" i="8"/>
  <c r="T42" i="8"/>
  <c r="Q42" i="8"/>
  <c r="R42" i="8"/>
  <c r="T41" i="8"/>
  <c r="S41" i="8"/>
  <c r="R41" i="8"/>
  <c r="P41" i="8"/>
  <c r="Q41" i="8"/>
  <c r="M27" i="8"/>
  <c r="G67" i="10"/>
  <c r="F67" i="10"/>
  <c r="G66" i="10"/>
  <c r="F66" i="10"/>
  <c r="J65" i="10"/>
  <c r="H65" i="10"/>
  <c r="G65" i="10"/>
  <c r="F65" i="10"/>
  <c r="J64" i="10"/>
  <c r="H64" i="10"/>
  <c r="G64" i="10"/>
  <c r="F64" i="10"/>
  <c r="I63" i="10"/>
  <c r="F63" i="10"/>
  <c r="I62" i="10"/>
  <c r="F62" i="10"/>
  <c r="I61" i="10"/>
  <c r="F61" i="10"/>
  <c r="I60" i="10"/>
  <c r="F60" i="10"/>
  <c r="I59" i="10"/>
  <c r="F59" i="10"/>
  <c r="I58" i="10"/>
  <c r="F58" i="10"/>
  <c r="I57" i="10"/>
  <c r="F57" i="10"/>
  <c r="I56" i="10"/>
  <c r="F56" i="10"/>
  <c r="B39" i="10"/>
  <c r="I65" i="10" s="1"/>
  <c r="B33" i="10"/>
  <c r="B32" i="10"/>
  <c r="B31" i="10"/>
  <c r="B30" i="10"/>
  <c r="E24" i="10"/>
  <c r="E19" i="10"/>
  <c r="E13" i="10"/>
  <c r="E10" i="10"/>
  <c r="I60" i="4"/>
  <c r="I63" i="4"/>
  <c r="I62" i="4"/>
  <c r="I61" i="4"/>
  <c r="F63" i="4"/>
  <c r="F62" i="4"/>
  <c r="F61" i="4"/>
  <c r="F60" i="4"/>
  <c r="B33" i="3"/>
  <c r="D15" i="7"/>
  <c r="P19" i="7"/>
  <c r="C25" i="9"/>
  <c r="C15" i="9"/>
  <c r="A20" i="3"/>
  <c r="D28" i="3" s="1"/>
  <c r="C52" i="10" s="1"/>
  <c r="H61" i="10" s="1"/>
  <c r="A22" i="3"/>
  <c r="D32" i="3" s="1"/>
  <c r="A21" i="3"/>
  <c r="D30" i="3" s="1"/>
  <c r="D52" i="10" s="1"/>
  <c r="H62" i="10" s="1"/>
  <c r="E8" i="7"/>
  <c r="D8" i="7"/>
  <c r="N26" i="8"/>
  <c r="S26" i="8"/>
  <c r="T26" i="8"/>
  <c r="M39" i="8"/>
  <c r="O39" i="8"/>
  <c r="P26" i="8"/>
  <c r="N39" i="8"/>
  <c r="O26" i="8"/>
  <c r="R26" i="8"/>
  <c r="Q26" i="8"/>
  <c r="E52" i="10" l="1"/>
  <c r="H63" i="10" s="1"/>
  <c r="E52" i="4"/>
  <c r="H63" i="4" s="1"/>
  <c r="I67" i="10"/>
  <c r="K67" i="10" s="1"/>
  <c r="O42" i="8"/>
  <c r="Q29" i="8"/>
  <c r="Q28" i="8"/>
  <c r="N28" i="8"/>
  <c r="N29" i="8"/>
  <c r="T29" i="8"/>
  <c r="T28" i="8"/>
  <c r="O28" i="8"/>
  <c r="O29" i="8"/>
  <c r="S29" i="8"/>
  <c r="S28" i="8"/>
  <c r="D44" i="7"/>
  <c r="D80" i="7"/>
  <c r="D25" i="7"/>
  <c r="D79" i="7"/>
  <c r="R29" i="8"/>
  <c r="R28" i="8"/>
  <c r="P28" i="8"/>
  <c r="P29" i="8"/>
  <c r="Q43" i="8"/>
  <c r="N42" i="8"/>
  <c r="N41" i="8"/>
  <c r="M41" i="8"/>
  <c r="M42" i="8"/>
  <c r="O41" i="8"/>
  <c r="T43" i="8"/>
  <c r="R43" i="8"/>
  <c r="S43" i="8"/>
  <c r="P43" i="8"/>
  <c r="K65" i="10"/>
  <c r="I66" i="10"/>
  <c r="K66" i="10" s="1"/>
  <c r="I64" i="10"/>
  <c r="K64" i="10" s="1"/>
  <c r="C22" i="9"/>
  <c r="C23" i="9" s="1"/>
  <c r="C28" i="9" s="1"/>
  <c r="N12" i="9" s="1"/>
  <c r="G22" i="9"/>
  <c r="G23" i="9" s="1"/>
  <c r="G29" i="9" s="1"/>
  <c r="F22" i="9"/>
  <c r="F23" i="9" s="1"/>
  <c r="F29" i="9" s="1"/>
  <c r="E22" i="9"/>
  <c r="E23" i="9" s="1"/>
  <c r="D17" i="7"/>
  <c r="E36" i="7"/>
  <c r="P95" i="7" a="1"/>
  <c r="P118" i="7" s="1"/>
  <c r="P122" i="7" a="1"/>
  <c r="P122" i="7" s="1"/>
  <c r="E41" i="7" l="1"/>
  <c r="E78" i="7" s="1"/>
  <c r="E33" i="7"/>
  <c r="E34" i="7" s="1"/>
  <c r="E38" i="7"/>
  <c r="E45" i="7" s="1"/>
  <c r="K61" i="10"/>
  <c r="K62" i="10"/>
  <c r="K63" i="10"/>
  <c r="Q30" i="8"/>
  <c r="N30" i="8"/>
  <c r="S30" i="8"/>
  <c r="O30" i="8"/>
  <c r="D32" i="9"/>
  <c r="G32" i="9"/>
  <c r="D29" i="9"/>
  <c r="D19" i="7"/>
  <c r="D36" i="7"/>
  <c r="T30" i="8"/>
  <c r="R30" i="8"/>
  <c r="P30" i="8"/>
  <c r="C29" i="9"/>
  <c r="F32" i="9"/>
  <c r="F40" i="9" s="1"/>
  <c r="C32" i="9"/>
  <c r="E29" i="9"/>
  <c r="F28" i="9"/>
  <c r="O43" i="8"/>
  <c r="N43" i="8"/>
  <c r="M43" i="8"/>
  <c r="D21" i="7"/>
  <c r="D41" i="7" s="1"/>
  <c r="G28" i="9"/>
  <c r="Q12" i="9" s="1"/>
  <c r="E28" i="9"/>
  <c r="O12" i="9" s="1"/>
  <c r="D32" i="7"/>
  <c r="P103" i="7"/>
  <c r="P114" i="7"/>
  <c r="P112" i="7"/>
  <c r="P97" i="7"/>
  <c r="P105" i="7"/>
  <c r="P98" i="7"/>
  <c r="P99" i="7"/>
  <c r="P115" i="7"/>
  <c r="P100" i="7"/>
  <c r="P108" i="7"/>
  <c r="P116" i="7"/>
  <c r="P95" i="7"/>
  <c r="P111" i="7"/>
  <c r="P96" i="7"/>
  <c r="P104" i="7"/>
  <c r="P113" i="7"/>
  <c r="P106" i="7"/>
  <c r="P107" i="7"/>
  <c r="P101" i="7"/>
  <c r="P109" i="7"/>
  <c r="P117" i="7"/>
  <c r="P102" i="7"/>
  <c r="P110" i="7"/>
  <c r="P145" i="7"/>
  <c r="P129" i="7"/>
  <c r="P144" i="7"/>
  <c r="P136" i="7"/>
  <c r="P128" i="7"/>
  <c r="P141" i="7"/>
  <c r="P137" i="7"/>
  <c r="P143" i="7"/>
  <c r="P135" i="7"/>
  <c r="P127" i="7"/>
  <c r="P133" i="7"/>
  <c r="P142" i="7"/>
  <c r="P134" i="7"/>
  <c r="P126" i="7"/>
  <c r="P125" i="7"/>
  <c r="P124" i="7"/>
  <c r="P123" i="7"/>
  <c r="P140" i="7"/>
  <c r="P132" i="7"/>
  <c r="P139" i="7"/>
  <c r="P131" i="7"/>
  <c r="P138" i="7"/>
  <c r="P130" i="7"/>
  <c r="L29" i="9" l="1"/>
  <c r="D30" i="9"/>
  <c r="F41" i="9"/>
  <c r="F43" i="9"/>
  <c r="D40" i="9"/>
  <c r="D43" i="9"/>
  <c r="D41" i="9"/>
  <c r="D42" i="9"/>
  <c r="F42" i="9"/>
  <c r="E58" i="7"/>
  <c r="E71" i="7"/>
  <c r="D78" i="7"/>
  <c r="D40" i="7"/>
  <c r="D51" i="7" s="1"/>
  <c r="E40" i="7"/>
  <c r="D38" i="7"/>
  <c r="D45" i="7" s="1"/>
  <c r="Q15" i="7"/>
  <c r="D33" i="7"/>
  <c r="D58" i="7" s="1"/>
  <c r="D28" i="9"/>
  <c r="D34" i="7"/>
  <c r="D56" i="7"/>
  <c r="E50" i="7" l="1"/>
  <c r="E51" i="7"/>
  <c r="E72" i="7"/>
  <c r="E70" i="7"/>
  <c r="E73" i="7"/>
  <c r="D64" i="7"/>
  <c r="D66" i="7"/>
  <c r="D70" i="7"/>
  <c r="D73" i="7"/>
  <c r="D72" i="7"/>
  <c r="D71" i="7"/>
  <c r="G67" i="4"/>
  <c r="G66" i="4"/>
  <c r="F67" i="4"/>
  <c r="F66" i="4"/>
  <c r="F65" i="4"/>
  <c r="G65" i="4"/>
  <c r="H65" i="4"/>
  <c r="J65" i="4"/>
  <c r="J64" i="4"/>
  <c r="H64" i="4"/>
  <c r="G64" i="4"/>
  <c r="I59" i="4"/>
  <c r="I58" i="4"/>
  <c r="I57" i="4"/>
  <c r="I56" i="4"/>
  <c r="B39" i="4"/>
  <c r="I67" i="4" s="1"/>
  <c r="F64" i="4"/>
  <c r="F59" i="4"/>
  <c r="F58" i="4"/>
  <c r="F57" i="4"/>
  <c r="B33" i="4"/>
  <c r="B32" i="4"/>
  <c r="B31" i="4"/>
  <c r="B30" i="4"/>
  <c r="E24" i="4"/>
  <c r="E19" i="4"/>
  <c r="E13" i="4"/>
  <c r="E10" i="4"/>
  <c r="C22" i="3"/>
  <c r="C21" i="3"/>
  <c r="C20" i="3"/>
  <c r="A15" i="3"/>
  <c r="D4" i="1"/>
  <c r="C6" i="1"/>
  <c r="C7" i="1" s="1"/>
  <c r="B6" i="1"/>
  <c r="B7" i="1" s="1"/>
  <c r="D5" i="2"/>
  <c r="D3" i="2"/>
  <c r="D7" i="1"/>
  <c r="D6" i="1"/>
  <c r="D5" i="1"/>
  <c r="C15" i="3" l="1"/>
  <c r="B32" i="3"/>
  <c r="E51" i="10" s="1"/>
  <c r="H59" i="10" s="1"/>
  <c r="K59" i="10" s="1"/>
  <c r="C19" i="3"/>
  <c r="D26" i="3"/>
  <c r="B52" i="10" s="1"/>
  <c r="H60" i="10" s="1"/>
  <c r="K60" i="10" s="1"/>
  <c r="E67" i="7"/>
  <c r="E64" i="7"/>
  <c r="E66" i="7"/>
  <c r="E65" i="7"/>
  <c r="A13" i="3"/>
  <c r="C13" i="3" s="1"/>
  <c r="C16" i="3"/>
  <c r="A10" i="3"/>
  <c r="C52" i="4"/>
  <c r="H61" i="4" s="1"/>
  <c r="A14" i="3"/>
  <c r="D52" i="4"/>
  <c r="H62" i="4" s="1"/>
  <c r="D67" i="7"/>
  <c r="D65" i="7"/>
  <c r="K67" i="4"/>
  <c r="I64" i="4"/>
  <c r="K64" i="4" s="1"/>
  <c r="I65" i="4"/>
  <c r="K65" i="4" s="1"/>
  <c r="I66" i="4"/>
  <c r="K66" i="4" s="1"/>
  <c r="A11" i="3"/>
  <c r="A12" i="3"/>
  <c r="A9" i="3"/>
  <c r="B5" i="1"/>
  <c r="C5" i="1"/>
  <c r="B4" i="1"/>
  <c r="C4" i="1"/>
  <c r="E51" i="4" l="1"/>
  <c r="H59" i="4" s="1"/>
  <c r="K59" i="4" s="1"/>
  <c r="B52" i="4"/>
  <c r="H60" i="4" s="1"/>
  <c r="C10" i="3"/>
  <c r="B27" i="3"/>
  <c r="C11" i="3"/>
  <c r="B28" i="3"/>
  <c r="C14" i="3"/>
  <c r="B31" i="3"/>
  <c r="C9" i="3"/>
  <c r="B26" i="3"/>
  <c r="C12" i="3"/>
  <c r="B29" i="3"/>
  <c r="B30" i="3"/>
  <c r="K63" i="4"/>
  <c r="G57" i="12" s="1"/>
  <c r="K62" i="4"/>
  <c r="G56" i="12" s="1"/>
  <c r="C51" i="10" l="1"/>
  <c r="H57" i="10" s="1"/>
  <c r="K57" i="10" s="1"/>
  <c r="B51" i="10"/>
  <c r="H56" i="10" s="1"/>
  <c r="K56" i="10" s="1"/>
  <c r="D51" i="10"/>
  <c r="H58" i="10" s="1"/>
  <c r="K58" i="10" s="1"/>
  <c r="D51" i="4"/>
  <c r="H58" i="4" s="1"/>
  <c r="K58" i="4" s="1"/>
  <c r="C51" i="4"/>
  <c r="H57" i="4" s="1"/>
  <c r="K57" i="4" s="1"/>
  <c r="B51" i="4"/>
  <c r="H56" i="4" s="1"/>
  <c r="K56" i="4" s="1"/>
  <c r="K60" i="4"/>
  <c r="G54" i="12" s="1"/>
  <c r="K61" i="4"/>
  <c r="G55" i="12" s="1"/>
</calcChain>
</file>

<file path=xl/sharedStrings.xml><?xml version="1.0" encoding="utf-8"?>
<sst xmlns="http://schemas.openxmlformats.org/spreadsheetml/2006/main" count="1364" uniqueCount="393">
  <si>
    <t xml:space="preserve"> Interval</t>
  </si>
  <si>
    <t>Profile 1</t>
  </si>
  <si>
    <t>Profile 2</t>
  </si>
  <si>
    <t>Time</t>
  </si>
  <si>
    <t>seconds</t>
  </si>
  <si>
    <t xml:space="preserve"> 3 seconds</t>
  </si>
  <si>
    <t>Uplink</t>
  </si>
  <si>
    <t>Bytes</t>
  </si>
  <si>
    <t xml:space="preserve"> 15 seconds</t>
  </si>
  <si>
    <t>Downlink</t>
  </si>
  <si>
    <t xml:space="preserve"> 60 seconds</t>
  </si>
  <si>
    <t xml:space="preserve"> 600 seconds</t>
  </si>
  <si>
    <t xml:space="preserve"> </t>
  </si>
  <si>
    <t>Battery capacity</t>
  </si>
  <si>
    <t>mAh</t>
  </si>
  <si>
    <t>mA</t>
  </si>
  <si>
    <t>Battery Management Unit</t>
  </si>
  <si>
    <t xml:space="preserve"> -</t>
  </si>
  <si>
    <t>Weather station</t>
  </si>
  <si>
    <t xml:space="preserve">mA </t>
  </si>
  <si>
    <t>Self-discharge</t>
  </si>
  <si>
    <t>~</t>
  </si>
  <si>
    <t>per month</t>
  </si>
  <si>
    <t xml:space="preserve"> @ 60s interval</t>
  </si>
  <si>
    <t>MB / month</t>
  </si>
  <si>
    <t xml:space="preserve"> @ 15s interval</t>
  </si>
  <si>
    <t xml:space="preserve"> @ 3s interval</t>
  </si>
  <si>
    <t xml:space="preserve"> @ 600s interval</t>
  </si>
  <si>
    <t>UL</t>
  </si>
  <si>
    <t>DL</t>
  </si>
  <si>
    <t>Data rate (bps)</t>
  </si>
  <si>
    <t>measured for 60s interval</t>
  </si>
  <si>
    <t>Source</t>
  </si>
  <si>
    <t>Brand</t>
  </si>
  <si>
    <t>Model</t>
  </si>
  <si>
    <t>Tech</t>
  </si>
  <si>
    <t>Price</t>
  </si>
  <si>
    <t>Notes</t>
  </si>
  <si>
    <t>[66]</t>
  </si>
  <si>
    <t>IMST</t>
  </si>
  <si>
    <t>iM880B</t>
  </si>
  <si>
    <t>LoRaWAN</t>
  </si>
  <si>
    <t>Symmetry Electronics</t>
  </si>
  <si>
    <t>MuRata</t>
  </si>
  <si>
    <t>CMWX1ZZABZ</t>
  </si>
  <si>
    <t>Digikey</t>
  </si>
  <si>
    <t>RF Solutions</t>
  </si>
  <si>
    <t>RFM95W-868S2</t>
  </si>
  <si>
    <t>CMWX1ZZABZ-091</t>
  </si>
  <si>
    <t>Laird Connectivity</t>
  </si>
  <si>
    <t>RM186-SM-02</t>
  </si>
  <si>
    <t>Microchip Technology</t>
  </si>
  <si>
    <t>RN2483A-I/RM104</t>
  </si>
  <si>
    <t>Multi-Tech Systems</t>
  </si>
  <si>
    <t>MTXDOT-EU1-A01-100</t>
  </si>
  <si>
    <t>Telit</t>
  </si>
  <si>
    <t>ME910C1N 002T7A2000</t>
  </si>
  <si>
    <t>LTE-M</t>
  </si>
  <si>
    <t>Thales DIS</t>
  </si>
  <si>
    <t>EMS31-US Rel.2</t>
  </si>
  <si>
    <t>Octopart</t>
  </si>
  <si>
    <t>Quectel</t>
  </si>
  <si>
    <t>BG96MA-128-SGN</t>
  </si>
  <si>
    <t>LTE-M &amp; NB-IoT</t>
  </si>
  <si>
    <t>Widely certified</t>
  </si>
  <si>
    <t>SIMcom</t>
  </si>
  <si>
    <t>SIM7000G</t>
  </si>
  <si>
    <t>Sierra Wireless</t>
  </si>
  <si>
    <t>WP7702</t>
  </si>
  <si>
    <t>U-Blox</t>
  </si>
  <si>
    <t>SARA-R510S-00B</t>
  </si>
  <si>
    <t>SARA-R412M-02B</t>
  </si>
  <si>
    <t>[41]</t>
  </si>
  <si>
    <t>Various</t>
  </si>
  <si>
    <t>NB-IoT</t>
  </si>
  <si>
    <t>NE310H2-W1</t>
  </si>
  <si>
    <t>Variously certified</t>
  </si>
  <si>
    <t>SIM7020</t>
  </si>
  <si>
    <t>ENS22-E Rel.1</t>
  </si>
  <si>
    <t>Average</t>
  </si>
  <si>
    <t>Moduulihinnat</t>
  </si>
  <si>
    <t>Subscriptions</t>
  </si>
  <si>
    <t>1ot.mobi</t>
  </si>
  <si>
    <t>0.2 - 0.05</t>
  </si>
  <si>
    <t>€ / MB</t>
  </si>
  <si>
    <t>Telstra</t>
  </si>
  <si>
    <t>500 MB plan</t>
  </si>
  <si>
    <t>Choice IoT</t>
  </si>
  <si>
    <t xml:space="preserve"> @ 64 kbps</t>
  </si>
  <si>
    <t>n</t>
  </si>
  <si>
    <t>t</t>
  </si>
  <si>
    <t>m</t>
  </si>
  <si>
    <t>MTBF</t>
  </si>
  <si>
    <t>D</t>
  </si>
  <si>
    <t>3s</t>
  </si>
  <si>
    <t>15s</t>
  </si>
  <si>
    <t>60s</t>
  </si>
  <si>
    <t>600s</t>
  </si>
  <si>
    <t>Interval</t>
  </si>
  <si>
    <t>C_mod</t>
  </si>
  <si>
    <t>TS-UNB</t>
  </si>
  <si>
    <t>C_BS</t>
  </si>
  <si>
    <t xml:space="preserve">C_BSkit </t>
  </si>
  <si>
    <t>C_work</t>
  </si>
  <si>
    <t>C_msub</t>
  </si>
  <si>
    <t>C_Mrent</t>
  </si>
  <si>
    <t>per BS</t>
  </si>
  <si>
    <t>per day</t>
  </si>
  <si>
    <t>per MB</t>
  </si>
  <si>
    <t>per mast per month</t>
  </si>
  <si>
    <t>C_BSsub</t>
  </si>
  <si>
    <t>λ</t>
  </si>
  <si>
    <r>
      <rPr>
        <b/>
        <sz val="11"/>
        <color theme="1"/>
        <rFont val="Calibri"/>
        <family val="2"/>
        <scheme val="minor"/>
      </rPr>
      <t xml:space="preserve">LCC </t>
    </r>
    <r>
      <rPr>
        <vertAlign val="subscript"/>
        <sz val="11"/>
        <color theme="1"/>
        <rFont val="Calibri"/>
        <family val="2"/>
        <scheme val="minor"/>
      </rPr>
      <t>pur</t>
    </r>
  </si>
  <si>
    <r>
      <t xml:space="preserve">LCC </t>
    </r>
    <r>
      <rPr>
        <vertAlign val="subscript"/>
        <sz val="11"/>
        <color theme="1"/>
        <rFont val="Calibri"/>
        <family val="2"/>
        <scheme val="minor"/>
      </rPr>
      <t>depl</t>
    </r>
  </si>
  <si>
    <r>
      <t xml:space="preserve">LCC </t>
    </r>
    <r>
      <rPr>
        <vertAlign val="subscript"/>
        <sz val="11"/>
        <color theme="1"/>
        <rFont val="Calibri"/>
        <family val="2"/>
        <scheme val="minor"/>
      </rPr>
      <t>oper</t>
    </r>
  </si>
  <si>
    <r>
      <t xml:space="preserve">LCC </t>
    </r>
    <r>
      <rPr>
        <vertAlign val="subscript"/>
        <sz val="11"/>
        <color theme="1"/>
        <rFont val="Calibri"/>
        <family val="2"/>
        <scheme val="minor"/>
      </rPr>
      <t>maint</t>
    </r>
  </si>
  <si>
    <r>
      <t xml:space="preserve">LCC </t>
    </r>
    <r>
      <rPr>
        <vertAlign val="subscript"/>
        <sz val="11"/>
        <color theme="1"/>
        <rFont val="Calibri"/>
        <family val="2"/>
        <scheme val="minor"/>
      </rPr>
      <t>decom</t>
    </r>
  </si>
  <si>
    <r>
      <t xml:space="preserve">LCC </t>
    </r>
    <r>
      <rPr>
        <vertAlign val="subscript"/>
        <sz val="11"/>
        <color theme="1"/>
        <rFont val="Calibri"/>
        <family val="2"/>
        <scheme val="minor"/>
      </rPr>
      <t>total</t>
    </r>
  </si>
  <si>
    <t>Table</t>
  </si>
  <si>
    <t>UPG1</t>
  </si>
  <si>
    <t>UPG2</t>
  </si>
  <si>
    <t>6-51</t>
  </si>
  <si>
    <t>Carriers</t>
  </si>
  <si>
    <t>Frequency</t>
  </si>
  <si>
    <t>Bins</t>
  </si>
  <si>
    <t>6-49</t>
  </si>
  <si>
    <t>Duty cycle analysis</t>
  </si>
  <si>
    <t>Max app. Payload</t>
  </si>
  <si>
    <t xml:space="preserve">App payload </t>
  </si>
  <si>
    <t>Overhead</t>
  </si>
  <si>
    <t>MAC</t>
  </si>
  <si>
    <t>PHY</t>
  </si>
  <si>
    <t>Sub-carriers</t>
  </si>
  <si>
    <t>Sub-carrier utilization</t>
  </si>
  <si>
    <t xml:space="preserve">RBs in Core frame </t>
  </si>
  <si>
    <t xml:space="preserve">RBs in Full Ext. Frame </t>
  </si>
  <si>
    <t xml:space="preserve">RBs in partial Ext. Frame </t>
  </si>
  <si>
    <t>Quotient of total payload/max payload</t>
  </si>
  <si>
    <t>Max payload + overhead - core frame bytes</t>
  </si>
  <si>
    <t>No. Full Radio Frames</t>
  </si>
  <si>
    <t>No. partial Radio Frames</t>
  </si>
  <si>
    <t>Total on-air of Core frames</t>
  </si>
  <si>
    <t>Total on-air of Ext. Frames</t>
  </si>
  <si>
    <t>On-air time per sub-carrier</t>
  </si>
  <si>
    <t>ms</t>
  </si>
  <si>
    <t>Duty</t>
  </si>
  <si>
    <t>Cycle</t>
  </si>
  <si>
    <t>Band duty-cycle period</t>
  </si>
  <si>
    <t>Total</t>
  </si>
  <si>
    <t>Channel duty-cycle period</t>
  </si>
  <si>
    <t>Channel</t>
  </si>
  <si>
    <t>Band</t>
  </si>
  <si>
    <t>TBS</t>
  </si>
  <si>
    <t>d LoRA</t>
  </si>
  <si>
    <t>Partial radio frame bytes</t>
  </si>
  <si>
    <t>Core frame max app. payload</t>
  </si>
  <si>
    <t>Bits</t>
  </si>
  <si>
    <t>The extension frame adds up to core frame by one radio burst per each additional byte in the physical payload.</t>
  </si>
  <si>
    <t>Bits (20 Bytes)</t>
  </si>
  <si>
    <t>min. PSDU size.</t>
  </si>
  <si>
    <t>Zero padded if MPDU is less than 20 bytes</t>
  </si>
  <si>
    <t>Data rates:</t>
  </si>
  <si>
    <t>T_RB,avg</t>
  </si>
  <si>
    <t>T_Total</t>
  </si>
  <si>
    <t>symbols</t>
  </si>
  <si>
    <t>s</t>
  </si>
  <si>
    <t>R_mac</t>
  </si>
  <si>
    <t>bit/s</t>
  </si>
  <si>
    <t>R_phy</t>
  </si>
  <si>
    <t>core frame R_phy</t>
  </si>
  <si>
    <t>n_preamble</t>
  </si>
  <si>
    <t>Profile</t>
  </si>
  <si>
    <t>FULL frame</t>
  </si>
  <si>
    <t>n_payload</t>
  </si>
  <si>
    <t>SF</t>
  </si>
  <si>
    <t>CRC</t>
  </si>
  <si>
    <t>H</t>
  </si>
  <si>
    <t>DE</t>
  </si>
  <si>
    <t>1 if SF = 11 or 12, else 0</t>
  </si>
  <si>
    <t>CR_ind</t>
  </si>
  <si>
    <t>{1, 2, 3, 4}</t>
  </si>
  <si>
    <t>CR</t>
  </si>
  <si>
    <t>control</t>
  </si>
  <si>
    <t>T_Symbol</t>
  </si>
  <si>
    <t>B</t>
  </si>
  <si>
    <t>Bandwidth 125 kHz</t>
  </si>
  <si>
    <t>Packet transmission time</t>
  </si>
  <si>
    <t>full frames</t>
  </si>
  <si>
    <t>partial</t>
  </si>
  <si>
    <t>n_payload_helper</t>
  </si>
  <si>
    <t>Header enabled/disabled</t>
  </si>
  <si>
    <t>Payload CRC enabled/disabled</t>
  </si>
  <si>
    <t>Spreading factor</t>
  </si>
  <si>
    <t>Bitrate:</t>
  </si>
  <si>
    <t>Rb</t>
  </si>
  <si>
    <t>bps</t>
  </si>
  <si>
    <t>ext frame rbs old</t>
  </si>
  <si>
    <t>APP payload - min PSDU size / 8 = additional bytes</t>
  </si>
  <si>
    <t>PHY Payload</t>
  </si>
  <si>
    <t>L2-payload / T_ON</t>
  </si>
  <si>
    <t>Profile 1a</t>
  </si>
  <si>
    <t>Profile 1b</t>
  </si>
  <si>
    <t>PSM</t>
  </si>
  <si>
    <t>TX</t>
  </si>
  <si>
    <t>RX</t>
  </si>
  <si>
    <t>Idle</t>
  </si>
  <si>
    <t>Data sources</t>
  </si>
  <si>
    <t>kHz</t>
  </si>
  <si>
    <t>SCS</t>
  </si>
  <si>
    <t>Subcarrier spacing</t>
  </si>
  <si>
    <t>No. Subcarriers</t>
  </si>
  <si>
    <t>N_SC</t>
  </si>
  <si>
    <t>T_RU</t>
  </si>
  <si>
    <t>P2</t>
  </si>
  <si>
    <t>PCDP PDU</t>
  </si>
  <si>
    <t>I_MCS</t>
  </si>
  <si>
    <t xml:space="preserve">A-PLD + CoAP + DTLS + UDP + IP - ROHC + PDCP </t>
  </si>
  <si>
    <t>L3 PLD</t>
  </si>
  <si>
    <t>App. PLD</t>
  </si>
  <si>
    <t>1000 + 4 + 13 + 8 + 20 - 26 + 1</t>
  </si>
  <si>
    <t>RLC segments</t>
  </si>
  <si>
    <t>From link budget calc</t>
  </si>
  <si>
    <t>RLC Seg helper</t>
  </si>
  <si>
    <t>N_SEG</t>
  </si>
  <si>
    <t>N_RU</t>
  </si>
  <si>
    <t>No. RUs</t>
  </si>
  <si>
    <t>Bits in last seg.</t>
  </si>
  <si>
    <t>(2 + 2) * 8 = 32</t>
  </si>
  <si>
    <t>P2:</t>
  </si>
  <si>
    <t>N_SEG_ceil</t>
  </si>
  <si>
    <t>old</t>
  </si>
  <si>
    <t>Chosen SCS</t>
  </si>
  <si>
    <t>Chosen N_SC</t>
  </si>
  <si>
    <t>Resulting T_RU</t>
  </si>
  <si>
    <t>SNR_reqd for combination</t>
  </si>
  <si>
    <t>Chosen I_MCS / N_RU</t>
  </si>
  <si>
    <t>I_MCS = 13</t>
  </si>
  <si>
    <t>N_RU = 5</t>
  </si>
  <si>
    <t xml:space="preserve"> =&gt;</t>
  </si>
  <si>
    <t>N_SEG = 7</t>
  </si>
  <si>
    <t>N_RU = 4</t>
  </si>
  <si>
    <t>N_SEG = 1</t>
  </si>
  <si>
    <t>scheduling + (n)ack</t>
  </si>
  <si>
    <t>Total time</t>
  </si>
  <si>
    <t>Seg RX time</t>
  </si>
  <si>
    <t>RX seg</t>
  </si>
  <si>
    <t>Seg TX time</t>
  </si>
  <si>
    <t>TX seg</t>
  </si>
  <si>
    <t>Link Budget</t>
  </si>
  <si>
    <t>Cost</t>
  </si>
  <si>
    <t>2 basestations</t>
  </si>
  <si>
    <t>100 end devices</t>
  </si>
  <si>
    <t>not applicable</t>
  </si>
  <si>
    <t>8 Channels, BW 125 kHz, EU865-868 &amp; EU870-875.6 MHz – DC 1 %</t>
  </si>
  <si>
    <t>Strictest</t>
  </si>
  <si>
    <t>NOK</t>
  </si>
  <si>
    <t>OK</t>
  </si>
  <si>
    <t>1000m OK/NOK ?</t>
  </si>
  <si>
    <t>Duty Cycle limit against message interval</t>
  </si>
  <si>
    <t xml:space="preserve"> + max. Distance (km)</t>
  </si>
  <si>
    <t>bytes</t>
  </si>
  <si>
    <t>Ack</t>
  </si>
  <si>
    <t>T_RX</t>
  </si>
  <si>
    <t>ACK</t>
  </si>
  <si>
    <t>Frames</t>
  </si>
  <si>
    <t>ACK Frames</t>
  </si>
  <si>
    <t>UPLINK &amp; DOWNLINK ACK</t>
  </si>
  <si>
    <t>DL ACK on-air (Core-frames)</t>
  </si>
  <si>
    <t>UL Core-frame on-air time</t>
  </si>
  <si>
    <t>UL Ext RB on-air time</t>
  </si>
  <si>
    <t>DL Core-frame on-air time</t>
  </si>
  <si>
    <t>UL Total on-air of full RF</t>
  </si>
  <si>
    <t>Max MAC-layer rate (kbps)</t>
  </si>
  <si>
    <t>Coverage</t>
  </si>
  <si>
    <t>Msg Interval</t>
  </si>
  <si>
    <t>Throughput</t>
  </si>
  <si>
    <t>Reliability</t>
  </si>
  <si>
    <t>Energy Consumption</t>
  </si>
  <si>
    <t>High</t>
  </si>
  <si>
    <t>Medium</t>
  </si>
  <si>
    <t>Low</t>
  </si>
  <si>
    <t>Costs</t>
  </si>
  <si>
    <t>Symbol duration</t>
  </si>
  <si>
    <t>Avg. no. syms. btwn RBs</t>
  </si>
  <si>
    <t>Total msg time</t>
  </si>
  <si>
    <t>Total Time btwn RBs</t>
  </si>
  <si>
    <t>T_Idle</t>
  </si>
  <si>
    <t>UL-DL Gap Time</t>
  </si>
  <si>
    <t>T_TX</t>
  </si>
  <si>
    <t>UL-DL Gap symbols</t>
  </si>
  <si>
    <t>Total Time Idle</t>
  </si>
  <si>
    <t>Avg. time btwn RBs</t>
  </si>
  <si>
    <t>Sleep time</t>
  </si>
  <si>
    <t>interval</t>
  </si>
  <si>
    <t>NA</t>
  </si>
  <si>
    <t>T_Sleep</t>
  </si>
  <si>
    <t xml:space="preserve">  -32 because T_RB,avg is calculated from center of one RB to the center of next = 16 + 16 symbols</t>
  </si>
  <si>
    <t>NA = Message too long for interval</t>
  </si>
  <si>
    <t>RECEIVE_DELAY1</t>
  </si>
  <si>
    <t>Self discharge rate</t>
  </si>
  <si>
    <t>R_PhyP per I_TBS kpbs</t>
  </si>
  <si>
    <t>SNR_reqd per I_TBS</t>
  </si>
  <si>
    <t>APL per I_TBS</t>
  </si>
  <si>
    <t>On-air-Time</t>
  </si>
  <si>
    <t>T_PSM</t>
  </si>
  <si>
    <t>On-air-Time:</t>
  </si>
  <si>
    <t>Core frame on-air per RB</t>
  </si>
  <si>
    <t>https://www.mdpi.com/1424-8220/17/10/2364</t>
  </si>
  <si>
    <t>https://techship.com/download/simcom-sim7020-datasheet/</t>
  </si>
  <si>
    <t>https://www.u-blox.com/sites/default/files/SARA-R4_DataSheet_%28UBX-16024152%29.pdf</t>
  </si>
  <si>
    <t>Sleep</t>
  </si>
  <si>
    <t>https://www.semak.com.ar/Item/File/4414?filename=AirPrime%20WP77XX%20Product%20Specification%20r2.pdf</t>
  </si>
  <si>
    <t>https://www.quectel.com/UploadFile/Product/Quectel_BG96_LTE_Specification_V1.4.pdf</t>
  </si>
  <si>
    <t>https://connectivity-staging.s3.us-east-2.amazonaws.com/2019-02/CS-DS-RM1xx%20v1_9.pdf</t>
  </si>
  <si>
    <t>https://wireless.murata.com/pub/RFM/data/type_abz.pdf</t>
  </si>
  <si>
    <t>LoRaWAN / TS-UNB</t>
  </si>
  <si>
    <t>V</t>
  </si>
  <si>
    <t>mW</t>
  </si>
  <si>
    <t>Voltage</t>
  </si>
  <si>
    <t>Data sources for current consumption.</t>
  </si>
  <si>
    <t>Power consumption averages</t>
  </si>
  <si>
    <t>Energy consumption</t>
  </si>
  <si>
    <t>mJ</t>
  </si>
  <si>
    <t>State</t>
  </si>
  <si>
    <t>RX (ACK)</t>
  </si>
  <si>
    <t>3 s</t>
  </si>
  <si>
    <t>15 s</t>
  </si>
  <si>
    <t>60 s</t>
  </si>
  <si>
    <t>600 s</t>
  </si>
  <si>
    <t>Time accumulated in each activity state</t>
  </si>
  <si>
    <t>LoRaWAN, SF6</t>
  </si>
  <si>
    <t>From Chapter 5.2</t>
  </si>
  <si>
    <t>Valid?</t>
  </si>
  <si>
    <t>Or due to duty cycle</t>
  </si>
  <si>
    <t>I.e. have all transmission activities ended before next message.</t>
  </si>
  <si>
    <t>Average per message cycle</t>
  </si>
  <si>
    <t>Unit</t>
  </si>
  <si>
    <t>Power consumption</t>
  </si>
  <si>
    <t>Total per byte at Application layer</t>
  </si>
  <si>
    <t>From Chapter 2.1</t>
  </si>
  <si>
    <t>D_App</t>
  </si>
  <si>
    <t>Battery lifetime</t>
  </si>
  <si>
    <t>Weather Station battery capacity and current consumption</t>
  </si>
  <si>
    <t>Chapter 2.6</t>
  </si>
  <si>
    <t>Discharge rate</t>
  </si>
  <si>
    <t>%</t>
  </si>
  <si>
    <t>% / year</t>
  </si>
  <si>
    <t>https://www.saftbatteries.com/download_file/6X7JMGAnv3Fm6HdmtEv%252B2gtlbZ1bRRVHkjS11M6md92GD2EF7vU%252F3Oybbz3WOlG%252BxR8srpA5iCdJ%252FV3IQzTVHQyiTucngZKEg9KkYCLkowAvgaG1huq2lr9O11MyX%252BTH5yIGNG7r2Xi7EOS%252BsM2l64KjxPCscJd3lr48kr%252BOSaN1YREz0g%253D%253D/LSH14_0607.dab6764e-f7e1-432f-8f3a-a6ee6a21eb70.pdf</t>
  </si>
  <si>
    <t>Base</t>
  </si>
  <si>
    <t>Wind</t>
  </si>
  <si>
    <t>PTU</t>
  </si>
  <si>
    <t>Precip</t>
  </si>
  <si>
    <t>Safety Factor (Minimum remaining capacity)</t>
  </si>
  <si>
    <t xml:space="preserve">Corr. factor for </t>
  </si>
  <si>
    <t>V power supply</t>
  </si>
  <si>
    <t>h</t>
  </si>
  <si>
    <t>d</t>
  </si>
  <si>
    <t>Weather Station alone</t>
  </si>
  <si>
    <t>Module part</t>
  </si>
  <si>
    <t>with NB-IoT</t>
  </si>
  <si>
    <t>with LoRaWAN</t>
  </si>
  <si>
    <t>with TS-UNB</t>
  </si>
  <si>
    <t>bits in byte</t>
  </si>
  <si>
    <t>msg interval</t>
  </si>
  <si>
    <t>P1</t>
  </si>
  <si>
    <t>1 month in seconds</t>
  </si>
  <si>
    <t>Extrapolated data amounts per message interval</t>
  </si>
  <si>
    <t>S1-P1</t>
  </si>
  <si>
    <t>S1-P2</t>
  </si>
  <si>
    <t>S1-P1 &amp; S1-P2</t>
  </si>
  <si>
    <t>S2-P1 &amp; S2-P2</t>
  </si>
  <si>
    <t>SF6</t>
  </si>
  <si>
    <t>S2-P1 &amp;
S2-P2</t>
  </si>
  <si>
    <t>W</t>
  </si>
  <si>
    <t>J</t>
  </si>
  <si>
    <t>Double check of correct unit scale</t>
  </si>
  <si>
    <t>Na</t>
  </si>
  <si>
    <t>All</t>
  </si>
  <si>
    <t>when interval not usable</t>
  </si>
  <si>
    <t>Module</t>
  </si>
  <si>
    <t>Battery lifetime estimation (days)</t>
  </si>
  <si>
    <t>Chapter 4.1.4.1</t>
  </si>
  <si>
    <t>From Jupyter Notebook</t>
  </si>
  <si>
    <t>Chapter 4.2.1</t>
  </si>
  <si>
    <t>For Jupyter Notebook calculation</t>
  </si>
  <si>
    <t>P1:</t>
  </si>
  <si>
    <t>OaT:</t>
  </si>
  <si>
    <t>Chapter 4.4.2</t>
  </si>
  <si>
    <t>Chapter 4.2.2</t>
  </si>
  <si>
    <t>Chapter 4.2.3</t>
  </si>
  <si>
    <t>MAC-layer data rate:</t>
  </si>
  <si>
    <t>Chapter 4.3.2</t>
  </si>
  <si>
    <t>Chapter 4.4.3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</si>
</sst>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6" formatCode="#,##0\ &quot;€&quot;;[Red]\-#,##0\ &quot;€&quot;"/>
    <numFmt numFmtId="8" formatCode="#,##0.00\ &quot;€&quot;;[Red]\-#,##0.00\ &quot;€&quot;"/>
    <numFmt numFmtId="164" formatCode="0.0"/>
    <numFmt numFmtId="165" formatCode="#,##0.00\ &quot;€&quot;"/>
    <numFmt numFmtId="166" formatCode="#,##0\ &quot;€&quot;"/>
    <numFmt numFmtId="167" formatCode="#,##0.0\ &quot;€&quot;"/>
    <numFmt numFmtId="168" formatCode="0.000%"/>
    <numFmt numFmtId="169" formatCode="0.000"/>
    <numFmt numFmtId="170" formatCode="0.000000"/>
    <numFmt numFmtId="171" formatCode="0.0000"/>
    <numFmt numFmtId="172" formatCode="0.000000000"/>
    <numFmt numFmtId="173" formatCode="0.0%"/>
  </numFmts>
  <fonts count="2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0"/>
      <color theme="1"/>
      <name val="Times New Roman"/>
      <family val="1"/>
    </font>
    <font>
      <u/>
      <sz val="12"/>
      <color theme="10"/>
      <name val="Times New Roman"/>
      <family val="1"/>
    </font>
    <font>
      <b/>
      <sz val="18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6100"/>
      <name val="Arial"/>
      <family val="2"/>
    </font>
    <font>
      <b/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sz val="11"/>
      <color theme="2"/>
      <name val="Calibri"/>
      <family val="2"/>
      <scheme val="minor"/>
    </font>
    <font>
      <b/>
      <sz val="14"/>
      <color theme="1"/>
      <name val="Times New Roman"/>
      <family val="1"/>
    </font>
    <font>
      <b/>
      <sz val="20"/>
      <color theme="1"/>
      <name val="Calibri"/>
      <family val="2"/>
      <scheme val="minor"/>
    </font>
    <font>
      <b/>
      <sz val="20"/>
      <color theme="1"/>
      <name val="Arial"/>
      <family val="2"/>
    </font>
    <font>
      <sz val="10"/>
      <color theme="2"/>
      <name val="Arial"/>
      <family val="2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FC000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</fills>
  <borders count="5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/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medium">
        <color indexed="64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5">
    <xf numFmtId="0" fontId="0" fillId="0" borderId="0"/>
    <xf numFmtId="0" fontId="5" fillId="0" borderId="0"/>
    <xf numFmtId="0" fontId="8" fillId="0" borderId="0" applyNumberFormat="0" applyFill="0" applyBorder="0" applyAlignment="0" applyProtection="0"/>
    <xf numFmtId="0" fontId="14" fillId="7" borderId="0" applyNumberFormat="0" applyBorder="0" applyAlignment="0" applyProtection="0"/>
    <xf numFmtId="0" fontId="4" fillId="0" borderId="0"/>
  </cellStyleXfs>
  <cellXfs count="337">
    <xf numFmtId="0" fontId="0" fillId="0" borderId="0" xfId="0"/>
    <xf numFmtId="0" fontId="6" fillId="0" borderId="0" xfId="1" applyFont="1"/>
    <xf numFmtId="0" fontId="7" fillId="0" borderId="1" xfId="1" applyFont="1" applyBorder="1" applyAlignment="1">
      <alignment horizontal="left" vertical="top"/>
    </xf>
    <xf numFmtId="0" fontId="7" fillId="0" borderId="1" xfId="0" applyFont="1" applyBorder="1" applyAlignment="1">
      <alignment horizontal="left" vertical="top" wrapText="1"/>
    </xf>
    <xf numFmtId="0" fontId="6" fillId="2" borderId="1" xfId="0" applyFont="1" applyFill="1" applyBorder="1" applyAlignment="1">
      <alignment vertical="top" wrapText="1"/>
    </xf>
    <xf numFmtId="164" fontId="6" fillId="2" borderId="7" xfId="0" applyNumberFormat="1" applyFont="1" applyFill="1" applyBorder="1" applyAlignment="1">
      <alignment vertical="top"/>
    </xf>
    <xf numFmtId="0" fontId="6" fillId="2" borderId="2" xfId="0" applyFont="1" applyFill="1" applyBorder="1" applyAlignment="1">
      <alignment horizontal="left" vertical="top"/>
    </xf>
    <xf numFmtId="164" fontId="6" fillId="2" borderId="7" xfId="0" applyNumberFormat="1" applyFont="1" applyFill="1" applyBorder="1" applyAlignment="1">
      <alignment horizontal="right" vertical="top"/>
    </xf>
    <xf numFmtId="0" fontId="6" fillId="2" borderId="3" xfId="0" applyFont="1" applyFill="1" applyBorder="1" applyAlignment="1">
      <alignment horizontal="left" vertical="top"/>
    </xf>
    <xf numFmtId="0" fontId="6" fillId="3" borderId="1" xfId="0" applyFont="1" applyFill="1" applyBorder="1" applyAlignment="1">
      <alignment vertical="top" wrapText="1"/>
    </xf>
    <xf numFmtId="164" fontId="6" fillId="3" borderId="7" xfId="0" applyNumberFormat="1" applyFont="1" applyFill="1" applyBorder="1" applyAlignment="1">
      <alignment vertical="top"/>
    </xf>
    <xf numFmtId="0" fontId="6" fillId="3" borderId="2" xfId="0" applyFont="1" applyFill="1" applyBorder="1" applyAlignment="1">
      <alignment horizontal="left" vertical="top"/>
    </xf>
    <xf numFmtId="2" fontId="6" fillId="3" borderId="7" xfId="0" applyNumberFormat="1" applyFont="1" applyFill="1" applyBorder="1" applyAlignment="1">
      <alignment horizontal="right" vertical="top"/>
    </xf>
    <xf numFmtId="0" fontId="6" fillId="3" borderId="3" xfId="0" applyFont="1" applyFill="1" applyBorder="1" applyAlignment="1">
      <alignment horizontal="left" vertical="top"/>
    </xf>
    <xf numFmtId="164" fontId="6" fillId="3" borderId="2" xfId="0" applyNumberFormat="1" applyFont="1" applyFill="1" applyBorder="1" applyAlignment="1">
      <alignment vertical="top"/>
    </xf>
    <xf numFmtId="0" fontId="6" fillId="0" borderId="0" xfId="0" applyFont="1"/>
    <xf numFmtId="0" fontId="6" fillId="0" borderId="0" xfId="0" applyFont="1" applyAlignment="1">
      <alignment horizontal="left" wrapText="1"/>
    </xf>
    <xf numFmtId="0" fontId="6" fillId="0" borderId="0" xfId="1" applyFont="1" applyFill="1" applyBorder="1" applyAlignment="1">
      <alignment vertical="center"/>
    </xf>
    <xf numFmtId="0" fontId="6" fillId="0" borderId="0" xfId="0" applyFont="1" applyAlignment="1">
      <alignment horizontal="right"/>
    </xf>
    <xf numFmtId="0" fontId="10" fillId="0" borderId="0" xfId="2" applyFont="1"/>
    <xf numFmtId="164" fontId="6" fillId="0" borderId="1" xfId="1" applyNumberFormat="1" applyFont="1" applyBorder="1" applyAlignment="1">
      <alignment horizontal="center" vertical="top"/>
    </xf>
    <xf numFmtId="164" fontId="6" fillId="0" borderId="10" xfId="1" applyNumberFormat="1" applyFont="1" applyBorder="1" applyAlignment="1">
      <alignment horizontal="center" vertical="top"/>
    </xf>
    <xf numFmtId="0" fontId="6" fillId="0" borderId="11" xfId="1" applyFont="1" applyBorder="1" applyAlignment="1">
      <alignment horizontal="center" vertical="top"/>
    </xf>
    <xf numFmtId="0" fontId="6" fillId="0" borderId="12" xfId="1" applyFont="1" applyBorder="1" applyAlignment="1">
      <alignment horizontal="left" vertical="top"/>
    </xf>
    <xf numFmtId="0" fontId="6" fillId="0" borderId="14" xfId="1" applyFont="1" applyBorder="1" applyAlignment="1">
      <alignment horizontal="left" vertical="top"/>
    </xf>
    <xf numFmtId="0" fontId="9" fillId="0" borderId="16" xfId="0" applyFont="1" applyBorder="1" applyAlignment="1">
      <alignment horizontal="left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left" vertical="center" wrapText="1"/>
    </xf>
    <xf numFmtId="0" fontId="9" fillId="0" borderId="20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6" fontId="9" fillId="0" borderId="20" xfId="0" applyNumberFormat="1" applyFont="1" applyBorder="1" applyAlignment="1">
      <alignment horizontal="center" vertical="center" wrapText="1"/>
    </xf>
    <xf numFmtId="8" fontId="9" fillId="0" borderId="20" xfId="0" applyNumberFormat="1" applyFont="1" applyBorder="1" applyAlignment="1">
      <alignment horizontal="center" vertical="center" wrapText="1"/>
    </xf>
    <xf numFmtId="166" fontId="9" fillId="0" borderId="20" xfId="0" applyNumberFormat="1" applyFont="1" applyBorder="1" applyAlignment="1">
      <alignment horizontal="center" vertical="center" wrapText="1"/>
    </xf>
    <xf numFmtId="0" fontId="9" fillId="5" borderId="19" xfId="0" applyFont="1" applyFill="1" applyBorder="1" applyAlignment="1">
      <alignment horizontal="left" vertical="center" wrapText="1"/>
    </xf>
    <xf numFmtId="0" fontId="9" fillId="5" borderId="20" xfId="0" applyFont="1" applyFill="1" applyBorder="1" applyAlignment="1">
      <alignment horizontal="center" vertical="center" wrapText="1"/>
    </xf>
    <xf numFmtId="0" fontId="9" fillId="5" borderId="21" xfId="0" applyFont="1" applyFill="1" applyBorder="1" applyAlignment="1">
      <alignment horizontal="center" vertical="center" wrapText="1"/>
    </xf>
    <xf numFmtId="6" fontId="9" fillId="5" borderId="20" xfId="0" applyNumberFormat="1" applyFont="1" applyFill="1" applyBorder="1" applyAlignment="1">
      <alignment horizontal="center" vertical="center" wrapText="1"/>
    </xf>
    <xf numFmtId="0" fontId="11" fillId="0" borderId="0" xfId="0" applyFont="1"/>
    <xf numFmtId="0" fontId="9" fillId="0" borderId="0" xfId="0" applyFont="1" applyFill="1" applyBorder="1" applyAlignment="1">
      <alignment horizontal="left" vertical="center" wrapText="1"/>
    </xf>
    <xf numFmtId="164" fontId="6" fillId="0" borderId="7" xfId="1" applyNumberFormat="1" applyFont="1" applyBorder="1" applyAlignment="1">
      <alignment horizontal="right" vertical="top"/>
    </xf>
    <xf numFmtId="0" fontId="6" fillId="0" borderId="4" xfId="0" applyFont="1" applyBorder="1" applyAlignment="1">
      <alignment horizontal="center" vertical="top"/>
    </xf>
    <xf numFmtId="0" fontId="6" fillId="0" borderId="6" xfId="1" applyFont="1" applyBorder="1" applyAlignment="1">
      <alignment horizontal="center" vertical="top"/>
    </xf>
    <xf numFmtId="0" fontId="6" fillId="0" borderId="3" xfId="0" applyFont="1" applyBorder="1" applyAlignment="1">
      <alignment horizontal="center" vertical="top"/>
    </xf>
    <xf numFmtId="167" fontId="0" fillId="0" borderId="0" xfId="0" applyNumberFormat="1"/>
    <xf numFmtId="167" fontId="0" fillId="0" borderId="0" xfId="0" applyNumberFormat="1" applyAlignment="1">
      <alignment horizontal="center"/>
    </xf>
    <xf numFmtId="165" fontId="0" fillId="0" borderId="0" xfId="0" applyNumberFormat="1"/>
    <xf numFmtId="0" fontId="0" fillId="0" borderId="1" xfId="0" applyBorder="1"/>
    <xf numFmtId="0" fontId="9" fillId="0" borderId="0" xfId="0" applyFont="1" applyBorder="1" applyAlignment="1">
      <alignment horizontal="center" vertical="center" wrapText="1"/>
    </xf>
    <xf numFmtId="0" fontId="9" fillId="5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0" fillId="0" borderId="10" xfId="0" applyBorder="1"/>
    <xf numFmtId="0" fontId="0" fillId="0" borderId="11" xfId="0" applyBorder="1"/>
    <xf numFmtId="0" fontId="0" fillId="5" borderId="11" xfId="0" applyFill="1" applyBorder="1"/>
    <xf numFmtId="0" fontId="0" fillId="4" borderId="11" xfId="0" applyFill="1" applyBorder="1"/>
    <xf numFmtId="0" fontId="0" fillId="2" borderId="11" xfId="0" applyFill="1" applyBorder="1"/>
    <xf numFmtId="0" fontId="0" fillId="3" borderId="11" xfId="0" applyFill="1" applyBorder="1"/>
    <xf numFmtId="0" fontId="0" fillId="6" borderId="26" xfId="0" applyFill="1" applyBorder="1"/>
    <xf numFmtId="0" fontId="0" fillId="0" borderId="27" xfId="0" applyBorder="1"/>
    <xf numFmtId="0" fontId="0" fillId="0" borderId="0" xfId="0" applyBorder="1"/>
    <xf numFmtId="0" fontId="0" fillId="0" borderId="28" xfId="0" applyBorder="1" applyAlignment="1"/>
    <xf numFmtId="0" fontId="0" fillId="0" borderId="36" xfId="0" applyBorder="1" applyAlignment="1"/>
    <xf numFmtId="0" fontId="0" fillId="0" borderId="29" xfId="0" applyBorder="1" applyAlignment="1"/>
    <xf numFmtId="0" fontId="0" fillId="0" borderId="5" xfId="0" applyBorder="1"/>
    <xf numFmtId="166" fontId="0" fillId="5" borderId="10" xfId="0" applyNumberFormat="1" applyFill="1" applyBorder="1"/>
    <xf numFmtId="166" fontId="0" fillId="4" borderId="10" xfId="0" applyNumberFormat="1" applyFill="1" applyBorder="1"/>
    <xf numFmtId="166" fontId="0" fillId="2" borderId="10" xfId="0" applyNumberFormat="1" applyFill="1" applyBorder="1"/>
    <xf numFmtId="166" fontId="0" fillId="3" borderId="10" xfId="0" applyNumberFormat="1" applyFill="1" applyBorder="1"/>
    <xf numFmtId="166" fontId="0" fillId="6" borderId="25" xfId="0" applyNumberFormat="1" applyFill="1" applyBorder="1"/>
    <xf numFmtId="166" fontId="0" fillId="0" borderId="6" xfId="0" applyNumberFormat="1" applyBorder="1"/>
    <xf numFmtId="166" fontId="0" fillId="5" borderId="1" xfId="0" applyNumberFormat="1" applyFill="1" applyBorder="1"/>
    <xf numFmtId="166" fontId="0" fillId="4" borderId="1" xfId="0" applyNumberFormat="1" applyFill="1" applyBorder="1"/>
    <xf numFmtId="166" fontId="0" fillId="2" borderId="1" xfId="0" applyNumberFormat="1" applyFill="1" applyBorder="1"/>
    <xf numFmtId="166" fontId="0" fillId="3" borderId="1" xfId="0" applyNumberFormat="1" applyFill="1" applyBorder="1"/>
    <xf numFmtId="166" fontId="0" fillId="6" borderId="14" xfId="0" applyNumberFormat="1" applyFill="1" applyBorder="1"/>
    <xf numFmtId="166" fontId="0" fillId="5" borderId="11" xfId="0" applyNumberFormat="1" applyFill="1" applyBorder="1"/>
    <xf numFmtId="166" fontId="0" fillId="4" borderId="11" xfId="0" applyNumberFormat="1" applyFill="1" applyBorder="1"/>
    <xf numFmtId="166" fontId="0" fillId="2" borderId="11" xfId="0" applyNumberFormat="1" applyFill="1" applyBorder="1"/>
    <xf numFmtId="166" fontId="0" fillId="3" borderId="11" xfId="0" applyNumberFormat="1" applyFill="1" applyBorder="1"/>
    <xf numFmtId="166" fontId="0" fillId="6" borderId="26" xfId="0" applyNumberFormat="1" applyFill="1" applyBorder="1"/>
    <xf numFmtId="166" fontId="0" fillId="0" borderId="33" xfId="0" applyNumberFormat="1" applyBorder="1"/>
    <xf numFmtId="166" fontId="0" fillId="0" borderId="27" xfId="0" applyNumberFormat="1" applyBorder="1"/>
    <xf numFmtId="1" fontId="0" fillId="0" borderId="0" xfId="0" applyNumberFormat="1"/>
    <xf numFmtId="0" fontId="7" fillId="0" borderId="1" xfId="1" applyFont="1" applyBorder="1" applyAlignment="1">
      <alignment horizontal="center" vertical="top"/>
    </xf>
    <xf numFmtId="0" fontId="9" fillId="0" borderId="17" xfId="0" applyFont="1" applyBorder="1" applyAlignment="1">
      <alignment horizontal="center" vertical="center" wrapText="1"/>
    </xf>
    <xf numFmtId="167" fontId="0" fillId="0" borderId="0" xfId="0" applyNumberFormat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0" xfId="1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4" fillId="0" borderId="0" xfId="4"/>
    <xf numFmtId="164" fontId="4" fillId="0" borderId="0" xfId="4" applyNumberFormat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0" fontId="17" fillId="0" borderId="0" xfId="0" applyFont="1"/>
    <xf numFmtId="169" fontId="0" fillId="0" borderId="0" xfId="0" applyNumberFormat="1"/>
    <xf numFmtId="164" fontId="0" fillId="0" borderId="0" xfId="0" applyNumberFormat="1"/>
    <xf numFmtId="164" fontId="6" fillId="0" borderId="13" xfId="1" applyNumberFormat="1" applyFont="1" applyBorder="1" applyAlignment="1">
      <alignment horizontal="center" vertical="top"/>
    </xf>
    <xf numFmtId="164" fontId="6" fillId="0" borderId="15" xfId="1" applyNumberFormat="1" applyFont="1" applyBorder="1" applyAlignment="1">
      <alignment horizontal="center" vertical="top"/>
    </xf>
    <xf numFmtId="0" fontId="18" fillId="0" borderId="0" xfId="0" applyFont="1" applyAlignment="1">
      <alignment vertical="top" wrapText="1"/>
    </xf>
    <xf numFmtId="0" fontId="6" fillId="0" borderId="0" xfId="0" applyFont="1" applyAlignment="1">
      <alignment horizontal="right" vertical="center" wrapText="1"/>
    </xf>
    <xf numFmtId="0" fontId="19" fillId="0" borderId="0" xfId="0" applyFont="1"/>
    <xf numFmtId="2" fontId="0" fillId="0" borderId="0" xfId="0" applyNumberFormat="1"/>
    <xf numFmtId="4" fontId="0" fillId="0" borderId="0" xfId="0" applyNumberFormat="1"/>
    <xf numFmtId="0" fontId="7" fillId="0" borderId="3" xfId="1" applyFont="1" applyBorder="1" applyAlignment="1">
      <alignment vertical="top"/>
    </xf>
    <xf numFmtId="0" fontId="7" fillId="0" borderId="7" xfId="1" applyFont="1" applyBorder="1" applyAlignment="1">
      <alignment vertical="top"/>
    </xf>
    <xf numFmtId="0" fontId="6" fillId="3" borderId="7" xfId="0" applyFont="1" applyFill="1" applyBorder="1"/>
    <xf numFmtId="0" fontId="6" fillId="3" borderId="2" xfId="0" applyFont="1" applyFill="1" applyBorder="1"/>
    <xf numFmtId="0" fontId="6" fillId="3" borderId="3" xfId="0" applyFont="1" applyFill="1" applyBorder="1"/>
    <xf numFmtId="0" fontId="20" fillId="0" borderId="0" xfId="4" applyFont="1"/>
    <xf numFmtId="0" fontId="4" fillId="0" borderId="23" xfId="4" applyBorder="1"/>
    <xf numFmtId="0" fontId="4" fillId="0" borderId="0" xfId="4" applyBorder="1"/>
    <xf numFmtId="0" fontId="4" fillId="0" borderId="37" xfId="4" applyBorder="1"/>
    <xf numFmtId="0" fontId="4" fillId="0" borderId="38" xfId="4" applyBorder="1"/>
    <xf numFmtId="0" fontId="4" fillId="0" borderId="39" xfId="4" applyBorder="1"/>
    <xf numFmtId="0" fontId="4" fillId="0" borderId="40" xfId="4" applyBorder="1"/>
    <xf numFmtId="0" fontId="4" fillId="0" borderId="5" xfId="4" applyBorder="1"/>
    <xf numFmtId="0" fontId="4" fillId="0" borderId="9" xfId="4" applyBorder="1"/>
    <xf numFmtId="0" fontId="4" fillId="0" borderId="6" xfId="4" applyBorder="1"/>
    <xf numFmtId="0" fontId="4" fillId="0" borderId="24" xfId="4" applyBorder="1"/>
    <xf numFmtId="0" fontId="4" fillId="0" borderId="0" xfId="4" applyAlignment="1">
      <alignment horizontal="right"/>
    </xf>
    <xf numFmtId="0" fontId="15" fillId="0" borderId="0" xfId="4" applyFont="1"/>
    <xf numFmtId="0" fontId="21" fillId="0" borderId="0" xfId="4" applyFont="1"/>
    <xf numFmtId="0" fontId="14" fillId="7" borderId="0" xfId="3"/>
    <xf numFmtId="0" fontId="5" fillId="0" borderId="0" xfId="1"/>
    <xf numFmtId="0" fontId="21" fillId="0" borderId="0" xfId="1" applyFont="1"/>
    <xf numFmtId="0" fontId="4" fillId="0" borderId="42" xfId="4" applyBorder="1"/>
    <xf numFmtId="0" fontId="4" fillId="0" borderId="10" xfId="4" applyBorder="1"/>
    <xf numFmtId="0" fontId="4" fillId="0" borderId="41" xfId="4" applyBorder="1"/>
    <xf numFmtId="0" fontId="5" fillId="0" borderId="41" xfId="1" applyBorder="1"/>
    <xf numFmtId="0" fontId="3" fillId="0" borderId="0" xfId="4" applyFont="1"/>
    <xf numFmtId="170" fontId="0" fillId="0" borderId="0" xfId="0" applyNumberFormat="1"/>
    <xf numFmtId="171" fontId="0" fillId="0" borderId="0" xfId="0" applyNumberFormat="1"/>
    <xf numFmtId="0" fontId="0" fillId="0" borderId="36" xfId="0" applyBorder="1"/>
    <xf numFmtId="0" fontId="0" fillId="0" borderId="20" xfId="0" applyBorder="1"/>
    <xf numFmtId="0" fontId="0" fillId="0" borderId="37" xfId="0" applyBorder="1"/>
    <xf numFmtId="0" fontId="0" fillId="0" borderId="39" xfId="0" applyBorder="1"/>
    <xf numFmtId="0" fontId="0" fillId="0" borderId="43" xfId="0" applyBorder="1"/>
    <xf numFmtId="0" fontId="0" fillId="0" borderId="44" xfId="0" applyBorder="1"/>
    <xf numFmtId="6" fontId="0" fillId="0" borderId="43" xfId="0" applyNumberFormat="1" applyBorder="1"/>
    <xf numFmtId="6" fontId="0" fillId="0" borderId="0" xfId="0" applyNumberFormat="1" applyBorder="1"/>
    <xf numFmtId="6" fontId="0" fillId="0" borderId="5" xfId="0" applyNumberFormat="1" applyBorder="1"/>
    <xf numFmtId="0" fontId="0" fillId="0" borderId="28" xfId="0" applyBorder="1"/>
    <xf numFmtId="0" fontId="0" fillId="0" borderId="23" xfId="0" applyBorder="1"/>
    <xf numFmtId="0" fontId="0" fillId="0" borderId="36" xfId="0" applyBorder="1" applyAlignment="1">
      <alignment vertical="center"/>
    </xf>
    <xf numFmtId="0" fontId="13" fillId="0" borderId="43" xfId="0" applyFont="1" applyBorder="1"/>
    <xf numFmtId="0" fontId="13" fillId="0" borderId="0" xfId="0" applyFont="1"/>
    <xf numFmtId="0" fontId="13" fillId="0" borderId="36" xfId="0" applyFont="1" applyBorder="1"/>
    <xf numFmtId="0" fontId="13" fillId="0" borderId="28" xfId="0" applyFont="1" applyBorder="1"/>
    <xf numFmtId="0" fontId="22" fillId="0" borderId="0" xfId="0" applyFont="1"/>
    <xf numFmtId="0" fontId="0" fillId="2" borderId="23" xfId="0" applyFill="1" applyBorder="1"/>
    <xf numFmtId="0" fontId="0" fillId="2" borderId="9" xfId="0" applyFill="1" applyBorder="1"/>
    <xf numFmtId="0" fontId="0" fillId="2" borderId="28" xfId="0" applyFill="1" applyBorder="1"/>
    <xf numFmtId="0" fontId="0" fillId="3" borderId="30" xfId="0" applyFill="1" applyBorder="1"/>
    <xf numFmtId="0" fontId="0" fillId="3" borderId="23" xfId="0" applyFill="1" applyBorder="1"/>
    <xf numFmtId="0" fontId="0" fillId="3" borderId="9" xfId="0" applyFill="1" applyBorder="1"/>
    <xf numFmtId="0" fontId="0" fillId="2" borderId="0" xfId="0" applyFill="1"/>
    <xf numFmtId="0" fontId="16" fillId="0" borderId="0" xfId="0" applyFont="1"/>
    <xf numFmtId="2" fontId="17" fillId="0" borderId="0" xfId="0" applyNumberFormat="1" applyFont="1"/>
    <xf numFmtId="2" fontId="22" fillId="0" borderId="0" xfId="0" applyNumberFormat="1" applyFont="1"/>
    <xf numFmtId="2" fontId="0" fillId="0" borderId="28" xfId="0" applyNumberFormat="1" applyBorder="1"/>
    <xf numFmtId="0" fontId="0" fillId="0" borderId="36" xfId="0" applyFill="1" applyBorder="1"/>
    <xf numFmtId="0" fontId="13" fillId="0" borderId="36" xfId="0" applyFont="1" applyFill="1" applyBorder="1"/>
    <xf numFmtId="0" fontId="23" fillId="0" borderId="0" xfId="0" applyFont="1"/>
    <xf numFmtId="0" fontId="24" fillId="0" borderId="0" xfId="0" applyFont="1"/>
    <xf numFmtId="1" fontId="19" fillId="0" borderId="0" xfId="0" applyNumberFormat="1" applyFont="1"/>
    <xf numFmtId="1" fontId="13" fillId="0" borderId="0" xfId="0" applyNumberFormat="1" applyFont="1"/>
    <xf numFmtId="172" fontId="0" fillId="0" borderId="0" xfId="0" applyNumberFormat="1"/>
    <xf numFmtId="0" fontId="15" fillId="0" borderId="0" xfId="4" applyFont="1" applyAlignment="1">
      <alignment horizontal="center"/>
    </xf>
    <xf numFmtId="0" fontId="25" fillId="0" borderId="0" xfId="0" applyFont="1"/>
    <xf numFmtId="0" fontId="22" fillId="0" borderId="37" xfId="0" applyFont="1" applyBorder="1"/>
    <xf numFmtId="0" fontId="22" fillId="0" borderId="23" xfId="0" applyFont="1" applyBorder="1"/>
    <xf numFmtId="0" fontId="22" fillId="0" borderId="0" xfId="0" applyFont="1" applyBorder="1"/>
    <xf numFmtId="0" fontId="22" fillId="0" borderId="29" xfId="0" applyFont="1" applyBorder="1"/>
    <xf numFmtId="0" fontId="22" fillId="0" borderId="23" xfId="0" applyFont="1" applyBorder="1" applyAlignment="1">
      <alignment vertical="center"/>
    </xf>
    <xf numFmtId="0" fontId="22" fillId="0" borderId="23" xfId="0" applyFont="1" applyBorder="1" applyAlignment="1">
      <alignment horizontal="right"/>
    </xf>
    <xf numFmtId="0" fontId="8" fillId="0" borderId="0" xfId="2"/>
    <xf numFmtId="0" fontId="0" fillId="0" borderId="0" xfId="0" applyAlignment="1">
      <alignment vertical="top"/>
    </xf>
    <xf numFmtId="169" fontId="0" fillId="0" borderId="0" xfId="0" applyNumberFormat="1" applyAlignment="1">
      <alignment horizontal="center"/>
    </xf>
    <xf numFmtId="169" fontId="22" fillId="0" borderId="0" xfId="0" applyNumberFormat="1" applyFont="1"/>
    <xf numFmtId="0" fontId="8" fillId="0" borderId="0" xfId="2" applyAlignment="1">
      <alignment vertical="top"/>
    </xf>
    <xf numFmtId="0" fontId="26" fillId="0" borderId="0" xfId="0" applyFont="1"/>
    <xf numFmtId="0" fontId="0" fillId="0" borderId="0" xfId="0" applyFill="1" applyAlignment="1"/>
    <xf numFmtId="1" fontId="0" fillId="0" borderId="0" xfId="0" applyNumberFormat="1" applyAlignment="1">
      <alignment horizontal="right"/>
    </xf>
    <xf numFmtId="1" fontId="22" fillId="0" borderId="0" xfId="0" applyNumberFormat="1" applyFont="1" applyAlignment="1">
      <alignment horizontal="right"/>
    </xf>
    <xf numFmtId="169" fontId="13" fillId="0" borderId="0" xfId="0" applyNumberFormat="1" applyFont="1" applyAlignment="1">
      <alignment horizontal="left"/>
    </xf>
    <xf numFmtId="169" fontId="26" fillId="0" borderId="0" xfId="0" applyNumberFormat="1" applyFont="1" applyAlignment="1">
      <alignment horizontal="left"/>
    </xf>
    <xf numFmtId="2" fontId="0" fillId="0" borderId="0" xfId="0" applyNumberFormat="1" applyAlignment="1">
      <alignment horizontal="right" vertical="top"/>
    </xf>
    <xf numFmtId="2" fontId="0" fillId="0" borderId="0" xfId="0" applyNumberFormat="1" applyAlignment="1">
      <alignment vertical="top"/>
    </xf>
    <xf numFmtId="164" fontId="0" fillId="0" borderId="0" xfId="0" applyNumberFormat="1" applyAlignment="1">
      <alignment horizontal="right" vertical="top"/>
    </xf>
    <xf numFmtId="2" fontId="0" fillId="0" borderId="0" xfId="0" applyNumberFormat="1" applyAlignment="1">
      <alignment vertical="top" wrapText="1"/>
    </xf>
    <xf numFmtId="164" fontId="0" fillId="0" borderId="0" xfId="0" applyNumberFormat="1" applyAlignment="1">
      <alignment horizontal="center" vertical="top" wrapText="1"/>
    </xf>
    <xf numFmtId="0" fontId="6" fillId="0" borderId="0" xfId="0" applyFont="1" applyAlignment="1">
      <alignment horizontal="center" vertical="top"/>
    </xf>
    <xf numFmtId="0" fontId="2" fillId="0" borderId="0" xfId="4" applyFont="1"/>
    <xf numFmtId="0" fontId="0" fillId="0" borderId="0" xfId="0" applyAlignment="1"/>
    <xf numFmtId="168" fontId="0" fillId="0" borderId="0" xfId="0" applyNumberFormat="1" applyAlignment="1"/>
    <xf numFmtId="164" fontId="6" fillId="0" borderId="8" xfId="1" applyNumberFormat="1" applyFont="1" applyBorder="1" applyAlignment="1">
      <alignment horizontal="right" vertical="top"/>
    </xf>
    <xf numFmtId="164" fontId="6" fillId="0" borderId="9" xfId="1" applyNumberFormat="1" applyFont="1" applyBorder="1" applyAlignment="1">
      <alignment horizontal="right" vertical="top"/>
    </xf>
    <xf numFmtId="173" fontId="0" fillId="0" borderId="0" xfId="0" applyNumberFormat="1"/>
    <xf numFmtId="164" fontId="0" fillId="0" borderId="23" xfId="0" applyNumberFormat="1" applyBorder="1"/>
    <xf numFmtId="0" fontId="0" fillId="0" borderId="24" xfId="0" applyBorder="1"/>
    <xf numFmtId="0" fontId="0" fillId="0" borderId="6" xfId="0" applyBorder="1"/>
    <xf numFmtId="164" fontId="0" fillId="0" borderId="24" xfId="0" applyNumberFormat="1" applyBorder="1"/>
    <xf numFmtId="0" fontId="0" fillId="0" borderId="31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4" xfId="0" applyBorder="1"/>
    <xf numFmtId="0" fontId="0" fillId="0" borderId="29" xfId="0" applyBorder="1"/>
    <xf numFmtId="0" fontId="0" fillId="0" borderId="0" xfId="0" applyAlignment="1">
      <alignment horizontal="left" vertical="top"/>
    </xf>
    <xf numFmtId="1" fontId="22" fillId="0" borderId="0" xfId="0" applyNumberFormat="1" applyFont="1" applyAlignment="1">
      <alignment horizontal="right"/>
    </xf>
    <xf numFmtId="0" fontId="7" fillId="0" borderId="1" xfId="1" applyFont="1" applyBorder="1" applyAlignment="1">
      <alignment horizontal="left" vertical="top"/>
    </xf>
    <xf numFmtId="0" fontId="7" fillId="0" borderId="11" xfId="1" applyFont="1" applyBorder="1" applyAlignment="1">
      <alignment horizontal="left" vertical="top"/>
    </xf>
    <xf numFmtId="0" fontId="7" fillId="0" borderId="1" xfId="1" applyFont="1" applyBorder="1" applyAlignment="1">
      <alignment horizontal="center" vertical="top"/>
    </xf>
    <xf numFmtId="0" fontId="7" fillId="0" borderId="9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1" xfId="0" applyFont="1" applyBorder="1" applyAlignment="1">
      <alignment horizontal="center" vertical="top"/>
    </xf>
    <xf numFmtId="0" fontId="6" fillId="3" borderId="7" xfId="0" applyFont="1" applyFill="1" applyBorder="1" applyAlignment="1">
      <alignment horizontal="center" vertical="top"/>
    </xf>
    <xf numFmtId="0" fontId="6" fillId="3" borderId="3" xfId="0" applyFont="1" applyFill="1" applyBorder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6" fillId="0" borderId="0" xfId="1" applyFont="1" applyAlignment="1">
      <alignment horizontal="center" vertical="top"/>
    </xf>
    <xf numFmtId="0" fontId="6" fillId="0" borderId="1" xfId="1" applyFont="1" applyBorder="1" applyAlignment="1">
      <alignment horizontal="left" vertical="top"/>
    </xf>
    <xf numFmtId="0" fontId="7" fillId="0" borderId="2" xfId="1" applyFont="1" applyBorder="1" applyAlignment="1">
      <alignment horizontal="center" vertical="top"/>
    </xf>
    <xf numFmtId="0" fontId="7" fillId="0" borderId="3" xfId="1" applyFont="1" applyBorder="1" applyAlignment="1">
      <alignment horizontal="center" vertical="top"/>
    </xf>
    <xf numFmtId="0" fontId="15" fillId="0" borderId="0" xfId="4" applyFont="1" applyAlignment="1">
      <alignment horizontal="center"/>
    </xf>
    <xf numFmtId="0" fontId="4" fillId="0" borderId="0" xfId="4" applyAlignment="1">
      <alignment horizontal="center"/>
    </xf>
    <xf numFmtId="0" fontId="0" fillId="0" borderId="0" xfId="0" applyAlignment="1">
      <alignment horizontal="center"/>
    </xf>
    <xf numFmtId="171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left" vertical="top"/>
    </xf>
    <xf numFmtId="0" fontId="0" fillId="0" borderId="24" xfId="0" applyBorder="1" applyAlignment="1">
      <alignment horizontal="right" wrapText="1"/>
    </xf>
    <xf numFmtId="0" fontId="0" fillId="0" borderId="0" xfId="0" applyAlignment="1">
      <alignment horizontal="right" wrapText="1"/>
    </xf>
    <xf numFmtId="169" fontId="0" fillId="0" borderId="0" xfId="0" applyNumberFormat="1" applyAlignment="1">
      <alignment horizontal="right"/>
    </xf>
    <xf numFmtId="169" fontId="0" fillId="0" borderId="23" xfId="0" applyNumberFormat="1" applyBorder="1" applyAlignment="1">
      <alignment horizontal="righ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2" fontId="0" fillId="0" borderId="0" xfId="0" applyNumberFormat="1" applyAlignment="1">
      <alignment horizontal="right" vertical="top"/>
    </xf>
    <xf numFmtId="0" fontId="0" fillId="0" borderId="9" xfId="0" applyBorder="1" applyAlignment="1">
      <alignment horizontal="center"/>
    </xf>
    <xf numFmtId="0" fontId="0" fillId="5" borderId="0" xfId="0" applyFill="1" applyAlignment="1">
      <alignment horizontal="center"/>
    </xf>
    <xf numFmtId="169" fontId="0" fillId="0" borderId="0" xfId="0" applyNumberFormat="1" applyAlignment="1">
      <alignment horizontal="center"/>
    </xf>
    <xf numFmtId="1" fontId="0" fillId="0" borderId="0" xfId="0" applyNumberFormat="1" applyAlignment="1">
      <alignment horizontal="right" vertical="top"/>
    </xf>
    <xf numFmtId="1" fontId="22" fillId="0" borderId="0" xfId="0" applyNumberFormat="1" applyFont="1" applyAlignment="1">
      <alignment horizontal="right" vertical="top"/>
    </xf>
    <xf numFmtId="0" fontId="0" fillId="2" borderId="0" xfId="0" applyFill="1" applyAlignment="1">
      <alignment horizontal="center"/>
    </xf>
    <xf numFmtId="0" fontId="0" fillId="8" borderId="0" xfId="0" applyFill="1" applyAlignment="1">
      <alignment horizontal="center"/>
    </xf>
    <xf numFmtId="1" fontId="22" fillId="0" borderId="0" xfId="0" applyNumberFormat="1" applyFont="1" applyAlignment="1">
      <alignment horizontal="right"/>
    </xf>
    <xf numFmtId="0" fontId="8" fillId="0" borderId="0" xfId="2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167" fontId="0" fillId="0" borderId="0" xfId="0" applyNumberFormat="1" applyAlignment="1">
      <alignment horizontal="center"/>
    </xf>
    <xf numFmtId="0" fontId="0" fillId="0" borderId="30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0" fillId="0" borderId="35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9" fillId="0" borderId="22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165" fontId="0" fillId="0" borderId="0" xfId="0" applyNumberFormat="1" applyAlignment="1">
      <alignment horizontal="center"/>
    </xf>
    <xf numFmtId="0" fontId="0" fillId="0" borderId="0" xfId="0" applyBorder="1" applyAlignment="1">
      <alignment horizontal="left" wrapText="1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24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6" xfId="0" applyBorder="1" applyAlignment="1">
      <alignment horizontal="left" vertical="center"/>
    </xf>
    <xf numFmtId="6" fontId="0" fillId="0" borderId="8" xfId="0" applyNumberFormat="1" applyBorder="1" applyAlignment="1">
      <alignment horizontal="center" vertical="center"/>
    </xf>
    <xf numFmtId="6" fontId="0" fillId="0" borderId="23" xfId="0" applyNumberFormat="1" applyBorder="1" applyAlignment="1">
      <alignment horizontal="center" vertical="center"/>
    </xf>
    <xf numFmtId="6" fontId="0" fillId="0" borderId="28" xfId="0" applyNumberFormat="1" applyBorder="1" applyAlignment="1">
      <alignment horizontal="center" vertical="center"/>
    </xf>
    <xf numFmtId="6" fontId="0" fillId="0" borderId="8" xfId="0" applyNumberFormat="1" applyBorder="1" applyAlignment="1">
      <alignment horizontal="right" vertical="center"/>
    </xf>
    <xf numFmtId="6" fontId="0" fillId="0" borderId="23" xfId="0" applyNumberFormat="1" applyBorder="1" applyAlignment="1">
      <alignment horizontal="right" vertical="center"/>
    </xf>
    <xf numFmtId="6" fontId="0" fillId="0" borderId="28" xfId="0" applyNumberFormat="1" applyBorder="1" applyAlignment="1">
      <alignment horizontal="right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22" fillId="0" borderId="43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22" fillId="0" borderId="36" xfId="0" applyFont="1" applyBorder="1" applyAlignment="1">
      <alignment horizontal="center" vertical="center"/>
    </xf>
    <xf numFmtId="0" fontId="22" fillId="0" borderId="23" xfId="0" applyFont="1" applyBorder="1" applyAlignment="1">
      <alignment horizontal="right" vertical="center"/>
    </xf>
    <xf numFmtId="0" fontId="2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2" fontId="0" fillId="3" borderId="0" xfId="0" applyNumberFormat="1" applyFill="1" applyAlignment="1">
      <alignment horizontal="right"/>
    </xf>
    <xf numFmtId="169" fontId="0" fillId="3" borderId="0" xfId="0" applyNumberFormat="1" applyFill="1" applyAlignment="1">
      <alignment horizontal="right"/>
    </xf>
    <xf numFmtId="164" fontId="0" fillId="3" borderId="0" xfId="0" applyNumberFormat="1" applyFill="1" applyAlignment="1">
      <alignment horizontal="right"/>
    </xf>
    <xf numFmtId="164" fontId="0" fillId="3" borderId="23" xfId="0" applyNumberFormat="1" applyFill="1" applyBorder="1" applyAlignment="1">
      <alignment horizontal="right"/>
    </xf>
    <xf numFmtId="164" fontId="0" fillId="3" borderId="24" xfId="0" applyNumberFormat="1" applyFill="1" applyBorder="1" applyAlignment="1">
      <alignment horizontal="right"/>
    </xf>
    <xf numFmtId="169" fontId="0" fillId="0" borderId="25" xfId="0" applyNumberFormat="1" applyBorder="1"/>
    <xf numFmtId="0" fontId="0" fillId="0" borderId="51" xfId="0" applyBorder="1"/>
    <xf numFmtId="0" fontId="0" fillId="0" borderId="0" xfId="0" applyBorder="1" applyAlignment="1">
      <alignment horizontal="center" wrapText="1"/>
    </xf>
    <xf numFmtId="2" fontId="0" fillId="0" borderId="23" xfId="0" applyNumberFormat="1" applyBorder="1"/>
    <xf numFmtId="2" fontId="0" fillId="0" borderId="24" xfId="0" applyNumberFormat="1" applyBorder="1"/>
    <xf numFmtId="2" fontId="0" fillId="3" borderId="23" xfId="0" applyNumberFormat="1" applyFill="1" applyBorder="1" applyAlignment="1">
      <alignment horizontal="right"/>
    </xf>
    <xf numFmtId="2" fontId="0" fillId="3" borderId="24" xfId="0" applyNumberFormat="1" applyFill="1" applyBorder="1" applyAlignment="1">
      <alignment horizontal="right"/>
    </xf>
    <xf numFmtId="0" fontId="0" fillId="0" borderId="8" xfId="0" applyBorder="1"/>
    <xf numFmtId="2" fontId="0" fillId="0" borderId="0" xfId="0" applyNumberFormat="1" applyBorder="1"/>
    <xf numFmtId="164" fontId="0" fillId="0" borderId="0" xfId="0" applyNumberFormat="1" applyBorder="1"/>
    <xf numFmtId="2" fontId="0" fillId="0" borderId="0" xfId="0" applyNumberFormat="1" applyFill="1" applyBorder="1" applyAlignment="1">
      <alignment horizontal="right"/>
    </xf>
    <xf numFmtId="2" fontId="0" fillId="0" borderId="0" xfId="0" applyNumberFormat="1" applyAlignment="1"/>
    <xf numFmtId="2" fontId="0" fillId="0" borderId="0" xfId="0" applyNumberFormat="1" applyBorder="1" applyAlignment="1"/>
    <xf numFmtId="2" fontId="0" fillId="0" borderId="0" xfId="0" applyNumberFormat="1" applyAlignment="1">
      <alignment horizontal="center" vertical="top"/>
    </xf>
    <xf numFmtId="2" fontId="0" fillId="0" borderId="0" xfId="0" applyNumberFormat="1" applyBorder="1" applyAlignment="1">
      <alignment horizontal="center" vertical="top"/>
    </xf>
    <xf numFmtId="2" fontId="0" fillId="0" borderId="0" xfId="0" applyNumberFormat="1" applyAlignment="1">
      <alignment horizontal="center" vertical="top"/>
    </xf>
    <xf numFmtId="164" fontId="0" fillId="0" borderId="43" xfId="0" applyNumberFormat="1" applyBorder="1"/>
    <xf numFmtId="164" fontId="0" fillId="0" borderId="30" xfId="0" applyNumberFormat="1" applyBorder="1"/>
    <xf numFmtId="164" fontId="0" fillId="0" borderId="5" xfId="0" applyNumberFormat="1" applyBorder="1"/>
    <xf numFmtId="164" fontId="0" fillId="0" borderId="9" xfId="0" applyNumberFormat="1" applyBorder="1"/>
    <xf numFmtId="164" fontId="0" fillId="0" borderId="36" xfId="0" applyNumberFormat="1" applyBorder="1"/>
    <xf numFmtId="0" fontId="13" fillId="0" borderId="43" xfId="0" applyFont="1" applyFill="1" applyBorder="1"/>
    <xf numFmtId="0" fontId="0" fillId="0" borderId="43" xfId="0" applyFill="1" applyBorder="1"/>
    <xf numFmtId="0" fontId="1" fillId="0" borderId="0" xfId="4" applyFont="1"/>
    <xf numFmtId="0" fontId="19" fillId="0" borderId="23" xfId="0" applyFont="1" applyBorder="1"/>
    <xf numFmtId="0" fontId="0" fillId="0" borderId="23" xfId="0" applyBorder="1" applyAlignment="1">
      <alignment horizontal="center"/>
    </xf>
  </cellXfs>
  <cellStyles count="5">
    <cellStyle name="Good" xfId="3" builtinId="26"/>
    <cellStyle name="Hyperlink" xfId="2" builtinId="8"/>
    <cellStyle name="Normal" xfId="0" builtinId="0"/>
    <cellStyle name="Normal 2" xfId="1"/>
    <cellStyle name="Normal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Average power consumption per message interval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'Ch. 4.5 &amp; 4.6 Energy'!$C$61</c:f>
              <c:strCache>
                <c:ptCount val="1"/>
                <c:pt idx="0">
                  <c:v>P1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'Ch. 4.5 &amp; 4.6 Energy'!$A$62:$B$73</c:f>
              <c:multiLvlStrCache>
                <c:ptCount val="12"/>
                <c:lvl>
                  <c:pt idx="0">
                    <c:v>3s</c:v>
                  </c:pt>
                  <c:pt idx="1">
                    <c:v>15s</c:v>
                  </c:pt>
                  <c:pt idx="2">
                    <c:v>60s</c:v>
                  </c:pt>
                  <c:pt idx="3">
                    <c:v>600s</c:v>
                  </c:pt>
                  <c:pt idx="4">
                    <c:v>3s</c:v>
                  </c:pt>
                  <c:pt idx="5">
                    <c:v>15s</c:v>
                  </c:pt>
                  <c:pt idx="6">
                    <c:v>60s</c:v>
                  </c:pt>
                  <c:pt idx="7">
                    <c:v>600s</c:v>
                  </c:pt>
                  <c:pt idx="8">
                    <c:v>3s</c:v>
                  </c:pt>
                  <c:pt idx="9">
                    <c:v>15s</c:v>
                  </c:pt>
                  <c:pt idx="10">
                    <c:v>60s</c:v>
                  </c:pt>
                  <c:pt idx="11">
                    <c:v>600s</c:v>
                  </c:pt>
                </c:lvl>
                <c:lvl>
                  <c:pt idx="0">
                    <c:v>NB-IoT</c:v>
                  </c:pt>
                  <c:pt idx="4">
                    <c:v>LoRaWAN</c:v>
                  </c:pt>
                  <c:pt idx="8">
                    <c:v>TS-UNB</c:v>
                  </c:pt>
                </c:lvl>
              </c:multiLvlStrCache>
            </c:multiLvlStrRef>
          </c:cat>
          <c:val>
            <c:numRef>
              <c:f>'Ch. 4.5 &amp; 4.6 Energy'!$C$62:$C$73</c:f>
              <c:numCache>
                <c:formatCode>0.000</c:formatCode>
                <c:ptCount val="12"/>
                <c:pt idx="0">
                  <c:v>43.04817933333333</c:v>
                </c:pt>
                <c:pt idx="1">
                  <c:v>15.208122909967846</c:v>
                </c:pt>
                <c:pt idx="2">
                  <c:v>6.1903953043083346</c:v>
                </c:pt>
                <c:pt idx="3">
                  <c:v>0.63437058043083339</c:v>
                </c:pt>
                <c:pt idx="4" formatCode="0.00">
                  <c:v>0</c:v>
                </c:pt>
                <c:pt idx="5">
                  <c:v>22.698790235660397</c:v>
                </c:pt>
                <c:pt idx="6">
                  <c:v>4.4727048424581701</c:v>
                </c:pt>
                <c:pt idx="7">
                  <c:v>0.435694862730935</c:v>
                </c:pt>
                <c:pt idx="8" formatCode="0.00">
                  <c:v>0</c:v>
                </c:pt>
                <c:pt idx="9" formatCode="0.00">
                  <c:v>0</c:v>
                </c:pt>
                <c:pt idx="10" formatCode="0.00">
                  <c:v>0</c:v>
                </c:pt>
                <c:pt idx="11">
                  <c:v>16.757297721814844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CA-4A27-8AA7-699ADC6028F9}"/>
            </c:ext>
          </c:extLst>
        </c:ser>
        <c:ser>
          <c:idx val="1"/>
          <c:order val="1"/>
          <c:tx>
            <c:strRef>
              <c:f>'Ch. 4.5 &amp; 4.6 Energy'!$D$61</c:f>
              <c:strCache>
                <c:ptCount val="1"/>
                <c:pt idx="0">
                  <c:v>P2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'Ch. 4.5 &amp; 4.6 Energy'!$A$62:$B$73</c:f>
              <c:multiLvlStrCache>
                <c:ptCount val="12"/>
                <c:lvl>
                  <c:pt idx="0">
                    <c:v>3s</c:v>
                  </c:pt>
                  <c:pt idx="1">
                    <c:v>15s</c:v>
                  </c:pt>
                  <c:pt idx="2">
                    <c:v>60s</c:v>
                  </c:pt>
                  <c:pt idx="3">
                    <c:v>600s</c:v>
                  </c:pt>
                  <c:pt idx="4">
                    <c:v>3s</c:v>
                  </c:pt>
                  <c:pt idx="5">
                    <c:v>15s</c:v>
                  </c:pt>
                  <c:pt idx="6">
                    <c:v>60s</c:v>
                  </c:pt>
                  <c:pt idx="7">
                    <c:v>600s</c:v>
                  </c:pt>
                  <c:pt idx="8">
                    <c:v>3s</c:v>
                  </c:pt>
                  <c:pt idx="9">
                    <c:v>15s</c:v>
                  </c:pt>
                  <c:pt idx="10">
                    <c:v>60s</c:v>
                  </c:pt>
                  <c:pt idx="11">
                    <c:v>600s</c:v>
                  </c:pt>
                </c:lvl>
                <c:lvl>
                  <c:pt idx="0">
                    <c:v>NB-IoT</c:v>
                  </c:pt>
                  <c:pt idx="4">
                    <c:v>LoRaWAN</c:v>
                  </c:pt>
                  <c:pt idx="8">
                    <c:v>TS-UNB</c:v>
                  </c:pt>
                </c:lvl>
              </c:multiLvlStrCache>
            </c:multiLvlStrRef>
          </c:cat>
          <c:val>
            <c:numRef>
              <c:f>'Ch. 4.5 &amp; 4.6 Energy'!$D$62:$D$73</c:f>
              <c:numCache>
                <c:formatCode>0.000</c:formatCode>
                <c:ptCount val="12"/>
                <c:pt idx="0">
                  <c:v>10.119470333333334</c:v>
                </c:pt>
                <c:pt idx="1">
                  <c:v>7.2671159163987138</c:v>
                </c:pt>
                <c:pt idx="2">
                  <c:v>4.5398336767333332</c:v>
                </c:pt>
                <c:pt idx="3">
                  <c:v>0.46931441767333332</c:v>
                </c:pt>
                <c:pt idx="4">
                  <c:v>25.995714197267578</c:v>
                </c:pt>
                <c:pt idx="5">
                  <c:v>5.214155876674889</c:v>
                </c:pt>
                <c:pt idx="6">
                  <c:v>1.3163798071032151</c:v>
                </c:pt>
                <c:pt idx="7">
                  <c:v>0.14697097972503381</c:v>
                </c:pt>
                <c:pt idx="8" formatCode="0.00">
                  <c:v>0</c:v>
                </c:pt>
                <c:pt idx="9" formatCode="0.00">
                  <c:v>0</c:v>
                </c:pt>
                <c:pt idx="10">
                  <c:v>21.305461645479109</c:v>
                </c:pt>
                <c:pt idx="11">
                  <c:v>2.3664847306442129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CA-4A27-8AA7-699ADC6028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8685720"/>
        <c:axId val="858685064"/>
      </c:barChart>
      <c:catAx>
        <c:axId val="858685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8685064"/>
        <c:crosses val="autoZero"/>
        <c:auto val="1"/>
        <c:lblAlgn val="ctr"/>
        <c:lblOffset val="100"/>
        <c:noMultiLvlLbl val="0"/>
      </c:catAx>
      <c:valAx>
        <c:axId val="858685064"/>
        <c:scaling>
          <c:orientation val="minMax"/>
          <c:max val="4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i="1"/>
                  <a:t>mW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8685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Average energy consumption per App-layer</a:t>
            </a:r>
            <a:r>
              <a:rPr lang="en-US" b="1" baseline="0"/>
              <a:t> byte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'Ch. 4.5 &amp; 4.6 Energy'!$C$76</c:f>
              <c:strCache>
                <c:ptCount val="1"/>
                <c:pt idx="0">
                  <c:v>P1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'Ch. 4.5 &amp; 4.6 Energy'!$A$78:$B$85</c:f>
              <c:multiLvlStrCache>
                <c:ptCount val="8"/>
                <c:lvl>
                  <c:pt idx="0">
                    <c:v>3s</c:v>
                  </c:pt>
                  <c:pt idx="1">
                    <c:v>15s</c:v>
                  </c:pt>
                  <c:pt idx="2">
                    <c:v>60s</c:v>
                  </c:pt>
                  <c:pt idx="3">
                    <c:v>600s</c:v>
                  </c:pt>
                  <c:pt idx="4">
                    <c:v>3s</c:v>
                  </c:pt>
                  <c:pt idx="5">
                    <c:v>15s</c:v>
                  </c:pt>
                  <c:pt idx="6">
                    <c:v>60s</c:v>
                  </c:pt>
                  <c:pt idx="7">
                    <c:v>600s</c:v>
                  </c:pt>
                </c:lvl>
                <c:lvl>
                  <c:pt idx="0">
                    <c:v>NB-IoT</c:v>
                  </c:pt>
                  <c:pt idx="4">
                    <c:v>LoRaWAN</c:v>
                  </c:pt>
                </c:lvl>
              </c:multiLvlStrCache>
            </c:multiLvlStrRef>
          </c:cat>
          <c:val>
            <c:numRef>
              <c:f>'Ch. 4.5 &amp; 4.6 Energy'!$C$78:$C$85</c:f>
              <c:numCache>
                <c:formatCode>0.000</c:formatCode>
                <c:ptCount val="8"/>
                <c:pt idx="0">
                  <c:v>0.129144538</c:v>
                </c:pt>
                <c:pt idx="1">
                  <c:v>0.189189049</c:v>
                </c:pt>
                <c:pt idx="2">
                  <c:v>0.37142371825850007</c:v>
                </c:pt>
                <c:pt idx="3">
                  <c:v>0.38062234825850005</c:v>
                </c:pt>
                <c:pt idx="4">
                  <c:v>0</c:v>
                </c:pt>
                <c:pt idx="5">
                  <c:v>0.24970939138250001</c:v>
                </c:pt>
                <c:pt idx="6">
                  <c:v>0.2504759438825</c:v>
                </c:pt>
                <c:pt idx="7">
                  <c:v>0.25967457388249998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55-4130-A3E3-97AF6ADF2DAD}"/>
            </c:ext>
          </c:extLst>
        </c:ser>
        <c:ser>
          <c:idx val="1"/>
          <c:order val="1"/>
          <c:tx>
            <c:strRef>
              <c:f>'Ch. 4.5 &amp; 4.6 Energy'!$D$76</c:f>
              <c:strCache>
                <c:ptCount val="1"/>
                <c:pt idx="0">
                  <c:v>P2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'Ch. 4.5 &amp; 4.6 Energy'!$A$78:$B$85</c:f>
              <c:multiLvlStrCache>
                <c:ptCount val="8"/>
                <c:lvl>
                  <c:pt idx="0">
                    <c:v>3s</c:v>
                  </c:pt>
                  <c:pt idx="1">
                    <c:v>15s</c:v>
                  </c:pt>
                  <c:pt idx="2">
                    <c:v>60s</c:v>
                  </c:pt>
                  <c:pt idx="3">
                    <c:v>600s</c:v>
                  </c:pt>
                  <c:pt idx="4">
                    <c:v>3s</c:v>
                  </c:pt>
                  <c:pt idx="5">
                    <c:v>15s</c:v>
                  </c:pt>
                  <c:pt idx="6">
                    <c:v>60s</c:v>
                  </c:pt>
                  <c:pt idx="7">
                    <c:v>600s</c:v>
                  </c:pt>
                </c:lvl>
                <c:lvl>
                  <c:pt idx="0">
                    <c:v>NB-IoT</c:v>
                  </c:pt>
                  <c:pt idx="4">
                    <c:v>LoRaWAN</c:v>
                  </c:pt>
                </c:lvl>
              </c:multiLvlStrCache>
            </c:multiLvlStrRef>
          </c:cat>
          <c:val>
            <c:numRef>
              <c:f>'Ch. 4.5 &amp; 4.6 Energy'!$D$78:$D$85</c:f>
              <c:numCache>
                <c:formatCode>0.000</c:formatCode>
                <c:ptCount val="8"/>
                <c:pt idx="0">
                  <c:v>0.29763148039215687</c:v>
                </c:pt>
                <c:pt idx="1">
                  <c:v>0.88630315686274508</c:v>
                </c:pt>
                <c:pt idx="2">
                  <c:v>2.6704903980784316</c:v>
                </c:pt>
                <c:pt idx="3">
                  <c:v>2.760673045137255</c:v>
                </c:pt>
                <c:pt idx="4">
                  <c:v>0.76483468927450982</c:v>
                </c:pt>
                <c:pt idx="5">
                  <c:v>0.7668387480980392</c:v>
                </c:pt>
                <c:pt idx="6">
                  <c:v>0.77435396868627449</c:v>
                </c:pt>
                <c:pt idx="7">
                  <c:v>0.8645366157450981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55-4130-A3E3-97AF6ADF2D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8685720"/>
        <c:axId val="858685064"/>
      </c:barChart>
      <c:catAx>
        <c:axId val="858685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8685064"/>
        <c:crosses val="autoZero"/>
        <c:auto val="1"/>
        <c:lblAlgn val="ctr"/>
        <c:lblOffset val="100"/>
        <c:noMultiLvlLbl val="0"/>
      </c:catAx>
      <c:valAx>
        <c:axId val="858685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i="1"/>
                  <a:t>mJ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8685720"/>
        <c:crosses val="autoZero"/>
        <c:crossBetween val="between"/>
        <c:minorUnit val="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'Ch. 4.5 &amp; 4.6 Energy'!$C$76</c:f>
              <c:strCache>
                <c:ptCount val="1"/>
                <c:pt idx="0">
                  <c:v>P1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'Ch. 4.5 &amp; 4.6 Energy'!$A$88:$B$89</c:f>
              <c:multiLvlStrCache>
                <c:ptCount val="2"/>
                <c:lvl>
                  <c:pt idx="0">
                    <c:v>60s</c:v>
                  </c:pt>
                  <c:pt idx="1">
                    <c:v>600s</c:v>
                  </c:pt>
                </c:lvl>
                <c:lvl>
                  <c:pt idx="0">
                    <c:v>TS-UNB</c:v>
                  </c:pt>
                </c:lvl>
              </c:multiLvlStrCache>
            </c:multiLvlStrRef>
          </c:cat>
          <c:val>
            <c:numRef>
              <c:f>'Ch. 4.5 &amp; 4.6 Energy'!$C$88:$C$89</c:f>
              <c:numCache>
                <c:formatCode>0.000</c:formatCode>
                <c:ptCount val="2"/>
                <c:pt idx="0">
                  <c:v>0</c:v>
                </c:pt>
                <c:pt idx="1">
                  <c:v>10.178583723802999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01-4C92-B07E-4A46CA6AED08}"/>
            </c:ext>
          </c:extLst>
        </c:ser>
        <c:ser>
          <c:idx val="1"/>
          <c:order val="1"/>
          <c:tx>
            <c:strRef>
              <c:f>'Ch. 4.5 &amp; 4.6 Energy'!$D$76</c:f>
              <c:strCache>
                <c:ptCount val="1"/>
                <c:pt idx="0">
                  <c:v>P2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'Ch. 4.5 &amp; 4.6 Energy'!$A$88:$B$89</c:f>
              <c:multiLvlStrCache>
                <c:ptCount val="2"/>
                <c:lvl>
                  <c:pt idx="0">
                    <c:v>60s</c:v>
                  </c:pt>
                  <c:pt idx="1">
                    <c:v>600s</c:v>
                  </c:pt>
                </c:lvl>
                <c:lvl>
                  <c:pt idx="0">
                    <c:v>TS-UNB</c:v>
                  </c:pt>
                </c:lvl>
              </c:multiLvlStrCache>
            </c:multiLvlStrRef>
          </c:cat>
          <c:val>
            <c:numRef>
              <c:f>'Ch. 4.5 &amp; 4.6 Energy'!$D$88:$D$89</c:f>
              <c:numCache>
                <c:formatCode>0.000</c:formatCode>
                <c:ptCount val="2"/>
                <c:pt idx="0">
                  <c:v>13.992466374205884</c:v>
                </c:pt>
                <c:pt idx="1">
                  <c:v>14.082649021264707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01-4C92-B07E-4A46CA6AED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8685720"/>
        <c:axId val="858685064"/>
      </c:barChart>
      <c:catAx>
        <c:axId val="858685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8685064"/>
        <c:crosses val="autoZero"/>
        <c:auto val="1"/>
        <c:lblAlgn val="ctr"/>
        <c:lblOffset val="100"/>
        <c:noMultiLvlLbl val="0"/>
      </c:catAx>
      <c:valAx>
        <c:axId val="858685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i="1"/>
                  <a:t>mJ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8685720"/>
        <c:crosses val="autoZero"/>
        <c:crossBetween val="between"/>
        <c:minorUnit val="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Distribution of module</a:t>
            </a:r>
            <a:r>
              <a:rPr lang="en-US" b="1" baseline="0"/>
              <a:t> energy consumption in battery life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'Ch. 4.5 &amp; 4.6 Energy'!$D$119</c:f>
              <c:strCache>
                <c:ptCount val="1"/>
                <c:pt idx="0">
                  <c:v>Weather station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'Ch. 4.5 &amp; 4.6 Energy'!$A$120:$C$137</c:f>
              <c:multiLvlStrCache>
                <c:ptCount val="18"/>
                <c:lvl>
                  <c:pt idx="0">
                    <c:v>3s</c:v>
                  </c:pt>
                  <c:pt idx="1">
                    <c:v>15s</c:v>
                  </c:pt>
                  <c:pt idx="2">
                    <c:v>60s</c:v>
                  </c:pt>
                  <c:pt idx="3">
                    <c:v>600s</c:v>
                  </c:pt>
                  <c:pt idx="4">
                    <c:v>3s</c:v>
                  </c:pt>
                  <c:pt idx="5">
                    <c:v>15s</c:v>
                  </c:pt>
                  <c:pt idx="6">
                    <c:v>60s</c:v>
                  </c:pt>
                  <c:pt idx="7">
                    <c:v>600s</c:v>
                  </c:pt>
                  <c:pt idx="8">
                    <c:v>15s</c:v>
                  </c:pt>
                  <c:pt idx="9">
                    <c:v>60s</c:v>
                  </c:pt>
                  <c:pt idx="10">
                    <c:v>600s</c:v>
                  </c:pt>
                  <c:pt idx="11">
                    <c:v>3s</c:v>
                  </c:pt>
                  <c:pt idx="12">
                    <c:v>15s</c:v>
                  </c:pt>
                  <c:pt idx="13">
                    <c:v>60s</c:v>
                  </c:pt>
                  <c:pt idx="14">
                    <c:v>600s</c:v>
                  </c:pt>
                  <c:pt idx="15">
                    <c:v>600s</c:v>
                  </c:pt>
                  <c:pt idx="16">
                    <c:v>60s</c:v>
                  </c:pt>
                  <c:pt idx="17">
                    <c:v>600s</c:v>
                  </c:pt>
                </c:lvl>
                <c:lvl>
                  <c:pt idx="0">
                    <c:v>P1</c:v>
                  </c:pt>
                  <c:pt idx="4">
                    <c:v>P2</c:v>
                  </c:pt>
                  <c:pt idx="8">
                    <c:v>P1</c:v>
                  </c:pt>
                  <c:pt idx="11">
                    <c:v>P2</c:v>
                  </c:pt>
                  <c:pt idx="15">
                    <c:v>P1</c:v>
                  </c:pt>
                  <c:pt idx="16">
                    <c:v>P2</c:v>
                  </c:pt>
                </c:lvl>
                <c:lvl>
                  <c:pt idx="0">
                    <c:v>NB-IoT</c:v>
                  </c:pt>
                  <c:pt idx="8">
                    <c:v>LoRaWAN</c:v>
                  </c:pt>
                  <c:pt idx="15">
                    <c:v>TS-UNB</c:v>
                  </c:pt>
                </c:lvl>
              </c:multiLvlStrCache>
            </c:multiLvlStrRef>
          </c:cat>
          <c:val>
            <c:numRef>
              <c:f>'Ch. 4.5 &amp; 4.6 Energy'!$D$120:$D$137</c:f>
              <c:numCache>
                <c:formatCode>0.00</c:formatCode>
                <c:ptCount val="18"/>
                <c:pt idx="0">
                  <c:v>3.0509762704512475</c:v>
                </c:pt>
                <c:pt idx="1">
                  <c:v>12.101368300583573</c:v>
                </c:pt>
                <c:pt idx="2">
                  <c:v>16.718409430557315</c:v>
                </c:pt>
                <c:pt idx="3">
                  <c:v>20.271152879522596</c:v>
                </c:pt>
                <c:pt idx="4">
                  <c:v>6.554249158495538</c:v>
                </c:pt>
                <c:pt idx="5">
                  <c:v>7.2500462547595861</c:v>
                </c:pt>
                <c:pt idx="6">
                  <c:v>7.9748214708754839</c:v>
                </c:pt>
                <c:pt idx="7">
                  <c:v>9.1826290207474663</c:v>
                </c:pt>
                <c:pt idx="8">
                  <c:v>9.0515647270769186</c:v>
                </c:pt>
                <c:pt idx="9">
                  <c:v>17.749193349943212</c:v>
                </c:pt>
                <c:pt idx="10">
                  <c:v>20.410723261077599</c:v>
                </c:pt>
                <c:pt idx="11">
                  <c:v>3.546395925795538</c:v>
                </c:pt>
                <c:pt idx="12">
                  <c:v>7.789787689799863</c:v>
                </c:pt>
                <c:pt idx="13">
                  <c:v>8.9175961401877419</c:v>
                </c:pt>
                <c:pt idx="14">
                  <c:v>9.2855182234004463</c:v>
                </c:pt>
                <c:pt idx="15">
                  <c:v>11.420439394453275</c:v>
                </c:pt>
                <c:pt idx="16">
                  <c:v>4.309436237328355</c:v>
                </c:pt>
                <c:pt idx="17">
                  <c:v>8.5993853067288288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0C-4ED3-8D22-4673454B1A3C}"/>
            </c:ext>
          </c:extLst>
        </c:ser>
        <c:ser>
          <c:idx val="1"/>
          <c:order val="1"/>
          <c:tx>
            <c:strRef>
              <c:f>'Ch. 4.5 &amp; 4.6 Energy'!$E$119</c:f>
              <c:strCache>
                <c:ptCount val="1"/>
                <c:pt idx="0">
                  <c:v>Module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layout/>
              <c:tx>
                <c:rich>
                  <a:bodyPr/>
                  <a:lstStyle/>
                  <a:p>
                    <a:fld id="{5E3DA08F-DB39-4E07-9668-051AEE43A79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7E0C-4ED3-8D22-4673454B1A3C}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fld id="{862504AD-BE24-4249-BF6B-2E5899F0A58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7E0C-4ED3-8D22-4673454B1A3C}"/>
                </c:ext>
              </c:extLst>
            </c:dLbl>
            <c:dLbl>
              <c:idx val="2"/>
              <c:layout/>
              <c:tx>
                <c:rich>
                  <a:bodyPr/>
                  <a:lstStyle/>
                  <a:p>
                    <a:fld id="{F3DC7348-A4D9-44D3-8F43-B8AEB83F1EE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7E0C-4ED3-8D22-4673454B1A3C}"/>
                </c:ext>
              </c:extLst>
            </c:dLbl>
            <c:dLbl>
              <c:idx val="3"/>
              <c:layout/>
              <c:tx>
                <c:rich>
                  <a:bodyPr/>
                  <a:lstStyle/>
                  <a:p>
                    <a:fld id="{51427FE9-3718-4B21-A6DA-C9DF8985313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7E0C-4ED3-8D22-4673454B1A3C}"/>
                </c:ext>
              </c:extLst>
            </c:dLbl>
            <c:dLbl>
              <c:idx val="4"/>
              <c:layout/>
              <c:tx>
                <c:rich>
                  <a:bodyPr/>
                  <a:lstStyle/>
                  <a:p>
                    <a:fld id="{23243D3C-5EA7-48E1-8746-91EC116FB28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7E0C-4ED3-8D22-4673454B1A3C}"/>
                </c:ext>
              </c:extLst>
            </c:dLbl>
            <c:dLbl>
              <c:idx val="5"/>
              <c:layout/>
              <c:tx>
                <c:rich>
                  <a:bodyPr/>
                  <a:lstStyle/>
                  <a:p>
                    <a:fld id="{DA6D8166-E7AA-437B-B322-4410B5197E2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7E0C-4ED3-8D22-4673454B1A3C}"/>
                </c:ext>
              </c:extLst>
            </c:dLbl>
            <c:dLbl>
              <c:idx val="6"/>
              <c:layout/>
              <c:tx>
                <c:rich>
                  <a:bodyPr/>
                  <a:lstStyle/>
                  <a:p>
                    <a:fld id="{58B5EC8A-60CD-4EC3-B0DD-27646059BAE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7E0C-4ED3-8D22-4673454B1A3C}"/>
                </c:ext>
              </c:extLst>
            </c:dLbl>
            <c:dLbl>
              <c:idx val="7"/>
              <c:layout/>
              <c:tx>
                <c:rich>
                  <a:bodyPr/>
                  <a:lstStyle/>
                  <a:p>
                    <a:fld id="{23308B42-98E5-41D5-9EA3-B7055B9ED5D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7E0C-4ED3-8D22-4673454B1A3C}"/>
                </c:ext>
              </c:extLst>
            </c:dLbl>
            <c:dLbl>
              <c:idx val="8"/>
              <c:layout/>
              <c:tx>
                <c:rich>
                  <a:bodyPr/>
                  <a:lstStyle/>
                  <a:p>
                    <a:fld id="{3993A788-8CAF-4A0F-8E12-0CE3E166236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7E0C-4ED3-8D22-4673454B1A3C}"/>
                </c:ext>
              </c:extLst>
            </c:dLbl>
            <c:dLbl>
              <c:idx val="9"/>
              <c:layout/>
              <c:tx>
                <c:rich>
                  <a:bodyPr/>
                  <a:lstStyle/>
                  <a:p>
                    <a:fld id="{42B3F503-E889-4609-8AA7-5482158887F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7E0C-4ED3-8D22-4673454B1A3C}"/>
                </c:ext>
              </c:extLst>
            </c:dLbl>
            <c:dLbl>
              <c:idx val="10"/>
              <c:layout/>
              <c:tx>
                <c:rich>
                  <a:bodyPr/>
                  <a:lstStyle/>
                  <a:p>
                    <a:fld id="{112839E8-434E-422B-A06D-EC9B49B32E8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7E0C-4ED3-8D22-4673454B1A3C}"/>
                </c:ext>
              </c:extLst>
            </c:dLbl>
            <c:dLbl>
              <c:idx val="11"/>
              <c:layout/>
              <c:tx>
                <c:rich>
                  <a:bodyPr/>
                  <a:lstStyle/>
                  <a:p>
                    <a:fld id="{95F31486-0224-4EBE-9805-24667A1E394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7E0C-4ED3-8D22-4673454B1A3C}"/>
                </c:ext>
              </c:extLst>
            </c:dLbl>
            <c:dLbl>
              <c:idx val="12"/>
              <c:layout/>
              <c:tx>
                <c:rich>
                  <a:bodyPr/>
                  <a:lstStyle/>
                  <a:p>
                    <a:fld id="{AD2B1C9B-A38C-4F50-9E07-03FAF22B42F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7E0C-4ED3-8D22-4673454B1A3C}"/>
                </c:ext>
              </c:extLst>
            </c:dLbl>
            <c:dLbl>
              <c:idx val="13"/>
              <c:layout/>
              <c:tx>
                <c:rich>
                  <a:bodyPr/>
                  <a:lstStyle/>
                  <a:p>
                    <a:fld id="{80212950-695D-4F83-B9C5-9D47CA5A4DE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7E0C-4ED3-8D22-4673454B1A3C}"/>
                </c:ext>
              </c:extLst>
            </c:dLbl>
            <c:dLbl>
              <c:idx val="14"/>
              <c:layout/>
              <c:tx>
                <c:rich>
                  <a:bodyPr/>
                  <a:lstStyle/>
                  <a:p>
                    <a:fld id="{467C4E87-D73B-45A1-ADFA-69E78F90D11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7E0C-4ED3-8D22-4673454B1A3C}"/>
                </c:ext>
              </c:extLst>
            </c:dLbl>
            <c:dLbl>
              <c:idx val="15"/>
              <c:layout/>
              <c:tx>
                <c:rich>
                  <a:bodyPr/>
                  <a:lstStyle/>
                  <a:p>
                    <a:fld id="{64083F8A-315F-420E-8917-2F5BF412A07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7E0C-4ED3-8D22-4673454B1A3C}"/>
                </c:ext>
              </c:extLst>
            </c:dLbl>
            <c:dLbl>
              <c:idx val="16"/>
              <c:layout/>
              <c:tx>
                <c:rich>
                  <a:bodyPr/>
                  <a:lstStyle/>
                  <a:p>
                    <a:fld id="{F77C7F6E-BE7D-43AF-B8F8-4621C02E6A7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7E0C-4ED3-8D22-4673454B1A3C}"/>
                </c:ext>
              </c:extLst>
            </c:dLbl>
            <c:dLbl>
              <c:idx val="17"/>
              <c:layout/>
              <c:tx>
                <c:rich>
                  <a:bodyPr/>
                  <a:lstStyle/>
                  <a:p>
                    <a:fld id="{E64646F6-4582-4579-AADE-E8171967EA3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7E0C-4ED3-8D22-4673454B1A3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180000" tIns="19050" rIns="38100" bIns="19050" anchor="b" anchorCtr="0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layout/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'Ch. 4.5 &amp; 4.6 Energy'!$A$120:$C$137</c:f>
              <c:multiLvlStrCache>
                <c:ptCount val="18"/>
                <c:lvl>
                  <c:pt idx="0">
                    <c:v>3s</c:v>
                  </c:pt>
                  <c:pt idx="1">
                    <c:v>15s</c:v>
                  </c:pt>
                  <c:pt idx="2">
                    <c:v>60s</c:v>
                  </c:pt>
                  <c:pt idx="3">
                    <c:v>600s</c:v>
                  </c:pt>
                  <c:pt idx="4">
                    <c:v>3s</c:v>
                  </c:pt>
                  <c:pt idx="5">
                    <c:v>15s</c:v>
                  </c:pt>
                  <c:pt idx="6">
                    <c:v>60s</c:v>
                  </c:pt>
                  <c:pt idx="7">
                    <c:v>600s</c:v>
                  </c:pt>
                  <c:pt idx="8">
                    <c:v>15s</c:v>
                  </c:pt>
                  <c:pt idx="9">
                    <c:v>60s</c:v>
                  </c:pt>
                  <c:pt idx="10">
                    <c:v>600s</c:v>
                  </c:pt>
                  <c:pt idx="11">
                    <c:v>3s</c:v>
                  </c:pt>
                  <c:pt idx="12">
                    <c:v>15s</c:v>
                  </c:pt>
                  <c:pt idx="13">
                    <c:v>60s</c:v>
                  </c:pt>
                  <c:pt idx="14">
                    <c:v>600s</c:v>
                  </c:pt>
                  <c:pt idx="15">
                    <c:v>600s</c:v>
                  </c:pt>
                  <c:pt idx="16">
                    <c:v>60s</c:v>
                  </c:pt>
                  <c:pt idx="17">
                    <c:v>600s</c:v>
                  </c:pt>
                </c:lvl>
                <c:lvl>
                  <c:pt idx="0">
                    <c:v>P1</c:v>
                  </c:pt>
                  <c:pt idx="4">
                    <c:v>P2</c:v>
                  </c:pt>
                  <c:pt idx="8">
                    <c:v>P1</c:v>
                  </c:pt>
                  <c:pt idx="11">
                    <c:v>P2</c:v>
                  </c:pt>
                  <c:pt idx="15">
                    <c:v>P1</c:v>
                  </c:pt>
                  <c:pt idx="16">
                    <c:v>P2</c:v>
                  </c:pt>
                </c:lvl>
                <c:lvl>
                  <c:pt idx="0">
                    <c:v>NB-IoT</c:v>
                  </c:pt>
                  <c:pt idx="8">
                    <c:v>LoRaWAN</c:v>
                  </c:pt>
                  <c:pt idx="15">
                    <c:v>TS-UNB</c:v>
                  </c:pt>
                </c:lvl>
              </c:multiLvlStrCache>
            </c:multiLvlStrRef>
          </c:cat>
          <c:val>
            <c:numRef>
              <c:f>'Ch. 4.5 &amp; 4.6 Energy'!$E$120:$E$137</c:f>
              <c:numCache>
                <c:formatCode>0.00</c:formatCode>
                <c:ptCount val="18"/>
                <c:pt idx="0">
                  <c:v>8.8345883874217872</c:v>
                </c:pt>
                <c:pt idx="1">
                  <c:v>4.3093923723556244</c:v>
                </c:pt>
                <c:pt idx="2">
                  <c:v>2.0008718073687533</c:v>
                </c:pt>
                <c:pt idx="3">
                  <c:v>0.2245000828861142</c:v>
                </c:pt>
                <c:pt idx="4">
                  <c:v>1.3892807119018282</c:v>
                </c:pt>
                <c:pt idx="5">
                  <c:v>1.0413821637698046</c:v>
                </c:pt>
                <c:pt idx="6">
                  <c:v>0.67899455571185519</c:v>
                </c:pt>
                <c:pt idx="7">
                  <c:v>7.5090780775864133E-2</c:v>
                </c:pt>
                <c:pt idx="8">
                  <c:v>5.8342941591089525</c:v>
                </c:pt>
                <c:pt idx="9">
                  <c:v>1.4854798476758049</c:v>
                </c:pt>
                <c:pt idx="10">
                  <c:v>0.15471489210861242</c:v>
                </c:pt>
                <c:pt idx="11">
                  <c:v>2.8932073282518282</c:v>
                </c:pt>
                <c:pt idx="12">
                  <c:v>0.77151144624966628</c:v>
                </c:pt>
                <c:pt idx="13">
                  <c:v>0.20760722105572663</c:v>
                </c:pt>
                <c:pt idx="14">
                  <c:v>2.3646179449374454E-2</c:v>
                </c:pt>
                <c:pt idx="15">
                  <c:v>4.6498568254207724</c:v>
                </c:pt>
                <c:pt idx="16">
                  <c:v>2.5116871724854199</c:v>
                </c:pt>
                <c:pt idx="17">
                  <c:v>0.3667126377851832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'Ch. 4.5 &amp; 4.6 Energy'!$F$120:$F$137</c15:f>
                <c15:dlblRangeCache>
                  <c:ptCount val="18"/>
                  <c:pt idx="0">
                    <c:v>11.9</c:v>
                  </c:pt>
                  <c:pt idx="1">
                    <c:v>16.4</c:v>
                  </c:pt>
                  <c:pt idx="2">
                    <c:v>18.7</c:v>
                  </c:pt>
                  <c:pt idx="3">
                    <c:v>20.5</c:v>
                  </c:pt>
                  <c:pt idx="4">
                    <c:v>7.9</c:v>
                  </c:pt>
                  <c:pt idx="5">
                    <c:v>8.3</c:v>
                  </c:pt>
                  <c:pt idx="6">
                    <c:v>8.7</c:v>
                  </c:pt>
                  <c:pt idx="7">
                    <c:v>9.3</c:v>
                  </c:pt>
                  <c:pt idx="8">
                    <c:v>14.9</c:v>
                  </c:pt>
                  <c:pt idx="9">
                    <c:v>19.2</c:v>
                  </c:pt>
                  <c:pt idx="10">
                    <c:v>20.6</c:v>
                  </c:pt>
                  <c:pt idx="11">
                    <c:v>6.4</c:v>
                  </c:pt>
                  <c:pt idx="12">
                    <c:v>8.6</c:v>
                  </c:pt>
                  <c:pt idx="13">
                    <c:v>9.1</c:v>
                  </c:pt>
                  <c:pt idx="14">
                    <c:v>9.3</c:v>
                  </c:pt>
                  <c:pt idx="15">
                    <c:v>16.1</c:v>
                  </c:pt>
                  <c:pt idx="16">
                    <c:v>6.8</c:v>
                  </c:pt>
                  <c:pt idx="17">
                    <c:v>9.0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7E0C-4ED3-8D22-4673454B1A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1083833016"/>
        <c:axId val="1083838592"/>
      </c:barChart>
      <c:catAx>
        <c:axId val="1083833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3838592"/>
        <c:crosses val="autoZero"/>
        <c:auto val="1"/>
        <c:lblAlgn val="ctr"/>
        <c:lblOffset val="100"/>
        <c:noMultiLvlLbl val="0"/>
      </c:catAx>
      <c:valAx>
        <c:axId val="1083838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3833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2"/>
          <c:tx>
            <c:strRef>
              <c:f>'Ch. 4.7 Costs'!$F$55</c:f>
              <c:strCache>
                <c:ptCount val="1"/>
                <c:pt idx="0">
                  <c:v>LCC pur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'Ch. 4.7 Costs'!$A$56:$E$67</c15:sqref>
                  </c15:fullRef>
                </c:ext>
              </c:extLst>
              <c:f>'Ch. 4.7 Costs'!$A$56:$E$63</c:f>
              <c:multiLvlStrCache>
                <c:ptCount val="8"/>
                <c:lvl>
                  <c:pt idx="0">
                    <c:v>3s</c:v>
                  </c:pt>
                  <c:pt idx="1">
                    <c:v>15s</c:v>
                  </c:pt>
                  <c:pt idx="2">
                    <c:v>60s</c:v>
                  </c:pt>
                  <c:pt idx="3">
                    <c:v>600s</c:v>
                  </c:pt>
                  <c:pt idx="4">
                    <c:v>3s</c:v>
                  </c:pt>
                  <c:pt idx="5">
                    <c:v>15s</c:v>
                  </c:pt>
                  <c:pt idx="6">
                    <c:v>60s</c:v>
                  </c:pt>
                  <c:pt idx="7">
                    <c:v>600s</c:v>
                  </c:pt>
                </c:lvl>
                <c:lvl>
                  <c:pt idx="0">
                    <c:v>NB-IoT</c:v>
                  </c:pt>
                  <c:pt idx="4">
                    <c:v>NB-IoT</c:v>
                  </c:pt>
                </c:lvl>
                <c:lvl>
                  <c:pt idx="0">
                    <c:v>S1-P1</c:v>
                  </c:pt>
                  <c:pt idx="4">
                    <c:v>S1-P2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'Ch. 4.7 Costs'!$F$56:$F$67</c15:sqref>
                  </c15:fullRef>
                </c:ext>
              </c:extLst>
              <c:f>'Ch. 4.7 Costs'!$F$56:$F$63</c:f>
              <c:numCache>
                <c:formatCode>#,##0\ "€"</c:formatCode>
                <c:ptCount val="8"/>
                <c:pt idx="0">
                  <c:v>1400</c:v>
                </c:pt>
                <c:pt idx="1">
                  <c:v>1400</c:v>
                </c:pt>
                <c:pt idx="2">
                  <c:v>1400</c:v>
                </c:pt>
                <c:pt idx="3">
                  <c:v>1400</c:v>
                </c:pt>
                <c:pt idx="4">
                  <c:v>1400</c:v>
                </c:pt>
                <c:pt idx="5">
                  <c:v>1400</c:v>
                </c:pt>
                <c:pt idx="6">
                  <c:v>1400</c:v>
                </c:pt>
                <c:pt idx="7">
                  <c:v>1400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41-4478-9BB0-0D3C370C7411}"/>
            </c:ext>
          </c:extLst>
        </c:ser>
        <c:ser>
          <c:idx val="4"/>
          <c:order val="3"/>
          <c:tx>
            <c:strRef>
              <c:f>'Ch. 4.7 Costs'!$I$55</c:f>
              <c:strCache>
                <c:ptCount val="1"/>
                <c:pt idx="0">
                  <c:v>LCC maint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'Ch. 4.7 Costs'!$A$56:$E$67</c15:sqref>
                  </c15:fullRef>
                </c:ext>
              </c:extLst>
              <c:f>'Ch. 4.7 Costs'!$A$56:$E$63</c:f>
              <c:multiLvlStrCache>
                <c:ptCount val="8"/>
                <c:lvl>
                  <c:pt idx="0">
                    <c:v>3s</c:v>
                  </c:pt>
                  <c:pt idx="1">
                    <c:v>15s</c:v>
                  </c:pt>
                  <c:pt idx="2">
                    <c:v>60s</c:v>
                  </c:pt>
                  <c:pt idx="3">
                    <c:v>600s</c:v>
                  </c:pt>
                  <c:pt idx="4">
                    <c:v>3s</c:v>
                  </c:pt>
                  <c:pt idx="5">
                    <c:v>15s</c:v>
                  </c:pt>
                  <c:pt idx="6">
                    <c:v>60s</c:v>
                  </c:pt>
                  <c:pt idx="7">
                    <c:v>600s</c:v>
                  </c:pt>
                </c:lvl>
                <c:lvl>
                  <c:pt idx="0">
                    <c:v>NB-IoT</c:v>
                  </c:pt>
                  <c:pt idx="4">
                    <c:v>NB-IoT</c:v>
                  </c:pt>
                </c:lvl>
                <c:lvl>
                  <c:pt idx="0">
                    <c:v>S1-P1</c:v>
                  </c:pt>
                  <c:pt idx="4">
                    <c:v>S1-P2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'Ch. 4.7 Costs'!$I$56:$I$67</c15:sqref>
                  </c15:fullRef>
                </c:ext>
              </c:extLst>
              <c:f>'Ch. 4.7 Costs'!$I$56:$I$63</c:f>
              <c:numCache>
                <c:formatCode>#,##0\ "€"</c:formatCode>
                <c:ptCount val="8"/>
                <c:pt idx="0">
                  <c:v>7446.0000000000009</c:v>
                </c:pt>
                <c:pt idx="1">
                  <c:v>7446.0000000000009</c:v>
                </c:pt>
                <c:pt idx="2">
                  <c:v>7446.0000000000009</c:v>
                </c:pt>
                <c:pt idx="3">
                  <c:v>7446.0000000000009</c:v>
                </c:pt>
                <c:pt idx="4">
                  <c:v>7446.0000000000009</c:v>
                </c:pt>
                <c:pt idx="5">
                  <c:v>7446.0000000000009</c:v>
                </c:pt>
                <c:pt idx="6">
                  <c:v>7446.0000000000009</c:v>
                </c:pt>
                <c:pt idx="7">
                  <c:v>7446.0000000000009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041-4478-9BB0-0D3C370C7411}"/>
            </c:ext>
          </c:extLst>
        </c:ser>
        <c:ser>
          <c:idx val="3"/>
          <c:order val="4"/>
          <c:tx>
            <c:strRef>
              <c:f>'Ch. 4.7 Costs'!$H$55</c:f>
              <c:strCache>
                <c:ptCount val="1"/>
                <c:pt idx="0">
                  <c:v>LCC oper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Lbl>
              <c:idx val="3"/>
              <c:layout>
                <c:manualLayout>
                  <c:x val="0"/>
                  <c:y val="-3.6246719160105037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11-1041-4478-9BB0-0D3C370C7411}"/>
                </c:ext>
              </c:extLst>
            </c:dLbl>
            <c:dLbl>
              <c:idx val="7"/>
              <c:layout>
                <c:manualLayout>
                  <c:x val="0"/>
                  <c:y val="-3.6391520975132395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10-1041-4478-9BB0-0D3C370C7411}"/>
                </c:ext>
              </c:extLst>
            </c:dLbl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'Ch. 4.7 Costs'!$A$56:$E$67</c15:sqref>
                  </c15:fullRef>
                </c:ext>
              </c:extLst>
              <c:f>'Ch. 4.7 Costs'!$A$56:$E$63</c:f>
              <c:multiLvlStrCache>
                <c:ptCount val="8"/>
                <c:lvl>
                  <c:pt idx="0">
                    <c:v>3s</c:v>
                  </c:pt>
                  <c:pt idx="1">
                    <c:v>15s</c:v>
                  </c:pt>
                  <c:pt idx="2">
                    <c:v>60s</c:v>
                  </c:pt>
                  <c:pt idx="3">
                    <c:v>600s</c:v>
                  </c:pt>
                  <c:pt idx="4">
                    <c:v>3s</c:v>
                  </c:pt>
                  <c:pt idx="5">
                    <c:v>15s</c:v>
                  </c:pt>
                  <c:pt idx="6">
                    <c:v>60s</c:v>
                  </c:pt>
                  <c:pt idx="7">
                    <c:v>600s</c:v>
                  </c:pt>
                </c:lvl>
                <c:lvl>
                  <c:pt idx="0">
                    <c:v>NB-IoT</c:v>
                  </c:pt>
                  <c:pt idx="4">
                    <c:v>NB-IoT</c:v>
                  </c:pt>
                </c:lvl>
                <c:lvl>
                  <c:pt idx="0">
                    <c:v>S1-P1</c:v>
                  </c:pt>
                  <c:pt idx="4">
                    <c:v>S1-P2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'Ch. 4.7 Costs'!$H$56:$H$67</c15:sqref>
                  </c15:fullRef>
                </c:ext>
              </c:extLst>
              <c:f>'Ch. 4.7 Costs'!$H$56:$H$63</c:f>
              <c:numCache>
                <c:formatCode>#,##0\ "€"</c:formatCode>
                <c:ptCount val="8"/>
                <c:pt idx="0">
                  <c:v>169497.91093117406</c:v>
                </c:pt>
                <c:pt idx="1">
                  <c:v>33899.582186234817</c:v>
                </c:pt>
                <c:pt idx="2">
                  <c:v>8474.8955465587042</c:v>
                </c:pt>
                <c:pt idx="3">
                  <c:v>847.48955465587051</c:v>
                </c:pt>
                <c:pt idx="4">
                  <c:v>26956.799999999999</c:v>
                </c:pt>
                <c:pt idx="5">
                  <c:v>5391.36</c:v>
                </c:pt>
                <c:pt idx="6">
                  <c:v>1347.84</c:v>
                </c:pt>
                <c:pt idx="7">
                  <c:v>134.78399999999999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041-4478-9BB0-0D3C370C741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0"/>
        <c:overlap val="100"/>
        <c:axId val="840646064"/>
        <c:axId val="840643440"/>
        <c:extLst>
          <c:ext xmlns:c15="http://schemas.microsoft.com/office/drawing/2012/chart" uri="{02D57815-91ED-43cb-92C2-25804820EDAC}">
            <c15:filteredBarSeries>
              <c15:ser>
                <c:idx val="5"/>
                <c:order val="0"/>
                <c:tx>
                  <c:strRef>
                    <c:extLst>
                      <c:ext uri="{02D57815-91ED-43cb-92C2-25804820EDAC}">
                        <c15:formulaRef>
                          <c15:sqref>'Ch. 4.7 Costs'!$J$55</c15:sqref>
                        </c15:formulaRef>
                      </c:ext>
                    </c:extLst>
                    <c:strCache>
                      <c:ptCount val="1"/>
                      <c:pt idx="0">
                        <c:v>LCC decom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20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uri="{02D57815-91ED-43cb-92C2-25804820EDAC}">
                        <c15:fullRef>
                          <c15:sqref>'Ch. 4.7 Costs'!$A$56:$E$67</c15:sqref>
                        </c15:fullRef>
                        <c15:formulaRef>
                          <c15:sqref>'Ch. 4.7 Costs'!$A$56:$E$63</c15:sqref>
                        </c15:formulaRef>
                      </c:ext>
                    </c:extLst>
                    <c:multiLvlStrCache>
                      <c:ptCount val="8"/>
                      <c:lvl>
                        <c:pt idx="0">
                          <c:v>3s</c:v>
                        </c:pt>
                        <c:pt idx="1">
                          <c:v>15s</c:v>
                        </c:pt>
                        <c:pt idx="2">
                          <c:v>60s</c:v>
                        </c:pt>
                        <c:pt idx="3">
                          <c:v>600s</c:v>
                        </c:pt>
                        <c:pt idx="4">
                          <c:v>3s</c:v>
                        </c:pt>
                        <c:pt idx="5">
                          <c:v>15s</c:v>
                        </c:pt>
                        <c:pt idx="6">
                          <c:v>60s</c:v>
                        </c:pt>
                        <c:pt idx="7">
                          <c:v>600s</c:v>
                        </c:pt>
                      </c:lvl>
                      <c:lvl>
                        <c:pt idx="0">
                          <c:v>NB-IoT</c:v>
                        </c:pt>
                        <c:pt idx="4">
                          <c:v>NB-IoT</c:v>
                        </c:pt>
                      </c:lvl>
                      <c:lvl>
                        <c:pt idx="0">
                          <c:v>S1-P1</c:v>
                        </c:pt>
                        <c:pt idx="4">
                          <c:v>S1-P2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ullRef>
                          <c15:sqref>'Ch. 4.7 Costs'!$J$56:$J$67</c15:sqref>
                        </c15:fullRef>
                        <c15:formulaRef>
                          <c15:sqref>'Ch. 4.7 Costs'!$J$56:$J$63</c15:sqref>
                        </c15:formulaRef>
                      </c:ext>
                    </c:extLst>
                    <c:numCache>
                      <c:formatCode>#,##0\ "€"</c:formatCode>
                      <c:ptCount val="8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1041-4478-9BB0-0D3C370C7411}"/>
                  </c:ext>
                </c:extLst>
              </c15:ser>
            </c15:filteredBarSeries>
            <c15:filteredBarSeries>
              <c15:ser>
                <c:idx val="2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'Ch. 4.7 Costs'!$G$55</c15:sqref>
                        </c15:formulaRef>
                      </c:ext>
                    </c:extLst>
                    <c:strCache>
                      <c:ptCount val="1"/>
                      <c:pt idx="0">
                        <c:v>LCC depl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20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xmlns:c15="http://schemas.microsoft.com/office/drawing/2012/chart" uri="{02D57815-91ED-43cb-92C2-25804820EDAC}">
                        <c15:fullRef>
                          <c15:sqref>'Ch. 4.7 Costs'!$A$56:$E$67</c15:sqref>
                        </c15:fullRef>
                        <c15:formulaRef>
                          <c15:sqref>'Ch. 4.7 Costs'!$A$56:$E$63</c15:sqref>
                        </c15:formulaRef>
                      </c:ext>
                    </c:extLst>
                    <c:multiLvlStrCache>
                      <c:ptCount val="8"/>
                      <c:lvl>
                        <c:pt idx="0">
                          <c:v>3s</c:v>
                        </c:pt>
                        <c:pt idx="1">
                          <c:v>15s</c:v>
                        </c:pt>
                        <c:pt idx="2">
                          <c:v>60s</c:v>
                        </c:pt>
                        <c:pt idx="3">
                          <c:v>600s</c:v>
                        </c:pt>
                        <c:pt idx="4">
                          <c:v>3s</c:v>
                        </c:pt>
                        <c:pt idx="5">
                          <c:v>15s</c:v>
                        </c:pt>
                        <c:pt idx="6">
                          <c:v>60s</c:v>
                        </c:pt>
                        <c:pt idx="7">
                          <c:v>600s</c:v>
                        </c:pt>
                      </c:lvl>
                      <c:lvl>
                        <c:pt idx="0">
                          <c:v>NB-IoT</c:v>
                        </c:pt>
                        <c:pt idx="4">
                          <c:v>NB-IoT</c:v>
                        </c:pt>
                      </c:lvl>
                      <c:lvl>
                        <c:pt idx="0">
                          <c:v>S1-P1</c:v>
                        </c:pt>
                        <c:pt idx="4">
                          <c:v>S1-P2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'Ch. 4.7 Costs'!$G$56:$G$67</c15:sqref>
                        </c15:fullRef>
                        <c15:formulaRef>
                          <c15:sqref>'Ch. 4.7 Costs'!$G$56:$G$63</c15:sqref>
                        </c15:formulaRef>
                      </c:ext>
                    </c:extLst>
                    <c:numCache>
                      <c:formatCode>#,##0\ "€"</c:formatCode>
                      <c:ptCount val="8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041-4478-9BB0-0D3C370C7411}"/>
                  </c:ext>
                </c:extLst>
              </c15:ser>
            </c15:filteredBarSeries>
          </c:ext>
        </c:extLst>
      </c:barChart>
      <c:catAx>
        <c:axId val="840646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643440"/>
        <c:crosses val="autoZero"/>
        <c:auto val="1"/>
        <c:lblAlgn val="ctr"/>
        <c:lblOffset val="100"/>
        <c:noMultiLvlLbl val="0"/>
      </c:catAx>
      <c:valAx>
        <c:axId val="84064344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€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64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3"/>
          <c:order val="0"/>
          <c:tx>
            <c:strRef>
              <c:f>'Ch. 4.7 Costs'!$H$55</c:f>
              <c:strCache>
                <c:ptCount val="1"/>
                <c:pt idx="0">
                  <c:v>LCC oper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'Ch. 4.7 Costs'!$A$56:$E$67</c15:sqref>
                  </c15:fullRef>
                </c:ext>
              </c:extLst>
              <c:f>'Ch. 4.7 Costs'!$A$64:$E$67</c:f>
              <c:multiLvlStrCache>
                <c:ptCount val="4"/>
                <c:lvl/>
                <c:lvl>
                  <c:pt idx="0">
                    <c:v>LoRaWAN</c:v>
                  </c:pt>
                  <c:pt idx="1">
                    <c:v>TS-UNB</c:v>
                  </c:pt>
                  <c:pt idx="2">
                    <c:v>LoRaWAN</c:v>
                  </c:pt>
                  <c:pt idx="3">
                    <c:v>TS-UNB</c:v>
                  </c:pt>
                </c:lvl>
                <c:lvl>
                  <c:pt idx="0">
                    <c:v>S1-P1 &amp; S1-P2</c:v>
                  </c:pt>
                  <c:pt idx="2">
                    <c:v>S2-P1 &amp; S2-P2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'Ch. 4.7 Costs'!$H$56:$H$67</c15:sqref>
                  </c15:fullRef>
                </c:ext>
              </c:extLst>
              <c:f>'Ch. 4.7 Costs'!$H$64:$H$67</c:f>
              <c:numCache>
                <c:formatCode>#,##0\ "€"</c:formatCode>
                <c:ptCount val="4"/>
                <c:pt idx="0">
                  <c:v>45600</c:v>
                </c:pt>
                <c:pt idx="1">
                  <c:v>45600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5D4-475A-A748-924825AB2BDE}"/>
            </c:ext>
          </c:extLst>
        </c:ser>
        <c:ser>
          <c:idx val="4"/>
          <c:order val="1"/>
          <c:tx>
            <c:strRef>
              <c:f>'Ch. 4.7 Costs'!$I$55</c:f>
              <c:strCache>
                <c:ptCount val="1"/>
                <c:pt idx="0">
                  <c:v>LCC maint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'Ch. 4.7 Costs'!$A$56:$E$67</c15:sqref>
                  </c15:fullRef>
                </c:ext>
              </c:extLst>
              <c:f>'Ch. 4.7 Costs'!$A$64:$E$67</c:f>
              <c:multiLvlStrCache>
                <c:ptCount val="4"/>
                <c:lvl/>
                <c:lvl>
                  <c:pt idx="0">
                    <c:v>LoRaWAN</c:v>
                  </c:pt>
                  <c:pt idx="1">
                    <c:v>TS-UNB</c:v>
                  </c:pt>
                  <c:pt idx="2">
                    <c:v>LoRaWAN</c:v>
                  </c:pt>
                  <c:pt idx="3">
                    <c:v>TS-UNB</c:v>
                  </c:pt>
                </c:lvl>
                <c:lvl>
                  <c:pt idx="0">
                    <c:v>S1-P1 &amp; S1-P2</c:v>
                  </c:pt>
                  <c:pt idx="2">
                    <c:v>S2-P1 &amp; S2-P2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'Ch. 4.7 Costs'!$I$56:$I$67</c15:sqref>
                  </c15:fullRef>
                </c:ext>
              </c:extLst>
              <c:f>'Ch. 4.7 Costs'!$I$64:$I$67</c:f>
              <c:numCache>
                <c:formatCode>#,##0\ "€"</c:formatCode>
                <c:ptCount val="4"/>
                <c:pt idx="0">
                  <c:v>7948.4117647058829</c:v>
                </c:pt>
                <c:pt idx="1">
                  <c:v>7999.9411764705892</c:v>
                </c:pt>
                <c:pt idx="2">
                  <c:v>7948.4117647058829</c:v>
                </c:pt>
                <c:pt idx="3">
                  <c:v>7999.9411764705892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5D4-475A-A748-924825AB2BDE}"/>
            </c:ext>
          </c:extLst>
        </c:ser>
        <c:ser>
          <c:idx val="1"/>
          <c:order val="2"/>
          <c:tx>
            <c:strRef>
              <c:f>'Ch. 4.7 Costs'!$F$55</c:f>
              <c:strCache>
                <c:ptCount val="1"/>
                <c:pt idx="0">
                  <c:v>LCC pur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4.5141494395772223E-4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F5D4-475A-A748-924825AB2BDE}"/>
                </c:ext>
              </c:extLst>
            </c:dLbl>
            <c:dLbl>
              <c:idx val="1"/>
              <c:layout>
                <c:manualLayout>
                  <c:x val="0"/>
                  <c:y val="-6.1395216741821283E-4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F5D4-475A-A748-924825AB2BDE}"/>
                </c:ext>
              </c:extLst>
            </c:dLbl>
            <c:dLbl>
              <c:idx val="2"/>
              <c:layout>
                <c:manualLayout>
                  <c:x val="-1.4886593462137452E-3"/>
                  <c:y val="-1.7586736405692911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F5D4-475A-A748-924825AB2BDE}"/>
                </c:ext>
              </c:extLst>
            </c:dLbl>
            <c:dLbl>
              <c:idx val="3"/>
              <c:layout>
                <c:manualLayout>
                  <c:x val="-1.0916709094811642E-16"/>
                  <c:y val="-6.1395216741821283E-4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F5D4-475A-A748-924825AB2BDE}"/>
                </c:ext>
              </c:extLst>
            </c:dLbl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'Ch. 4.7 Costs'!$A$56:$E$67</c15:sqref>
                  </c15:fullRef>
                </c:ext>
              </c:extLst>
              <c:f>'Ch. 4.7 Costs'!$A$64:$E$67</c:f>
              <c:multiLvlStrCache>
                <c:ptCount val="4"/>
                <c:lvl/>
                <c:lvl>
                  <c:pt idx="0">
                    <c:v>LoRaWAN</c:v>
                  </c:pt>
                  <c:pt idx="1">
                    <c:v>TS-UNB</c:v>
                  </c:pt>
                  <c:pt idx="2">
                    <c:v>LoRaWAN</c:v>
                  </c:pt>
                  <c:pt idx="3">
                    <c:v>TS-UNB</c:v>
                  </c:pt>
                </c:lvl>
                <c:lvl>
                  <c:pt idx="0">
                    <c:v>S1-P1 &amp; S1-P2</c:v>
                  </c:pt>
                  <c:pt idx="2">
                    <c:v>S2-P1 &amp; S2-P2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'Ch. 4.7 Costs'!$F$56:$F$67</c15:sqref>
                  </c15:fullRef>
                </c:ext>
              </c:extLst>
              <c:f>'Ch. 4.7 Costs'!$F$64:$F$67</c:f>
              <c:numCache>
                <c:formatCode>#,##0\ "€"</c:formatCode>
                <c:ptCount val="4"/>
                <c:pt idx="0">
                  <c:v>3100</c:v>
                </c:pt>
                <c:pt idx="1">
                  <c:v>3300</c:v>
                </c:pt>
                <c:pt idx="2">
                  <c:v>3100</c:v>
                </c:pt>
                <c:pt idx="3">
                  <c:v>3300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D4-475A-A748-924825AB2BDE}"/>
            </c:ext>
          </c:extLst>
        </c:ser>
        <c:ser>
          <c:idx val="2"/>
          <c:order val="3"/>
          <c:tx>
            <c:strRef>
              <c:f>'Ch. 4.7 Costs'!$G$55</c:f>
              <c:strCache>
                <c:ptCount val="1"/>
                <c:pt idx="0">
                  <c:v>LCC depl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8.6693988680157832E-2"/>
                  <c:y val="-4.5086851260690217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F5D4-475A-A748-924825AB2BDE}"/>
                </c:ext>
              </c:extLst>
            </c:dLbl>
            <c:dLbl>
              <c:idx val="1"/>
              <c:layout>
                <c:manualLayout>
                  <c:x val="0.10572712585736076"/>
                  <c:y val="-4.0666674091636212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F5D4-475A-A748-924825AB2BDE}"/>
                </c:ext>
              </c:extLst>
            </c:dLbl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'Ch. 4.7 Costs'!$A$56:$E$67</c15:sqref>
                  </c15:fullRef>
                </c:ext>
              </c:extLst>
              <c:f>'Ch. 4.7 Costs'!$A$64:$E$67</c:f>
              <c:multiLvlStrCache>
                <c:ptCount val="4"/>
                <c:lvl/>
                <c:lvl>
                  <c:pt idx="0">
                    <c:v>LoRaWAN</c:v>
                  </c:pt>
                  <c:pt idx="1">
                    <c:v>TS-UNB</c:v>
                  </c:pt>
                  <c:pt idx="2">
                    <c:v>LoRaWAN</c:v>
                  </c:pt>
                  <c:pt idx="3">
                    <c:v>TS-UNB</c:v>
                  </c:pt>
                </c:lvl>
                <c:lvl>
                  <c:pt idx="0">
                    <c:v>S1-P1 &amp; S1-P2</c:v>
                  </c:pt>
                  <c:pt idx="2">
                    <c:v>S2-P1 &amp; S2-P2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'Ch. 4.7 Costs'!$G$56:$G$67</c15:sqref>
                  </c15:fullRef>
                </c:ext>
              </c:extLst>
              <c:f>'Ch. 4.7 Costs'!$G$64:$G$67</c:f>
              <c:numCache>
                <c:formatCode>#,##0\ "€"</c:formatCode>
                <c:ptCount val="4"/>
                <c:pt idx="0">
                  <c:v>550</c:v>
                </c:pt>
                <c:pt idx="1">
                  <c:v>550</c:v>
                </c:pt>
                <c:pt idx="2">
                  <c:v>550</c:v>
                </c:pt>
                <c:pt idx="3">
                  <c:v>550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D4-475A-A748-924825AB2BDE}"/>
            </c:ext>
          </c:extLst>
        </c:ser>
        <c:ser>
          <c:idx val="5"/>
          <c:order val="4"/>
          <c:tx>
            <c:strRef>
              <c:f>'Ch. 4.7 Costs'!$J$55</c:f>
              <c:strCache>
                <c:ptCount val="1"/>
                <c:pt idx="0">
                  <c:v>LCC decom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-3.8456585507109176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F5D4-475A-A748-924825AB2BDE}"/>
                </c:ext>
              </c:extLst>
            </c:dLbl>
            <c:dLbl>
              <c:idx val="1"/>
              <c:layout>
                <c:manualLayout>
                  <c:x val="0"/>
                  <c:y val="-3.5361417352432194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F5D4-475A-A748-924825AB2BDE}"/>
                </c:ext>
              </c:extLst>
            </c:dLbl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'Ch. 4.7 Costs'!$A$56:$E$67</c15:sqref>
                  </c15:fullRef>
                </c:ext>
              </c:extLst>
              <c:f>'Ch. 4.7 Costs'!$A$64:$E$67</c:f>
              <c:multiLvlStrCache>
                <c:ptCount val="4"/>
                <c:lvl/>
                <c:lvl>
                  <c:pt idx="0">
                    <c:v>LoRaWAN</c:v>
                  </c:pt>
                  <c:pt idx="1">
                    <c:v>TS-UNB</c:v>
                  </c:pt>
                  <c:pt idx="2">
                    <c:v>LoRaWAN</c:v>
                  </c:pt>
                  <c:pt idx="3">
                    <c:v>TS-UNB</c:v>
                  </c:pt>
                </c:lvl>
                <c:lvl>
                  <c:pt idx="0">
                    <c:v>S1-P1 &amp; S1-P2</c:v>
                  </c:pt>
                  <c:pt idx="2">
                    <c:v>S2-P1 &amp; S2-P2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'Ch. 4.7 Costs'!$J$56:$J$67</c15:sqref>
                  </c15:fullRef>
                </c:ext>
              </c:extLst>
              <c:f>'Ch. 4.7 Costs'!$J$64:$J$67</c:f>
              <c:numCache>
                <c:formatCode>#,##0\ "€"</c:formatCode>
                <c:ptCount val="4"/>
                <c:pt idx="0">
                  <c:v>550</c:v>
                </c:pt>
                <c:pt idx="1">
                  <c:v>550</c:v>
                </c:pt>
                <c:pt idx="2">
                  <c:v>550</c:v>
                </c:pt>
                <c:pt idx="3">
                  <c:v>550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5D4-475A-A748-924825AB2BDE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840646064"/>
        <c:axId val="840643440"/>
      </c:barChart>
      <c:catAx>
        <c:axId val="840646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643440"/>
        <c:crosses val="autoZero"/>
        <c:auto val="1"/>
        <c:lblAlgn val="ctr"/>
        <c:lblOffset val="100"/>
        <c:noMultiLvlLbl val="0"/>
      </c:catAx>
      <c:valAx>
        <c:axId val="84064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€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64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3"/>
          <c:order val="0"/>
          <c:tx>
            <c:strRef>
              <c:f>'Ch. 4.7 Costs'!$H$55</c:f>
              <c:strCache>
                <c:ptCount val="1"/>
                <c:pt idx="0">
                  <c:v>LCC oper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'Ch. 4.7 Costs'!$A$56:$E$67</c15:sqref>
                  </c15:fullRef>
                </c:ext>
              </c:extLst>
              <c:f>'Ch. 4.7 Costs'!$A$64:$E$67</c:f>
              <c:multiLvlStrCache>
                <c:ptCount val="4"/>
                <c:lvl/>
                <c:lvl>
                  <c:pt idx="0">
                    <c:v>LoRaWAN</c:v>
                  </c:pt>
                  <c:pt idx="1">
                    <c:v>TS-UNB</c:v>
                  </c:pt>
                  <c:pt idx="2">
                    <c:v>LoRaWAN</c:v>
                  </c:pt>
                  <c:pt idx="3">
                    <c:v>TS-UNB</c:v>
                  </c:pt>
                </c:lvl>
                <c:lvl>
                  <c:pt idx="0">
                    <c:v>S1-P1 &amp; S1-P2</c:v>
                  </c:pt>
                  <c:pt idx="2">
                    <c:v>S2-P1 &amp; S2-P2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'Ch. 4.7 Costs'!$H$56:$H$67</c15:sqref>
                  </c15:fullRef>
                </c:ext>
              </c:extLst>
              <c:f>'Ch. 4.7 Costs'!$H$64:$H$67</c:f>
              <c:numCache>
                <c:formatCode>#,##0\ "€"</c:formatCode>
                <c:ptCount val="4"/>
                <c:pt idx="0">
                  <c:v>45600</c:v>
                </c:pt>
                <c:pt idx="1">
                  <c:v>45600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A5-4694-95D5-EBF6AE551E96}"/>
            </c:ext>
          </c:extLst>
        </c:ser>
        <c:ser>
          <c:idx val="4"/>
          <c:order val="1"/>
          <c:tx>
            <c:strRef>
              <c:f>'Ch. 4.7 Costs'!$I$55</c:f>
              <c:strCache>
                <c:ptCount val="1"/>
                <c:pt idx="0">
                  <c:v>LCC maint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'Ch. 4.7 Costs'!$A$56:$E$67</c15:sqref>
                  </c15:fullRef>
                </c:ext>
              </c:extLst>
              <c:f>'Ch. 4.7 Costs'!$A$64:$E$67</c:f>
              <c:multiLvlStrCache>
                <c:ptCount val="4"/>
                <c:lvl/>
                <c:lvl>
                  <c:pt idx="0">
                    <c:v>LoRaWAN</c:v>
                  </c:pt>
                  <c:pt idx="1">
                    <c:v>TS-UNB</c:v>
                  </c:pt>
                  <c:pt idx="2">
                    <c:v>LoRaWAN</c:v>
                  </c:pt>
                  <c:pt idx="3">
                    <c:v>TS-UNB</c:v>
                  </c:pt>
                </c:lvl>
                <c:lvl>
                  <c:pt idx="0">
                    <c:v>S1-P1 &amp; S1-P2</c:v>
                  </c:pt>
                  <c:pt idx="2">
                    <c:v>S2-P1 &amp; S2-P2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'Ch. 4.7 Costs'!$I$56:$I$67</c15:sqref>
                  </c15:fullRef>
                </c:ext>
              </c:extLst>
              <c:f>'Ch. 4.7 Costs'!$I$64:$I$67</c:f>
              <c:numCache>
                <c:formatCode>#,##0\ "€"</c:formatCode>
                <c:ptCount val="4"/>
                <c:pt idx="0">
                  <c:v>7948.4117647058829</c:v>
                </c:pt>
                <c:pt idx="1">
                  <c:v>7999.9411764705892</c:v>
                </c:pt>
                <c:pt idx="2">
                  <c:v>7948.4117647058829</c:v>
                </c:pt>
                <c:pt idx="3">
                  <c:v>7999.9411764705892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A5-4694-95D5-EBF6AE551E96}"/>
            </c:ext>
          </c:extLst>
        </c:ser>
        <c:ser>
          <c:idx val="1"/>
          <c:order val="2"/>
          <c:tx>
            <c:strRef>
              <c:f>'Ch. 4.7 Costs'!$F$55</c:f>
              <c:strCache>
                <c:ptCount val="1"/>
                <c:pt idx="0">
                  <c:v>LCC pur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'Ch. 4.7 Costs'!$A$56:$E$67</c15:sqref>
                  </c15:fullRef>
                </c:ext>
              </c:extLst>
              <c:f>'Ch. 4.7 Costs'!$A$64:$E$67</c:f>
              <c:multiLvlStrCache>
                <c:ptCount val="4"/>
                <c:lvl/>
                <c:lvl>
                  <c:pt idx="0">
                    <c:v>LoRaWAN</c:v>
                  </c:pt>
                  <c:pt idx="1">
                    <c:v>TS-UNB</c:v>
                  </c:pt>
                  <c:pt idx="2">
                    <c:v>LoRaWAN</c:v>
                  </c:pt>
                  <c:pt idx="3">
                    <c:v>TS-UNB</c:v>
                  </c:pt>
                </c:lvl>
                <c:lvl>
                  <c:pt idx="0">
                    <c:v>S1-P1 &amp; S1-P2</c:v>
                  </c:pt>
                  <c:pt idx="2">
                    <c:v>S2-P1 &amp; S2-P2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'Ch. 4.7 Costs'!$F$56:$F$67</c15:sqref>
                  </c15:fullRef>
                </c:ext>
              </c:extLst>
              <c:f>'Ch. 4.7 Costs'!$F$64:$F$67</c:f>
              <c:numCache>
                <c:formatCode>#,##0\ "€"</c:formatCode>
                <c:ptCount val="4"/>
                <c:pt idx="0">
                  <c:v>3100</c:v>
                </c:pt>
                <c:pt idx="1">
                  <c:v>3300</c:v>
                </c:pt>
                <c:pt idx="2">
                  <c:v>3100</c:v>
                </c:pt>
                <c:pt idx="3">
                  <c:v>3300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FA5-4694-95D5-EBF6AE551E96}"/>
            </c:ext>
          </c:extLst>
        </c:ser>
        <c:ser>
          <c:idx val="2"/>
          <c:order val="3"/>
          <c:tx>
            <c:strRef>
              <c:f>'Ch. 4.7 Costs'!$G$55</c:f>
              <c:strCache>
                <c:ptCount val="1"/>
                <c:pt idx="0">
                  <c:v>LCC depl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8.65716109810598E-3"/>
                  <c:y val="-9.1822028984054282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4FA5-4694-95D5-EBF6AE551E96}"/>
                </c:ext>
              </c:extLst>
            </c:dLbl>
            <c:dLbl>
              <c:idx val="1"/>
              <c:layout>
                <c:manualLayout>
                  <c:x val="2.6169701760252943E-3"/>
                  <c:y val="-9.1513290453235002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4FA5-4694-95D5-EBF6AE551E96}"/>
                </c:ext>
              </c:extLst>
            </c:dLbl>
            <c:dLbl>
              <c:idx val="2"/>
              <c:layout>
                <c:manualLayout>
                  <c:x val="6.3171833250573409E-3"/>
                  <c:y val="-9.259854626304477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4FA5-4694-95D5-EBF6AE551E96}"/>
                </c:ext>
              </c:extLst>
            </c:dLbl>
            <c:dLbl>
              <c:idx val="3"/>
              <c:layout>
                <c:manualLayout>
                  <c:x val="5.6433486354745882E-3"/>
                  <c:y val="-8.9704834571971162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4FA5-4694-95D5-EBF6AE551E96}"/>
                </c:ext>
              </c:extLst>
            </c:dLbl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'Ch. 4.7 Costs'!$A$56:$E$67</c15:sqref>
                  </c15:fullRef>
                </c:ext>
              </c:extLst>
              <c:f>'Ch. 4.7 Costs'!$A$64:$E$67</c:f>
              <c:multiLvlStrCache>
                <c:ptCount val="4"/>
                <c:lvl/>
                <c:lvl>
                  <c:pt idx="0">
                    <c:v>LoRaWAN</c:v>
                  </c:pt>
                  <c:pt idx="1">
                    <c:v>TS-UNB</c:v>
                  </c:pt>
                  <c:pt idx="2">
                    <c:v>LoRaWAN</c:v>
                  </c:pt>
                  <c:pt idx="3">
                    <c:v>TS-UNB</c:v>
                  </c:pt>
                </c:lvl>
                <c:lvl>
                  <c:pt idx="0">
                    <c:v>S1-P1 &amp; S1-P2</c:v>
                  </c:pt>
                  <c:pt idx="2">
                    <c:v>S2-P1 &amp; S2-P2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'Ch. 4.7 Costs'!$G$56:$G$67</c15:sqref>
                  </c15:fullRef>
                </c:ext>
              </c:extLst>
              <c:f>'Ch. 4.7 Costs'!$G$64:$G$67</c:f>
              <c:numCache>
                <c:formatCode>#,##0\ "€"</c:formatCode>
                <c:ptCount val="4"/>
                <c:pt idx="0">
                  <c:v>550</c:v>
                </c:pt>
                <c:pt idx="1">
                  <c:v>550</c:v>
                </c:pt>
                <c:pt idx="2">
                  <c:v>550</c:v>
                </c:pt>
                <c:pt idx="3">
                  <c:v>550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FA5-4694-95D5-EBF6AE551E96}"/>
            </c:ext>
          </c:extLst>
        </c:ser>
        <c:ser>
          <c:idx val="5"/>
          <c:order val="4"/>
          <c:tx>
            <c:strRef>
              <c:f>'Ch. 4.7 Costs'!$J$55</c:f>
              <c:strCache>
                <c:ptCount val="1"/>
                <c:pt idx="0">
                  <c:v>LCC decom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5.3938933309012047E-2"/>
                  <c:y val="6.1975557478114306E-5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4FA5-4694-95D5-EBF6AE551E96}"/>
                </c:ext>
              </c:extLst>
            </c:dLbl>
            <c:dLbl>
              <c:idx val="1"/>
              <c:layout>
                <c:manualLayout>
                  <c:x val="4.8791603752233674E-2"/>
                  <c:y val="-3.8463580359855754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4FA5-4694-95D5-EBF6AE551E96}"/>
                </c:ext>
              </c:extLst>
            </c:dLbl>
            <c:dLbl>
              <c:idx val="2"/>
              <c:layout>
                <c:manualLayout>
                  <c:x val="3.6306542763235645E-2"/>
                  <c:y val="-2.8937116910737197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F2A-4D2D-9E28-9143247360BD}"/>
                </c:ext>
              </c:extLst>
            </c:dLbl>
            <c:dLbl>
              <c:idx val="3"/>
              <c:layout>
                <c:manualLayout>
                  <c:x val="3.4590541047233928E-2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F2A-4D2D-9E28-9143247360BD}"/>
                </c:ext>
              </c:extLst>
            </c:dLbl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'Ch. 4.7 Costs'!$A$56:$E$67</c15:sqref>
                  </c15:fullRef>
                </c:ext>
              </c:extLst>
              <c:f>'Ch. 4.7 Costs'!$A$64:$E$67</c:f>
              <c:multiLvlStrCache>
                <c:ptCount val="4"/>
                <c:lvl/>
                <c:lvl>
                  <c:pt idx="0">
                    <c:v>LoRaWAN</c:v>
                  </c:pt>
                  <c:pt idx="1">
                    <c:v>TS-UNB</c:v>
                  </c:pt>
                  <c:pt idx="2">
                    <c:v>LoRaWAN</c:v>
                  </c:pt>
                  <c:pt idx="3">
                    <c:v>TS-UNB</c:v>
                  </c:pt>
                </c:lvl>
                <c:lvl>
                  <c:pt idx="0">
                    <c:v>S1-P1 &amp; S1-P2</c:v>
                  </c:pt>
                  <c:pt idx="2">
                    <c:v>S2-P1 &amp; S2-P2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'Ch. 4.7 Costs'!$J$56:$J$67</c15:sqref>
                  </c15:fullRef>
                </c:ext>
              </c:extLst>
              <c:f>'Ch. 4.7 Costs'!$J$64:$J$67</c:f>
              <c:numCache>
                <c:formatCode>#,##0\ "€"</c:formatCode>
                <c:ptCount val="4"/>
                <c:pt idx="0">
                  <c:v>550</c:v>
                </c:pt>
                <c:pt idx="1">
                  <c:v>550</c:v>
                </c:pt>
                <c:pt idx="2">
                  <c:v>550</c:v>
                </c:pt>
                <c:pt idx="3">
                  <c:v>550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4FA5-4694-95D5-EBF6AE551E96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40"/>
        <c:overlap val="100"/>
        <c:axId val="840646064"/>
        <c:axId val="840643440"/>
      </c:barChart>
      <c:catAx>
        <c:axId val="84064606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643440"/>
        <c:crosses val="autoZero"/>
        <c:auto val="1"/>
        <c:lblAlgn val="ctr"/>
        <c:lblOffset val="100"/>
        <c:noMultiLvlLbl val="0"/>
      </c:catAx>
      <c:valAx>
        <c:axId val="8406434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€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64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1"/>
          <c:order val="2"/>
          <c:tx>
            <c:strRef>
              <c:f>'Ch. 4.7 Costs'!$F$55</c:f>
              <c:strCache>
                <c:ptCount val="1"/>
                <c:pt idx="0">
                  <c:v>LCC pur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750D-44C8-8233-932B9DE2DB42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50D-44C8-8233-932B9DE2DB42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50D-44C8-8233-932B9DE2DB42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50D-44C8-8233-932B9DE2DB42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50D-44C8-8233-932B9DE2DB42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50D-44C8-8233-932B9DE2DB42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750D-44C8-8233-932B9DE2DB42}"/>
                </c:ext>
              </c:extLst>
            </c:dLbl>
            <c:dLbl>
              <c:idx val="7"/>
              <c:layout>
                <c:manualLayout>
                  <c:x val="1.3734941355040482E-2"/>
                  <c:y val="-9.3142448421007829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750D-44C8-8233-932B9DE2DB42}"/>
                </c:ext>
              </c:extLst>
            </c:dLbl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'Ch. 4.7 Costs'!$A$56:$E$67</c15:sqref>
                  </c15:fullRef>
                </c:ext>
              </c:extLst>
              <c:f>'Ch. 4.7 Costs'!$A$56:$E$63</c:f>
              <c:multiLvlStrCache>
                <c:ptCount val="8"/>
                <c:lvl>
                  <c:pt idx="0">
                    <c:v>3s</c:v>
                  </c:pt>
                  <c:pt idx="1">
                    <c:v>15s</c:v>
                  </c:pt>
                  <c:pt idx="2">
                    <c:v>60s</c:v>
                  </c:pt>
                  <c:pt idx="3">
                    <c:v>600s</c:v>
                  </c:pt>
                  <c:pt idx="4">
                    <c:v>3s</c:v>
                  </c:pt>
                  <c:pt idx="5">
                    <c:v>15s</c:v>
                  </c:pt>
                  <c:pt idx="6">
                    <c:v>60s</c:v>
                  </c:pt>
                  <c:pt idx="7">
                    <c:v>600s</c:v>
                  </c:pt>
                </c:lvl>
                <c:lvl>
                  <c:pt idx="0">
                    <c:v>NB-IoT</c:v>
                  </c:pt>
                  <c:pt idx="4">
                    <c:v>NB-IoT</c:v>
                  </c:pt>
                </c:lvl>
                <c:lvl>
                  <c:pt idx="0">
                    <c:v>S1-P1</c:v>
                  </c:pt>
                  <c:pt idx="4">
                    <c:v>S1-P2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'Ch. 4.7 Costs'!$F$56:$F$67</c15:sqref>
                  </c15:fullRef>
                </c:ext>
              </c:extLst>
              <c:f>'Ch. 4.7 Costs'!$F$56:$F$63</c:f>
              <c:numCache>
                <c:formatCode>#,##0\ "€"</c:formatCode>
                <c:ptCount val="8"/>
                <c:pt idx="0">
                  <c:v>1400</c:v>
                </c:pt>
                <c:pt idx="1">
                  <c:v>1400</c:v>
                </c:pt>
                <c:pt idx="2">
                  <c:v>1400</c:v>
                </c:pt>
                <c:pt idx="3">
                  <c:v>1400</c:v>
                </c:pt>
                <c:pt idx="4">
                  <c:v>1400</c:v>
                </c:pt>
                <c:pt idx="5">
                  <c:v>1400</c:v>
                </c:pt>
                <c:pt idx="6">
                  <c:v>1400</c:v>
                </c:pt>
                <c:pt idx="7">
                  <c:v>1400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CB-4448-8342-5E43589DDA0B}"/>
            </c:ext>
          </c:extLst>
        </c:ser>
        <c:ser>
          <c:idx val="4"/>
          <c:order val="3"/>
          <c:tx>
            <c:strRef>
              <c:f>'Ch. 4.7 Costs'!$I$55</c:f>
              <c:strCache>
                <c:ptCount val="1"/>
                <c:pt idx="0">
                  <c:v>LCC maint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750D-44C8-8233-932B9DE2DB42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750D-44C8-8233-932B9DE2DB42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750D-44C8-8233-932B9DE2DB42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750D-44C8-8233-932B9DE2DB42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750D-44C8-8233-932B9DE2DB42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750D-44C8-8233-932B9DE2DB42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750D-44C8-8233-932B9DE2DB42}"/>
                </c:ext>
              </c:extLst>
            </c:dLbl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'Ch. 4.7 Costs'!$A$56:$E$67</c15:sqref>
                  </c15:fullRef>
                </c:ext>
              </c:extLst>
              <c:f>'Ch. 4.7 Costs'!$A$56:$E$63</c:f>
              <c:multiLvlStrCache>
                <c:ptCount val="8"/>
                <c:lvl>
                  <c:pt idx="0">
                    <c:v>3s</c:v>
                  </c:pt>
                  <c:pt idx="1">
                    <c:v>15s</c:v>
                  </c:pt>
                  <c:pt idx="2">
                    <c:v>60s</c:v>
                  </c:pt>
                  <c:pt idx="3">
                    <c:v>600s</c:v>
                  </c:pt>
                  <c:pt idx="4">
                    <c:v>3s</c:v>
                  </c:pt>
                  <c:pt idx="5">
                    <c:v>15s</c:v>
                  </c:pt>
                  <c:pt idx="6">
                    <c:v>60s</c:v>
                  </c:pt>
                  <c:pt idx="7">
                    <c:v>600s</c:v>
                  </c:pt>
                </c:lvl>
                <c:lvl>
                  <c:pt idx="0">
                    <c:v>NB-IoT</c:v>
                  </c:pt>
                  <c:pt idx="4">
                    <c:v>NB-IoT</c:v>
                  </c:pt>
                </c:lvl>
                <c:lvl>
                  <c:pt idx="0">
                    <c:v>S1-P1</c:v>
                  </c:pt>
                  <c:pt idx="4">
                    <c:v>S1-P2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'Ch. 4.7 Costs'!$I$56:$I$67</c15:sqref>
                  </c15:fullRef>
                </c:ext>
              </c:extLst>
              <c:f>'Ch. 4.7 Costs'!$I$56:$I$63</c:f>
              <c:numCache>
                <c:formatCode>#,##0\ "€"</c:formatCode>
                <c:ptCount val="8"/>
                <c:pt idx="0">
                  <c:v>7446.0000000000009</c:v>
                </c:pt>
                <c:pt idx="1">
                  <c:v>7446.0000000000009</c:v>
                </c:pt>
                <c:pt idx="2">
                  <c:v>7446.0000000000009</c:v>
                </c:pt>
                <c:pt idx="3">
                  <c:v>7446.0000000000009</c:v>
                </c:pt>
                <c:pt idx="4">
                  <c:v>7446.0000000000009</c:v>
                </c:pt>
                <c:pt idx="5">
                  <c:v>7446.0000000000009</c:v>
                </c:pt>
                <c:pt idx="6">
                  <c:v>7446.0000000000009</c:v>
                </c:pt>
                <c:pt idx="7">
                  <c:v>7446.0000000000009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CB-4448-8342-5E43589DDA0B}"/>
            </c:ext>
          </c:extLst>
        </c:ser>
        <c:ser>
          <c:idx val="3"/>
          <c:order val="4"/>
          <c:tx>
            <c:strRef>
              <c:f>'Ch. 4.7 Costs'!$H$55</c:f>
              <c:strCache>
                <c:ptCount val="1"/>
                <c:pt idx="0">
                  <c:v>LCC oper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Lbl>
              <c:idx val="0"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3FCB-4448-8342-5E43589DDA0B}"/>
                </c:ext>
              </c:extLst>
            </c:dLbl>
            <c:dLbl>
              <c:idx val="1"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3FCB-4448-8342-5E43589DDA0B}"/>
                </c:ext>
              </c:extLst>
            </c:dLbl>
            <c:dLbl>
              <c:idx val="2"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3FCB-4448-8342-5E43589DDA0B}"/>
                </c:ext>
              </c:extLst>
            </c:dLbl>
            <c:dLbl>
              <c:idx val="3"/>
              <c:layout>
                <c:manualLayout>
                  <c:x val="5.322673735063374E-2"/>
                  <c:y val="7.3774553700340728E-4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FCB-4448-8342-5E43589DDA0B}"/>
                </c:ext>
              </c:extLst>
            </c:dLbl>
            <c:dLbl>
              <c:idx val="4"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3FCB-4448-8342-5E43589DDA0B}"/>
                </c:ext>
              </c:extLst>
            </c:dLbl>
            <c:dLbl>
              <c:idx val="5"/>
              <c:layout>
                <c:manualLayout>
                  <c:x val="8.0756035597054784E-2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3FCB-4448-8342-5E43589DDA0B}"/>
                </c:ext>
              </c:extLst>
            </c:dLbl>
            <c:dLbl>
              <c:idx val="6"/>
              <c:layout>
                <c:manualLayout>
                  <c:x val="5.6701046270272552E-2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3FCB-4448-8342-5E43589DDA0B}"/>
                </c:ext>
              </c:extLst>
            </c:dLbl>
            <c:dLbl>
              <c:idx val="7"/>
              <c:layout>
                <c:manualLayout>
                  <c:x val="5.1508474042046677E-2"/>
                  <c:y val="5.928659035853948E-4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FCB-4448-8342-5E43589DDA0B}"/>
                </c:ext>
              </c:extLst>
            </c:dLbl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'Ch. 4.7 Costs'!$A$56:$E$67</c15:sqref>
                  </c15:fullRef>
                </c:ext>
              </c:extLst>
              <c:f>'Ch. 4.7 Costs'!$A$56:$E$63</c:f>
              <c:multiLvlStrCache>
                <c:ptCount val="8"/>
                <c:lvl>
                  <c:pt idx="0">
                    <c:v>3s</c:v>
                  </c:pt>
                  <c:pt idx="1">
                    <c:v>15s</c:v>
                  </c:pt>
                  <c:pt idx="2">
                    <c:v>60s</c:v>
                  </c:pt>
                  <c:pt idx="3">
                    <c:v>600s</c:v>
                  </c:pt>
                  <c:pt idx="4">
                    <c:v>3s</c:v>
                  </c:pt>
                  <c:pt idx="5">
                    <c:v>15s</c:v>
                  </c:pt>
                  <c:pt idx="6">
                    <c:v>60s</c:v>
                  </c:pt>
                  <c:pt idx="7">
                    <c:v>600s</c:v>
                  </c:pt>
                </c:lvl>
                <c:lvl>
                  <c:pt idx="0">
                    <c:v>NB-IoT</c:v>
                  </c:pt>
                  <c:pt idx="4">
                    <c:v>NB-IoT</c:v>
                  </c:pt>
                </c:lvl>
                <c:lvl>
                  <c:pt idx="0">
                    <c:v>S1-P1</c:v>
                  </c:pt>
                  <c:pt idx="4">
                    <c:v>S1-P2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'Ch. 4.7 Costs'!$H$56:$H$67</c15:sqref>
                  </c15:fullRef>
                </c:ext>
              </c:extLst>
              <c:f>'Ch. 4.7 Costs'!$H$56:$H$63</c:f>
              <c:numCache>
                <c:formatCode>#,##0\ "€"</c:formatCode>
                <c:ptCount val="8"/>
                <c:pt idx="0">
                  <c:v>169497.91093117406</c:v>
                </c:pt>
                <c:pt idx="1">
                  <c:v>33899.582186234817</c:v>
                </c:pt>
                <c:pt idx="2">
                  <c:v>8474.8955465587042</c:v>
                </c:pt>
                <c:pt idx="3">
                  <c:v>847.48955465587051</c:v>
                </c:pt>
                <c:pt idx="4">
                  <c:v>26956.799999999999</c:v>
                </c:pt>
                <c:pt idx="5">
                  <c:v>5391.36</c:v>
                </c:pt>
                <c:pt idx="6">
                  <c:v>1347.84</c:v>
                </c:pt>
                <c:pt idx="7">
                  <c:v>134.78399999999999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FCB-4448-8342-5E43589DDA0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0"/>
        <c:overlap val="100"/>
        <c:axId val="840646064"/>
        <c:axId val="840643440"/>
        <c:extLst>
          <c:ext xmlns:c15="http://schemas.microsoft.com/office/drawing/2012/chart" uri="{02D57815-91ED-43cb-92C2-25804820EDAC}">
            <c15:filteredBarSeries>
              <c15:ser>
                <c:idx val="5"/>
                <c:order val="0"/>
                <c:tx>
                  <c:strRef>
                    <c:extLst>
                      <c:ext uri="{02D57815-91ED-43cb-92C2-25804820EDAC}">
                        <c15:formulaRef>
                          <c15:sqref>'Ch. 4.7 Costs'!$J$55</c15:sqref>
                        </c15:formulaRef>
                      </c:ext>
                    </c:extLst>
                    <c:strCache>
                      <c:ptCount val="1"/>
                      <c:pt idx="0">
                        <c:v>LCC decom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40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uri="{02D57815-91ED-43cb-92C2-25804820EDAC}">
                        <c15:fullRef>
                          <c15:sqref>'Ch. 4.7 Costs'!$A$56:$E$67</c15:sqref>
                        </c15:fullRef>
                        <c15:formulaRef>
                          <c15:sqref>'Ch. 4.7 Costs'!$A$56:$E$63</c15:sqref>
                        </c15:formulaRef>
                      </c:ext>
                    </c:extLst>
                    <c:multiLvlStrCache>
                      <c:ptCount val="8"/>
                      <c:lvl>
                        <c:pt idx="0">
                          <c:v>3s</c:v>
                        </c:pt>
                        <c:pt idx="1">
                          <c:v>15s</c:v>
                        </c:pt>
                        <c:pt idx="2">
                          <c:v>60s</c:v>
                        </c:pt>
                        <c:pt idx="3">
                          <c:v>600s</c:v>
                        </c:pt>
                        <c:pt idx="4">
                          <c:v>3s</c:v>
                        </c:pt>
                        <c:pt idx="5">
                          <c:v>15s</c:v>
                        </c:pt>
                        <c:pt idx="6">
                          <c:v>60s</c:v>
                        </c:pt>
                        <c:pt idx="7">
                          <c:v>600s</c:v>
                        </c:pt>
                      </c:lvl>
                      <c:lvl>
                        <c:pt idx="0">
                          <c:v>NB-IoT</c:v>
                        </c:pt>
                        <c:pt idx="4">
                          <c:v>NB-IoT</c:v>
                        </c:pt>
                      </c:lvl>
                      <c:lvl>
                        <c:pt idx="0">
                          <c:v>S1-P1</c:v>
                        </c:pt>
                        <c:pt idx="4">
                          <c:v>S1-P2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ullRef>
                          <c15:sqref>'Ch. 4.7 Costs'!$J$56:$J$67</c15:sqref>
                        </c15:fullRef>
                        <c15:formulaRef>
                          <c15:sqref>'Ch. 4.7 Costs'!$J$56:$J$63</c15:sqref>
                        </c15:formulaRef>
                      </c:ext>
                    </c:extLst>
                    <c:numCache>
                      <c:formatCode>#,##0\ "€"</c:formatCode>
                      <c:ptCount val="8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3FCB-4448-8342-5E43589DDA0B}"/>
                  </c:ext>
                </c:extLst>
              </c15:ser>
            </c15:filteredBarSeries>
            <c15:filteredBarSeries>
              <c15:ser>
                <c:idx val="2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'Ch. 4.7 Costs'!$G$55</c15:sqref>
                        </c15:formulaRef>
                      </c:ext>
                    </c:extLst>
                    <c:strCache>
                      <c:ptCount val="1"/>
                      <c:pt idx="0">
                        <c:v>LCC depl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40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xmlns:c15="http://schemas.microsoft.com/office/drawing/2012/chart" uri="{02D57815-91ED-43cb-92C2-25804820EDAC}">
                        <c15:fullRef>
                          <c15:sqref>'Ch. 4.7 Costs'!$A$56:$E$67</c15:sqref>
                        </c15:fullRef>
                        <c15:formulaRef>
                          <c15:sqref>'Ch. 4.7 Costs'!$A$56:$E$63</c15:sqref>
                        </c15:formulaRef>
                      </c:ext>
                    </c:extLst>
                    <c:multiLvlStrCache>
                      <c:ptCount val="8"/>
                      <c:lvl>
                        <c:pt idx="0">
                          <c:v>3s</c:v>
                        </c:pt>
                        <c:pt idx="1">
                          <c:v>15s</c:v>
                        </c:pt>
                        <c:pt idx="2">
                          <c:v>60s</c:v>
                        </c:pt>
                        <c:pt idx="3">
                          <c:v>600s</c:v>
                        </c:pt>
                        <c:pt idx="4">
                          <c:v>3s</c:v>
                        </c:pt>
                        <c:pt idx="5">
                          <c:v>15s</c:v>
                        </c:pt>
                        <c:pt idx="6">
                          <c:v>60s</c:v>
                        </c:pt>
                        <c:pt idx="7">
                          <c:v>600s</c:v>
                        </c:pt>
                      </c:lvl>
                      <c:lvl>
                        <c:pt idx="0">
                          <c:v>NB-IoT</c:v>
                        </c:pt>
                        <c:pt idx="4">
                          <c:v>NB-IoT</c:v>
                        </c:pt>
                      </c:lvl>
                      <c:lvl>
                        <c:pt idx="0">
                          <c:v>S1-P1</c:v>
                        </c:pt>
                        <c:pt idx="4">
                          <c:v>S1-P2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'Ch. 4.7 Costs'!$G$56:$G$67</c15:sqref>
                        </c15:fullRef>
                        <c15:formulaRef>
                          <c15:sqref>'Ch. 4.7 Costs'!$G$56:$G$63</c15:sqref>
                        </c15:formulaRef>
                      </c:ext>
                    </c:extLst>
                    <c:numCache>
                      <c:formatCode>#,##0\ "€"</c:formatCode>
                      <c:ptCount val="8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FCB-4448-8342-5E43589DDA0B}"/>
                  </c:ext>
                </c:extLst>
              </c15:ser>
            </c15:filteredBarSeries>
          </c:ext>
        </c:extLst>
      </c:barChart>
      <c:catAx>
        <c:axId val="840646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643440"/>
        <c:crosses val="autoZero"/>
        <c:auto val="1"/>
        <c:lblAlgn val="ctr"/>
        <c:lblOffset val="100"/>
        <c:noMultiLvlLbl val="0"/>
      </c:catAx>
      <c:valAx>
        <c:axId val="840643440"/>
        <c:scaling>
          <c:logBase val="10"/>
          <c:orientation val="minMax"/>
          <c:max val="300000"/>
          <c:min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€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64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2"/>
          <c:tx>
            <c:strRef>
              <c:f>'Ch. 4.7 Alt Costs'!$F$55</c:f>
              <c:strCache>
                <c:ptCount val="1"/>
                <c:pt idx="0">
                  <c:v>LCC pur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'Ch. 4.7 Alt Costs'!$A$56:$E$67</c15:sqref>
                  </c15:fullRef>
                </c:ext>
              </c:extLst>
              <c:f>'Ch. 4.7 Alt Costs'!$A$56:$E$63</c:f>
              <c:multiLvlStrCache>
                <c:ptCount val="8"/>
                <c:lvl>
                  <c:pt idx="0">
                    <c:v>3s</c:v>
                  </c:pt>
                  <c:pt idx="1">
                    <c:v>15s</c:v>
                  </c:pt>
                  <c:pt idx="2">
                    <c:v>60s</c:v>
                  </c:pt>
                  <c:pt idx="3">
                    <c:v>600s</c:v>
                  </c:pt>
                  <c:pt idx="4">
                    <c:v>3s</c:v>
                  </c:pt>
                  <c:pt idx="5">
                    <c:v>15s</c:v>
                  </c:pt>
                  <c:pt idx="6">
                    <c:v>60s</c:v>
                  </c:pt>
                  <c:pt idx="7">
                    <c:v>600s</c:v>
                  </c:pt>
                </c:lvl>
                <c:lvl>
                  <c:pt idx="0">
                    <c:v>NB-IoT</c:v>
                  </c:pt>
                  <c:pt idx="4">
                    <c:v>NB-IoT</c:v>
                  </c:pt>
                </c:lvl>
                <c:lvl>
                  <c:pt idx="0">
                    <c:v>S1-P1</c:v>
                  </c:pt>
                  <c:pt idx="4">
                    <c:v>S1-P2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'Ch. 4.7 Alt Costs'!$F$56:$F$67</c15:sqref>
                  </c15:fullRef>
                </c:ext>
              </c:extLst>
              <c:f>'Ch. 4.7 Alt Costs'!$F$56:$F$63</c:f>
              <c:numCache>
                <c:formatCode>#,##0\ "€"</c:formatCode>
                <c:ptCount val="8"/>
                <c:pt idx="0">
                  <c:v>28</c:v>
                </c:pt>
                <c:pt idx="1">
                  <c:v>28</c:v>
                </c:pt>
                <c:pt idx="2">
                  <c:v>28</c:v>
                </c:pt>
                <c:pt idx="3">
                  <c:v>28</c:v>
                </c:pt>
                <c:pt idx="4">
                  <c:v>28</c:v>
                </c:pt>
                <c:pt idx="5">
                  <c:v>28</c:v>
                </c:pt>
                <c:pt idx="6">
                  <c:v>28</c:v>
                </c:pt>
                <c:pt idx="7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C1-4990-806D-74257F63E529}"/>
            </c:ext>
          </c:extLst>
        </c:ser>
        <c:ser>
          <c:idx val="4"/>
          <c:order val="3"/>
          <c:tx>
            <c:strRef>
              <c:f>'Ch. 4.7 Alt Costs'!$I$55</c:f>
              <c:strCache>
                <c:ptCount val="1"/>
                <c:pt idx="0">
                  <c:v>LCC maint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'Ch. 4.7 Alt Costs'!$A$56:$E$67</c15:sqref>
                  </c15:fullRef>
                </c:ext>
              </c:extLst>
              <c:f>'Ch. 4.7 Alt Costs'!$A$56:$E$63</c:f>
              <c:multiLvlStrCache>
                <c:ptCount val="8"/>
                <c:lvl>
                  <c:pt idx="0">
                    <c:v>3s</c:v>
                  </c:pt>
                  <c:pt idx="1">
                    <c:v>15s</c:v>
                  </c:pt>
                  <c:pt idx="2">
                    <c:v>60s</c:v>
                  </c:pt>
                  <c:pt idx="3">
                    <c:v>600s</c:v>
                  </c:pt>
                  <c:pt idx="4">
                    <c:v>3s</c:v>
                  </c:pt>
                  <c:pt idx="5">
                    <c:v>15s</c:v>
                  </c:pt>
                  <c:pt idx="6">
                    <c:v>60s</c:v>
                  </c:pt>
                  <c:pt idx="7">
                    <c:v>600s</c:v>
                  </c:pt>
                </c:lvl>
                <c:lvl>
                  <c:pt idx="0">
                    <c:v>NB-IoT</c:v>
                  </c:pt>
                  <c:pt idx="4">
                    <c:v>NB-IoT</c:v>
                  </c:pt>
                </c:lvl>
                <c:lvl>
                  <c:pt idx="0">
                    <c:v>S1-P1</c:v>
                  </c:pt>
                  <c:pt idx="4">
                    <c:v>S1-P2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'Ch. 4.7 Alt Costs'!$I$56:$I$67</c15:sqref>
                  </c15:fullRef>
                </c:ext>
              </c:extLst>
              <c:f>'Ch. 4.7 Alt Costs'!$I$56:$I$63</c:f>
              <c:numCache>
                <c:formatCode>#,##0\ "€"</c:formatCode>
                <c:ptCount val="8"/>
                <c:pt idx="0">
                  <c:v>148.92000000000002</c:v>
                </c:pt>
                <c:pt idx="1">
                  <c:v>148.92000000000002</c:v>
                </c:pt>
                <c:pt idx="2">
                  <c:v>148.92000000000002</c:v>
                </c:pt>
                <c:pt idx="3">
                  <c:v>148.92000000000002</c:v>
                </c:pt>
                <c:pt idx="4">
                  <c:v>148.92000000000002</c:v>
                </c:pt>
                <c:pt idx="5">
                  <c:v>148.92000000000002</c:v>
                </c:pt>
                <c:pt idx="6">
                  <c:v>148.92000000000002</c:v>
                </c:pt>
                <c:pt idx="7">
                  <c:v>148.92000000000002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C1-4990-806D-74257F63E529}"/>
            </c:ext>
          </c:extLst>
        </c:ser>
        <c:ser>
          <c:idx val="3"/>
          <c:order val="4"/>
          <c:tx>
            <c:strRef>
              <c:f>'Ch. 4.7 Alt Costs'!$H$55</c:f>
              <c:strCache>
                <c:ptCount val="1"/>
                <c:pt idx="0">
                  <c:v>LCC oper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Lbl>
              <c:idx val="3"/>
              <c:layout>
                <c:manualLayout>
                  <c:x val="0"/>
                  <c:y val="-3.6246719160105037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74C1-4990-806D-74257F63E529}"/>
                </c:ext>
              </c:extLst>
            </c:dLbl>
            <c:dLbl>
              <c:idx val="7"/>
              <c:layout>
                <c:manualLayout>
                  <c:x val="0"/>
                  <c:y val="-3.6391520975132395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74C1-4990-806D-74257F63E529}"/>
                </c:ext>
              </c:extLst>
            </c:dLbl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'Ch. 4.7 Alt Costs'!$A$56:$E$67</c15:sqref>
                  </c15:fullRef>
                </c:ext>
              </c:extLst>
              <c:f>'Ch. 4.7 Alt Costs'!$A$56:$E$63</c:f>
              <c:multiLvlStrCache>
                <c:ptCount val="8"/>
                <c:lvl>
                  <c:pt idx="0">
                    <c:v>3s</c:v>
                  </c:pt>
                  <c:pt idx="1">
                    <c:v>15s</c:v>
                  </c:pt>
                  <c:pt idx="2">
                    <c:v>60s</c:v>
                  </c:pt>
                  <c:pt idx="3">
                    <c:v>600s</c:v>
                  </c:pt>
                  <c:pt idx="4">
                    <c:v>3s</c:v>
                  </c:pt>
                  <c:pt idx="5">
                    <c:v>15s</c:v>
                  </c:pt>
                  <c:pt idx="6">
                    <c:v>60s</c:v>
                  </c:pt>
                  <c:pt idx="7">
                    <c:v>600s</c:v>
                  </c:pt>
                </c:lvl>
                <c:lvl>
                  <c:pt idx="0">
                    <c:v>NB-IoT</c:v>
                  </c:pt>
                  <c:pt idx="4">
                    <c:v>NB-IoT</c:v>
                  </c:pt>
                </c:lvl>
                <c:lvl>
                  <c:pt idx="0">
                    <c:v>S1-P1</c:v>
                  </c:pt>
                  <c:pt idx="4">
                    <c:v>S1-P2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'Ch. 4.7 Alt Costs'!$H$56:$H$67</c15:sqref>
                  </c15:fullRef>
                </c:ext>
              </c:extLst>
              <c:f>'Ch. 4.7 Alt Costs'!$H$56:$H$63</c:f>
              <c:numCache>
                <c:formatCode>#,##0\ "€"</c:formatCode>
                <c:ptCount val="8"/>
                <c:pt idx="0">
                  <c:v>3389.9582186234811</c:v>
                </c:pt>
                <c:pt idx="1">
                  <c:v>677.99164372469636</c:v>
                </c:pt>
                <c:pt idx="2">
                  <c:v>169.49791093117409</c:v>
                </c:pt>
                <c:pt idx="3">
                  <c:v>16.949791093117412</c:v>
                </c:pt>
                <c:pt idx="4">
                  <c:v>539.13599999999997</c:v>
                </c:pt>
                <c:pt idx="5">
                  <c:v>107.82719999999999</c:v>
                </c:pt>
                <c:pt idx="6">
                  <c:v>26.956799999999998</c:v>
                </c:pt>
                <c:pt idx="7">
                  <c:v>2.6956799999999999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4C1-4990-806D-74257F63E52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0"/>
        <c:overlap val="100"/>
        <c:axId val="840646064"/>
        <c:axId val="840643440"/>
        <c:extLst>
          <c:ext xmlns:c15="http://schemas.microsoft.com/office/drawing/2012/chart" uri="{02D57815-91ED-43cb-92C2-25804820EDAC}">
            <c15:filteredBarSeries>
              <c15:ser>
                <c:idx val="5"/>
                <c:order val="0"/>
                <c:tx>
                  <c:strRef>
                    <c:extLst>
                      <c:ext uri="{02D57815-91ED-43cb-92C2-25804820EDAC}">
                        <c15:formulaRef>
                          <c15:sqref>'Ch. 4.7 Alt Costs'!$J$55</c15:sqref>
                        </c15:formulaRef>
                      </c:ext>
                    </c:extLst>
                    <c:strCache>
                      <c:ptCount val="1"/>
                      <c:pt idx="0">
                        <c:v>LCC decom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20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uri="{02D57815-91ED-43cb-92C2-25804820EDAC}">
                        <c15:fullRef>
                          <c15:sqref>'Ch. 4.7 Alt Costs'!$A$56:$E$67</c15:sqref>
                        </c15:fullRef>
                        <c15:formulaRef>
                          <c15:sqref>'Ch. 4.7 Alt Costs'!$A$56:$E$63</c15:sqref>
                        </c15:formulaRef>
                      </c:ext>
                    </c:extLst>
                    <c:multiLvlStrCache>
                      <c:ptCount val="8"/>
                      <c:lvl>
                        <c:pt idx="0">
                          <c:v>3s</c:v>
                        </c:pt>
                        <c:pt idx="1">
                          <c:v>15s</c:v>
                        </c:pt>
                        <c:pt idx="2">
                          <c:v>60s</c:v>
                        </c:pt>
                        <c:pt idx="3">
                          <c:v>600s</c:v>
                        </c:pt>
                        <c:pt idx="4">
                          <c:v>3s</c:v>
                        </c:pt>
                        <c:pt idx="5">
                          <c:v>15s</c:v>
                        </c:pt>
                        <c:pt idx="6">
                          <c:v>60s</c:v>
                        </c:pt>
                        <c:pt idx="7">
                          <c:v>600s</c:v>
                        </c:pt>
                      </c:lvl>
                      <c:lvl>
                        <c:pt idx="0">
                          <c:v>NB-IoT</c:v>
                        </c:pt>
                        <c:pt idx="4">
                          <c:v>NB-IoT</c:v>
                        </c:pt>
                      </c:lvl>
                      <c:lvl>
                        <c:pt idx="0">
                          <c:v>S1-P1</c:v>
                        </c:pt>
                        <c:pt idx="4">
                          <c:v>S1-P2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ullRef>
                          <c15:sqref>'Ch. 4.7 Alt Costs'!$J$56:$J$67</c15:sqref>
                        </c15:fullRef>
                        <c15:formulaRef>
                          <c15:sqref>'Ch. 4.7 Alt Costs'!$J$56:$J$63</c15:sqref>
                        </c15:formulaRef>
                      </c:ext>
                    </c:extLst>
                    <c:numCache>
                      <c:formatCode>#,##0\ "€"</c:formatCode>
                      <c:ptCount val="8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74C1-4990-806D-74257F63E529}"/>
                  </c:ext>
                </c:extLst>
              </c15:ser>
            </c15:filteredBarSeries>
            <c15:filteredBarSeries>
              <c15:ser>
                <c:idx val="2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'Ch. 4.7 Alt Costs'!$G$55</c15:sqref>
                        </c15:formulaRef>
                      </c:ext>
                    </c:extLst>
                    <c:strCache>
                      <c:ptCount val="1"/>
                      <c:pt idx="0">
                        <c:v>LCC depl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20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xmlns:c15="http://schemas.microsoft.com/office/drawing/2012/chart" uri="{02D57815-91ED-43cb-92C2-25804820EDAC}">
                        <c15:fullRef>
                          <c15:sqref>'Ch. 4.7 Alt Costs'!$A$56:$E$67</c15:sqref>
                        </c15:fullRef>
                        <c15:formulaRef>
                          <c15:sqref>'Ch. 4.7 Alt Costs'!$A$56:$E$63</c15:sqref>
                        </c15:formulaRef>
                      </c:ext>
                    </c:extLst>
                    <c:multiLvlStrCache>
                      <c:ptCount val="8"/>
                      <c:lvl>
                        <c:pt idx="0">
                          <c:v>3s</c:v>
                        </c:pt>
                        <c:pt idx="1">
                          <c:v>15s</c:v>
                        </c:pt>
                        <c:pt idx="2">
                          <c:v>60s</c:v>
                        </c:pt>
                        <c:pt idx="3">
                          <c:v>600s</c:v>
                        </c:pt>
                        <c:pt idx="4">
                          <c:v>3s</c:v>
                        </c:pt>
                        <c:pt idx="5">
                          <c:v>15s</c:v>
                        </c:pt>
                        <c:pt idx="6">
                          <c:v>60s</c:v>
                        </c:pt>
                        <c:pt idx="7">
                          <c:v>600s</c:v>
                        </c:pt>
                      </c:lvl>
                      <c:lvl>
                        <c:pt idx="0">
                          <c:v>NB-IoT</c:v>
                        </c:pt>
                        <c:pt idx="4">
                          <c:v>NB-IoT</c:v>
                        </c:pt>
                      </c:lvl>
                      <c:lvl>
                        <c:pt idx="0">
                          <c:v>S1-P1</c:v>
                        </c:pt>
                        <c:pt idx="4">
                          <c:v>S1-P2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'Ch. 4.7 Alt Costs'!$G$56:$G$67</c15:sqref>
                        </c15:fullRef>
                        <c15:formulaRef>
                          <c15:sqref>'Ch. 4.7 Alt Costs'!$G$56:$G$63</c15:sqref>
                        </c15:formulaRef>
                      </c:ext>
                    </c:extLst>
                    <c:numCache>
                      <c:formatCode>#,##0\ "€"</c:formatCode>
                      <c:ptCount val="8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74C1-4990-806D-74257F63E529}"/>
                  </c:ext>
                </c:extLst>
              </c15:ser>
            </c15:filteredBarSeries>
          </c:ext>
        </c:extLst>
      </c:barChart>
      <c:catAx>
        <c:axId val="840646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643440"/>
        <c:crosses val="autoZero"/>
        <c:auto val="1"/>
        <c:lblAlgn val="ctr"/>
        <c:lblOffset val="100"/>
        <c:noMultiLvlLbl val="0"/>
      </c:catAx>
      <c:valAx>
        <c:axId val="84064344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€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64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3"/>
          <c:order val="0"/>
          <c:tx>
            <c:strRef>
              <c:f>'Ch. 4.7 Alt Costs'!$H$55</c:f>
              <c:strCache>
                <c:ptCount val="1"/>
                <c:pt idx="0">
                  <c:v>LCC oper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'Ch. 4.7 Alt Costs'!$A$56:$E$67</c15:sqref>
                  </c15:fullRef>
                </c:ext>
              </c:extLst>
              <c:f>'Ch. 4.7 Alt Costs'!$A$64:$E$67</c:f>
              <c:multiLvlStrCache>
                <c:ptCount val="4"/>
                <c:lvl/>
                <c:lvl>
                  <c:pt idx="0">
                    <c:v>LoRaWAN</c:v>
                  </c:pt>
                  <c:pt idx="1">
                    <c:v>TS-UNB</c:v>
                  </c:pt>
                  <c:pt idx="2">
                    <c:v>LoRaWAN</c:v>
                  </c:pt>
                  <c:pt idx="3">
                    <c:v>TS-UNB</c:v>
                  </c:pt>
                </c:lvl>
                <c:lvl>
                  <c:pt idx="0">
                    <c:v>S1-P1 &amp; S1-P2</c:v>
                  </c:pt>
                  <c:pt idx="2">
                    <c:v>S2-P1 &amp; S2-P2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'Ch. 4.7 Alt Costs'!$H$56:$H$67</c15:sqref>
                  </c15:fullRef>
                </c:ext>
              </c:extLst>
              <c:f>'Ch. 4.7 Alt Costs'!$H$64:$H$67</c:f>
              <c:numCache>
                <c:formatCode>#,##0\ "€"</c:formatCode>
                <c:ptCount val="4"/>
                <c:pt idx="0">
                  <c:v>22800</c:v>
                </c:pt>
                <c:pt idx="1">
                  <c:v>22800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B9-4490-AC36-7EECC58715B5}"/>
            </c:ext>
          </c:extLst>
        </c:ser>
        <c:ser>
          <c:idx val="4"/>
          <c:order val="1"/>
          <c:tx>
            <c:strRef>
              <c:f>'Ch. 4.7 Alt Costs'!$I$55</c:f>
              <c:strCache>
                <c:ptCount val="1"/>
                <c:pt idx="0">
                  <c:v>LCC maint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'Ch. 4.7 Alt Costs'!$A$56:$E$67</c15:sqref>
                  </c15:fullRef>
                </c:ext>
              </c:extLst>
              <c:f>'Ch. 4.7 Alt Costs'!$A$64:$E$67</c:f>
              <c:multiLvlStrCache>
                <c:ptCount val="4"/>
                <c:lvl/>
                <c:lvl>
                  <c:pt idx="0">
                    <c:v>LoRaWAN</c:v>
                  </c:pt>
                  <c:pt idx="1">
                    <c:v>TS-UNB</c:v>
                  </c:pt>
                  <c:pt idx="2">
                    <c:v>LoRaWAN</c:v>
                  </c:pt>
                  <c:pt idx="3">
                    <c:v>TS-UNB</c:v>
                  </c:pt>
                </c:lvl>
                <c:lvl>
                  <c:pt idx="0">
                    <c:v>S1-P1 &amp; S1-P2</c:v>
                  </c:pt>
                  <c:pt idx="2">
                    <c:v>S2-P1 &amp; S2-P2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'Ch. 4.7 Alt Costs'!$I$56:$I$67</c15:sqref>
                  </c15:fullRef>
                </c:ext>
              </c:extLst>
              <c:f>'Ch. 4.7 Alt Costs'!$I$64:$I$67</c:f>
              <c:numCache>
                <c:formatCode>#,##0\ "€"</c:formatCode>
                <c:ptCount val="4"/>
                <c:pt idx="0">
                  <c:v>424.86000000000007</c:v>
                </c:pt>
                <c:pt idx="1">
                  <c:v>425.89058823529422</c:v>
                </c:pt>
                <c:pt idx="2">
                  <c:v>424.86000000000007</c:v>
                </c:pt>
                <c:pt idx="3">
                  <c:v>425.89058823529422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B9-4490-AC36-7EECC58715B5}"/>
            </c:ext>
          </c:extLst>
        </c:ser>
        <c:ser>
          <c:idx val="1"/>
          <c:order val="2"/>
          <c:tx>
            <c:strRef>
              <c:f>'Ch. 4.7 Alt Costs'!$F$55</c:f>
              <c:strCache>
                <c:ptCount val="1"/>
                <c:pt idx="0">
                  <c:v>LCC pur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4.5141494395772223E-4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EB9-4490-AC36-7EECC58715B5}"/>
                </c:ext>
              </c:extLst>
            </c:dLbl>
            <c:dLbl>
              <c:idx val="1"/>
              <c:layout>
                <c:manualLayout>
                  <c:x val="0"/>
                  <c:y val="-6.1395216741821283E-4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EB9-4490-AC36-7EECC58715B5}"/>
                </c:ext>
              </c:extLst>
            </c:dLbl>
            <c:dLbl>
              <c:idx val="2"/>
              <c:layout>
                <c:manualLayout>
                  <c:x val="-1.4886593462137452E-3"/>
                  <c:y val="-1.7586736405692911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EB9-4490-AC36-7EECC58715B5}"/>
                </c:ext>
              </c:extLst>
            </c:dLbl>
            <c:dLbl>
              <c:idx val="3"/>
              <c:layout>
                <c:manualLayout>
                  <c:x val="-1.0916709094811642E-16"/>
                  <c:y val="-6.1395216741821283E-4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EB9-4490-AC36-7EECC58715B5}"/>
                </c:ext>
              </c:extLst>
            </c:dLbl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'Ch. 4.7 Alt Costs'!$A$56:$E$67</c15:sqref>
                  </c15:fullRef>
                </c:ext>
              </c:extLst>
              <c:f>'Ch. 4.7 Alt Costs'!$A$64:$E$67</c:f>
              <c:multiLvlStrCache>
                <c:ptCount val="4"/>
                <c:lvl/>
                <c:lvl>
                  <c:pt idx="0">
                    <c:v>LoRaWAN</c:v>
                  </c:pt>
                  <c:pt idx="1">
                    <c:v>TS-UNB</c:v>
                  </c:pt>
                  <c:pt idx="2">
                    <c:v>LoRaWAN</c:v>
                  </c:pt>
                  <c:pt idx="3">
                    <c:v>TS-UNB</c:v>
                  </c:pt>
                </c:lvl>
                <c:lvl>
                  <c:pt idx="0">
                    <c:v>S1-P1 &amp; S1-P2</c:v>
                  </c:pt>
                  <c:pt idx="2">
                    <c:v>S2-P1 &amp; S2-P2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'Ch. 4.7 Alt Costs'!$F$56:$F$67</c15:sqref>
                  </c15:fullRef>
                </c:ext>
              </c:extLst>
              <c:f>'Ch. 4.7 Alt Costs'!$F$64:$F$67</c:f>
              <c:numCache>
                <c:formatCode>#,##0\ "€"</c:formatCode>
                <c:ptCount val="4"/>
                <c:pt idx="0">
                  <c:v>974</c:v>
                </c:pt>
                <c:pt idx="1">
                  <c:v>978</c:v>
                </c:pt>
                <c:pt idx="2">
                  <c:v>974</c:v>
                </c:pt>
                <c:pt idx="3">
                  <c:v>978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EB9-4490-AC36-7EECC58715B5}"/>
            </c:ext>
          </c:extLst>
        </c:ser>
        <c:ser>
          <c:idx val="2"/>
          <c:order val="3"/>
          <c:tx>
            <c:strRef>
              <c:f>'Ch. 4.7 Alt Costs'!$G$55</c:f>
              <c:strCache>
                <c:ptCount val="1"/>
                <c:pt idx="0">
                  <c:v>LCC depl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8.6693988680157832E-2"/>
                  <c:y val="-4.5086851260690217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DEB9-4490-AC36-7EECC58715B5}"/>
                </c:ext>
              </c:extLst>
            </c:dLbl>
            <c:dLbl>
              <c:idx val="1"/>
              <c:layout>
                <c:manualLayout>
                  <c:x val="0.10572712585736076"/>
                  <c:y val="-4.0666674091636212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DEB9-4490-AC36-7EECC58715B5}"/>
                </c:ext>
              </c:extLst>
            </c:dLbl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'Ch. 4.7 Alt Costs'!$A$56:$E$67</c15:sqref>
                  </c15:fullRef>
                </c:ext>
              </c:extLst>
              <c:f>'Ch. 4.7 Alt Costs'!$A$64:$E$67</c:f>
              <c:multiLvlStrCache>
                <c:ptCount val="4"/>
                <c:lvl/>
                <c:lvl>
                  <c:pt idx="0">
                    <c:v>LoRaWAN</c:v>
                  </c:pt>
                  <c:pt idx="1">
                    <c:v>TS-UNB</c:v>
                  </c:pt>
                  <c:pt idx="2">
                    <c:v>LoRaWAN</c:v>
                  </c:pt>
                  <c:pt idx="3">
                    <c:v>TS-UNB</c:v>
                  </c:pt>
                </c:lvl>
                <c:lvl>
                  <c:pt idx="0">
                    <c:v>S1-P1 &amp; S1-P2</c:v>
                  </c:pt>
                  <c:pt idx="2">
                    <c:v>S2-P1 &amp; S2-P2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'Ch. 4.7 Alt Costs'!$G$56:$G$67</c15:sqref>
                  </c15:fullRef>
                </c:ext>
              </c:extLst>
              <c:f>'Ch. 4.7 Alt Costs'!$G$64:$G$67</c:f>
              <c:numCache>
                <c:formatCode>#,##0\ "€"</c:formatCode>
                <c:ptCount val="4"/>
                <c:pt idx="0">
                  <c:v>275</c:v>
                </c:pt>
                <c:pt idx="1">
                  <c:v>275</c:v>
                </c:pt>
                <c:pt idx="2">
                  <c:v>275</c:v>
                </c:pt>
                <c:pt idx="3">
                  <c:v>275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EB9-4490-AC36-7EECC58715B5}"/>
            </c:ext>
          </c:extLst>
        </c:ser>
        <c:ser>
          <c:idx val="5"/>
          <c:order val="4"/>
          <c:tx>
            <c:strRef>
              <c:f>'Ch. 4.7 Alt Costs'!$J$55</c:f>
              <c:strCache>
                <c:ptCount val="1"/>
                <c:pt idx="0">
                  <c:v>LCC decom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-3.8456585507109176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DEB9-4490-AC36-7EECC58715B5}"/>
                </c:ext>
              </c:extLst>
            </c:dLbl>
            <c:dLbl>
              <c:idx val="1"/>
              <c:layout>
                <c:manualLayout>
                  <c:x val="0"/>
                  <c:y val="-3.5361417352432194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DEB9-4490-AC36-7EECC58715B5}"/>
                </c:ext>
              </c:extLst>
            </c:dLbl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'Ch. 4.7 Alt Costs'!$A$56:$E$67</c15:sqref>
                  </c15:fullRef>
                </c:ext>
              </c:extLst>
              <c:f>'Ch. 4.7 Alt Costs'!$A$64:$E$67</c:f>
              <c:multiLvlStrCache>
                <c:ptCount val="4"/>
                <c:lvl/>
                <c:lvl>
                  <c:pt idx="0">
                    <c:v>LoRaWAN</c:v>
                  </c:pt>
                  <c:pt idx="1">
                    <c:v>TS-UNB</c:v>
                  </c:pt>
                  <c:pt idx="2">
                    <c:v>LoRaWAN</c:v>
                  </c:pt>
                  <c:pt idx="3">
                    <c:v>TS-UNB</c:v>
                  </c:pt>
                </c:lvl>
                <c:lvl>
                  <c:pt idx="0">
                    <c:v>S1-P1 &amp; S1-P2</c:v>
                  </c:pt>
                  <c:pt idx="2">
                    <c:v>S2-P1 &amp; S2-P2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'Ch. 4.7 Alt Costs'!$J$56:$J$67</c15:sqref>
                  </c15:fullRef>
                </c:ext>
              </c:extLst>
              <c:f>'Ch. 4.7 Alt Costs'!$J$64:$J$67</c:f>
              <c:numCache>
                <c:formatCode>#,##0\ "€"</c:formatCode>
                <c:ptCount val="4"/>
                <c:pt idx="0">
                  <c:v>275</c:v>
                </c:pt>
                <c:pt idx="1">
                  <c:v>275</c:v>
                </c:pt>
                <c:pt idx="2">
                  <c:v>275</c:v>
                </c:pt>
                <c:pt idx="3">
                  <c:v>275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EB9-4490-AC36-7EECC58715B5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840646064"/>
        <c:axId val="840643440"/>
      </c:barChart>
      <c:catAx>
        <c:axId val="840646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643440"/>
        <c:crosses val="autoZero"/>
        <c:auto val="1"/>
        <c:lblAlgn val="ctr"/>
        <c:lblOffset val="100"/>
        <c:noMultiLvlLbl val="0"/>
      </c:catAx>
      <c:valAx>
        <c:axId val="84064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€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64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3"/>
          <c:order val="0"/>
          <c:tx>
            <c:strRef>
              <c:f>'Ch. 4.7 Alt Costs'!$H$55</c:f>
              <c:strCache>
                <c:ptCount val="1"/>
                <c:pt idx="0">
                  <c:v>LCC oper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'Ch. 4.7 Alt Costs'!$A$56:$E$67</c15:sqref>
                  </c15:fullRef>
                </c:ext>
              </c:extLst>
              <c:f>'Ch. 4.7 Alt Costs'!$A$64:$E$67</c:f>
              <c:multiLvlStrCache>
                <c:ptCount val="4"/>
                <c:lvl/>
                <c:lvl>
                  <c:pt idx="0">
                    <c:v>LoRaWAN</c:v>
                  </c:pt>
                  <c:pt idx="1">
                    <c:v>TS-UNB</c:v>
                  </c:pt>
                  <c:pt idx="2">
                    <c:v>LoRaWAN</c:v>
                  </c:pt>
                  <c:pt idx="3">
                    <c:v>TS-UNB</c:v>
                  </c:pt>
                </c:lvl>
                <c:lvl>
                  <c:pt idx="0">
                    <c:v>S1-P1 &amp; S1-P2</c:v>
                  </c:pt>
                  <c:pt idx="2">
                    <c:v>S2-P1 &amp; S2-P2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'Ch. 4.7 Alt Costs'!$H$56:$H$67</c15:sqref>
                  </c15:fullRef>
                </c:ext>
              </c:extLst>
              <c:f>'Ch. 4.7 Alt Costs'!$H$64:$H$67</c:f>
              <c:numCache>
                <c:formatCode>#,##0\ "€"</c:formatCode>
                <c:ptCount val="4"/>
                <c:pt idx="0">
                  <c:v>22800</c:v>
                </c:pt>
                <c:pt idx="1">
                  <c:v>22800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1E-4198-BA0E-478AF2F1EAEA}"/>
            </c:ext>
          </c:extLst>
        </c:ser>
        <c:ser>
          <c:idx val="4"/>
          <c:order val="1"/>
          <c:tx>
            <c:strRef>
              <c:f>'Ch. 4.7 Alt Costs'!$I$55</c:f>
              <c:strCache>
                <c:ptCount val="1"/>
                <c:pt idx="0">
                  <c:v>LCC maint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'Ch. 4.7 Alt Costs'!$A$56:$E$67</c15:sqref>
                  </c15:fullRef>
                </c:ext>
              </c:extLst>
              <c:f>'Ch. 4.7 Alt Costs'!$A$64:$E$67</c:f>
              <c:multiLvlStrCache>
                <c:ptCount val="4"/>
                <c:lvl/>
                <c:lvl>
                  <c:pt idx="0">
                    <c:v>LoRaWAN</c:v>
                  </c:pt>
                  <c:pt idx="1">
                    <c:v>TS-UNB</c:v>
                  </c:pt>
                  <c:pt idx="2">
                    <c:v>LoRaWAN</c:v>
                  </c:pt>
                  <c:pt idx="3">
                    <c:v>TS-UNB</c:v>
                  </c:pt>
                </c:lvl>
                <c:lvl>
                  <c:pt idx="0">
                    <c:v>S1-P1 &amp; S1-P2</c:v>
                  </c:pt>
                  <c:pt idx="2">
                    <c:v>S2-P1 &amp; S2-P2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'Ch. 4.7 Alt Costs'!$I$56:$I$67</c15:sqref>
                  </c15:fullRef>
                </c:ext>
              </c:extLst>
              <c:f>'Ch. 4.7 Alt Costs'!$I$64:$I$67</c:f>
              <c:numCache>
                <c:formatCode>#,##0\ "€"</c:formatCode>
                <c:ptCount val="4"/>
                <c:pt idx="0">
                  <c:v>424.86000000000007</c:v>
                </c:pt>
                <c:pt idx="1">
                  <c:v>425.89058823529422</c:v>
                </c:pt>
                <c:pt idx="2">
                  <c:v>424.86000000000007</c:v>
                </c:pt>
                <c:pt idx="3">
                  <c:v>425.89058823529422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1E-4198-BA0E-478AF2F1EAEA}"/>
            </c:ext>
          </c:extLst>
        </c:ser>
        <c:ser>
          <c:idx val="1"/>
          <c:order val="2"/>
          <c:tx>
            <c:strRef>
              <c:f>'Ch. 4.7 Alt Costs'!$F$55</c:f>
              <c:strCache>
                <c:ptCount val="1"/>
                <c:pt idx="0">
                  <c:v>LCC pur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'Ch. 4.7 Alt Costs'!$A$56:$E$67</c15:sqref>
                  </c15:fullRef>
                </c:ext>
              </c:extLst>
              <c:f>'Ch. 4.7 Alt Costs'!$A$64:$E$67</c:f>
              <c:multiLvlStrCache>
                <c:ptCount val="4"/>
                <c:lvl/>
                <c:lvl>
                  <c:pt idx="0">
                    <c:v>LoRaWAN</c:v>
                  </c:pt>
                  <c:pt idx="1">
                    <c:v>TS-UNB</c:v>
                  </c:pt>
                  <c:pt idx="2">
                    <c:v>LoRaWAN</c:v>
                  </c:pt>
                  <c:pt idx="3">
                    <c:v>TS-UNB</c:v>
                  </c:pt>
                </c:lvl>
                <c:lvl>
                  <c:pt idx="0">
                    <c:v>S1-P1 &amp; S1-P2</c:v>
                  </c:pt>
                  <c:pt idx="2">
                    <c:v>S2-P1 &amp; S2-P2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'Ch. 4.7 Alt Costs'!$F$56:$F$67</c15:sqref>
                  </c15:fullRef>
                </c:ext>
              </c:extLst>
              <c:f>'Ch. 4.7 Alt Costs'!$F$64:$F$67</c:f>
              <c:numCache>
                <c:formatCode>#,##0\ "€"</c:formatCode>
                <c:ptCount val="4"/>
                <c:pt idx="0">
                  <c:v>974</c:v>
                </c:pt>
                <c:pt idx="1">
                  <c:v>978</c:v>
                </c:pt>
                <c:pt idx="2">
                  <c:v>974</c:v>
                </c:pt>
                <c:pt idx="3">
                  <c:v>978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91E-4198-BA0E-478AF2F1EAEA}"/>
            </c:ext>
          </c:extLst>
        </c:ser>
        <c:ser>
          <c:idx val="2"/>
          <c:order val="3"/>
          <c:tx>
            <c:strRef>
              <c:f>'Ch. 4.7 Alt Costs'!$G$55</c:f>
              <c:strCache>
                <c:ptCount val="1"/>
                <c:pt idx="0">
                  <c:v>LCC depl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3.4397178116616453E-2"/>
                  <c:y val="-9.7612017994787734E-2"/>
                </c:manualLayout>
              </c:layout>
              <c:numFmt formatCode="#,##0\ &quot;€&quot;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91E-4198-BA0E-478AF2F1EAEA}"/>
                </c:ext>
              </c:extLst>
            </c:dLbl>
            <c:dLbl>
              <c:idx val="1"/>
              <c:layout>
                <c:manualLayout>
                  <c:x val="3.3504941134488417E-2"/>
                  <c:y val="-0.10019526704878202"/>
                </c:manualLayout>
              </c:layout>
              <c:numFmt formatCode="#,##0\ &quot;€&quot;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91E-4198-BA0E-478AF2F1EAEA}"/>
                </c:ext>
              </c:extLst>
            </c:dLbl>
            <c:dLbl>
              <c:idx val="2"/>
              <c:layout>
                <c:manualLayout>
                  <c:x val="2.0045150597576354E-2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91E-4198-BA0E-478AF2F1EAEA}"/>
                </c:ext>
              </c:extLst>
            </c:dLbl>
            <c:dLbl>
              <c:idx val="3"/>
              <c:layout>
                <c:manualLayout>
                  <c:x val="2.1087426132081456E-2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591E-4198-BA0E-478AF2F1EAEA}"/>
                </c:ext>
              </c:extLst>
            </c:dLbl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'Ch. 4.7 Alt Costs'!$A$56:$E$67</c15:sqref>
                  </c15:fullRef>
                </c:ext>
              </c:extLst>
              <c:f>'Ch. 4.7 Alt Costs'!$A$64:$E$67</c:f>
              <c:multiLvlStrCache>
                <c:ptCount val="4"/>
                <c:lvl/>
                <c:lvl>
                  <c:pt idx="0">
                    <c:v>LoRaWAN</c:v>
                  </c:pt>
                  <c:pt idx="1">
                    <c:v>TS-UNB</c:v>
                  </c:pt>
                  <c:pt idx="2">
                    <c:v>LoRaWAN</c:v>
                  </c:pt>
                  <c:pt idx="3">
                    <c:v>TS-UNB</c:v>
                  </c:pt>
                </c:lvl>
                <c:lvl>
                  <c:pt idx="0">
                    <c:v>S1-P1 &amp; S1-P2</c:v>
                  </c:pt>
                  <c:pt idx="2">
                    <c:v>S2-P1 &amp; S2-P2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'Ch. 4.7 Alt Costs'!$G$56:$G$67</c15:sqref>
                  </c15:fullRef>
                </c:ext>
              </c:extLst>
              <c:f>'Ch. 4.7 Alt Costs'!$G$64:$G$67</c:f>
              <c:numCache>
                <c:formatCode>#,##0\ "€"</c:formatCode>
                <c:ptCount val="4"/>
                <c:pt idx="0">
                  <c:v>275</c:v>
                </c:pt>
                <c:pt idx="1">
                  <c:v>275</c:v>
                </c:pt>
                <c:pt idx="2">
                  <c:v>275</c:v>
                </c:pt>
                <c:pt idx="3">
                  <c:v>275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91E-4198-BA0E-478AF2F1EAEA}"/>
            </c:ext>
          </c:extLst>
        </c:ser>
        <c:ser>
          <c:idx val="5"/>
          <c:order val="4"/>
          <c:tx>
            <c:strRef>
              <c:f>'Ch. 4.7 Alt Costs'!$J$55</c:f>
              <c:strCache>
                <c:ptCount val="1"/>
                <c:pt idx="0">
                  <c:v>LCC decom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1.9618902076962246E-2"/>
                  <c:y val="6.2037681411966595E-5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591E-4198-BA0E-478AF2F1EAEA}"/>
                </c:ext>
              </c:extLst>
            </c:dLbl>
            <c:dLbl>
              <c:idx val="1"/>
              <c:layout>
                <c:manualLayout>
                  <c:x val="2.1335598007905011E-2"/>
                  <c:y val="-3.8463362475419293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591E-4198-BA0E-478AF2F1EAEA}"/>
                </c:ext>
              </c:extLst>
            </c:dLbl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'Ch. 4.7 Alt Costs'!$A$56:$E$67</c15:sqref>
                  </c15:fullRef>
                </c:ext>
              </c:extLst>
              <c:f>'Ch. 4.7 Alt Costs'!$A$64:$E$67</c:f>
              <c:multiLvlStrCache>
                <c:ptCount val="4"/>
                <c:lvl/>
                <c:lvl>
                  <c:pt idx="0">
                    <c:v>LoRaWAN</c:v>
                  </c:pt>
                  <c:pt idx="1">
                    <c:v>TS-UNB</c:v>
                  </c:pt>
                  <c:pt idx="2">
                    <c:v>LoRaWAN</c:v>
                  </c:pt>
                  <c:pt idx="3">
                    <c:v>TS-UNB</c:v>
                  </c:pt>
                </c:lvl>
                <c:lvl>
                  <c:pt idx="0">
                    <c:v>S1-P1 &amp; S1-P2</c:v>
                  </c:pt>
                  <c:pt idx="2">
                    <c:v>S2-P1 &amp; S2-P2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'Ch. 4.7 Alt Costs'!$J$56:$J$67</c15:sqref>
                  </c15:fullRef>
                </c:ext>
              </c:extLst>
              <c:f>'Ch. 4.7 Alt Costs'!$J$64:$J$67</c:f>
              <c:numCache>
                <c:formatCode>#,##0\ "€"</c:formatCode>
                <c:ptCount val="4"/>
                <c:pt idx="0">
                  <c:v>275</c:v>
                </c:pt>
                <c:pt idx="1">
                  <c:v>275</c:v>
                </c:pt>
                <c:pt idx="2">
                  <c:v>275</c:v>
                </c:pt>
                <c:pt idx="3">
                  <c:v>275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91E-4198-BA0E-478AF2F1EAEA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40"/>
        <c:overlap val="100"/>
        <c:axId val="840646064"/>
        <c:axId val="840643440"/>
      </c:barChart>
      <c:catAx>
        <c:axId val="840646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643440"/>
        <c:crosses val="autoZero"/>
        <c:auto val="1"/>
        <c:lblAlgn val="ctr"/>
        <c:lblOffset val="100"/>
        <c:noMultiLvlLbl val="0"/>
      </c:catAx>
      <c:valAx>
        <c:axId val="840643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€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64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1"/>
          <c:order val="2"/>
          <c:tx>
            <c:strRef>
              <c:f>'Ch. 4.7 Alt Costs'!$F$55</c:f>
              <c:strCache>
                <c:ptCount val="1"/>
                <c:pt idx="0">
                  <c:v>LCC pur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890-4841-BFDE-189DEE35EBF3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890-4841-BFDE-189DEE35EBF3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890-4841-BFDE-189DEE35EBF3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890-4841-BFDE-189DEE35EBF3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2890-4841-BFDE-189DEE35EBF3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890-4841-BFDE-189DEE35EBF3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890-4841-BFDE-189DEE35EBF3}"/>
                </c:ext>
              </c:extLst>
            </c:dLbl>
            <c:dLbl>
              <c:idx val="7"/>
              <c:layout>
                <c:manualLayout>
                  <c:x val="1.7182135233415892E-2"/>
                  <c:y val="-8.937884252578833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2890-4841-BFDE-189DEE35EBF3}"/>
                </c:ext>
              </c:extLst>
            </c:dLbl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'Ch. 4.7 Alt Costs'!$A$56:$E$67</c15:sqref>
                  </c15:fullRef>
                </c:ext>
              </c:extLst>
              <c:f>'Ch. 4.7 Alt Costs'!$A$56:$E$63</c:f>
              <c:multiLvlStrCache>
                <c:ptCount val="8"/>
                <c:lvl>
                  <c:pt idx="0">
                    <c:v>3s</c:v>
                  </c:pt>
                  <c:pt idx="1">
                    <c:v>15s</c:v>
                  </c:pt>
                  <c:pt idx="2">
                    <c:v>60s</c:v>
                  </c:pt>
                  <c:pt idx="3">
                    <c:v>600s</c:v>
                  </c:pt>
                  <c:pt idx="4">
                    <c:v>3s</c:v>
                  </c:pt>
                  <c:pt idx="5">
                    <c:v>15s</c:v>
                  </c:pt>
                  <c:pt idx="6">
                    <c:v>60s</c:v>
                  </c:pt>
                  <c:pt idx="7">
                    <c:v>600s</c:v>
                  </c:pt>
                </c:lvl>
                <c:lvl>
                  <c:pt idx="0">
                    <c:v>NB-IoT</c:v>
                  </c:pt>
                  <c:pt idx="4">
                    <c:v>NB-IoT</c:v>
                  </c:pt>
                </c:lvl>
                <c:lvl>
                  <c:pt idx="0">
                    <c:v>S1-P1</c:v>
                  </c:pt>
                  <c:pt idx="4">
                    <c:v>S1-P2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'Ch. 4.7 Alt Costs'!$F$56:$F$67</c15:sqref>
                  </c15:fullRef>
                </c:ext>
              </c:extLst>
              <c:f>'Ch. 4.7 Alt Costs'!$F$56:$F$63</c:f>
              <c:numCache>
                <c:formatCode>#,##0\ "€"</c:formatCode>
                <c:ptCount val="8"/>
                <c:pt idx="0">
                  <c:v>28</c:v>
                </c:pt>
                <c:pt idx="1">
                  <c:v>28</c:v>
                </c:pt>
                <c:pt idx="2">
                  <c:v>28</c:v>
                </c:pt>
                <c:pt idx="3">
                  <c:v>28</c:v>
                </c:pt>
                <c:pt idx="4">
                  <c:v>28</c:v>
                </c:pt>
                <c:pt idx="5">
                  <c:v>28</c:v>
                </c:pt>
                <c:pt idx="6">
                  <c:v>28</c:v>
                </c:pt>
                <c:pt idx="7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890-4841-BFDE-189DEE35EBF3}"/>
            </c:ext>
          </c:extLst>
        </c:ser>
        <c:ser>
          <c:idx val="4"/>
          <c:order val="3"/>
          <c:tx>
            <c:strRef>
              <c:f>'Ch. 4.7 Alt Costs'!$I$55</c:f>
              <c:strCache>
                <c:ptCount val="1"/>
                <c:pt idx="0">
                  <c:v>LCC maint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2890-4841-BFDE-189DEE35EBF3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2890-4841-BFDE-189DEE35EBF3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2890-4841-BFDE-189DEE35EBF3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2890-4841-BFDE-189DEE35EBF3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2890-4841-BFDE-189DEE35EBF3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2890-4841-BFDE-189DEE35EBF3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2890-4841-BFDE-189DEE35EBF3}"/>
                </c:ext>
              </c:extLst>
            </c:dLbl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'Ch. 4.7 Alt Costs'!$A$56:$E$67</c15:sqref>
                  </c15:fullRef>
                </c:ext>
              </c:extLst>
              <c:f>'Ch. 4.7 Alt Costs'!$A$56:$E$63</c:f>
              <c:multiLvlStrCache>
                <c:ptCount val="8"/>
                <c:lvl>
                  <c:pt idx="0">
                    <c:v>3s</c:v>
                  </c:pt>
                  <c:pt idx="1">
                    <c:v>15s</c:v>
                  </c:pt>
                  <c:pt idx="2">
                    <c:v>60s</c:v>
                  </c:pt>
                  <c:pt idx="3">
                    <c:v>600s</c:v>
                  </c:pt>
                  <c:pt idx="4">
                    <c:v>3s</c:v>
                  </c:pt>
                  <c:pt idx="5">
                    <c:v>15s</c:v>
                  </c:pt>
                  <c:pt idx="6">
                    <c:v>60s</c:v>
                  </c:pt>
                  <c:pt idx="7">
                    <c:v>600s</c:v>
                  </c:pt>
                </c:lvl>
                <c:lvl>
                  <c:pt idx="0">
                    <c:v>NB-IoT</c:v>
                  </c:pt>
                  <c:pt idx="4">
                    <c:v>NB-IoT</c:v>
                  </c:pt>
                </c:lvl>
                <c:lvl>
                  <c:pt idx="0">
                    <c:v>S1-P1</c:v>
                  </c:pt>
                  <c:pt idx="4">
                    <c:v>S1-P2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'Ch. 4.7 Alt Costs'!$I$56:$I$67</c15:sqref>
                  </c15:fullRef>
                </c:ext>
              </c:extLst>
              <c:f>'Ch. 4.7 Alt Costs'!$I$56:$I$63</c:f>
              <c:numCache>
                <c:formatCode>#,##0\ "€"</c:formatCode>
                <c:ptCount val="8"/>
                <c:pt idx="0">
                  <c:v>148.92000000000002</c:v>
                </c:pt>
                <c:pt idx="1">
                  <c:v>148.92000000000002</c:v>
                </c:pt>
                <c:pt idx="2">
                  <c:v>148.92000000000002</c:v>
                </c:pt>
                <c:pt idx="3">
                  <c:v>148.92000000000002</c:v>
                </c:pt>
                <c:pt idx="4">
                  <c:v>148.92000000000002</c:v>
                </c:pt>
                <c:pt idx="5">
                  <c:v>148.92000000000002</c:v>
                </c:pt>
                <c:pt idx="6">
                  <c:v>148.92000000000002</c:v>
                </c:pt>
                <c:pt idx="7">
                  <c:v>148.92000000000002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2890-4841-BFDE-189DEE35EBF3}"/>
            </c:ext>
          </c:extLst>
        </c:ser>
        <c:ser>
          <c:idx val="3"/>
          <c:order val="4"/>
          <c:tx>
            <c:strRef>
              <c:f>'Ch. 4.7 Alt Costs'!$H$55</c:f>
              <c:strCache>
                <c:ptCount val="1"/>
                <c:pt idx="0">
                  <c:v>LCC oper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Lbl>
              <c:idx val="0"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2890-4841-BFDE-189DEE35EBF3}"/>
                </c:ext>
              </c:extLst>
            </c:dLbl>
            <c:dLbl>
              <c:idx val="1"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2890-4841-BFDE-189DEE35EBF3}"/>
                </c:ext>
              </c:extLst>
            </c:dLbl>
            <c:dLbl>
              <c:idx val="2"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2890-4841-BFDE-189DEE35EBF3}"/>
                </c:ext>
              </c:extLst>
            </c:dLbl>
            <c:dLbl>
              <c:idx val="3"/>
              <c:layout>
                <c:manualLayout>
                  <c:x val="5.322673735063374E-2"/>
                  <c:y val="7.3774553700340728E-4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2890-4841-BFDE-189DEE35EBF3}"/>
                </c:ext>
              </c:extLst>
            </c:dLbl>
            <c:dLbl>
              <c:idx val="4"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2890-4841-BFDE-189DEE35EBF3}"/>
                </c:ext>
              </c:extLst>
            </c:dLbl>
            <c:dLbl>
              <c:idx val="5"/>
              <c:layout>
                <c:manualLayout>
                  <c:x val="8.0756035597054784E-2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2890-4841-BFDE-189DEE35EBF3}"/>
                </c:ext>
              </c:extLst>
            </c:dLbl>
            <c:dLbl>
              <c:idx val="6"/>
              <c:layout>
                <c:manualLayout>
                  <c:x val="5.6701046270272552E-2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2890-4841-BFDE-189DEE35EBF3}"/>
                </c:ext>
              </c:extLst>
            </c:dLbl>
            <c:dLbl>
              <c:idx val="7"/>
              <c:layout>
                <c:manualLayout>
                  <c:x val="5.1508474042046677E-2"/>
                  <c:y val="5.928659035853948E-4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2890-4841-BFDE-189DEE35EBF3}"/>
                </c:ext>
              </c:extLst>
            </c:dLbl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'Ch. 4.7 Alt Costs'!$A$56:$E$67</c15:sqref>
                  </c15:fullRef>
                </c:ext>
              </c:extLst>
              <c:f>'Ch. 4.7 Alt Costs'!$A$56:$E$63</c:f>
              <c:multiLvlStrCache>
                <c:ptCount val="8"/>
                <c:lvl>
                  <c:pt idx="0">
                    <c:v>3s</c:v>
                  </c:pt>
                  <c:pt idx="1">
                    <c:v>15s</c:v>
                  </c:pt>
                  <c:pt idx="2">
                    <c:v>60s</c:v>
                  </c:pt>
                  <c:pt idx="3">
                    <c:v>600s</c:v>
                  </c:pt>
                  <c:pt idx="4">
                    <c:v>3s</c:v>
                  </c:pt>
                  <c:pt idx="5">
                    <c:v>15s</c:v>
                  </c:pt>
                  <c:pt idx="6">
                    <c:v>60s</c:v>
                  </c:pt>
                  <c:pt idx="7">
                    <c:v>600s</c:v>
                  </c:pt>
                </c:lvl>
                <c:lvl>
                  <c:pt idx="0">
                    <c:v>NB-IoT</c:v>
                  </c:pt>
                  <c:pt idx="4">
                    <c:v>NB-IoT</c:v>
                  </c:pt>
                </c:lvl>
                <c:lvl>
                  <c:pt idx="0">
                    <c:v>S1-P1</c:v>
                  </c:pt>
                  <c:pt idx="4">
                    <c:v>S1-P2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'Ch. 4.7 Alt Costs'!$H$56:$H$67</c15:sqref>
                  </c15:fullRef>
                </c:ext>
              </c:extLst>
              <c:f>'Ch. 4.7 Alt Costs'!$H$56:$H$63</c:f>
              <c:numCache>
                <c:formatCode>#,##0\ "€"</c:formatCode>
                <c:ptCount val="8"/>
                <c:pt idx="0">
                  <c:v>3389.9582186234811</c:v>
                </c:pt>
                <c:pt idx="1">
                  <c:v>677.99164372469636</c:v>
                </c:pt>
                <c:pt idx="2">
                  <c:v>169.49791093117409</c:v>
                </c:pt>
                <c:pt idx="3">
                  <c:v>16.949791093117412</c:v>
                </c:pt>
                <c:pt idx="4">
                  <c:v>539.13599999999997</c:v>
                </c:pt>
                <c:pt idx="5">
                  <c:v>107.82719999999999</c:v>
                </c:pt>
                <c:pt idx="6">
                  <c:v>26.956799999999998</c:v>
                </c:pt>
                <c:pt idx="7">
                  <c:v>2.6956799999999999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2890-4841-BFDE-189DEE35EBF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0"/>
        <c:overlap val="100"/>
        <c:axId val="840646064"/>
        <c:axId val="840643440"/>
        <c:extLst>
          <c:ext xmlns:c15="http://schemas.microsoft.com/office/drawing/2012/chart" uri="{02D57815-91ED-43cb-92C2-25804820EDAC}">
            <c15:filteredBarSeries>
              <c15:ser>
                <c:idx val="5"/>
                <c:order val="0"/>
                <c:tx>
                  <c:strRef>
                    <c:extLst>
                      <c:ext uri="{02D57815-91ED-43cb-92C2-25804820EDAC}">
                        <c15:formulaRef>
                          <c15:sqref>'Ch. 4.7 Alt Costs'!$J$55</c15:sqref>
                        </c15:formulaRef>
                      </c:ext>
                    </c:extLst>
                    <c:strCache>
                      <c:ptCount val="1"/>
                      <c:pt idx="0">
                        <c:v>LCC decom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40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uri="{02D57815-91ED-43cb-92C2-25804820EDAC}">
                        <c15:fullRef>
                          <c15:sqref>'Ch. 4.7 Alt Costs'!$A$56:$E$67</c15:sqref>
                        </c15:fullRef>
                        <c15:formulaRef>
                          <c15:sqref>'Ch. 4.7 Alt Costs'!$A$56:$E$63</c15:sqref>
                        </c15:formulaRef>
                      </c:ext>
                    </c:extLst>
                    <c:multiLvlStrCache>
                      <c:ptCount val="8"/>
                      <c:lvl>
                        <c:pt idx="0">
                          <c:v>3s</c:v>
                        </c:pt>
                        <c:pt idx="1">
                          <c:v>15s</c:v>
                        </c:pt>
                        <c:pt idx="2">
                          <c:v>60s</c:v>
                        </c:pt>
                        <c:pt idx="3">
                          <c:v>600s</c:v>
                        </c:pt>
                        <c:pt idx="4">
                          <c:v>3s</c:v>
                        </c:pt>
                        <c:pt idx="5">
                          <c:v>15s</c:v>
                        </c:pt>
                        <c:pt idx="6">
                          <c:v>60s</c:v>
                        </c:pt>
                        <c:pt idx="7">
                          <c:v>600s</c:v>
                        </c:pt>
                      </c:lvl>
                      <c:lvl>
                        <c:pt idx="0">
                          <c:v>NB-IoT</c:v>
                        </c:pt>
                        <c:pt idx="4">
                          <c:v>NB-IoT</c:v>
                        </c:pt>
                      </c:lvl>
                      <c:lvl>
                        <c:pt idx="0">
                          <c:v>S1-P1</c:v>
                        </c:pt>
                        <c:pt idx="4">
                          <c:v>S1-P2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ullRef>
                          <c15:sqref>'Ch. 4.7 Alt Costs'!$J$56:$J$67</c15:sqref>
                        </c15:fullRef>
                        <c15:formulaRef>
                          <c15:sqref>'Ch. 4.7 Alt Costs'!$J$56:$J$63</c15:sqref>
                        </c15:formulaRef>
                      </c:ext>
                    </c:extLst>
                    <c:numCache>
                      <c:formatCode>#,##0\ "€"</c:formatCode>
                      <c:ptCount val="8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A-2890-4841-BFDE-189DEE35EBF3}"/>
                  </c:ext>
                </c:extLst>
              </c15:ser>
            </c15:filteredBarSeries>
            <c15:filteredBarSeries>
              <c15:ser>
                <c:idx val="2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'Ch. 4.7 Alt Costs'!$G$55</c15:sqref>
                        </c15:formulaRef>
                      </c:ext>
                    </c:extLst>
                    <c:strCache>
                      <c:ptCount val="1"/>
                      <c:pt idx="0">
                        <c:v>LCC depl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40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xmlns:c15="http://schemas.microsoft.com/office/drawing/2012/chart" uri="{02D57815-91ED-43cb-92C2-25804820EDAC}">
                        <c15:fullRef>
                          <c15:sqref>'Ch. 4.7 Alt Costs'!$A$56:$E$67</c15:sqref>
                        </c15:fullRef>
                        <c15:formulaRef>
                          <c15:sqref>'Ch. 4.7 Alt Costs'!$A$56:$E$63</c15:sqref>
                        </c15:formulaRef>
                      </c:ext>
                    </c:extLst>
                    <c:multiLvlStrCache>
                      <c:ptCount val="8"/>
                      <c:lvl>
                        <c:pt idx="0">
                          <c:v>3s</c:v>
                        </c:pt>
                        <c:pt idx="1">
                          <c:v>15s</c:v>
                        </c:pt>
                        <c:pt idx="2">
                          <c:v>60s</c:v>
                        </c:pt>
                        <c:pt idx="3">
                          <c:v>600s</c:v>
                        </c:pt>
                        <c:pt idx="4">
                          <c:v>3s</c:v>
                        </c:pt>
                        <c:pt idx="5">
                          <c:v>15s</c:v>
                        </c:pt>
                        <c:pt idx="6">
                          <c:v>60s</c:v>
                        </c:pt>
                        <c:pt idx="7">
                          <c:v>600s</c:v>
                        </c:pt>
                      </c:lvl>
                      <c:lvl>
                        <c:pt idx="0">
                          <c:v>NB-IoT</c:v>
                        </c:pt>
                        <c:pt idx="4">
                          <c:v>NB-IoT</c:v>
                        </c:pt>
                      </c:lvl>
                      <c:lvl>
                        <c:pt idx="0">
                          <c:v>S1-P1</c:v>
                        </c:pt>
                        <c:pt idx="4">
                          <c:v>S1-P2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'Ch. 4.7 Alt Costs'!$G$56:$G$67</c15:sqref>
                        </c15:fullRef>
                        <c15:formulaRef>
                          <c15:sqref>'Ch. 4.7 Alt Costs'!$G$56:$G$63</c15:sqref>
                        </c15:formulaRef>
                      </c:ext>
                    </c:extLst>
                    <c:numCache>
                      <c:formatCode>#,##0\ "€"</c:formatCode>
                      <c:ptCount val="8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2890-4841-BFDE-189DEE35EBF3}"/>
                  </c:ext>
                </c:extLst>
              </c15:ser>
            </c15:filteredBarSeries>
          </c:ext>
        </c:extLst>
      </c:barChart>
      <c:catAx>
        <c:axId val="840646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643440"/>
        <c:crosses val="autoZero"/>
        <c:auto val="1"/>
        <c:lblAlgn val="ctr"/>
        <c:lblOffset val="100"/>
        <c:noMultiLvlLbl val="0"/>
      </c:catAx>
      <c:valAx>
        <c:axId val="840643440"/>
        <c:scaling>
          <c:logBase val="10"/>
          <c:orientation val="minMax"/>
          <c:max val="300000"/>
          <c:min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€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64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3"/>
          <c:order val="3"/>
          <c:spPr>
            <a:noFill/>
            <a:ln>
              <a:noFill/>
            </a:ln>
            <a:effectLst/>
          </c:spPr>
          <c:invertIfNegative val="0"/>
          <c:cat>
            <c:strRef>
              <c:f>Summary!$S$2:$S$33</c:f>
              <c:strCache>
                <c:ptCount val="3"/>
                <c:pt idx="0">
                  <c:v>High</c:v>
                </c:pt>
                <c:pt idx="1">
                  <c:v>Medium</c:v>
                </c:pt>
                <c:pt idx="2">
                  <c:v>Low</c:v>
                </c:pt>
              </c:strCache>
            </c:strRef>
          </c:cat>
          <c:val>
            <c:numRef>
              <c:f>Summary!$T$2:$T$33</c:f>
              <c:numCache>
                <c:formatCode>General</c:formatCode>
                <c:ptCount val="32"/>
              </c:numCache>
            </c:numRef>
          </c:val>
          <c:extLst>
            <c:ext xmlns:c16="http://schemas.microsoft.com/office/drawing/2014/chart" uri="{C3380CC4-5D6E-409C-BE32-E72D297353CC}">
              <c16:uniqueId val="{00000003-08FB-4AE6-9B22-6CE5E660AD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99309120"/>
        <c:axId val="1093062440"/>
      </c:barChart>
      <c:radarChart>
        <c:radarStyle val="marker"/>
        <c:varyColors val="0"/>
        <c:ser>
          <c:idx val="0"/>
          <c:order val="0"/>
          <c:tx>
            <c:strRef>
              <c:f>Summary!$O$1</c:f>
              <c:strCache>
                <c:ptCount val="1"/>
                <c:pt idx="0">
                  <c:v>NB-IoT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Summary!$N$2:$N$7</c:f>
              <c:strCache>
                <c:ptCount val="6"/>
                <c:pt idx="0">
                  <c:v>Coverage</c:v>
                </c:pt>
                <c:pt idx="1">
                  <c:v>Msg Interval</c:v>
                </c:pt>
                <c:pt idx="2">
                  <c:v>Throughput</c:v>
                </c:pt>
                <c:pt idx="3">
                  <c:v>Reliability</c:v>
                </c:pt>
                <c:pt idx="4">
                  <c:v>Energy Consumption</c:v>
                </c:pt>
                <c:pt idx="5">
                  <c:v>Costs</c:v>
                </c:pt>
              </c:strCache>
            </c:strRef>
          </c:cat>
          <c:val>
            <c:numRef>
              <c:f>Summary!$O$2:$O$7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FB-4AE6-9B22-6CE5E660AD03}"/>
            </c:ext>
          </c:extLst>
        </c:ser>
        <c:ser>
          <c:idx val="1"/>
          <c:order val="1"/>
          <c:tx>
            <c:strRef>
              <c:f>Summary!$P$1</c:f>
              <c:strCache>
                <c:ptCount val="1"/>
                <c:pt idx="0">
                  <c:v>LoRaWAN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Summary!$N$2:$N$7</c:f>
              <c:strCache>
                <c:ptCount val="6"/>
                <c:pt idx="0">
                  <c:v>Coverage</c:v>
                </c:pt>
                <c:pt idx="1">
                  <c:v>Msg Interval</c:v>
                </c:pt>
                <c:pt idx="2">
                  <c:v>Throughput</c:v>
                </c:pt>
                <c:pt idx="3">
                  <c:v>Reliability</c:v>
                </c:pt>
                <c:pt idx="4">
                  <c:v>Energy Consumption</c:v>
                </c:pt>
                <c:pt idx="5">
                  <c:v>Costs</c:v>
                </c:pt>
              </c:strCache>
            </c:strRef>
          </c:cat>
          <c:val>
            <c:numRef>
              <c:f>Summary!$P$2:$P$7</c:f>
              <c:numCache>
                <c:formatCode>General</c:formatCode>
                <c:ptCount val="6"/>
                <c:pt idx="0">
                  <c:v>3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FB-4AE6-9B22-6CE5E660AD03}"/>
            </c:ext>
          </c:extLst>
        </c:ser>
        <c:ser>
          <c:idx val="2"/>
          <c:order val="2"/>
          <c:tx>
            <c:strRef>
              <c:f>Summary!$Q$1</c:f>
              <c:strCache>
                <c:ptCount val="1"/>
                <c:pt idx="0">
                  <c:v>TS-UNB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Summary!$N$2:$N$7</c:f>
              <c:strCache>
                <c:ptCount val="6"/>
                <c:pt idx="0">
                  <c:v>Coverage</c:v>
                </c:pt>
                <c:pt idx="1">
                  <c:v>Msg Interval</c:v>
                </c:pt>
                <c:pt idx="2">
                  <c:v>Throughput</c:v>
                </c:pt>
                <c:pt idx="3">
                  <c:v>Reliability</c:v>
                </c:pt>
                <c:pt idx="4">
                  <c:v>Energy Consumption</c:v>
                </c:pt>
                <c:pt idx="5">
                  <c:v>Costs</c:v>
                </c:pt>
              </c:strCache>
            </c:strRef>
          </c:cat>
          <c:val>
            <c:numRef>
              <c:f>Summary!$Q$2:$Q$7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8FB-4AE6-9B22-6CE5E660AD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4230120"/>
        <c:axId val="504227824"/>
      </c:radarChart>
      <c:catAx>
        <c:axId val="504230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227824"/>
        <c:crosses val="autoZero"/>
        <c:auto val="1"/>
        <c:lblAlgn val="ctr"/>
        <c:lblOffset val="100"/>
        <c:noMultiLvlLbl val="0"/>
      </c:catAx>
      <c:valAx>
        <c:axId val="50422782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04230120"/>
        <c:crosses val="autoZero"/>
        <c:crossBetween val="between"/>
        <c:majorUnit val="1"/>
      </c:valAx>
      <c:valAx>
        <c:axId val="1093062440"/>
        <c:scaling>
          <c:orientation val="minMax"/>
          <c:max val="1"/>
        </c:scaling>
        <c:delete val="1"/>
        <c:axPos val="b"/>
        <c:numFmt formatCode="General" sourceLinked="1"/>
        <c:majorTickMark val="out"/>
        <c:minorTickMark val="none"/>
        <c:tickLblPos val="nextTo"/>
        <c:crossAx val="1099309120"/>
        <c:crosses val="max"/>
        <c:crossBetween val="midCat"/>
      </c:valAx>
      <c:dateAx>
        <c:axId val="109930912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3062440"/>
        <c:crossesAt val="0.5"/>
        <c:auto val="0"/>
        <c:lblOffset val="100"/>
        <c:baseTimeUnit val="days"/>
      </c:dateAx>
      <c:spPr>
        <a:noFill/>
        <a:ln>
          <a:noFill/>
        </a:ln>
        <a:effectLst/>
      </c:spPr>
    </c:plotArea>
    <c:legend>
      <c:legendPos val="t"/>
      <c:legendEntry>
        <c:idx val="0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323850</xdr:colOff>
      <xdr:row>23</xdr:row>
      <xdr:rowOff>95250</xdr:rowOff>
    </xdr:from>
    <xdr:to>
      <xdr:col>4</xdr:col>
      <xdr:colOff>523876</xdr:colOff>
      <xdr:row>26</xdr:row>
      <xdr:rowOff>95250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7872" t="35779" r="47443" b="51667"/>
        <a:stretch/>
      </xdr:blipFill>
      <xdr:spPr>
        <a:xfrm>
          <a:off x="2314575" y="3524250"/>
          <a:ext cx="904876" cy="571500"/>
        </a:xfrm>
        <a:prstGeom prst="rect">
          <a:avLst/>
        </a:prstGeom>
      </xdr:spPr>
    </xdr:pic>
    <xdr:clientData/>
  </xdr:twoCellAnchor>
  <xdr:twoCellAnchor>
    <xdr:from>
      <xdr:col>0</xdr:col>
      <xdr:colOff>257175</xdr:colOff>
      <xdr:row>17</xdr:row>
      <xdr:rowOff>66675</xdr:rowOff>
    </xdr:from>
    <xdr:to>
      <xdr:col>8</xdr:col>
      <xdr:colOff>152400</xdr:colOff>
      <xdr:row>19</xdr:row>
      <xdr:rowOff>142875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2733675"/>
          <a:ext cx="5048250" cy="457200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0</xdr:col>
      <xdr:colOff>171450</xdr:colOff>
      <xdr:row>32</xdr:row>
      <xdr:rowOff>104775</xdr:rowOff>
    </xdr:from>
    <xdr:to>
      <xdr:col>4</xdr:col>
      <xdr:colOff>542925</xdr:colOff>
      <xdr:row>34</xdr:row>
      <xdr:rowOff>152400</xdr:rowOff>
    </xdr:to>
    <xdr:pic>
      <xdr:nvPicPr>
        <xdr:cNvPr id="6" name="Picture 5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9477" t="11509" r="30594" b="79076"/>
        <a:stretch/>
      </xdr:blipFill>
      <xdr:spPr>
        <a:xfrm>
          <a:off x="171450" y="4867275"/>
          <a:ext cx="3076575" cy="428625"/>
        </a:xfrm>
        <a:prstGeom prst="rect">
          <a:avLst/>
        </a:prstGeom>
      </xdr:spPr>
    </xdr:pic>
    <xdr:clientData/>
  </xdr:twoCellAnchor>
  <xdr:twoCellAnchor editAs="oneCell">
    <xdr:from>
      <xdr:col>10</xdr:col>
      <xdr:colOff>19050</xdr:colOff>
      <xdr:row>3</xdr:row>
      <xdr:rowOff>9525</xdr:rowOff>
    </xdr:from>
    <xdr:to>
      <xdr:col>12</xdr:col>
      <xdr:colOff>76200</xdr:colOff>
      <xdr:row>6</xdr:row>
      <xdr:rowOff>85725</xdr:rowOff>
    </xdr:to>
    <xdr:pic>
      <xdr:nvPicPr>
        <xdr:cNvPr id="7" name="Picture 6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36395" t="3108" r="38489" b="84459"/>
        <a:stretch/>
      </xdr:blipFill>
      <xdr:spPr>
        <a:xfrm>
          <a:off x="6391275" y="533400"/>
          <a:ext cx="1590675" cy="6477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28</xdr:row>
      <xdr:rowOff>0</xdr:rowOff>
    </xdr:from>
    <xdr:to>
      <xdr:col>3</xdr:col>
      <xdr:colOff>190500</xdr:colOff>
      <xdr:row>29</xdr:row>
      <xdr:rowOff>76200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43500"/>
          <a:ext cx="1905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296955</xdr:colOff>
      <xdr:row>58</xdr:row>
      <xdr:rowOff>174812</xdr:rowOff>
    </xdr:from>
    <xdr:to>
      <xdr:col>19</xdr:col>
      <xdr:colOff>100854</xdr:colOff>
      <xdr:row>72</xdr:row>
      <xdr:rowOff>172570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504265</xdr:colOff>
      <xdr:row>76</xdr:row>
      <xdr:rowOff>0</xdr:rowOff>
    </xdr:from>
    <xdr:to>
      <xdr:col>19</xdr:col>
      <xdr:colOff>375398</xdr:colOff>
      <xdr:row>90</xdr:row>
      <xdr:rowOff>76200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358591</xdr:colOff>
      <xdr:row>76</xdr:row>
      <xdr:rowOff>0</xdr:rowOff>
    </xdr:from>
    <xdr:to>
      <xdr:col>22</xdr:col>
      <xdr:colOff>324972</xdr:colOff>
      <xdr:row>90</xdr:row>
      <xdr:rowOff>76201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7</xdr:col>
      <xdr:colOff>462805</xdr:colOff>
      <xdr:row>118</xdr:row>
      <xdr:rowOff>123825</xdr:rowOff>
    </xdr:from>
    <xdr:to>
      <xdr:col>17</xdr:col>
      <xdr:colOff>0</xdr:colOff>
      <xdr:row>136</xdr:row>
      <xdr:rowOff>28575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9525</xdr:colOff>
      <xdr:row>48</xdr:row>
      <xdr:rowOff>52387</xdr:rowOff>
    </xdr:from>
    <xdr:ext cx="65" cy="172227"/>
    <xdr:sp macro="" textlink="">
      <xdr:nvSpPr>
        <xdr:cNvPr id="2" name="TextBox 1"/>
        <xdr:cNvSpPr txBox="1"/>
      </xdr:nvSpPr>
      <xdr:spPr>
        <a:xfrm>
          <a:off x="6257925" y="14273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</xdr:col>
      <xdr:colOff>1467</xdr:colOff>
      <xdr:row>69</xdr:row>
      <xdr:rowOff>73269</xdr:rowOff>
    </xdr:from>
    <xdr:to>
      <xdr:col>13</xdr:col>
      <xdr:colOff>0</xdr:colOff>
      <xdr:row>91</xdr:row>
      <xdr:rowOff>2931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1251</xdr:colOff>
      <xdr:row>91</xdr:row>
      <xdr:rowOff>125505</xdr:rowOff>
    </xdr:from>
    <xdr:to>
      <xdr:col>12</xdr:col>
      <xdr:colOff>608134</xdr:colOff>
      <xdr:row>111</xdr:row>
      <xdr:rowOff>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608134</xdr:colOff>
      <xdr:row>111</xdr:row>
      <xdr:rowOff>190498</xdr:rowOff>
    </xdr:from>
    <xdr:to>
      <xdr:col>12</xdr:col>
      <xdr:colOff>608134</xdr:colOff>
      <xdr:row>135</xdr:row>
      <xdr:rowOff>7325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139</xdr:row>
      <xdr:rowOff>0</xdr:rowOff>
    </xdr:from>
    <xdr:to>
      <xdr:col>12</xdr:col>
      <xdr:colOff>606668</xdr:colOff>
      <xdr:row>161</xdr:row>
      <xdr:rowOff>131884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9525</xdr:colOff>
      <xdr:row>48</xdr:row>
      <xdr:rowOff>52387</xdr:rowOff>
    </xdr:from>
    <xdr:ext cx="65" cy="172227"/>
    <xdr:sp macro="" textlink="">
      <xdr:nvSpPr>
        <xdr:cNvPr id="2" name="TextBox 1"/>
        <xdr:cNvSpPr txBox="1"/>
      </xdr:nvSpPr>
      <xdr:spPr>
        <a:xfrm>
          <a:off x="6153150" y="134921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</xdr:col>
      <xdr:colOff>1467</xdr:colOff>
      <xdr:row>69</xdr:row>
      <xdr:rowOff>73269</xdr:rowOff>
    </xdr:from>
    <xdr:to>
      <xdr:col>13</xdr:col>
      <xdr:colOff>0</xdr:colOff>
      <xdr:row>91</xdr:row>
      <xdr:rowOff>2931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1251</xdr:colOff>
      <xdr:row>91</xdr:row>
      <xdr:rowOff>125505</xdr:rowOff>
    </xdr:from>
    <xdr:to>
      <xdr:col>12</xdr:col>
      <xdr:colOff>608134</xdr:colOff>
      <xdr:row>111</xdr:row>
      <xdr:rowOff>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608134</xdr:colOff>
      <xdr:row>111</xdr:row>
      <xdr:rowOff>190498</xdr:rowOff>
    </xdr:from>
    <xdr:to>
      <xdr:col>12</xdr:col>
      <xdr:colOff>608134</xdr:colOff>
      <xdr:row>135</xdr:row>
      <xdr:rowOff>7325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139</xdr:row>
      <xdr:rowOff>0</xdr:rowOff>
    </xdr:from>
    <xdr:to>
      <xdr:col>12</xdr:col>
      <xdr:colOff>606668</xdr:colOff>
      <xdr:row>160</xdr:row>
      <xdr:rowOff>120162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60891</xdr:colOff>
      <xdr:row>8</xdr:row>
      <xdr:rowOff>60566</xdr:rowOff>
    </xdr:from>
    <xdr:to>
      <xdr:col>21</xdr:col>
      <xdr:colOff>467029</xdr:colOff>
      <xdr:row>27</xdr:row>
      <xdr:rowOff>159937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3.xml"/><Relationship Id="rId3" Type="http://schemas.openxmlformats.org/officeDocument/2006/relationships/hyperlink" Target="https://www.u-blox.com/sites/default/files/SARA-R4_DataSheet_%28UBX-16024152%29.pdf" TargetMode="External"/><Relationship Id="rId7" Type="http://schemas.openxmlformats.org/officeDocument/2006/relationships/printerSettings" Target="../printerSettings/printerSettings7.bin"/><Relationship Id="rId2" Type="http://schemas.openxmlformats.org/officeDocument/2006/relationships/hyperlink" Target="https://www.semak.com.ar/Item/File/4414?filename=AirPrime%20WP77XX%20Product%20Specification%20r2.pdf" TargetMode="External"/><Relationship Id="rId1" Type="http://schemas.openxmlformats.org/officeDocument/2006/relationships/hyperlink" Target="https://www.quectel.com/UploadFile/Product/Quectel_BG96_LTE_Specification_V1.4.pdf" TargetMode="External"/><Relationship Id="rId6" Type="http://schemas.openxmlformats.org/officeDocument/2006/relationships/hyperlink" Target="https://wireless.murata.com/pub/RFM/data/type_abz.pdf" TargetMode="External"/><Relationship Id="rId5" Type="http://schemas.openxmlformats.org/officeDocument/2006/relationships/hyperlink" Target="https://connectivity-staging.s3.us-east-2.amazonaws.com/2019-02/CS-DS-RM1xx%20v1_9.pdf" TargetMode="External"/><Relationship Id="rId4" Type="http://schemas.openxmlformats.org/officeDocument/2006/relationships/hyperlink" Target="https://techship.com/download/simcom-sim7020-datasheet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F31" sqref="F31"/>
    </sheetView>
  </sheetViews>
  <sheetFormatPr defaultRowHeight="15.75" x14ac:dyDescent="0.25"/>
  <cols>
    <col min="1" max="1" width="12.5703125" style="15" bestFit="1" customWidth="1"/>
    <col min="2" max="2" width="8.42578125" style="15" bestFit="1" customWidth="1"/>
    <col min="3" max="3" width="8.7109375" style="15" bestFit="1" customWidth="1"/>
    <col min="4" max="4" width="10.140625" style="15" customWidth="1"/>
    <col min="5" max="5" width="10.28515625" style="15" customWidth="1"/>
    <col min="6" max="9" width="9.140625" style="15"/>
    <col min="10" max="10" width="10.85546875" style="15" bestFit="1" customWidth="1"/>
    <col min="11" max="16384" width="9.140625" style="15"/>
  </cols>
  <sheetData>
    <row r="1" spans="1:12" x14ac:dyDescent="0.25">
      <c r="A1" s="213" t="s">
        <v>0</v>
      </c>
      <c r="B1" s="216" t="s">
        <v>30</v>
      </c>
      <c r="C1" s="217"/>
      <c r="D1" s="218"/>
      <c r="E1" s="86"/>
      <c r="H1" s="15" t="s">
        <v>31</v>
      </c>
    </row>
    <row r="2" spans="1:12" x14ac:dyDescent="0.25">
      <c r="A2" s="213"/>
      <c r="B2" s="215" t="s">
        <v>1</v>
      </c>
      <c r="C2" s="215"/>
      <c r="D2" s="83" t="s">
        <v>2</v>
      </c>
      <c r="E2" s="87"/>
      <c r="F2" s="1">
        <v>8</v>
      </c>
      <c r="G2" s="1" t="s">
        <v>3</v>
      </c>
      <c r="H2" s="1">
        <v>2717</v>
      </c>
      <c r="I2" s="1" t="s">
        <v>4</v>
      </c>
    </row>
    <row r="3" spans="1:12" ht="16.5" thickBot="1" x14ac:dyDescent="0.3">
      <c r="A3" s="214"/>
      <c r="B3" s="22" t="s">
        <v>28</v>
      </c>
      <c r="C3" s="22" t="s">
        <v>29</v>
      </c>
      <c r="D3" s="22" t="s">
        <v>28</v>
      </c>
      <c r="F3" s="1"/>
      <c r="G3" s="1"/>
      <c r="H3" s="1"/>
      <c r="I3" s="1"/>
    </row>
    <row r="4" spans="1:12" x14ac:dyDescent="0.25">
      <c r="A4" s="23" t="s">
        <v>5</v>
      </c>
      <c r="B4" s="21">
        <f>B6*20</f>
        <v>1555.4214206845786</v>
      </c>
      <c r="C4" s="21">
        <f>C6*20</f>
        <v>624.33566433566432</v>
      </c>
      <c r="D4" s="100">
        <f>H6*F2/F4</f>
        <v>293.33333333333331</v>
      </c>
      <c r="F4" s="1">
        <v>3</v>
      </c>
      <c r="G4" s="1" t="s">
        <v>6</v>
      </c>
      <c r="H4" s="1">
        <v>26413</v>
      </c>
      <c r="I4" s="1" t="s">
        <v>7</v>
      </c>
      <c r="J4" s="17"/>
      <c r="K4" s="17"/>
      <c r="L4" s="17"/>
    </row>
    <row r="5" spans="1:12" x14ac:dyDescent="0.25">
      <c r="A5" s="24" t="s">
        <v>8</v>
      </c>
      <c r="B5" s="20">
        <f>B6*4</f>
        <v>311.0842841369157</v>
      </c>
      <c r="C5" s="20">
        <f>C6*4</f>
        <v>124.86713286713287</v>
      </c>
      <c r="D5" s="101">
        <f>F2*H6/F5</f>
        <v>58.666666666666664</v>
      </c>
      <c r="F5" s="1">
        <v>15</v>
      </c>
      <c r="G5" s="1" t="s">
        <v>9</v>
      </c>
      <c r="H5" s="1">
        <v>10602</v>
      </c>
      <c r="I5" s="1" t="s">
        <v>7</v>
      </c>
    </row>
    <row r="6" spans="1:12" x14ac:dyDescent="0.25">
      <c r="A6" s="24" t="s">
        <v>10</v>
      </c>
      <c r="B6" s="20">
        <f>H4/H2*F2</f>
        <v>77.771071034228925</v>
      </c>
      <c r="C6" s="20">
        <f>H5/H2*F2</f>
        <v>31.216783216783217</v>
      </c>
      <c r="D6" s="101">
        <f>F2*H6/F6</f>
        <v>14.666666666666666</v>
      </c>
      <c r="F6" s="1">
        <v>60</v>
      </c>
      <c r="G6" s="1" t="s">
        <v>6</v>
      </c>
      <c r="H6" s="1">
        <v>110</v>
      </c>
      <c r="I6" s="1"/>
    </row>
    <row r="7" spans="1:12" x14ac:dyDescent="0.25">
      <c r="A7" s="24" t="s">
        <v>11</v>
      </c>
      <c r="B7" s="20">
        <f>B6/10</f>
        <v>7.7771071034228925</v>
      </c>
      <c r="C7" s="20">
        <f>C6/10</f>
        <v>3.1216783216783215</v>
      </c>
      <c r="D7" s="101">
        <f>F2*H6/F7</f>
        <v>1.4666666666666666</v>
      </c>
      <c r="F7" s="1">
        <v>600</v>
      </c>
      <c r="G7" s="1"/>
      <c r="H7" s="1"/>
      <c r="I7" s="1"/>
    </row>
    <row r="9" spans="1:12" x14ac:dyDescent="0.25">
      <c r="A9" s="19"/>
    </row>
  </sheetData>
  <mergeCells count="3">
    <mergeCell ref="A1:A3"/>
    <mergeCell ref="B2:C2"/>
    <mergeCell ref="B1:D1"/>
  </mergeCells>
  <pageMargins left="0.7" right="0.7" top="0.75" bottom="0.75" header="0.3" footer="0.3"/>
  <pageSetup orientation="portrait" verticalDpi="1200" r:id="rId1"/>
  <headerFooter>
    <oddFooter>&amp;C&amp;1#&amp;"Arial"&amp;11&amp;K404040Restricted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zoomScale="85" zoomScaleNormal="85" workbookViewId="0">
      <selection activeCell="G40" sqref="G40"/>
    </sheetView>
  </sheetViews>
  <sheetFormatPr defaultRowHeight="15.75" x14ac:dyDescent="0.25"/>
  <cols>
    <col min="1" max="1" width="12.5703125" style="15" bestFit="1" customWidth="1"/>
    <col min="2" max="2" width="8.5703125" style="15" bestFit="1" customWidth="1"/>
    <col min="3" max="3" width="12.5703125" style="15" bestFit="1" customWidth="1"/>
    <col min="4" max="4" width="13.28515625" style="15" customWidth="1"/>
    <col min="5" max="5" width="12.5703125" style="15" bestFit="1" customWidth="1"/>
    <col min="6" max="6" width="21.42578125" style="15" customWidth="1"/>
    <col min="7" max="7" width="9.28515625" style="15" bestFit="1" customWidth="1"/>
    <col min="8" max="8" width="9.140625" style="15"/>
    <col min="9" max="9" width="9.28515625" style="15" bestFit="1" customWidth="1"/>
    <col min="10" max="10" width="9.140625" style="15"/>
    <col min="11" max="11" width="13.7109375" style="15" bestFit="1" customWidth="1"/>
    <col min="12" max="12" width="2" style="15" bestFit="1" customWidth="1"/>
    <col min="13" max="13" width="6.140625" style="15" bestFit="1" customWidth="1"/>
    <col min="14" max="14" width="11.42578125" style="15" bestFit="1" customWidth="1"/>
    <col min="15" max="15" width="9.140625" style="15"/>
    <col min="16" max="16" width="15" style="15" bestFit="1" customWidth="1"/>
    <col min="17" max="16384" width="9.140625" style="15"/>
  </cols>
  <sheetData>
    <row r="1" spans="1:10" x14ac:dyDescent="0.25">
      <c r="A1" s="15" t="s">
        <v>362</v>
      </c>
      <c r="B1" s="1">
        <v>8</v>
      </c>
    </row>
    <row r="2" spans="1:10" x14ac:dyDescent="0.25">
      <c r="A2" s="15" t="s">
        <v>363</v>
      </c>
      <c r="B2" s="1">
        <v>3</v>
      </c>
      <c r="C2" s="1">
        <v>15</v>
      </c>
      <c r="D2" s="1">
        <v>60</v>
      </c>
      <c r="E2" s="1">
        <v>600</v>
      </c>
    </row>
    <row r="3" spans="1:10" x14ac:dyDescent="0.25">
      <c r="A3" s="1" t="s">
        <v>3</v>
      </c>
      <c r="B3" s="1">
        <v>2717</v>
      </c>
      <c r="C3" s="1" t="s">
        <v>4</v>
      </c>
      <c r="D3" s="195" t="s">
        <v>364</v>
      </c>
    </row>
    <row r="4" spans="1:10" x14ac:dyDescent="0.25">
      <c r="A4" s="1" t="s">
        <v>6</v>
      </c>
      <c r="B4" s="1">
        <v>26413</v>
      </c>
      <c r="C4" s="1" t="s">
        <v>7</v>
      </c>
      <c r="D4" s="222" t="s">
        <v>364</v>
      </c>
      <c r="H4" s="1"/>
      <c r="I4" s="1"/>
      <c r="J4" s="1"/>
    </row>
    <row r="5" spans="1:10" x14ac:dyDescent="0.25">
      <c r="A5" s="1" t="s">
        <v>9</v>
      </c>
      <c r="B5" s="1">
        <v>10602</v>
      </c>
      <c r="C5" s="1" t="s">
        <v>7</v>
      </c>
      <c r="D5" s="222"/>
    </row>
    <row r="6" spans="1:10" x14ac:dyDescent="0.25">
      <c r="A6" s="1" t="s">
        <v>6</v>
      </c>
      <c r="B6" s="1">
        <v>130</v>
      </c>
      <c r="C6" s="1" t="s">
        <v>7</v>
      </c>
      <c r="D6" s="195" t="s">
        <v>213</v>
      </c>
      <c r="H6" s="1"/>
      <c r="I6" s="1"/>
      <c r="J6" s="1"/>
    </row>
    <row r="7" spans="1:10" x14ac:dyDescent="0.25">
      <c r="A7" s="15" t="s">
        <v>365</v>
      </c>
      <c r="E7" s="15">
        <f>60*60*24*30</f>
        <v>2592000</v>
      </c>
      <c r="F7" s="15" t="s">
        <v>165</v>
      </c>
      <c r="H7" s="1"/>
      <c r="I7" s="1"/>
      <c r="J7" s="1"/>
    </row>
    <row r="8" spans="1:10" x14ac:dyDescent="0.25">
      <c r="A8" s="223" t="s">
        <v>364</v>
      </c>
      <c r="B8" s="223"/>
      <c r="C8" s="223"/>
      <c r="D8" s="223"/>
      <c r="E8" s="223"/>
      <c r="F8" s="223"/>
      <c r="G8" s="223"/>
      <c r="H8" s="1"/>
      <c r="I8" s="1"/>
      <c r="J8" s="1"/>
    </row>
    <row r="9" spans="1:10" x14ac:dyDescent="0.25">
      <c r="A9" s="15">
        <f>E7/(B3/B4)*(D2/B2)</f>
        <v>503956540.30180341</v>
      </c>
      <c r="B9" s="18" t="s">
        <v>21</v>
      </c>
      <c r="C9" s="15">
        <f t="shared" ref="C9:C16" si="0">ROUND(A9/1000000,1)</f>
        <v>504</v>
      </c>
      <c r="D9" s="15" t="s">
        <v>24</v>
      </c>
      <c r="E9" s="15" t="s">
        <v>1</v>
      </c>
      <c r="F9" s="15" t="s">
        <v>26</v>
      </c>
      <c r="G9" s="15" t="s">
        <v>28</v>
      </c>
    </row>
    <row r="10" spans="1:10" x14ac:dyDescent="0.25">
      <c r="A10" s="15">
        <f>E7/(B3/B5)*(D2/B2)</f>
        <v>202284755.24475527</v>
      </c>
      <c r="B10" s="18" t="s">
        <v>21</v>
      </c>
      <c r="C10" s="15">
        <f t="shared" si="0"/>
        <v>202.3</v>
      </c>
      <c r="D10" s="15" t="s">
        <v>24</v>
      </c>
      <c r="E10" s="15" t="s">
        <v>1</v>
      </c>
      <c r="F10" s="15" t="s">
        <v>26</v>
      </c>
      <c r="G10" s="15" t="s">
        <v>29</v>
      </c>
      <c r="H10" s="1"/>
      <c r="I10" s="1"/>
      <c r="J10" s="1"/>
    </row>
    <row r="11" spans="1:10" x14ac:dyDescent="0.25">
      <c r="A11" s="15">
        <f>E7/(B3/B4)*(D2/C2)</f>
        <v>100791308.06036068</v>
      </c>
      <c r="B11" s="18" t="s">
        <v>21</v>
      </c>
      <c r="C11" s="15">
        <f t="shared" si="0"/>
        <v>100.8</v>
      </c>
      <c r="D11" s="15" t="s">
        <v>24</v>
      </c>
      <c r="E11" s="15" t="s">
        <v>1</v>
      </c>
      <c r="F11" s="15" t="s">
        <v>25</v>
      </c>
      <c r="G11" s="15" t="s">
        <v>28</v>
      </c>
      <c r="H11" s="1"/>
      <c r="I11" s="1"/>
      <c r="J11" s="1"/>
    </row>
    <row r="12" spans="1:10" x14ac:dyDescent="0.25">
      <c r="A12" s="15">
        <f>E7/(B3/B5)*(D2/C2)</f>
        <v>40456951.048951052</v>
      </c>
      <c r="B12" s="18" t="s">
        <v>21</v>
      </c>
      <c r="C12" s="15">
        <f t="shared" si="0"/>
        <v>40.5</v>
      </c>
      <c r="D12" s="15" t="s">
        <v>24</v>
      </c>
      <c r="E12" s="15" t="s">
        <v>1</v>
      </c>
      <c r="F12" s="15" t="s">
        <v>25</v>
      </c>
      <c r="G12" s="15" t="s">
        <v>29</v>
      </c>
      <c r="H12" s="1"/>
      <c r="I12" s="1"/>
      <c r="J12" s="1"/>
    </row>
    <row r="13" spans="1:10" x14ac:dyDescent="0.25">
      <c r="A13" s="15">
        <f>E7/(B3/B4)</f>
        <v>25197827.015090171</v>
      </c>
      <c r="B13" s="18" t="s">
        <v>21</v>
      </c>
      <c r="C13" s="15">
        <f t="shared" si="0"/>
        <v>25.2</v>
      </c>
      <c r="D13" s="15" t="s">
        <v>24</v>
      </c>
      <c r="E13" s="15" t="s">
        <v>1</v>
      </c>
      <c r="F13" s="15" t="s">
        <v>23</v>
      </c>
      <c r="G13" s="15" t="s">
        <v>28</v>
      </c>
    </row>
    <row r="14" spans="1:10" x14ac:dyDescent="0.25">
      <c r="A14" s="15">
        <f>E7/(B3/B5)*(D2/D2)</f>
        <v>10114237.762237763</v>
      </c>
      <c r="B14" s="18" t="s">
        <v>21</v>
      </c>
      <c r="C14" s="15">
        <f t="shared" si="0"/>
        <v>10.1</v>
      </c>
      <c r="D14" s="15" t="s">
        <v>24</v>
      </c>
      <c r="E14" s="15" t="s">
        <v>1</v>
      </c>
      <c r="F14" s="15" t="s">
        <v>23</v>
      </c>
      <c r="G14" s="15" t="s">
        <v>29</v>
      </c>
    </row>
    <row r="15" spans="1:10" x14ac:dyDescent="0.25">
      <c r="A15" s="15">
        <f>E7/(B3/B4)*(D2/E2)</f>
        <v>2519782.7015090175</v>
      </c>
      <c r="B15" s="18" t="s">
        <v>21</v>
      </c>
      <c r="C15" s="15">
        <f t="shared" si="0"/>
        <v>2.5</v>
      </c>
      <c r="D15" s="15" t="s">
        <v>24</v>
      </c>
      <c r="E15" s="15" t="s">
        <v>1</v>
      </c>
      <c r="F15" s="15" t="s">
        <v>27</v>
      </c>
      <c r="G15" s="15" t="s">
        <v>28</v>
      </c>
    </row>
    <row r="16" spans="1:10" x14ac:dyDescent="0.25">
      <c r="A16" s="15">
        <f>E7/(B3/B5)*(D2/E2)</f>
        <v>1011423.7762237764</v>
      </c>
      <c r="C16" s="15">
        <f t="shared" si="0"/>
        <v>1</v>
      </c>
      <c r="D16" s="15" t="s">
        <v>24</v>
      </c>
      <c r="E16" s="15" t="s">
        <v>1</v>
      </c>
      <c r="F16" s="15" t="s">
        <v>27</v>
      </c>
      <c r="G16" s="15" t="s">
        <v>29</v>
      </c>
    </row>
    <row r="18" spans="1:7" x14ac:dyDescent="0.25">
      <c r="A18" s="222" t="s">
        <v>213</v>
      </c>
      <c r="B18" s="222"/>
      <c r="C18" s="222"/>
      <c r="D18" s="222"/>
      <c r="E18" s="222"/>
      <c r="F18" s="222"/>
      <c r="G18" s="222"/>
    </row>
    <row r="19" spans="1:7" x14ac:dyDescent="0.25">
      <c r="A19" s="15">
        <f>B6*(D2/B2)*60*24*30</f>
        <v>112320000</v>
      </c>
      <c r="B19" s="18" t="s">
        <v>21</v>
      </c>
      <c r="C19" s="15">
        <f>ROUND(A19/1000000,1)</f>
        <v>112.3</v>
      </c>
      <c r="D19" s="15" t="s">
        <v>24</v>
      </c>
      <c r="E19" s="15" t="s">
        <v>2</v>
      </c>
      <c r="F19" s="15" t="s">
        <v>26</v>
      </c>
      <c r="G19" s="15" t="s">
        <v>28</v>
      </c>
    </row>
    <row r="20" spans="1:7" x14ac:dyDescent="0.25">
      <c r="A20" s="15">
        <f>B6*(D2/C2)*60*24*30</f>
        <v>22464000</v>
      </c>
      <c r="B20" s="18" t="s">
        <v>21</v>
      </c>
      <c r="C20" s="15">
        <f>ROUND(A20/1000000,1)</f>
        <v>22.5</v>
      </c>
      <c r="D20" s="15" t="s">
        <v>24</v>
      </c>
      <c r="E20" s="15" t="s">
        <v>2</v>
      </c>
      <c r="F20" s="15" t="s">
        <v>25</v>
      </c>
      <c r="G20" s="15" t="s">
        <v>28</v>
      </c>
    </row>
    <row r="21" spans="1:7" x14ac:dyDescent="0.25">
      <c r="A21" s="15">
        <f>B6*(D2/D2)*60*24*30</f>
        <v>5616000</v>
      </c>
      <c r="B21" s="18" t="s">
        <v>21</v>
      </c>
      <c r="C21" s="15">
        <f>ROUND(A21/1000000,1)</f>
        <v>5.6</v>
      </c>
      <c r="D21" s="15" t="s">
        <v>24</v>
      </c>
      <c r="E21" s="15" t="s">
        <v>2</v>
      </c>
      <c r="F21" s="15" t="s">
        <v>23</v>
      </c>
      <c r="G21" s="15" t="s">
        <v>28</v>
      </c>
    </row>
    <row r="22" spans="1:7" x14ac:dyDescent="0.25">
      <c r="A22" s="15">
        <f>B6*(D2/E2)*60*24*30</f>
        <v>561600</v>
      </c>
      <c r="B22" s="18" t="s">
        <v>21</v>
      </c>
      <c r="C22" s="15">
        <f>ROUND(A22/1000000,1)</f>
        <v>0.6</v>
      </c>
      <c r="D22" s="15" t="s">
        <v>24</v>
      </c>
      <c r="E22" s="15" t="s">
        <v>2</v>
      </c>
      <c r="F22" s="15" t="s">
        <v>27</v>
      </c>
      <c r="G22" s="15" t="s">
        <v>28</v>
      </c>
    </row>
    <row r="23" spans="1:7" x14ac:dyDescent="0.25">
      <c r="B23" s="18"/>
    </row>
    <row r="24" spans="1:7" x14ac:dyDescent="0.25">
      <c r="A24" s="15" t="s">
        <v>366</v>
      </c>
    </row>
    <row r="25" spans="1:7" x14ac:dyDescent="0.25">
      <c r="A25" s="2" t="s">
        <v>0</v>
      </c>
      <c r="B25" s="225" t="s">
        <v>1</v>
      </c>
      <c r="C25" s="226"/>
      <c r="D25" s="108" t="s">
        <v>2</v>
      </c>
      <c r="E25" s="107"/>
    </row>
    <row r="26" spans="1:7" x14ac:dyDescent="0.25">
      <c r="A26" s="224" t="s">
        <v>5</v>
      </c>
      <c r="B26" s="40">
        <f t="shared" ref="B26:B33" si="1">A9/1000000</f>
        <v>503.95654030180339</v>
      </c>
      <c r="C26" s="41" t="s">
        <v>24</v>
      </c>
      <c r="D26" s="199">
        <f>A19/1000000</f>
        <v>112.32</v>
      </c>
      <c r="E26" s="41" t="s">
        <v>24</v>
      </c>
    </row>
    <row r="27" spans="1:7" x14ac:dyDescent="0.25">
      <c r="A27" s="224"/>
      <c r="B27" s="40">
        <f t="shared" si="1"/>
        <v>202.28475524475527</v>
      </c>
      <c r="C27" s="41" t="s">
        <v>24</v>
      </c>
      <c r="D27" s="200"/>
      <c r="E27" s="42"/>
    </row>
    <row r="28" spans="1:7" x14ac:dyDescent="0.25">
      <c r="A28" s="224" t="s">
        <v>8</v>
      </c>
      <c r="B28" s="40">
        <f t="shared" si="1"/>
        <v>100.79130806036069</v>
      </c>
      <c r="C28" s="41" t="s">
        <v>24</v>
      </c>
      <c r="D28" s="199">
        <f>A20/1000000</f>
        <v>22.463999999999999</v>
      </c>
      <c r="E28" s="41" t="s">
        <v>24</v>
      </c>
    </row>
    <row r="29" spans="1:7" x14ac:dyDescent="0.25">
      <c r="A29" s="224"/>
      <c r="B29" s="40">
        <f t="shared" si="1"/>
        <v>40.456951048951055</v>
      </c>
      <c r="C29" s="41" t="s">
        <v>24</v>
      </c>
      <c r="D29" s="200"/>
      <c r="E29" s="42"/>
    </row>
    <row r="30" spans="1:7" x14ac:dyDescent="0.25">
      <c r="A30" s="224" t="s">
        <v>10</v>
      </c>
      <c r="B30" s="40">
        <f t="shared" si="1"/>
        <v>25.197827015090173</v>
      </c>
      <c r="C30" s="41" t="s">
        <v>24</v>
      </c>
      <c r="D30" s="199">
        <f>A21/1000000</f>
        <v>5.6159999999999997</v>
      </c>
      <c r="E30" s="41" t="s">
        <v>24</v>
      </c>
    </row>
    <row r="31" spans="1:7" x14ac:dyDescent="0.25">
      <c r="A31" s="224"/>
      <c r="B31" s="40">
        <f t="shared" si="1"/>
        <v>10.114237762237764</v>
      </c>
      <c r="C31" s="41" t="s">
        <v>24</v>
      </c>
      <c r="D31" s="200"/>
      <c r="E31" s="42"/>
    </row>
    <row r="32" spans="1:7" x14ac:dyDescent="0.25">
      <c r="A32" s="224" t="s">
        <v>11</v>
      </c>
      <c r="B32" s="40">
        <f t="shared" si="1"/>
        <v>2.5197827015090173</v>
      </c>
      <c r="C32" s="41" t="s">
        <v>24</v>
      </c>
      <c r="D32" s="199">
        <f>A22/1000000</f>
        <v>0.56159999999999999</v>
      </c>
      <c r="E32" s="41" t="s">
        <v>24</v>
      </c>
    </row>
    <row r="33" spans="1:5" x14ac:dyDescent="0.25">
      <c r="A33" s="224"/>
      <c r="B33" s="40">
        <f t="shared" si="1"/>
        <v>1.0114237762237763</v>
      </c>
      <c r="C33" s="43" t="s">
        <v>24</v>
      </c>
      <c r="D33" s="200"/>
      <c r="E33" s="42"/>
    </row>
    <row r="35" spans="1:5" x14ac:dyDescent="0.25">
      <c r="A35" s="19"/>
    </row>
  </sheetData>
  <mergeCells count="8">
    <mergeCell ref="D4:D5"/>
    <mergeCell ref="A8:G8"/>
    <mergeCell ref="A18:G18"/>
    <mergeCell ref="A32:A33"/>
    <mergeCell ref="B25:C25"/>
    <mergeCell ref="A26:A27"/>
    <mergeCell ref="A28:A29"/>
    <mergeCell ref="A30:A31"/>
  </mergeCells>
  <pageMargins left="0.7" right="0.7" top="0.75" bottom="0.75" header="0.3" footer="0.3"/>
  <pageSetup orientation="portrait" verticalDpi="1200" r:id="rId1"/>
  <headerFooter>
    <oddFooter>&amp;C&amp;1#&amp;"Arial"&amp;11&amp;K404040Restricted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J20" sqref="J20"/>
    </sheetView>
  </sheetViews>
  <sheetFormatPr defaultRowHeight="24" customHeight="1" x14ac:dyDescent="0.25"/>
  <cols>
    <col min="1" max="1" width="18.85546875" style="16" customWidth="1"/>
    <col min="2" max="2" width="8.85546875" style="15" customWidth="1"/>
    <col min="3" max="3" width="6.42578125" style="15" customWidth="1"/>
    <col min="4" max="4" width="9.140625" style="15" customWidth="1"/>
    <col min="5" max="5" width="6.7109375" style="15" customWidth="1"/>
    <col min="6" max="9" width="9.140625" style="15" customWidth="1"/>
    <col min="10" max="10" width="9.85546875" style="15" customWidth="1"/>
    <col min="11" max="16384" width="9.140625" style="15"/>
  </cols>
  <sheetData>
    <row r="1" spans="1:8" ht="15.75" x14ac:dyDescent="0.25">
      <c r="A1" s="3" t="s">
        <v>12</v>
      </c>
      <c r="B1" s="219" t="s">
        <v>200</v>
      </c>
      <c r="C1" s="219"/>
      <c r="D1" s="219" t="s">
        <v>201</v>
      </c>
      <c r="E1" s="219"/>
      <c r="F1" s="219" t="s">
        <v>2</v>
      </c>
      <c r="G1" s="219"/>
      <c r="H1" s="15" t="s">
        <v>299</v>
      </c>
    </row>
    <row r="2" spans="1:8" ht="15.75" x14ac:dyDescent="0.25">
      <c r="A2" s="4" t="s">
        <v>13</v>
      </c>
      <c r="B2" s="5">
        <v>8000</v>
      </c>
      <c r="C2" s="6" t="s">
        <v>14</v>
      </c>
      <c r="D2" s="7">
        <v>3600</v>
      </c>
      <c r="E2" s="8" t="s">
        <v>14</v>
      </c>
      <c r="F2" s="7">
        <v>3600</v>
      </c>
      <c r="G2" s="8" t="s">
        <v>14</v>
      </c>
    </row>
    <row r="3" spans="1:8" ht="15.75" x14ac:dyDescent="0.25">
      <c r="A3" s="9" t="s">
        <v>20</v>
      </c>
      <c r="B3" s="10">
        <v>1</v>
      </c>
      <c r="C3" s="11" t="s">
        <v>15</v>
      </c>
      <c r="D3" s="12">
        <f>D2*H3/(365*24)</f>
        <v>1.2328767123287671E-2</v>
      </c>
      <c r="E3" s="13" t="s">
        <v>15</v>
      </c>
      <c r="F3" s="12">
        <f>F2*H3/(365*24)</f>
        <v>1.2328767123287671E-2</v>
      </c>
      <c r="G3" s="13" t="s">
        <v>15</v>
      </c>
      <c r="H3" s="15">
        <v>0.03</v>
      </c>
    </row>
    <row r="4" spans="1:8" ht="31.5" x14ac:dyDescent="0.25">
      <c r="A4" s="9" t="s">
        <v>16</v>
      </c>
      <c r="B4" s="10">
        <v>0.2</v>
      </c>
      <c r="C4" s="14" t="s">
        <v>15</v>
      </c>
      <c r="D4" s="220" t="s">
        <v>17</v>
      </c>
      <c r="E4" s="221"/>
      <c r="F4" s="220" t="s">
        <v>17</v>
      </c>
      <c r="G4" s="221"/>
    </row>
    <row r="5" spans="1:8" ht="15.75" x14ac:dyDescent="0.25">
      <c r="A5" s="9" t="s">
        <v>18</v>
      </c>
      <c r="B5" s="109"/>
      <c r="C5" s="14"/>
      <c r="D5" s="14">
        <f>1.5+4.5+0.9+0.4</f>
        <v>7.3000000000000007</v>
      </c>
      <c r="E5" s="14" t="s">
        <v>19</v>
      </c>
      <c r="F5" s="110"/>
      <c r="G5" s="111"/>
    </row>
    <row r="6" spans="1:8" ht="15.75" x14ac:dyDescent="0.25"/>
    <row r="7" spans="1:8" ht="15.75" x14ac:dyDescent="0.25"/>
    <row r="8" spans="1:8" ht="15.75" x14ac:dyDescent="0.25"/>
    <row r="9" spans="1:8" ht="15.75" x14ac:dyDescent="0.25"/>
  </sheetData>
  <mergeCells count="5">
    <mergeCell ref="F1:G1"/>
    <mergeCell ref="F4:G4"/>
    <mergeCell ref="B1:C1"/>
    <mergeCell ref="D1:E1"/>
    <mergeCell ref="D4:E4"/>
  </mergeCells>
  <pageMargins left="0.7" right="0.7" top="0.75" bottom="0.75" header="0.3" footer="0.3"/>
  <pageSetup orientation="portrait" verticalDpi="1200" r:id="rId1"/>
  <headerFooter>
    <oddFooter>&amp;C&amp;1#&amp;"Arial"&amp;11&amp;K404040Restricted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4"/>
  <sheetViews>
    <sheetView workbookViewId="0"/>
  </sheetViews>
  <sheetFormatPr defaultRowHeight="12.75" x14ac:dyDescent="0.2"/>
  <cols>
    <col min="1" max="1" width="12.85546875" style="93" bestFit="1" customWidth="1"/>
    <col min="2" max="2" width="9.42578125" style="93" bestFit="1" customWidth="1"/>
    <col min="3" max="3" width="9.140625" style="93" bestFit="1" customWidth="1"/>
    <col min="4" max="9" width="9.140625" style="93"/>
    <col min="10" max="10" width="5.140625" style="93" customWidth="1"/>
    <col min="11" max="11" width="18.42578125" style="93" bestFit="1" customWidth="1"/>
    <col min="12" max="12" width="11.7109375" style="93" bestFit="1" customWidth="1"/>
    <col min="13" max="19" width="6.42578125" style="93" customWidth="1"/>
    <col min="20" max="20" width="9.140625" style="93" customWidth="1"/>
    <col min="21" max="16384" width="9.140625" style="93"/>
  </cols>
  <sheetData>
    <row r="1" spans="1:19" ht="21" x14ac:dyDescent="0.35">
      <c r="A1" s="189" t="s">
        <v>381</v>
      </c>
      <c r="B1" s="334"/>
      <c r="C1" s="189" t="s">
        <v>382</v>
      </c>
      <c r="K1" s="189" t="s">
        <v>383</v>
      </c>
      <c r="L1" s="189" t="s">
        <v>384</v>
      </c>
    </row>
    <row r="2" spans="1:19" ht="26.25" x14ac:dyDescent="0.4">
      <c r="A2" s="171" t="s">
        <v>215</v>
      </c>
      <c r="B2" s="227" t="s">
        <v>152</v>
      </c>
      <c r="C2" s="227"/>
      <c r="D2" s="227"/>
      <c r="E2" s="227"/>
      <c r="F2" s="227"/>
      <c r="G2" s="227"/>
      <c r="H2" s="227"/>
      <c r="I2" s="227"/>
      <c r="K2" s="112" t="s">
        <v>386</v>
      </c>
    </row>
    <row r="3" spans="1:19" x14ac:dyDescent="0.2">
      <c r="A3" s="93">
        <v>0</v>
      </c>
      <c r="B3" s="93">
        <v>16</v>
      </c>
      <c r="C3" s="93">
        <v>32</v>
      </c>
      <c r="D3" s="93">
        <v>56</v>
      </c>
      <c r="E3" s="93">
        <v>88</v>
      </c>
      <c r="F3" s="93">
        <v>120</v>
      </c>
      <c r="G3" s="93">
        <v>152</v>
      </c>
      <c r="H3" s="93">
        <v>208</v>
      </c>
      <c r="I3" s="93">
        <v>256</v>
      </c>
      <c r="N3" s="123" t="s">
        <v>207</v>
      </c>
      <c r="Q3" s="123" t="s">
        <v>207</v>
      </c>
    </row>
    <row r="4" spans="1:19" x14ac:dyDescent="0.2">
      <c r="A4" s="93">
        <v>1</v>
      </c>
      <c r="B4" s="93">
        <v>24</v>
      </c>
      <c r="C4" s="93">
        <v>56</v>
      </c>
      <c r="D4" s="93">
        <v>88</v>
      </c>
      <c r="E4" s="93">
        <v>144</v>
      </c>
      <c r="F4" s="93">
        <v>176</v>
      </c>
      <c r="G4" s="93">
        <v>208</v>
      </c>
      <c r="H4" s="93">
        <v>256</v>
      </c>
      <c r="I4" s="93">
        <v>344</v>
      </c>
      <c r="K4" s="93" t="s">
        <v>209</v>
      </c>
      <c r="M4" s="117" t="s">
        <v>208</v>
      </c>
      <c r="N4" s="118">
        <v>15</v>
      </c>
      <c r="O4" s="120" t="s">
        <v>212</v>
      </c>
      <c r="P4" s="119"/>
      <c r="Q4" s="118">
        <v>3.75</v>
      </c>
      <c r="R4" s="119" t="s">
        <v>212</v>
      </c>
      <c r="S4" s="121"/>
    </row>
    <row r="5" spans="1:19" x14ac:dyDescent="0.2">
      <c r="A5" s="93">
        <v>2</v>
      </c>
      <c r="B5" s="93">
        <v>32</v>
      </c>
      <c r="C5" s="93">
        <v>72</v>
      </c>
      <c r="D5" s="93">
        <v>144</v>
      </c>
      <c r="E5" s="93">
        <v>176</v>
      </c>
      <c r="F5" s="93">
        <v>208</v>
      </c>
      <c r="G5" s="93">
        <v>256</v>
      </c>
      <c r="H5" s="93">
        <v>328</v>
      </c>
      <c r="I5" s="93">
        <v>424</v>
      </c>
      <c r="K5" s="93" t="s">
        <v>210</v>
      </c>
      <c r="M5" s="115" t="s">
        <v>211</v>
      </c>
      <c r="N5" s="116">
        <v>1</v>
      </c>
      <c r="O5" s="113">
        <v>8</v>
      </c>
      <c r="P5" s="114" t="s">
        <v>144</v>
      </c>
      <c r="Q5" s="116">
        <v>1</v>
      </c>
      <c r="R5" s="114">
        <v>32</v>
      </c>
      <c r="S5" s="122" t="s">
        <v>144</v>
      </c>
    </row>
    <row r="6" spans="1:19" x14ac:dyDescent="0.2">
      <c r="A6" s="93">
        <v>3</v>
      </c>
      <c r="B6" s="93">
        <v>40</v>
      </c>
      <c r="C6" s="93">
        <v>104</v>
      </c>
      <c r="D6" s="93">
        <v>176</v>
      </c>
      <c r="E6" s="93">
        <v>208</v>
      </c>
      <c r="F6" s="93">
        <v>256</v>
      </c>
      <c r="G6" s="93">
        <v>328</v>
      </c>
      <c r="H6" s="93">
        <v>440</v>
      </c>
      <c r="I6" s="93">
        <v>568</v>
      </c>
      <c r="M6" s="115"/>
      <c r="N6" s="116">
        <v>3</v>
      </c>
      <c r="O6" s="113">
        <v>4</v>
      </c>
      <c r="P6" s="114" t="s">
        <v>144</v>
      </c>
      <c r="Q6" s="116"/>
      <c r="R6" s="114"/>
      <c r="S6" s="122"/>
    </row>
    <row r="7" spans="1:19" x14ac:dyDescent="0.2">
      <c r="A7" s="93">
        <v>4</v>
      </c>
      <c r="B7" s="93">
        <v>56</v>
      </c>
      <c r="C7" s="93">
        <v>120</v>
      </c>
      <c r="D7" s="93">
        <v>208</v>
      </c>
      <c r="E7" s="93">
        <v>256</v>
      </c>
      <c r="F7" s="93">
        <v>328</v>
      </c>
      <c r="G7" s="93">
        <v>408</v>
      </c>
      <c r="H7" s="93">
        <v>552</v>
      </c>
      <c r="I7" s="93">
        <v>680</v>
      </c>
      <c r="M7" s="115"/>
      <c r="N7" s="116">
        <v>6</v>
      </c>
      <c r="O7" s="113">
        <v>2</v>
      </c>
      <c r="P7" s="114" t="s">
        <v>144</v>
      </c>
      <c r="Q7" s="116"/>
      <c r="R7" s="114"/>
      <c r="S7" s="122"/>
    </row>
    <row r="8" spans="1:19" x14ac:dyDescent="0.2">
      <c r="A8" s="93">
        <v>5</v>
      </c>
      <c r="B8" s="93">
        <v>72</v>
      </c>
      <c r="C8" s="93">
        <v>144</v>
      </c>
      <c r="D8" s="93">
        <v>224</v>
      </c>
      <c r="E8" s="93">
        <v>328</v>
      </c>
      <c r="F8" s="93">
        <v>424</v>
      </c>
      <c r="G8" s="93">
        <v>504</v>
      </c>
      <c r="H8" s="93">
        <v>680</v>
      </c>
      <c r="I8" s="93">
        <v>872</v>
      </c>
      <c r="M8" s="115"/>
      <c r="N8" s="116">
        <v>12</v>
      </c>
      <c r="O8" s="113">
        <v>1</v>
      </c>
      <c r="P8" s="114" t="s">
        <v>144</v>
      </c>
      <c r="Q8" s="116"/>
      <c r="R8" s="114"/>
      <c r="S8" s="122"/>
    </row>
    <row r="9" spans="1:19" x14ac:dyDescent="0.2">
      <c r="A9" s="93">
        <v>6</v>
      </c>
      <c r="B9" s="93">
        <v>88</v>
      </c>
      <c r="C9" s="93">
        <v>176</v>
      </c>
      <c r="D9" s="93">
        <v>256</v>
      </c>
      <c r="E9" s="93">
        <v>392</v>
      </c>
      <c r="F9" s="93">
        <v>504</v>
      </c>
      <c r="G9" s="93">
        <v>600</v>
      </c>
      <c r="H9" s="93">
        <v>808</v>
      </c>
      <c r="I9" s="93">
        <v>1000</v>
      </c>
    </row>
    <row r="10" spans="1:19" x14ac:dyDescent="0.2">
      <c r="A10" s="93">
        <v>7</v>
      </c>
      <c r="B10" s="93">
        <v>104</v>
      </c>
      <c r="C10" s="93">
        <v>224</v>
      </c>
      <c r="D10" s="93">
        <v>328</v>
      </c>
      <c r="E10" s="93">
        <v>472</v>
      </c>
      <c r="F10" s="93">
        <v>584</v>
      </c>
      <c r="G10" s="93">
        <v>712</v>
      </c>
      <c r="H10" s="93">
        <v>1000</v>
      </c>
      <c r="I10" s="93">
        <v>1224</v>
      </c>
      <c r="M10" s="196" t="s">
        <v>364</v>
      </c>
      <c r="N10" s="196" t="s">
        <v>213</v>
      </c>
    </row>
    <row r="11" spans="1:19" x14ac:dyDescent="0.2">
      <c r="A11" s="93">
        <v>8</v>
      </c>
      <c r="B11" s="93">
        <v>120</v>
      </c>
      <c r="C11" s="93">
        <v>256</v>
      </c>
      <c r="D11" s="93">
        <v>392</v>
      </c>
      <c r="E11" s="93">
        <v>536</v>
      </c>
      <c r="F11" s="93">
        <v>680</v>
      </c>
      <c r="G11" s="93">
        <v>808</v>
      </c>
      <c r="H11" s="93">
        <v>1096</v>
      </c>
      <c r="I11" s="93">
        <v>1384</v>
      </c>
      <c r="K11" s="93" t="s">
        <v>218</v>
      </c>
      <c r="M11" s="93">
        <v>1000</v>
      </c>
      <c r="N11" s="93">
        <v>102</v>
      </c>
      <c r="O11" s="93" t="s">
        <v>7</v>
      </c>
    </row>
    <row r="12" spans="1:19" x14ac:dyDescent="0.2">
      <c r="A12" s="93">
        <v>9</v>
      </c>
      <c r="B12" s="93">
        <v>136</v>
      </c>
      <c r="C12" s="93">
        <v>296</v>
      </c>
      <c r="D12" s="93">
        <v>456</v>
      </c>
      <c r="E12" s="93">
        <v>616</v>
      </c>
      <c r="F12" s="93">
        <v>776</v>
      </c>
      <c r="G12" s="93">
        <v>936</v>
      </c>
      <c r="H12" s="93">
        <v>1256</v>
      </c>
      <c r="I12" s="93">
        <v>1544</v>
      </c>
      <c r="K12" s="93" t="s">
        <v>217</v>
      </c>
      <c r="M12" s="93">
        <v>1045</v>
      </c>
      <c r="N12" s="93">
        <v>130</v>
      </c>
      <c r="O12" s="93" t="s">
        <v>7</v>
      </c>
      <c r="P12" s="93" t="s">
        <v>216</v>
      </c>
    </row>
    <row r="13" spans="1:19" x14ac:dyDescent="0.2">
      <c r="A13" s="93">
        <v>10</v>
      </c>
      <c r="B13" s="93">
        <v>144</v>
      </c>
      <c r="C13" s="93">
        <v>328</v>
      </c>
      <c r="D13" s="93">
        <v>504</v>
      </c>
      <c r="E13" s="93">
        <v>680</v>
      </c>
      <c r="F13" s="93">
        <v>872</v>
      </c>
      <c r="G13" s="93">
        <v>1000</v>
      </c>
      <c r="H13" s="93">
        <v>1384</v>
      </c>
      <c r="I13" s="93">
        <v>1736</v>
      </c>
      <c r="K13" s="93" t="s">
        <v>214</v>
      </c>
      <c r="M13" s="93">
        <v>1020</v>
      </c>
      <c r="N13" s="93">
        <v>105</v>
      </c>
      <c r="O13" s="93" t="s">
        <v>7</v>
      </c>
      <c r="P13" s="93" t="s">
        <v>219</v>
      </c>
    </row>
    <row r="14" spans="1:19" x14ac:dyDescent="0.2">
      <c r="A14" s="93">
        <v>11</v>
      </c>
      <c r="B14" s="93">
        <v>176</v>
      </c>
      <c r="C14" s="93">
        <v>376</v>
      </c>
      <c r="D14" s="93">
        <v>584</v>
      </c>
      <c r="E14" s="93">
        <v>776</v>
      </c>
      <c r="F14" s="93">
        <v>1000</v>
      </c>
      <c r="G14" s="93">
        <v>1192</v>
      </c>
      <c r="H14" s="93">
        <v>1608</v>
      </c>
      <c r="I14" s="93">
        <v>2024</v>
      </c>
      <c r="K14" s="93" t="s">
        <v>215</v>
      </c>
      <c r="M14" s="228">
        <v>13</v>
      </c>
      <c r="N14" s="228"/>
      <c r="O14" s="228"/>
      <c r="R14" s="93" t="s">
        <v>221</v>
      </c>
    </row>
    <row r="15" spans="1:19" x14ac:dyDescent="0.2">
      <c r="A15" s="93">
        <v>12</v>
      </c>
      <c r="B15" s="93">
        <v>208</v>
      </c>
      <c r="C15" s="93">
        <v>440</v>
      </c>
      <c r="D15" s="93">
        <v>680</v>
      </c>
      <c r="E15" s="93">
        <v>1000</v>
      </c>
      <c r="F15" s="93">
        <v>1128</v>
      </c>
      <c r="G15" s="93">
        <v>1352</v>
      </c>
      <c r="H15" s="93">
        <v>1800</v>
      </c>
      <c r="I15" s="93">
        <v>2280</v>
      </c>
      <c r="M15" s="93" t="s">
        <v>227</v>
      </c>
    </row>
    <row r="16" spans="1:19" x14ac:dyDescent="0.2">
      <c r="A16" s="93">
        <v>13</v>
      </c>
      <c r="B16" s="93">
        <v>224</v>
      </c>
      <c r="C16" s="93">
        <v>488</v>
      </c>
      <c r="D16" s="93">
        <v>744</v>
      </c>
      <c r="E16" s="93">
        <v>1032</v>
      </c>
      <c r="F16" s="93">
        <v>1256</v>
      </c>
      <c r="G16" s="93">
        <v>1544</v>
      </c>
      <c r="H16" s="93">
        <v>2024</v>
      </c>
      <c r="I16" s="93">
        <v>2536</v>
      </c>
    </row>
    <row r="17" spans="1:22" x14ac:dyDescent="0.2">
      <c r="K17" s="93" t="s">
        <v>231</v>
      </c>
      <c r="M17" s="93">
        <v>15</v>
      </c>
      <c r="N17" s="93" t="s">
        <v>207</v>
      </c>
    </row>
    <row r="18" spans="1:22" x14ac:dyDescent="0.2">
      <c r="A18" s="124" t="s">
        <v>300</v>
      </c>
      <c r="C18" s="124"/>
      <c r="D18" s="124"/>
      <c r="K18" s="93" t="s">
        <v>232</v>
      </c>
      <c r="M18" s="93">
        <v>12</v>
      </c>
    </row>
    <row r="19" spans="1:22" x14ac:dyDescent="0.2">
      <c r="B19" s="94">
        <v>40</v>
      </c>
      <c r="C19" s="94">
        <v>28</v>
      </c>
      <c r="D19" s="94">
        <v>26.7</v>
      </c>
      <c r="E19" s="94">
        <v>28</v>
      </c>
      <c r="F19" s="94">
        <v>28.8</v>
      </c>
      <c r="G19" s="94">
        <v>29.3</v>
      </c>
      <c r="H19" s="94">
        <v>29</v>
      </c>
      <c r="I19" s="94">
        <v>28</v>
      </c>
      <c r="K19" s="93" t="s">
        <v>233</v>
      </c>
      <c r="M19" s="93">
        <f>IF(AND(M17=N4,M18=N5),O5,IF(AND(M17=N4,M18=N6),O6,IF(AND(M17=N4,M18=N7),O7,IF(AND(M17=N4,M18=N8),O8,IF(M17=Q4,R5,0)))))</f>
        <v>1</v>
      </c>
      <c r="N19" s="93" t="s">
        <v>144</v>
      </c>
    </row>
    <row r="20" spans="1:22" x14ac:dyDescent="0.2">
      <c r="B20" s="94">
        <v>48</v>
      </c>
      <c r="C20" s="94">
        <v>40</v>
      </c>
      <c r="D20" s="94">
        <v>37.299999999999997</v>
      </c>
      <c r="E20" s="94">
        <v>42</v>
      </c>
      <c r="F20" s="94">
        <v>40</v>
      </c>
      <c r="G20" s="94">
        <v>38.700000000000003</v>
      </c>
      <c r="H20" s="94">
        <v>35</v>
      </c>
      <c r="I20" s="94">
        <v>36.799999999999997</v>
      </c>
    </row>
    <row r="21" spans="1:22" x14ac:dyDescent="0.2">
      <c r="B21" s="94">
        <v>56</v>
      </c>
      <c r="C21" s="94">
        <v>48</v>
      </c>
      <c r="D21" s="94">
        <v>56</v>
      </c>
      <c r="E21" s="94">
        <v>50</v>
      </c>
      <c r="F21" s="94">
        <v>46.4</v>
      </c>
      <c r="G21" s="94">
        <v>46.7</v>
      </c>
      <c r="H21" s="94">
        <v>44</v>
      </c>
      <c r="I21" s="94">
        <v>44.8</v>
      </c>
      <c r="K21" s="124" t="s">
        <v>385</v>
      </c>
    </row>
    <row r="22" spans="1:22" x14ac:dyDescent="0.2">
      <c r="B22" s="94">
        <v>64</v>
      </c>
      <c r="C22" s="94">
        <v>64</v>
      </c>
      <c r="D22" s="94">
        <v>66.7</v>
      </c>
      <c r="E22" s="94">
        <v>58</v>
      </c>
      <c r="F22" s="94">
        <v>56</v>
      </c>
      <c r="G22" s="94">
        <v>58.7</v>
      </c>
      <c r="H22" s="94">
        <v>58</v>
      </c>
      <c r="I22" s="94">
        <v>59.2</v>
      </c>
      <c r="K22" s="93" t="s">
        <v>222</v>
      </c>
      <c r="L22" s="93" t="s">
        <v>229</v>
      </c>
      <c r="M22" s="93">
        <f ca="1">ROUNDUP(8*($M$13+(2+2))/(INDIRECT("B" &amp; $M$14+3)),0)</f>
        <v>37</v>
      </c>
      <c r="N22" s="93">
        <f ca="1">ROUNDUP(8*($M$13+(2+2))/(INDIRECT("C" &amp; $M$14+3)),0)</f>
        <v>17</v>
      </c>
      <c r="O22" s="93">
        <f ca="1">ROUNDUP(8*($M$13+(2+2))/(INDIRECT("D" &amp; $M$14+3)),0)</f>
        <v>12</v>
      </c>
      <c r="P22" s="93">
        <f ca="1">ROUNDUP(8*($M$13+(2+2))/(INDIRECT("E" &amp; $M$14+3)),0)</f>
        <v>8</v>
      </c>
      <c r="Q22" s="93">
        <f ca="1">ROUNDUP(8*($M$13+(2+2))/(INDIRECT("F" &amp; $M$14+3)),0)</f>
        <v>7</v>
      </c>
      <c r="R22" s="93">
        <f ca="1">ROUNDUP(8*($M$13+(2+2))/(INDIRECT("G" &amp; $M$14+3)),0)</f>
        <v>6</v>
      </c>
      <c r="S22" s="93">
        <f ca="1">ROUNDUP(8*($M$13+(2+2))/(INDIRECT("H" &amp; $M$14+3)),0)</f>
        <v>5</v>
      </c>
      <c r="T22" s="93">
        <f ca="1">ROUNDUP(8*($M$13+(2+2))/(INDIRECT("I" &amp; $M$14+3)),0)</f>
        <v>4</v>
      </c>
    </row>
    <row r="23" spans="1:22" x14ac:dyDescent="0.2">
      <c r="B23" s="94">
        <v>80</v>
      </c>
      <c r="C23" s="94">
        <v>72</v>
      </c>
      <c r="D23" s="94">
        <v>77.3</v>
      </c>
      <c r="E23" s="94">
        <v>70</v>
      </c>
      <c r="F23" s="94">
        <v>70.400000000000006</v>
      </c>
      <c r="G23" s="94">
        <v>72</v>
      </c>
      <c r="H23" s="94">
        <v>72</v>
      </c>
      <c r="I23" s="94">
        <v>70.400000000000006</v>
      </c>
      <c r="K23" s="93" t="s">
        <v>226</v>
      </c>
      <c r="M23" s="93">
        <f ca="1">$M$13*8-FLOOR($M$13*8/(INDIRECT("B" &amp; $M$14+3)),1)*(INDIRECT("B" &amp; $M$14+3))</f>
        <v>96</v>
      </c>
      <c r="N23" s="93">
        <f ca="1">$M$13*8-FLOOR($M$13*8/(INDIRECT("C" &amp; $M$14+3)),1)*(INDIRECT("C" &amp; $M$14+3))</f>
        <v>352</v>
      </c>
      <c r="O23" s="93">
        <f ca="1">$M$13*8-FLOOR($M$13*8/(INDIRECT("D" &amp; $M$14+3)),1)*(INDIRECT("D" &amp; $M$14+3))</f>
        <v>720</v>
      </c>
      <c r="P23" s="93">
        <f ca="1">$M$13*8-FLOOR($M$13*8/(INDIRECT("E" &amp; $M$14+3)),1)*(INDIRECT("E" &amp; $M$14+3))</f>
        <v>936</v>
      </c>
      <c r="Q23" s="93">
        <f ca="1">$M$13*8-FLOOR($M$13*8/(INDIRECT("F" &amp; $M$14+3)),1)*(INDIRECT("F" &amp; $M$14+3))</f>
        <v>624</v>
      </c>
      <c r="R23" s="93">
        <f ca="1">$M$13*8-FLOOR($M$13*8/(INDIRECT("G" &amp; $M$14+3)),1)*(INDIRECT("G" &amp; $M$14+3))</f>
        <v>440</v>
      </c>
      <c r="S23" s="93">
        <f ca="1">$M$13*8-FLOOR($M$13*8/(INDIRECT("H" &amp; $M$14+3)),1)*(INDIRECT("H" &amp; $M$14+3))</f>
        <v>64</v>
      </c>
      <c r="T23" s="93">
        <f ca="1">$M$13*8-FLOOR($M$13*8/(INDIRECT("I" &amp; $M$14+3)),1)*(INDIRECT("I" &amp; $M$14+3))</f>
        <v>552</v>
      </c>
    </row>
    <row r="24" spans="1:22" x14ac:dyDescent="0.2">
      <c r="B24" s="94">
        <v>96</v>
      </c>
      <c r="C24" s="94">
        <v>84</v>
      </c>
      <c r="D24" s="94">
        <v>82.7</v>
      </c>
      <c r="E24" s="94">
        <v>88</v>
      </c>
      <c r="F24" s="94">
        <v>89.6</v>
      </c>
      <c r="G24" s="94">
        <v>88</v>
      </c>
      <c r="H24" s="94">
        <v>88</v>
      </c>
      <c r="I24" s="94">
        <v>89.6</v>
      </c>
    </row>
    <row r="25" spans="1:22" x14ac:dyDescent="0.2">
      <c r="B25" s="94">
        <v>112</v>
      </c>
      <c r="C25" s="94">
        <v>100</v>
      </c>
      <c r="D25" s="94">
        <v>93.3</v>
      </c>
      <c r="E25" s="94">
        <v>104</v>
      </c>
      <c r="F25" s="94">
        <v>105.6</v>
      </c>
      <c r="G25" s="94">
        <v>104</v>
      </c>
      <c r="H25" s="94">
        <v>104</v>
      </c>
      <c r="I25" s="94">
        <v>102.4</v>
      </c>
      <c r="K25" s="93" t="s">
        <v>225</v>
      </c>
      <c r="L25" s="93" t="s">
        <v>224</v>
      </c>
      <c r="M25" s="93">
        <v>1</v>
      </c>
      <c r="N25" s="93">
        <v>2</v>
      </c>
      <c r="O25" s="93">
        <v>3</v>
      </c>
      <c r="P25" s="93">
        <v>4</v>
      </c>
      <c r="Q25" s="93">
        <v>5</v>
      </c>
      <c r="R25" s="93">
        <v>6</v>
      </c>
      <c r="S25" s="93">
        <v>8</v>
      </c>
      <c r="T25" s="93">
        <v>10</v>
      </c>
    </row>
    <row r="26" spans="1:22" x14ac:dyDescent="0.2">
      <c r="B26" s="94">
        <v>128</v>
      </c>
      <c r="C26" s="94">
        <v>124</v>
      </c>
      <c r="D26" s="94">
        <v>117.3</v>
      </c>
      <c r="E26" s="94">
        <v>124</v>
      </c>
      <c r="F26" s="94">
        <v>121.6</v>
      </c>
      <c r="G26" s="94">
        <v>122.7</v>
      </c>
      <c r="H26" s="94">
        <v>128</v>
      </c>
      <c r="I26" s="94">
        <v>124.8</v>
      </c>
      <c r="K26" s="93" t="s">
        <v>220</v>
      </c>
      <c r="M26" s="93">
        <f ca="1">IF((ROUNDUP(8*($M$13+2)/(INDIRECT("B" &amp; $M$14+3)),0))=1,1,IF((INDIRECT("B" &amp; $M$14+3))-M$23&gt;=8*(2+2)*M$22,M$22,M$22+1))</f>
        <v>38</v>
      </c>
      <c r="N26" s="93">
        <f ca="1">IF((ROUNDUP(8*($M$13+2)/(INDIRECT("C" &amp; $M$14+3)),0))=1,1,IF((INDIRECT("C" &amp; $M$14+3))-N$23&gt;=8*(2+2)*N$22,N$22,N$22+1))</f>
        <v>18</v>
      </c>
      <c r="O26" s="93">
        <f ca="1">IF((ROUNDUP(8*($M$13+2)/(INDIRECT("D" &amp; $M$14+3)),0))=1,1,IF((INDIRECT("D" &amp; $M$14+3))-O$23&gt;=8*(2+2)*O$22,O$22,O$22+1))</f>
        <v>13</v>
      </c>
      <c r="P26" s="93">
        <f ca="1">IF((ROUNDUP(8*($M$13+2)/(INDIRECT("E" &amp; $M$14+3)),0))=1,1,IF((INDIRECT("E" &amp; $M$14+3))-P$23&gt;=8*(2+2)*P$22,P$22,P$22+1))</f>
        <v>9</v>
      </c>
      <c r="Q26" s="93">
        <f ca="1">IF((ROUNDUP(8*($M$13+2)/(INDIRECT("F" &amp; $M$14+3)),0))=1,1,IF((INDIRECT("F" &amp; $M$14+3))-Q$23&gt;=8*(2+2)*Q$22,Q$22,Q$22+1))</f>
        <v>7</v>
      </c>
      <c r="R26" s="93">
        <f ca="1">IF((ROUNDUP(8*($M$13+2)/(INDIRECT("G" &amp; $M$14+3)),0))=1,1,IF((INDIRECT("G" &amp; $M$14+3))-R$23&gt;=8*(2+2)*R$22,R$22,R$22+1))</f>
        <v>6</v>
      </c>
      <c r="S26" s="93">
        <f ca="1">IF((ROUNDUP(8*($M$13+2)/(INDIRECT("H" &amp; $M$14+3)),0))=1,1,IF((INDIRECT("H" &amp; $M$14+3))-S$23&gt;=8*(2+2)*S$22,S$22,S$22+1))</f>
        <v>5</v>
      </c>
      <c r="T26" s="126">
        <f ca="1">IF((ROUNDUP(8*($M$13+2)/(INDIRECT("I" &amp; $M$14+3)),0))=1,1,IF((INDIRECT("I" &amp; $M$14+3))-T$23&gt;=8*(2+2)*T$22,T$22,T$22+1))</f>
        <v>4</v>
      </c>
    </row>
    <row r="27" spans="1:22" x14ac:dyDescent="0.2">
      <c r="B27" s="94">
        <v>144</v>
      </c>
      <c r="C27" s="94">
        <v>140</v>
      </c>
      <c r="D27" s="94">
        <v>138.69999999999999</v>
      </c>
      <c r="E27" s="94">
        <v>140</v>
      </c>
      <c r="F27" s="94">
        <v>140.80000000000001</v>
      </c>
      <c r="G27" s="94">
        <v>138.69999999999999</v>
      </c>
      <c r="H27" s="94">
        <v>140</v>
      </c>
      <c r="I27" s="94">
        <v>140.80000000000001</v>
      </c>
      <c r="M27" s="125">
        <f ca="1">IF(M$23&gt;=(2+2)*8,M$22,M$22+1)</f>
        <v>37</v>
      </c>
      <c r="N27" s="125" t="s">
        <v>230</v>
      </c>
    </row>
    <row r="28" spans="1:22" x14ac:dyDescent="0.2">
      <c r="B28" s="94">
        <v>160</v>
      </c>
      <c r="C28" s="94">
        <v>160</v>
      </c>
      <c r="D28" s="94">
        <v>160</v>
      </c>
      <c r="E28" s="94">
        <v>160</v>
      </c>
      <c r="F28" s="94">
        <v>160</v>
      </c>
      <c r="G28" s="94">
        <v>160</v>
      </c>
      <c r="H28" s="94">
        <v>160</v>
      </c>
      <c r="I28" s="94">
        <v>156.80000000000001</v>
      </c>
      <c r="K28" s="133" t="s">
        <v>246</v>
      </c>
      <c r="L28" s="133" t="s">
        <v>247</v>
      </c>
      <c r="M28" s="93">
        <f ca="1">$M$19*M$25*M$26</f>
        <v>38</v>
      </c>
      <c r="N28" s="93">
        <f t="shared" ref="N28:S28" ca="1" si="0">$M$19*N$25*N$26</f>
        <v>36</v>
      </c>
      <c r="O28" s="93">
        <f t="shared" ca="1" si="0"/>
        <v>39</v>
      </c>
      <c r="P28" s="93">
        <f t="shared" ca="1" si="0"/>
        <v>36</v>
      </c>
      <c r="Q28" s="127">
        <f t="shared" ca="1" si="0"/>
        <v>35</v>
      </c>
      <c r="R28" s="93">
        <f t="shared" ca="1" si="0"/>
        <v>36</v>
      </c>
      <c r="S28" s="93">
        <f t="shared" ca="1" si="0"/>
        <v>40</v>
      </c>
      <c r="T28" s="131">
        <f ca="1">$M$19*T$25*T$26</f>
        <v>40</v>
      </c>
      <c r="U28" s="93" t="s">
        <v>144</v>
      </c>
    </row>
    <row r="29" spans="1:22" x14ac:dyDescent="0.2">
      <c r="B29" s="94">
        <v>168</v>
      </c>
      <c r="C29" s="94">
        <v>176</v>
      </c>
      <c r="D29" s="94">
        <v>176</v>
      </c>
      <c r="E29" s="94">
        <v>176</v>
      </c>
      <c r="F29" s="94">
        <v>179.2</v>
      </c>
      <c r="G29" s="94">
        <v>170.7</v>
      </c>
      <c r="H29" s="94">
        <v>176</v>
      </c>
      <c r="I29" s="94">
        <v>176</v>
      </c>
      <c r="K29" s="133" t="s">
        <v>244</v>
      </c>
      <c r="L29" s="133" t="s">
        <v>245</v>
      </c>
      <c r="M29" s="93">
        <f ca="1">1+1*M$26</f>
        <v>39</v>
      </c>
      <c r="N29" s="93">
        <f t="shared" ref="N29:S29" ca="1" si="1">(1+1)*N$26</f>
        <v>36</v>
      </c>
      <c r="O29" s="93">
        <f t="shared" ca="1" si="1"/>
        <v>26</v>
      </c>
      <c r="P29" s="93">
        <f ca="1">(1+1)*P$26</f>
        <v>18</v>
      </c>
      <c r="Q29" s="93">
        <f t="shared" ca="1" si="1"/>
        <v>14</v>
      </c>
      <c r="R29" s="93">
        <f t="shared" ca="1" si="1"/>
        <v>12</v>
      </c>
      <c r="S29" s="93">
        <f t="shared" ca="1" si="1"/>
        <v>10</v>
      </c>
      <c r="T29" s="129">
        <f ca="1">(1+1)*T$26</f>
        <v>8</v>
      </c>
      <c r="U29" s="93" t="s">
        <v>144</v>
      </c>
      <c r="V29" s="93" t="s">
        <v>242</v>
      </c>
    </row>
    <row r="30" spans="1:22" x14ac:dyDescent="0.2">
      <c r="B30" s="94">
        <v>200</v>
      </c>
      <c r="C30" s="94">
        <v>200</v>
      </c>
      <c r="D30" s="94">
        <v>202.7</v>
      </c>
      <c r="E30" s="94">
        <v>200</v>
      </c>
      <c r="F30" s="94">
        <v>204.8</v>
      </c>
      <c r="G30" s="94">
        <v>202.7</v>
      </c>
      <c r="H30" s="94">
        <v>204</v>
      </c>
      <c r="I30" s="94">
        <v>204.8</v>
      </c>
      <c r="K30" s="93" t="s">
        <v>243</v>
      </c>
      <c r="M30" s="93">
        <f ca="1">SUM(M$28:M$29)</f>
        <v>77</v>
      </c>
      <c r="N30" s="93">
        <f t="shared" ref="N30:T30" ca="1" si="2">SUM(N$28:N$29)</f>
        <v>72</v>
      </c>
      <c r="O30" s="93">
        <f t="shared" ca="1" si="2"/>
        <v>65</v>
      </c>
      <c r="P30" s="93">
        <f t="shared" ca="1" si="2"/>
        <v>54</v>
      </c>
      <c r="Q30" s="93">
        <f t="shared" ca="1" si="2"/>
        <v>49</v>
      </c>
      <c r="R30" s="93">
        <f t="shared" ca="1" si="2"/>
        <v>48</v>
      </c>
      <c r="S30" s="93">
        <f t="shared" ca="1" si="2"/>
        <v>50</v>
      </c>
      <c r="T30" s="130">
        <f t="shared" ca="1" si="2"/>
        <v>48</v>
      </c>
    </row>
    <row r="31" spans="1:22" x14ac:dyDescent="0.2">
      <c r="B31" s="94">
        <v>232</v>
      </c>
      <c r="C31" s="94">
        <v>232</v>
      </c>
      <c r="D31" s="94">
        <v>234.7</v>
      </c>
      <c r="E31" s="94">
        <v>256</v>
      </c>
      <c r="F31" s="94">
        <v>230.4</v>
      </c>
      <c r="G31" s="94">
        <v>229.3</v>
      </c>
      <c r="H31" s="94">
        <v>228</v>
      </c>
      <c r="I31" s="94">
        <v>230.4</v>
      </c>
      <c r="K31" s="125" t="s">
        <v>234</v>
      </c>
      <c r="L31" s="125"/>
      <c r="M31" s="125"/>
      <c r="N31" s="125"/>
      <c r="O31" s="125"/>
      <c r="P31" s="125"/>
      <c r="Q31" s="125">
        <f ca="1">(INDIRECT("F" &amp; $M$14+35))</f>
        <v>7</v>
      </c>
    </row>
    <row r="32" spans="1:22" x14ac:dyDescent="0.2">
      <c r="B32" s="94">
        <v>248</v>
      </c>
      <c r="C32" s="94">
        <v>256</v>
      </c>
      <c r="D32" s="94">
        <v>256</v>
      </c>
      <c r="E32" s="94">
        <v>264</v>
      </c>
      <c r="F32" s="94">
        <v>256</v>
      </c>
      <c r="G32" s="94">
        <v>261.3</v>
      </c>
      <c r="H32" s="94">
        <v>256</v>
      </c>
      <c r="I32" s="94">
        <v>256</v>
      </c>
      <c r="K32" s="93" t="s">
        <v>235</v>
      </c>
      <c r="M32" s="93" t="s">
        <v>236</v>
      </c>
      <c r="O32" s="93" t="s">
        <v>237</v>
      </c>
      <c r="Q32" s="93" t="s">
        <v>238</v>
      </c>
      <c r="R32" s="93" t="s">
        <v>239</v>
      </c>
    </row>
    <row r="34" spans="1:22" x14ac:dyDescent="0.2">
      <c r="A34" s="124" t="s">
        <v>301</v>
      </c>
      <c r="K34" s="124" t="s">
        <v>228</v>
      </c>
    </row>
    <row r="35" spans="1:22" x14ac:dyDescent="0.2">
      <c r="B35" s="94">
        <v>-3.3</v>
      </c>
      <c r="C35" s="94">
        <v>-6.3</v>
      </c>
      <c r="D35" s="94">
        <v>-7.2</v>
      </c>
      <c r="E35" s="94">
        <v>-7.5</v>
      </c>
      <c r="F35" s="94">
        <v>-5.9</v>
      </c>
      <c r="G35" s="94">
        <v>-6.5</v>
      </c>
      <c r="H35" s="94">
        <v>-7</v>
      </c>
      <c r="I35" s="94">
        <v>-7.6</v>
      </c>
      <c r="K35" s="93" t="s">
        <v>222</v>
      </c>
      <c r="L35" s="93" t="s">
        <v>223</v>
      </c>
      <c r="M35" s="93">
        <f ca="1">ROUNDUP(8*($N$13+(2+2))/(INDIRECT("B" &amp; $M$14+3)),0)</f>
        <v>4</v>
      </c>
      <c r="N35" s="93">
        <f ca="1">ROUNDUP(8*($N$13+(2+2))/(INDIRECT("C" &amp; $M$14+3)),0)</f>
        <v>2</v>
      </c>
      <c r="O35" s="93">
        <f ca="1">ROUNDUP(8*($N$13+(2+2))/(INDIRECT("D" &amp; $M$14+3)),0)</f>
        <v>2</v>
      </c>
      <c r="P35" s="93">
        <f ca="1">ROUNDUP(8*($N$13+(2+2))/(INDIRECT("E" &amp; $M$14+3)),0)</f>
        <v>1</v>
      </c>
      <c r="Q35" s="93">
        <f ca="1">ROUNDUP(8*($N$13+(2+2))/(INDIRECT("F" &amp; $M$14+3)),0)</f>
        <v>1</v>
      </c>
      <c r="R35" s="93">
        <f ca="1">ROUNDUP(8*($N$13+(2+2))/(INDIRECT("G" &amp; $M$14+3)),0)</f>
        <v>1</v>
      </c>
      <c r="S35" s="93">
        <f ca="1">ROUNDUP(8*($N$13+(2+2))/(INDIRECT("H" &amp; $M$14+3)),0)</f>
        <v>1</v>
      </c>
      <c r="T35" s="93">
        <f ca="1">ROUNDUP(8*($N$13+(2+2))/(INDIRECT("I" &amp; $M$14+3)),0)</f>
        <v>1</v>
      </c>
    </row>
    <row r="36" spans="1:22" x14ac:dyDescent="0.2">
      <c r="B36" s="94">
        <v>-2.5</v>
      </c>
      <c r="C36" s="94">
        <v>-3.2</v>
      </c>
      <c r="D36" s="94">
        <v>-4.0999999999999996</v>
      </c>
      <c r="E36" s="94">
        <v>-3.8</v>
      </c>
      <c r="F36" s="94">
        <v>-4.3</v>
      </c>
      <c r="G36" s="94">
        <v>-4</v>
      </c>
      <c r="H36" s="94">
        <v>-6</v>
      </c>
      <c r="I36" s="94">
        <v>-6.4</v>
      </c>
      <c r="K36" s="93" t="s">
        <v>226</v>
      </c>
      <c r="M36" s="93">
        <f ca="1">$N$13*8-FLOOR($N$13*8/(INDIRECT("B" &amp; $M$14+3)),1)*(INDIRECT("B" &amp; $M$14+3))</f>
        <v>168</v>
      </c>
      <c r="N36" s="93">
        <f ca="1">$N$13*8-FLOOR($N$13*8/(INDIRECT("C" &amp; $M$14+3)),1)*(INDIRECT("C" &amp; $M$14+3))</f>
        <v>352</v>
      </c>
      <c r="O36" s="93">
        <f ca="1">$N$13*8-FLOOR($N$13*8/(INDIRECT("D" &amp; $M$14+3)),1)*(INDIRECT("D" &amp; $M$14+3))</f>
        <v>96</v>
      </c>
      <c r="P36" s="93">
        <f ca="1">$N$13*8-FLOOR($N$13*8/(INDIRECT("E" &amp; $M$14+3)),1)*(INDIRECT("E" &amp; $M$14+3))</f>
        <v>840</v>
      </c>
      <c r="Q36" s="93">
        <f ca="1">$N$13*8-FLOOR($N$13*8/(INDIRECT("F" &amp; $M$14+3)),1)*(INDIRECT("F" &amp; $M$14+3))</f>
        <v>840</v>
      </c>
      <c r="R36" s="93">
        <f ca="1">$N$13*8-FLOOR($N$13*8/(INDIRECT("G" &amp; $M$14+3)),1)*(INDIRECT("G" &amp; $M$14+3))</f>
        <v>840</v>
      </c>
      <c r="S36" s="93">
        <f ca="1">$N$13*8-FLOOR($N$13*8/(INDIRECT("H" &amp; $M$14+3)),1)*(INDIRECT("H" &amp; $M$14+3))</f>
        <v>840</v>
      </c>
      <c r="T36" s="93">
        <f ca="1">$N$13*8-FLOOR($N$13*8/(INDIRECT("I" &amp; $M$14+3)),1)*(INDIRECT("I" &amp; $M$14+3))</f>
        <v>840</v>
      </c>
    </row>
    <row r="37" spans="1:22" x14ac:dyDescent="0.2">
      <c r="B37" s="94">
        <v>-0.9</v>
      </c>
      <c r="C37" s="94">
        <v>-2.2000000000000002</v>
      </c>
      <c r="D37" s="94">
        <v>-2.1</v>
      </c>
      <c r="E37" s="94">
        <v>-2.9</v>
      </c>
      <c r="F37" s="94">
        <v>-4</v>
      </c>
      <c r="G37" s="94">
        <v>-4</v>
      </c>
      <c r="H37" s="94">
        <v>-5.2</v>
      </c>
      <c r="I37" s="94">
        <v>-5.4</v>
      </c>
    </row>
    <row r="38" spans="1:22" x14ac:dyDescent="0.2">
      <c r="B38" s="94">
        <v>0</v>
      </c>
      <c r="C38" s="94">
        <v>-0.5</v>
      </c>
      <c r="D38" s="94">
        <v>-1.2</v>
      </c>
      <c r="E38" s="94">
        <v>-2.2000000000000002</v>
      </c>
      <c r="F38" s="94">
        <v>-3.1</v>
      </c>
      <c r="G38" s="94">
        <v>-3.2</v>
      </c>
      <c r="H38" s="94">
        <v>-4.2</v>
      </c>
      <c r="I38" s="94">
        <v>-4</v>
      </c>
      <c r="K38" s="93" t="s">
        <v>225</v>
      </c>
      <c r="L38" s="93" t="s">
        <v>224</v>
      </c>
      <c r="M38" s="93">
        <v>1</v>
      </c>
      <c r="N38" s="93">
        <v>2</v>
      </c>
      <c r="O38" s="93">
        <v>3</v>
      </c>
      <c r="P38" s="93">
        <v>4</v>
      </c>
      <c r="Q38" s="93">
        <v>5</v>
      </c>
      <c r="R38" s="93">
        <v>6</v>
      </c>
      <c r="S38" s="93">
        <v>8</v>
      </c>
      <c r="T38" s="93">
        <v>10</v>
      </c>
    </row>
    <row r="39" spans="1:22" x14ac:dyDescent="0.2">
      <c r="B39" s="94">
        <v>0.9</v>
      </c>
      <c r="C39" s="94">
        <v>-0.1</v>
      </c>
      <c r="D39" s="94">
        <v>-0.5</v>
      </c>
      <c r="E39" s="94">
        <v>-1.2</v>
      </c>
      <c r="F39" s="94">
        <v>-1.7</v>
      </c>
      <c r="G39" s="94">
        <v>-1.8</v>
      </c>
      <c r="H39" s="94">
        <v>-3.2</v>
      </c>
      <c r="I39" s="94">
        <v>-3.7</v>
      </c>
      <c r="K39" s="93" t="s">
        <v>220</v>
      </c>
      <c r="M39" s="93">
        <f ca="1">IF((ROUNDUP(8*($N$13+2)/(INDIRECT("B" &amp; $M$14+3)),0))=1,1,IF((INDIRECT("B" &amp; $M$14+3))-M$36&gt;=8*(2+2)*M$35,M$35,M$35+1))</f>
        <v>5</v>
      </c>
      <c r="N39" s="93">
        <f ca="1">IF((ROUNDUP(8*($N$13+2)/(INDIRECT("C" &amp; $M$14+3)),0))=1,1,IF((INDIRECT("C" &amp; $M$14+3))-N$36&gt;=8*(2+2)*N$35,N$35,N$35+1))</f>
        <v>2</v>
      </c>
      <c r="O39" s="93">
        <f ca="1">IF((ROUNDUP(8*($N$13+2)/(INDIRECT("D" &amp; $M$14+3)),0))=1,1,IF((INDIRECT("D" &amp; $M$14+3))-O$36&gt;=8*(2+2)*O$35,O$35,O$35+1))</f>
        <v>2</v>
      </c>
      <c r="P39" s="126">
        <f ca="1">IF((ROUNDUP(8*($N$13+2)/(INDIRECT("E" &amp; $M$14+3)),0))=1,1,IF((INDIRECT("E" &amp; $M$14+3))-P$36&gt;=8*(2+2)*P$35,P$35,P$35+1))</f>
        <v>1</v>
      </c>
      <c r="Q39" s="93">
        <f ca="1">IF((ROUNDUP(8*($N$13+2)/(INDIRECT("F" &amp; $M$14+3)),0))=1,1,IF((INDIRECT("F" &amp; $M$14+3))-Q$36&gt;=8*(2+2)*Q$35,Q$35,Q$35+1))</f>
        <v>1</v>
      </c>
      <c r="R39" s="93">
        <f ca="1">IF((ROUNDUP(8*($N$13+2)/(INDIRECT("G" &amp; $M$14+3)),0))=1,1,IF((INDIRECT("G" &amp; $M$14+3))-R$36&gt;=8*(2+2)*R$35,R$35,R$35+1))</f>
        <v>1</v>
      </c>
      <c r="S39" s="93">
        <f ca="1">IF((ROUNDUP(8*($N$13+2)/(INDIRECT("H" &amp; $M$14+3)),0))=1,1,IF((INDIRECT("H" &amp; $M$14+3))-S$36&gt;=8*(2+2)*S$35,S$35,S$35+1))</f>
        <v>1</v>
      </c>
      <c r="T39" s="93">
        <f ca="1">IF((ROUNDUP(8*($N$13+2)/(INDIRECT("I" &amp; $M$14+3)),0))=1,1,IF((INDIRECT("I" &amp; $M$14+3))-T$36&gt;=8*(2+2)*T$35,T$35,T$35+1))</f>
        <v>1</v>
      </c>
    </row>
    <row r="40" spans="1:22" x14ac:dyDescent="0.2">
      <c r="B40" s="94">
        <v>1.6</v>
      </c>
      <c r="C40" s="94">
        <v>0.5</v>
      </c>
      <c r="D40" s="94">
        <v>-0.1</v>
      </c>
      <c r="E40" s="94">
        <v>-0.4</v>
      </c>
      <c r="F40" s="94">
        <v>-0.9</v>
      </c>
      <c r="G40" s="94">
        <v>-1.4</v>
      </c>
      <c r="H40" s="94">
        <v>-2</v>
      </c>
      <c r="I40" s="94">
        <v>-2.6</v>
      </c>
    </row>
    <row r="41" spans="1:22" x14ac:dyDescent="0.2">
      <c r="B41" s="94">
        <v>2.7</v>
      </c>
      <c r="C41" s="94">
        <v>1.6</v>
      </c>
      <c r="D41" s="94">
        <v>0.6</v>
      </c>
      <c r="E41" s="94">
        <v>0.6</v>
      </c>
      <c r="F41" s="94">
        <v>0</v>
      </c>
      <c r="G41" s="94">
        <v>-0.6</v>
      </c>
      <c r="H41" s="94">
        <v>-1.3</v>
      </c>
      <c r="I41" s="94">
        <v>-2</v>
      </c>
      <c r="K41" s="133" t="s">
        <v>246</v>
      </c>
      <c r="L41" s="133" t="s">
        <v>247</v>
      </c>
      <c r="M41" s="93">
        <f t="shared" ref="M41:T41" ca="1" si="3">$M$19*M$38*M$39</f>
        <v>5</v>
      </c>
      <c r="N41" s="127">
        <f t="shared" ca="1" si="3"/>
        <v>4</v>
      </c>
      <c r="O41" s="93">
        <f t="shared" ca="1" si="3"/>
        <v>6</v>
      </c>
      <c r="P41" s="132">
        <f t="shared" ca="1" si="3"/>
        <v>4</v>
      </c>
      <c r="Q41" s="93">
        <f t="shared" ca="1" si="3"/>
        <v>5</v>
      </c>
      <c r="R41" s="93">
        <f t="shared" ca="1" si="3"/>
        <v>6</v>
      </c>
      <c r="S41" s="93">
        <f t="shared" ca="1" si="3"/>
        <v>8</v>
      </c>
      <c r="T41" s="93">
        <f t="shared" ca="1" si="3"/>
        <v>10</v>
      </c>
    </row>
    <row r="42" spans="1:22" x14ac:dyDescent="0.2">
      <c r="B42" s="94">
        <v>3.7</v>
      </c>
      <c r="C42" s="94">
        <v>2.7</v>
      </c>
      <c r="D42" s="94">
        <v>1.7</v>
      </c>
      <c r="E42" s="94">
        <v>1.8</v>
      </c>
      <c r="F42" s="94">
        <v>0.6</v>
      </c>
      <c r="G42" s="94">
        <v>0.4</v>
      </c>
      <c r="H42" s="94">
        <v>-0.1</v>
      </c>
      <c r="I42" s="94">
        <v>-0.8</v>
      </c>
      <c r="K42" s="133" t="s">
        <v>244</v>
      </c>
      <c r="L42" s="133" t="s">
        <v>245</v>
      </c>
      <c r="M42" s="93">
        <f ca="1">(1+1)*M$39</f>
        <v>10</v>
      </c>
      <c r="N42" s="93">
        <f t="shared" ref="N42:T42" ca="1" si="4">(1+1)*N$39</f>
        <v>4</v>
      </c>
      <c r="O42" s="93">
        <f ca="1">(1+1)*O$39</f>
        <v>4</v>
      </c>
      <c r="P42" s="129">
        <f ca="1">(1+1)*P$39</f>
        <v>2</v>
      </c>
      <c r="Q42" s="93">
        <f t="shared" ca="1" si="4"/>
        <v>2</v>
      </c>
      <c r="R42" s="93">
        <f t="shared" ca="1" si="4"/>
        <v>2</v>
      </c>
      <c r="S42" s="93">
        <f t="shared" ca="1" si="4"/>
        <v>2</v>
      </c>
      <c r="T42" s="93">
        <f t="shared" ca="1" si="4"/>
        <v>2</v>
      </c>
    </row>
    <row r="43" spans="1:22" x14ac:dyDescent="0.2">
      <c r="B43" s="94">
        <v>4.2</v>
      </c>
      <c r="C43" s="94">
        <v>3.6</v>
      </c>
      <c r="D43" s="94">
        <v>2.8</v>
      </c>
      <c r="E43" s="94">
        <v>2.4</v>
      </c>
      <c r="F43" s="94">
        <v>2.1</v>
      </c>
      <c r="G43" s="94">
        <v>1.2</v>
      </c>
      <c r="H43" s="94">
        <v>0.7</v>
      </c>
      <c r="I43" s="94">
        <v>-0.1</v>
      </c>
      <c r="K43" s="93" t="s">
        <v>243</v>
      </c>
      <c r="M43" s="93">
        <f ca="1">SUM(M$41:M$42)</f>
        <v>15</v>
      </c>
      <c r="N43" s="93">
        <f t="shared" ref="N43:T43" ca="1" si="5">SUM(N$41:N$42)</f>
        <v>8</v>
      </c>
      <c r="O43" s="93">
        <f t="shared" ca="1" si="5"/>
        <v>10</v>
      </c>
      <c r="P43" s="130">
        <f t="shared" ca="1" si="5"/>
        <v>6</v>
      </c>
      <c r="Q43" s="93">
        <f t="shared" ca="1" si="5"/>
        <v>7</v>
      </c>
      <c r="R43" s="93">
        <f t="shared" ca="1" si="5"/>
        <v>8</v>
      </c>
      <c r="S43" s="93">
        <f t="shared" ca="1" si="5"/>
        <v>10</v>
      </c>
      <c r="T43" s="93">
        <f t="shared" ca="1" si="5"/>
        <v>12</v>
      </c>
    </row>
    <row r="44" spans="1:22" x14ac:dyDescent="0.2">
      <c r="B44" s="94">
        <v>5.0999999999999996</v>
      </c>
      <c r="C44" s="94">
        <v>4.5</v>
      </c>
      <c r="D44" s="94">
        <v>3.7</v>
      </c>
      <c r="E44" s="94">
        <v>3.3</v>
      </c>
      <c r="F44" s="94">
        <v>2.8</v>
      </c>
      <c r="G44" s="94">
        <v>2.2000000000000002</v>
      </c>
      <c r="H44" s="94">
        <v>1.6</v>
      </c>
      <c r="I44" s="94">
        <v>3.6</v>
      </c>
      <c r="K44" s="125" t="s">
        <v>234</v>
      </c>
      <c r="L44" s="125"/>
      <c r="M44" s="125"/>
      <c r="N44" s="125">
        <f ca="1">(INDIRECT("C" &amp; $M$14+35))</f>
        <v>9.3000000000000007</v>
      </c>
      <c r="O44" s="125"/>
      <c r="P44" s="128">
        <f ca="1">(INDIRECT("E" &amp; $M$14+35))</f>
        <v>8.8000000000000007</v>
      </c>
      <c r="Q44" s="125">
        <f ca="1">(INDIRECT("F" &amp; $M$14+35))</f>
        <v>7</v>
      </c>
    </row>
    <row r="45" spans="1:22" x14ac:dyDescent="0.2">
      <c r="B45" s="94">
        <v>5.5</v>
      </c>
      <c r="C45" s="94">
        <v>5.2</v>
      </c>
      <c r="D45" s="94">
        <v>4.5999999999999996</v>
      </c>
      <c r="E45" s="94">
        <v>4</v>
      </c>
      <c r="F45" s="94">
        <v>4</v>
      </c>
      <c r="G45" s="94">
        <v>2.9</v>
      </c>
      <c r="H45" s="94">
        <v>2.1</v>
      </c>
      <c r="I45" s="94">
        <v>4.5</v>
      </c>
      <c r="K45" s="93" t="s">
        <v>235</v>
      </c>
      <c r="M45" s="93" t="s">
        <v>236</v>
      </c>
      <c r="O45" s="93" t="s">
        <v>240</v>
      </c>
      <c r="Q45" s="93" t="s">
        <v>238</v>
      </c>
      <c r="R45" s="93" t="s">
        <v>241</v>
      </c>
    </row>
    <row r="46" spans="1:22" x14ac:dyDescent="0.2">
      <c r="B46" s="94">
        <v>6.8</v>
      </c>
      <c r="C46" s="94">
        <v>6.5</v>
      </c>
      <c r="D46" s="94">
        <v>6</v>
      </c>
      <c r="E46" s="94">
        <v>5.5</v>
      </c>
      <c r="F46" s="94">
        <v>4.9000000000000004</v>
      </c>
      <c r="G46" s="94">
        <v>3.9</v>
      </c>
      <c r="H46" s="94">
        <v>3.4</v>
      </c>
      <c r="I46" s="94">
        <v>5.6</v>
      </c>
    </row>
    <row r="47" spans="1:22" ht="15" x14ac:dyDescent="0.25">
      <c r="B47" s="94">
        <v>8.4</v>
      </c>
      <c r="C47" s="94">
        <v>7.8</v>
      </c>
      <c r="D47" s="94">
        <v>7.2</v>
      </c>
      <c r="E47" s="94">
        <v>8</v>
      </c>
      <c r="F47" s="94">
        <v>5.7</v>
      </c>
      <c r="G47" s="94">
        <v>5.3</v>
      </c>
      <c r="H47" s="94">
        <v>4.4000000000000004</v>
      </c>
      <c r="I47" s="94">
        <v>6.9</v>
      </c>
      <c r="K47"/>
      <c r="L47"/>
      <c r="M47"/>
      <c r="N47"/>
      <c r="O47"/>
      <c r="P47"/>
      <c r="Q47"/>
      <c r="R47"/>
      <c r="S47"/>
      <c r="T47"/>
      <c r="U47"/>
      <c r="V47"/>
    </row>
    <row r="48" spans="1:22" ht="15" x14ac:dyDescent="0.25">
      <c r="B48" s="94">
        <v>9.5</v>
      </c>
      <c r="C48" s="94">
        <v>9.3000000000000007</v>
      </c>
      <c r="D48" s="94">
        <v>8.5</v>
      </c>
      <c r="E48" s="94">
        <v>8.8000000000000007</v>
      </c>
      <c r="F48" s="94">
        <v>7</v>
      </c>
      <c r="G48" s="94">
        <v>7</v>
      </c>
      <c r="H48" s="94">
        <v>5.9</v>
      </c>
      <c r="I48" s="94">
        <v>8</v>
      </c>
      <c r="K48"/>
      <c r="L48"/>
      <c r="M48"/>
      <c r="N48"/>
      <c r="O48"/>
      <c r="P48"/>
      <c r="Q48"/>
      <c r="R48"/>
      <c r="S48"/>
      <c r="T48"/>
      <c r="U48"/>
      <c r="V48"/>
    </row>
    <row r="49" spans="1:22" ht="15" x14ac:dyDescent="0.25">
      <c r="B49" s="94"/>
      <c r="C49" s="94"/>
      <c r="D49" s="94"/>
      <c r="E49" s="94"/>
      <c r="F49" s="94"/>
      <c r="G49" s="94"/>
      <c r="H49" s="94"/>
      <c r="I49" s="94"/>
      <c r="K49"/>
      <c r="L49"/>
      <c r="M49"/>
      <c r="N49"/>
      <c r="O49"/>
      <c r="P49"/>
      <c r="Q49"/>
      <c r="R49"/>
      <c r="S49"/>
      <c r="T49"/>
      <c r="U49"/>
      <c r="V49"/>
    </row>
    <row r="50" spans="1:22" ht="15" x14ac:dyDescent="0.25">
      <c r="A50" s="124" t="s">
        <v>302</v>
      </c>
      <c r="K50"/>
      <c r="L50"/>
      <c r="M50"/>
      <c r="N50"/>
      <c r="O50"/>
      <c r="P50"/>
      <c r="Q50"/>
      <c r="R50"/>
      <c r="S50"/>
      <c r="T50"/>
      <c r="U50"/>
      <c r="V50"/>
    </row>
    <row r="51" spans="1:22" ht="15" x14ac:dyDescent="0.25">
      <c r="B51" s="94">
        <v>147.69999999999999</v>
      </c>
      <c r="C51" s="94">
        <v>150.69999999999999</v>
      </c>
      <c r="D51" s="94">
        <v>151.6</v>
      </c>
      <c r="E51" s="94">
        <v>151.9</v>
      </c>
      <c r="F51" s="94">
        <v>150.30000000000001</v>
      </c>
      <c r="G51" s="94">
        <v>150.9</v>
      </c>
      <c r="H51" s="94">
        <v>151.4</v>
      </c>
      <c r="I51" s="94">
        <v>152</v>
      </c>
      <c r="K51"/>
      <c r="L51"/>
      <c r="M51"/>
      <c r="N51"/>
      <c r="O51"/>
      <c r="P51"/>
      <c r="Q51"/>
      <c r="R51"/>
      <c r="S51"/>
      <c r="T51"/>
      <c r="U51"/>
      <c r="V51"/>
    </row>
    <row r="52" spans="1:22" ht="15" x14ac:dyDescent="0.25">
      <c r="B52" s="94">
        <v>146.9</v>
      </c>
      <c r="C52" s="94">
        <v>147.6</v>
      </c>
      <c r="D52" s="94">
        <v>148.5</v>
      </c>
      <c r="E52" s="94">
        <v>148.19999999999999</v>
      </c>
      <c r="F52" s="94">
        <v>148.69999999999999</v>
      </c>
      <c r="G52" s="94">
        <v>148.4</v>
      </c>
      <c r="H52" s="94">
        <v>150.4</v>
      </c>
      <c r="I52" s="94">
        <v>150.80000000000001</v>
      </c>
      <c r="K52"/>
      <c r="L52"/>
      <c r="M52"/>
      <c r="N52"/>
      <c r="O52"/>
      <c r="P52"/>
      <c r="Q52"/>
      <c r="R52"/>
      <c r="S52"/>
      <c r="T52"/>
      <c r="U52"/>
      <c r="V52"/>
    </row>
    <row r="53" spans="1:22" ht="15" x14ac:dyDescent="0.25">
      <c r="B53" s="94">
        <v>145.30000000000001</v>
      </c>
      <c r="C53" s="94">
        <v>146.6</v>
      </c>
      <c r="D53" s="94">
        <v>146.5</v>
      </c>
      <c r="E53" s="94">
        <v>147.30000000000001</v>
      </c>
      <c r="F53" s="94">
        <v>148.4</v>
      </c>
      <c r="G53" s="94">
        <v>148.4</v>
      </c>
      <c r="H53" s="94">
        <v>149.6</v>
      </c>
      <c r="I53" s="94">
        <v>149.80000000000001</v>
      </c>
      <c r="K53"/>
      <c r="L53"/>
      <c r="M53"/>
      <c r="N53"/>
      <c r="O53"/>
      <c r="P53"/>
      <c r="Q53"/>
      <c r="R53"/>
      <c r="S53"/>
      <c r="T53"/>
      <c r="U53"/>
      <c r="V53"/>
    </row>
    <row r="54" spans="1:22" ht="15" x14ac:dyDescent="0.25">
      <c r="B54" s="94">
        <v>144.4</v>
      </c>
      <c r="C54" s="94">
        <v>144.9</v>
      </c>
      <c r="D54" s="94">
        <v>145.6</v>
      </c>
      <c r="E54" s="94">
        <v>146.6</v>
      </c>
      <c r="F54" s="94">
        <v>147.5</v>
      </c>
      <c r="G54" s="94">
        <v>147.6</v>
      </c>
      <c r="H54" s="94">
        <v>148.6</v>
      </c>
      <c r="I54" s="94">
        <v>148.4</v>
      </c>
      <c r="K54"/>
      <c r="L54"/>
      <c r="M54"/>
      <c r="N54"/>
      <c r="O54"/>
      <c r="P54"/>
      <c r="Q54"/>
      <c r="R54"/>
      <c r="S54"/>
      <c r="T54"/>
      <c r="U54"/>
      <c r="V54"/>
    </row>
    <row r="55" spans="1:22" ht="15" x14ac:dyDescent="0.25">
      <c r="B55" s="94">
        <v>143.5</v>
      </c>
      <c r="C55" s="94">
        <v>144.5</v>
      </c>
      <c r="D55" s="94">
        <v>144.9</v>
      </c>
      <c r="E55" s="94">
        <v>145.6</v>
      </c>
      <c r="F55" s="94">
        <v>146.1</v>
      </c>
      <c r="G55" s="94">
        <v>146.19999999999999</v>
      </c>
      <c r="H55" s="94">
        <v>147.6</v>
      </c>
      <c r="I55" s="94">
        <v>148.1</v>
      </c>
      <c r="K55"/>
      <c r="L55"/>
      <c r="M55"/>
      <c r="N55"/>
      <c r="O55"/>
      <c r="P55"/>
      <c r="Q55"/>
      <c r="R55"/>
      <c r="S55"/>
      <c r="T55"/>
      <c r="U55"/>
      <c r="V55"/>
    </row>
    <row r="56" spans="1:22" ht="15" x14ac:dyDescent="0.25">
      <c r="B56" s="94">
        <v>142.80000000000001</v>
      </c>
      <c r="C56" s="94">
        <v>143.9</v>
      </c>
      <c r="D56" s="94">
        <v>144.5</v>
      </c>
      <c r="E56" s="94">
        <v>144.80000000000001</v>
      </c>
      <c r="F56" s="94">
        <v>145.30000000000001</v>
      </c>
      <c r="G56" s="94">
        <v>145.80000000000001</v>
      </c>
      <c r="H56" s="94">
        <v>146.4</v>
      </c>
      <c r="I56" s="94">
        <v>147</v>
      </c>
      <c r="K56"/>
      <c r="L56"/>
      <c r="M56"/>
      <c r="N56"/>
      <c r="O56"/>
      <c r="P56"/>
      <c r="Q56"/>
      <c r="R56"/>
      <c r="S56"/>
      <c r="T56"/>
      <c r="U56"/>
      <c r="V56"/>
    </row>
    <row r="57" spans="1:22" ht="15" x14ac:dyDescent="0.25">
      <c r="B57" s="94">
        <v>141.69999999999999</v>
      </c>
      <c r="C57" s="94">
        <v>142.80000000000001</v>
      </c>
      <c r="D57" s="94">
        <v>143.80000000000001</v>
      </c>
      <c r="E57" s="94">
        <v>143.80000000000001</v>
      </c>
      <c r="F57" s="94">
        <v>144.4</v>
      </c>
      <c r="G57" s="94">
        <v>145</v>
      </c>
      <c r="H57" s="94">
        <v>145.69999999999999</v>
      </c>
      <c r="I57" s="94">
        <v>146.4</v>
      </c>
      <c r="K57"/>
      <c r="L57"/>
      <c r="M57"/>
      <c r="N57"/>
      <c r="O57"/>
      <c r="P57"/>
      <c r="Q57"/>
      <c r="R57"/>
      <c r="S57"/>
      <c r="T57"/>
      <c r="U57"/>
      <c r="V57"/>
    </row>
    <row r="58" spans="1:22" ht="15" x14ac:dyDescent="0.25">
      <c r="B58" s="94">
        <v>140.69999999999999</v>
      </c>
      <c r="C58" s="94">
        <v>141.69999999999999</v>
      </c>
      <c r="D58" s="94">
        <v>142.69999999999999</v>
      </c>
      <c r="E58" s="94">
        <v>142.6</v>
      </c>
      <c r="F58" s="94">
        <v>143.80000000000001</v>
      </c>
      <c r="G58" s="94">
        <v>144</v>
      </c>
      <c r="H58" s="94">
        <v>144.5</v>
      </c>
      <c r="I58" s="94">
        <v>145.19999999999999</v>
      </c>
      <c r="K58"/>
      <c r="L58"/>
      <c r="M58"/>
      <c r="N58"/>
      <c r="O58"/>
      <c r="P58"/>
      <c r="Q58"/>
      <c r="R58"/>
      <c r="S58"/>
      <c r="T58"/>
      <c r="U58"/>
      <c r="V58"/>
    </row>
    <row r="59" spans="1:22" ht="15" x14ac:dyDescent="0.25">
      <c r="B59" s="94">
        <v>140.19999999999999</v>
      </c>
      <c r="C59" s="94">
        <v>140.80000000000001</v>
      </c>
      <c r="D59" s="94">
        <v>141.6</v>
      </c>
      <c r="E59" s="94">
        <v>142</v>
      </c>
      <c r="F59" s="94">
        <v>142.30000000000001</v>
      </c>
      <c r="G59" s="94">
        <v>143.19999999999999</v>
      </c>
      <c r="H59" s="94">
        <v>143.69999999999999</v>
      </c>
      <c r="I59" s="94">
        <v>144.5</v>
      </c>
      <c r="K59"/>
      <c r="L59"/>
      <c r="M59"/>
      <c r="N59"/>
      <c r="O59"/>
      <c r="P59"/>
      <c r="Q59"/>
      <c r="R59"/>
      <c r="S59"/>
      <c r="T59"/>
      <c r="U59"/>
      <c r="V59"/>
    </row>
    <row r="60" spans="1:22" x14ac:dyDescent="0.2">
      <c r="B60" s="94">
        <v>139.30000000000001</v>
      </c>
      <c r="C60" s="94">
        <v>139.9</v>
      </c>
      <c r="D60" s="94">
        <v>140.69999999999999</v>
      </c>
      <c r="E60" s="94">
        <v>141.1</v>
      </c>
      <c r="F60" s="94">
        <v>141.6</v>
      </c>
      <c r="G60" s="94">
        <v>142.19999999999999</v>
      </c>
      <c r="H60" s="94">
        <v>142.80000000000001</v>
      </c>
      <c r="I60" s="94">
        <v>143.69999999999999</v>
      </c>
    </row>
    <row r="61" spans="1:22" x14ac:dyDescent="0.2">
      <c r="B61" s="94">
        <v>138.9</v>
      </c>
      <c r="C61" s="94">
        <v>139.19999999999999</v>
      </c>
      <c r="D61" s="94">
        <v>139.80000000000001</v>
      </c>
      <c r="E61" s="94">
        <v>140.4</v>
      </c>
      <c r="F61" s="94">
        <v>140.4</v>
      </c>
      <c r="G61" s="94">
        <v>141.5</v>
      </c>
      <c r="H61" s="94">
        <v>142.30000000000001</v>
      </c>
      <c r="I61" s="94">
        <v>142.69999999999999</v>
      </c>
    </row>
    <row r="62" spans="1:22" x14ac:dyDescent="0.2">
      <c r="B62" s="94">
        <v>137.6</v>
      </c>
      <c r="C62" s="94">
        <v>137.9</v>
      </c>
      <c r="D62" s="94">
        <v>138.4</v>
      </c>
      <c r="E62" s="94">
        <v>138.9</v>
      </c>
      <c r="F62" s="94">
        <v>139.5</v>
      </c>
      <c r="G62" s="94">
        <v>140.5</v>
      </c>
      <c r="H62" s="94">
        <v>141</v>
      </c>
      <c r="I62" s="94">
        <v>141.6</v>
      </c>
    </row>
    <row r="63" spans="1:22" x14ac:dyDescent="0.2">
      <c r="B63" s="94">
        <v>136</v>
      </c>
      <c r="C63" s="94">
        <v>136.6</v>
      </c>
      <c r="D63" s="94">
        <v>137.19999999999999</v>
      </c>
      <c r="E63" s="94">
        <v>136.4</v>
      </c>
      <c r="F63" s="94">
        <v>138.69999999999999</v>
      </c>
      <c r="G63" s="94">
        <v>139.1</v>
      </c>
      <c r="H63" s="94">
        <v>140</v>
      </c>
      <c r="I63" s="94">
        <v>140.6</v>
      </c>
      <c r="K63" s="133"/>
    </row>
    <row r="64" spans="1:22" x14ac:dyDescent="0.2">
      <c r="B64" s="94">
        <v>134.9</v>
      </c>
      <c r="C64" s="94">
        <v>135.1</v>
      </c>
      <c r="D64" s="94">
        <v>135.9</v>
      </c>
      <c r="E64" s="94">
        <v>135.6</v>
      </c>
      <c r="F64" s="94">
        <v>137.4</v>
      </c>
      <c r="G64" s="94">
        <v>137.5</v>
      </c>
      <c r="H64" s="94">
        <v>138.6</v>
      </c>
      <c r="I64" s="94">
        <v>139.19999999999999</v>
      </c>
    </row>
  </sheetData>
  <mergeCells count="2">
    <mergeCell ref="B2:I2"/>
    <mergeCell ref="M14:O14"/>
  </mergeCells>
  <dataValidations disablePrompts="1" count="2">
    <dataValidation type="list" allowBlank="1" showInputMessage="1" showErrorMessage="1" sqref="M17">
      <formula1>"15"</formula1>
    </dataValidation>
    <dataValidation type="list" allowBlank="1" showInputMessage="1" showErrorMessage="1" sqref="M18">
      <formula1>"1, 3, 6, 12"</formula1>
    </dataValidation>
  </dataValidations>
  <pageMargins left="0.7" right="0.7" top="0.75" bottom="0.75" header="0.3" footer="0.3"/>
  <pageSetup orientation="portrait" verticalDpi="0" r:id="rId1"/>
  <headerFooter>
    <oddFooter>&amp;C&amp;1#&amp;"Arial"&amp;11&amp;K404040Restricted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4"/>
  <sheetViews>
    <sheetView workbookViewId="0">
      <selection activeCell="N24" sqref="N24"/>
    </sheetView>
  </sheetViews>
  <sheetFormatPr defaultRowHeight="15" x14ac:dyDescent="0.25"/>
  <cols>
    <col min="1" max="1" width="10" customWidth="1"/>
    <col min="3" max="3" width="10.85546875" customWidth="1"/>
    <col min="4" max="4" width="10.5703125" bestFit="1" customWidth="1"/>
    <col min="5" max="5" width="8.5703125" bestFit="1" customWidth="1"/>
    <col min="6" max="6" width="9.140625" customWidth="1"/>
    <col min="7" max="7" width="12.42578125" customWidth="1"/>
    <col min="8" max="8" width="9" customWidth="1"/>
    <col min="11" max="11" width="11.42578125" customWidth="1"/>
    <col min="12" max="14" width="11.5703125" customWidth="1"/>
    <col min="15" max="15" width="11.85546875" customWidth="1"/>
  </cols>
  <sheetData>
    <row r="1" spans="1:20" ht="21" x14ac:dyDescent="0.35">
      <c r="A1" s="184" t="s">
        <v>388</v>
      </c>
      <c r="J1" s="146"/>
      <c r="K1" s="184" t="s">
        <v>387</v>
      </c>
      <c r="N1" s="146"/>
    </row>
    <row r="2" spans="1:20" ht="26.25" x14ac:dyDescent="0.4">
      <c r="A2" s="104" t="s">
        <v>305</v>
      </c>
      <c r="J2" s="146"/>
      <c r="K2" s="104" t="s">
        <v>193</v>
      </c>
      <c r="N2" s="335" t="s">
        <v>390</v>
      </c>
    </row>
    <row r="3" spans="1:20" x14ac:dyDescent="0.25">
      <c r="J3" s="146"/>
      <c r="N3" s="146"/>
      <c r="T3" s="93" t="s">
        <v>153</v>
      </c>
    </row>
    <row r="4" spans="1:20" x14ac:dyDescent="0.25">
      <c r="A4" t="s">
        <v>171</v>
      </c>
      <c r="C4" s="89" t="s">
        <v>172</v>
      </c>
      <c r="D4" s="229" t="s">
        <v>364</v>
      </c>
      <c r="E4" s="229"/>
      <c r="F4" s="89" t="s">
        <v>213</v>
      </c>
      <c r="G4" s="89" t="s">
        <v>261</v>
      </c>
      <c r="J4" s="146"/>
      <c r="N4" s="146"/>
      <c r="T4">
        <v>19.399999999999999</v>
      </c>
    </row>
    <row r="5" spans="1:20" x14ac:dyDescent="0.25">
      <c r="C5" s="91"/>
      <c r="D5" s="89" t="s">
        <v>187</v>
      </c>
      <c r="E5" s="89" t="s">
        <v>188</v>
      </c>
      <c r="F5" s="91"/>
      <c r="G5" s="91"/>
      <c r="J5" s="146"/>
      <c r="N5" s="146"/>
    </row>
    <row r="6" spans="1:20" x14ac:dyDescent="0.25">
      <c r="A6" t="s">
        <v>264</v>
      </c>
      <c r="C6" s="89"/>
      <c r="D6">
        <v>4</v>
      </c>
      <c r="E6">
        <v>1</v>
      </c>
      <c r="F6" s="89">
        <v>1</v>
      </c>
      <c r="G6" s="89">
        <v>1</v>
      </c>
      <c r="J6" s="146"/>
      <c r="N6" s="146"/>
      <c r="T6">
        <v>22.3</v>
      </c>
    </row>
    <row r="7" spans="1:20" x14ac:dyDescent="0.25">
      <c r="A7" t="s">
        <v>198</v>
      </c>
      <c r="C7">
        <v>255</v>
      </c>
      <c r="D7" s="229">
        <v>150</v>
      </c>
      <c r="E7" s="229"/>
      <c r="F7">
        <v>139</v>
      </c>
      <c r="G7">
        <v>29</v>
      </c>
      <c r="H7" t="s">
        <v>260</v>
      </c>
      <c r="J7" s="146"/>
      <c r="N7" s="146"/>
      <c r="O7" t="s">
        <v>199</v>
      </c>
      <c r="T7">
        <v>25.4</v>
      </c>
    </row>
    <row r="8" spans="1:20" x14ac:dyDescent="0.25">
      <c r="J8" s="146"/>
      <c r="N8" s="146"/>
      <c r="T8">
        <v>28.9</v>
      </c>
    </row>
    <row r="9" spans="1:20" x14ac:dyDescent="0.25">
      <c r="A9" t="s">
        <v>170</v>
      </c>
      <c r="C9">
        <v>12</v>
      </c>
      <c r="J9" s="146"/>
      <c r="N9" s="146"/>
      <c r="T9">
        <v>32.6</v>
      </c>
    </row>
    <row r="10" spans="1:20" x14ac:dyDescent="0.25">
      <c r="J10" s="146"/>
      <c r="K10" t="s">
        <v>181</v>
      </c>
      <c r="L10">
        <f>4/(4+C16)</f>
        <v>0.8</v>
      </c>
      <c r="N10" s="336" t="s">
        <v>172</v>
      </c>
      <c r="O10" t="s">
        <v>364</v>
      </c>
      <c r="P10" s="89" t="s">
        <v>213</v>
      </c>
      <c r="Q10" s="89" t="s">
        <v>182</v>
      </c>
      <c r="T10">
        <v>36.700000000000003</v>
      </c>
    </row>
    <row r="11" spans="1:20" x14ac:dyDescent="0.25">
      <c r="A11" t="s">
        <v>184</v>
      </c>
      <c r="C11">
        <v>125000</v>
      </c>
      <c r="F11" t="s">
        <v>185</v>
      </c>
      <c r="J11" s="146"/>
      <c r="N11" s="146"/>
      <c r="T11">
        <v>41.1</v>
      </c>
    </row>
    <row r="12" spans="1:20" x14ac:dyDescent="0.25">
      <c r="A12" t="s">
        <v>174</v>
      </c>
      <c r="C12">
        <v>7</v>
      </c>
      <c r="F12" t="s">
        <v>192</v>
      </c>
      <c r="J12" s="146"/>
      <c r="K12" t="s">
        <v>194</v>
      </c>
      <c r="L12" s="105">
        <f>C12*(C11/2^C12)*L10</f>
        <v>5468.75</v>
      </c>
      <c r="M12" t="s">
        <v>195</v>
      </c>
      <c r="N12" s="202">
        <f>(C7-29)/C28</f>
        <v>695.67572892040982</v>
      </c>
      <c r="O12" s="99">
        <f>(D7-29)/E28</f>
        <v>599.05735107731311</v>
      </c>
      <c r="P12" s="99">
        <f>(F7-29)/F28</f>
        <v>579.87516869095816</v>
      </c>
      <c r="Q12" s="99">
        <f>(G7-29)/G28</f>
        <v>0</v>
      </c>
    </row>
    <row r="13" spans="1:20" x14ac:dyDescent="0.25">
      <c r="A13" t="s">
        <v>175</v>
      </c>
      <c r="C13">
        <v>1</v>
      </c>
      <c r="F13" t="s">
        <v>191</v>
      </c>
      <c r="N13" s="146"/>
    </row>
    <row r="14" spans="1:20" x14ac:dyDescent="0.25">
      <c r="A14" t="s">
        <v>176</v>
      </c>
      <c r="C14">
        <v>1</v>
      </c>
      <c r="F14" t="s">
        <v>190</v>
      </c>
    </row>
    <row r="15" spans="1:20" x14ac:dyDescent="0.25">
      <c r="A15" t="s">
        <v>177</v>
      </c>
      <c r="C15">
        <f>IF(OR(C12=11, C12=12), 1, 0)</f>
        <v>0</v>
      </c>
      <c r="F15" t="s">
        <v>178</v>
      </c>
    </row>
    <row r="16" spans="1:20" x14ac:dyDescent="0.25">
      <c r="A16" t="s">
        <v>179</v>
      </c>
      <c r="C16">
        <v>1</v>
      </c>
      <c r="F16" t="s">
        <v>180</v>
      </c>
    </row>
    <row r="22" spans="1:13" x14ac:dyDescent="0.25">
      <c r="A22" t="s">
        <v>189</v>
      </c>
      <c r="C22">
        <f>MAX(ROUNDUP((8*C7-4*C12+28+16*C13-20*C14)/(4*(C12-2*C15)),0)*4+C16)</f>
        <v>293</v>
      </c>
      <c r="E22">
        <f>MAX(ROUNDUP((8*D7-4*C12+28+16*C13-20*C14)/(4*(C12-2*C15)),0)*4+C16)</f>
        <v>173</v>
      </c>
      <c r="F22">
        <f>MAX(ROUNDUP((8*F7-4*C12+28+16*C13-20*C14)/(4*(C12-2*C15)),0)*4+C16)</f>
        <v>161</v>
      </c>
      <c r="G22">
        <f>MAX(ROUNDUP((8*G7-4*C12+28+16*C13-20*C14)/(4*(C12-2*C15)),0)*4+C16)</f>
        <v>37</v>
      </c>
    </row>
    <row r="23" spans="1:13" x14ac:dyDescent="0.25">
      <c r="A23" t="s">
        <v>173</v>
      </c>
      <c r="C23">
        <f>8+IF(C22&gt;0,C22,0)</f>
        <v>301</v>
      </c>
      <c r="E23">
        <f>8+IF(E22&gt;0,E22,0)</f>
        <v>181</v>
      </c>
      <c r="F23">
        <f>8+IF(F22&gt;0,F22,0)</f>
        <v>169</v>
      </c>
      <c r="G23">
        <f>8+IF(G22&gt;0,G22,0)</f>
        <v>45</v>
      </c>
    </row>
    <row r="25" spans="1:13" ht="15" customHeight="1" x14ac:dyDescent="0.25">
      <c r="A25" t="s">
        <v>183</v>
      </c>
      <c r="C25" s="134">
        <f>2^C12/C11</f>
        <v>1.024E-3</v>
      </c>
      <c r="L25" s="102"/>
      <c r="M25" s="103"/>
    </row>
    <row r="26" spans="1:13" ht="15" customHeight="1" x14ac:dyDescent="0.25">
      <c r="L26" s="102"/>
      <c r="M26" s="103"/>
    </row>
    <row r="27" spans="1:13" x14ac:dyDescent="0.25">
      <c r="A27" t="s">
        <v>186</v>
      </c>
    </row>
    <row r="28" spans="1:13" x14ac:dyDescent="0.25">
      <c r="A28" s="149" t="s">
        <v>288</v>
      </c>
      <c r="C28" s="134">
        <f>(C9+4.25+C23)*C25</f>
        <v>0.32486399999999999</v>
      </c>
      <c r="D28" s="134">
        <f>D6*C28</f>
        <v>1.2994559999999999</v>
      </c>
      <c r="E28" s="134">
        <f>(C9+4.25+E23)*C25</f>
        <v>0.201984</v>
      </c>
      <c r="F28" s="134">
        <f>(C9+4.25+F23)*C25</f>
        <v>0.189696</v>
      </c>
      <c r="G28" s="134">
        <f>(C9+4.25+G23)*C25</f>
        <v>6.2719999999999998E-2</v>
      </c>
      <c r="H28" t="s">
        <v>165</v>
      </c>
    </row>
    <row r="29" spans="1:13" x14ac:dyDescent="0.25">
      <c r="C29" s="135">
        <f>($C$9+4.25+C$23)*$C$25*1000</f>
        <v>324.86399999999998</v>
      </c>
      <c r="D29" s="135">
        <f>D6*C28*1000</f>
        <v>1299.4559999999999</v>
      </c>
      <c r="E29" s="135">
        <f>($C$9+4.25+E$23)*$C$25*1000</f>
        <v>201.98400000000001</v>
      </c>
      <c r="F29" s="135">
        <f>(C9+4.25+F23)*C25*1000</f>
        <v>189.696</v>
      </c>
      <c r="G29" s="135">
        <f>(C9+4.25+G23)*C25*1000</f>
        <v>62.72</v>
      </c>
      <c r="H29" t="s">
        <v>144</v>
      </c>
      <c r="L29" s="135">
        <f>D29+E29</f>
        <v>1501.4399999999998</v>
      </c>
    </row>
    <row r="30" spans="1:13" x14ac:dyDescent="0.25">
      <c r="C30" s="135"/>
      <c r="D30" s="230">
        <f>D29+E29</f>
        <v>1501.4399999999998</v>
      </c>
      <c r="E30" s="230"/>
      <c r="F30" s="135"/>
      <c r="G30" s="135"/>
    </row>
    <row r="31" spans="1:13" x14ac:dyDescent="0.25">
      <c r="A31" t="s">
        <v>265</v>
      </c>
      <c r="C31" s="82">
        <v>1</v>
      </c>
      <c r="D31" s="82">
        <v>5</v>
      </c>
      <c r="E31" s="82">
        <v>1</v>
      </c>
      <c r="F31" s="82">
        <v>1</v>
      </c>
      <c r="G31" s="82">
        <v>1</v>
      </c>
    </row>
    <row r="32" spans="1:13" x14ac:dyDescent="0.25">
      <c r="A32" s="149" t="s">
        <v>262</v>
      </c>
      <c r="B32" t="s">
        <v>263</v>
      </c>
      <c r="C32" s="135">
        <f>G29</f>
        <v>62.72</v>
      </c>
      <c r="D32" s="229">
        <f>(D6+E6)*G29</f>
        <v>313.60000000000002</v>
      </c>
      <c r="E32" s="229"/>
      <c r="F32" s="135">
        <f>G29</f>
        <v>62.72</v>
      </c>
      <c r="G32" s="135">
        <f>G29</f>
        <v>62.72</v>
      </c>
      <c r="H32" t="s">
        <v>144</v>
      </c>
    </row>
    <row r="37" spans="1:6" x14ac:dyDescent="0.25">
      <c r="A37" s="149" t="s">
        <v>286</v>
      </c>
      <c r="B37" t="s">
        <v>298</v>
      </c>
      <c r="D37">
        <v>1000</v>
      </c>
      <c r="E37" t="s">
        <v>144</v>
      </c>
    </row>
    <row r="38" spans="1:6" x14ac:dyDescent="0.25">
      <c r="F38" s="149"/>
    </row>
    <row r="39" spans="1:6" x14ac:dyDescent="0.25">
      <c r="A39" s="149" t="s">
        <v>295</v>
      </c>
      <c r="B39" t="s">
        <v>287</v>
      </c>
      <c r="C39" t="s">
        <v>293</v>
      </c>
    </row>
    <row r="40" spans="1:6" x14ac:dyDescent="0.25">
      <c r="C40" s="82" t="s">
        <v>94</v>
      </c>
      <c r="D40" s="82">
        <f>3000-(D30+(D37*(D6+E6))+D32)</f>
        <v>-3815.04</v>
      </c>
      <c r="F40" s="82">
        <f>3000-(F$29+($D$37*(F$6))+F$32)</f>
        <v>1747.5840000000001</v>
      </c>
    </row>
    <row r="41" spans="1:6" x14ac:dyDescent="0.25">
      <c r="C41" s="82" t="s">
        <v>95</v>
      </c>
      <c r="D41" s="82">
        <f>15000-(D29+E29+(D37*(D6+E6))+D32+E32)</f>
        <v>8184.96</v>
      </c>
      <c r="F41" s="82">
        <f>15000-(F$29+($D$37*(F$6))+F$32)</f>
        <v>13747.584000000001</v>
      </c>
    </row>
    <row r="42" spans="1:6" x14ac:dyDescent="0.25">
      <c r="C42" s="82" t="s">
        <v>96</v>
      </c>
      <c r="D42" s="82">
        <f>60000-(D29+E29+(D37*(D6+E6))+D32+E32)</f>
        <v>53184.959999999999</v>
      </c>
      <c r="F42" s="82">
        <f>60000-(F$29+($D$37*(F$6))+F$32)</f>
        <v>58747.584000000003</v>
      </c>
    </row>
    <row r="43" spans="1:6" x14ac:dyDescent="0.25">
      <c r="C43" s="82" t="s">
        <v>97</v>
      </c>
      <c r="D43" s="82">
        <f>600000-(D29+E29+(D37*(D6+E6))+D32+E32)</f>
        <v>593184.96</v>
      </c>
      <c r="F43" s="82">
        <f>600000-(F$29+($D$37*(F$6))+F$32)</f>
        <v>598747.58400000003</v>
      </c>
    </row>
    <row r="74" spans="11:15" x14ac:dyDescent="0.25">
      <c r="K74" s="98"/>
      <c r="L74" s="98"/>
      <c r="M74" s="98"/>
      <c r="N74" s="98"/>
      <c r="O74" s="105"/>
    </row>
  </sheetData>
  <mergeCells count="4">
    <mergeCell ref="D4:E4"/>
    <mergeCell ref="D7:E7"/>
    <mergeCell ref="D32:E32"/>
    <mergeCell ref="D30:E30"/>
  </mergeCells>
  <pageMargins left="0.7" right="0.7" top="0.75" bottom="0.75" header="0.3" footer="0.3"/>
  <pageSetup orientation="portrait" verticalDpi="0" r:id="rId1"/>
  <headerFooter>
    <oddFooter>&amp;C&amp;1#&amp;"Arial"&amp;11&amp;K404040Restricted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5"/>
  <sheetViews>
    <sheetView tabSelected="1" workbookViewId="0">
      <selection activeCell="J66" sqref="J66"/>
    </sheetView>
  </sheetViews>
  <sheetFormatPr defaultRowHeight="15" x14ac:dyDescent="0.25"/>
  <cols>
    <col min="4" max="6" width="12" bestFit="1" customWidth="1"/>
    <col min="9" max="9" width="13.7109375" bestFit="1" customWidth="1"/>
    <col min="10" max="11" width="12.5703125" bestFit="1" customWidth="1"/>
    <col min="20" max="20" width="3.28515625" customWidth="1"/>
  </cols>
  <sheetData>
    <row r="1" spans="1:17" ht="21" x14ac:dyDescent="0.35">
      <c r="A1" s="184" t="s">
        <v>389</v>
      </c>
    </row>
    <row r="2" spans="1:17" ht="21" x14ac:dyDescent="0.35">
      <c r="A2" s="184" t="s">
        <v>386</v>
      </c>
    </row>
    <row r="3" spans="1:17" x14ac:dyDescent="0.25">
      <c r="A3" t="s">
        <v>266</v>
      </c>
      <c r="H3" s="82"/>
      <c r="I3" s="82"/>
      <c r="J3" s="82"/>
      <c r="K3" s="82"/>
      <c r="L3" s="82"/>
      <c r="M3" s="82"/>
    </row>
    <row r="4" spans="1:17" x14ac:dyDescent="0.25">
      <c r="C4" t="s">
        <v>12</v>
      </c>
      <c r="D4" s="88" t="s">
        <v>1</v>
      </c>
      <c r="E4" t="s">
        <v>2</v>
      </c>
      <c r="F4" s="88"/>
      <c r="H4" s="82"/>
      <c r="I4" s="82"/>
      <c r="J4" s="82"/>
      <c r="K4" s="82"/>
      <c r="L4" s="82"/>
      <c r="M4" s="82"/>
    </row>
    <row r="5" spans="1:17" x14ac:dyDescent="0.25">
      <c r="A5" t="s">
        <v>128</v>
      </c>
      <c r="D5" s="88">
        <v>1025</v>
      </c>
      <c r="E5" s="89">
        <v>110</v>
      </c>
      <c r="F5" t="s">
        <v>7</v>
      </c>
      <c r="H5" s="82"/>
      <c r="I5" s="82"/>
      <c r="J5" s="82"/>
      <c r="K5" s="82"/>
      <c r="L5" s="82"/>
      <c r="M5" s="82"/>
    </row>
    <row r="6" spans="1:17" x14ac:dyDescent="0.25">
      <c r="H6" s="82"/>
      <c r="I6" s="82"/>
      <c r="J6" s="82"/>
      <c r="K6" s="82"/>
      <c r="L6" s="82"/>
      <c r="M6" s="82"/>
    </row>
    <row r="7" spans="1:17" x14ac:dyDescent="0.25">
      <c r="A7" t="s">
        <v>129</v>
      </c>
      <c r="D7" s="88" t="s">
        <v>130</v>
      </c>
      <c r="E7" s="88" t="s">
        <v>131</v>
      </c>
      <c r="H7" s="82"/>
      <c r="I7" s="82"/>
      <c r="J7" s="82"/>
      <c r="K7" s="82"/>
      <c r="L7" s="82"/>
      <c r="M7" s="82"/>
    </row>
    <row r="8" spans="1:17" x14ac:dyDescent="0.25">
      <c r="D8" s="88">
        <f>17*8</f>
        <v>136</v>
      </c>
      <c r="E8" s="88">
        <f>26</f>
        <v>26</v>
      </c>
      <c r="F8" t="s">
        <v>156</v>
      </c>
      <c r="H8" s="82"/>
      <c r="I8" s="82"/>
      <c r="J8" s="82"/>
      <c r="K8" s="82"/>
      <c r="L8" s="82"/>
      <c r="M8" s="82"/>
    </row>
    <row r="9" spans="1:17" x14ac:dyDescent="0.25">
      <c r="D9" s="229" t="s">
        <v>28</v>
      </c>
      <c r="E9" s="229"/>
      <c r="H9" s="82"/>
      <c r="I9" s="82"/>
      <c r="J9" s="82"/>
      <c r="K9" s="82"/>
      <c r="L9" s="82"/>
      <c r="M9" s="82"/>
    </row>
    <row r="10" spans="1:17" x14ac:dyDescent="0.25">
      <c r="A10" t="s">
        <v>127</v>
      </c>
      <c r="D10" s="229">
        <v>245</v>
      </c>
      <c r="E10" s="229"/>
      <c r="F10" t="s">
        <v>7</v>
      </c>
      <c r="H10" s="82"/>
      <c r="I10" s="82"/>
      <c r="J10" s="82"/>
      <c r="K10" s="82"/>
      <c r="L10" s="82"/>
      <c r="M10" s="82"/>
    </row>
    <row r="11" spans="1:17" x14ac:dyDescent="0.25">
      <c r="A11" t="s">
        <v>155</v>
      </c>
      <c r="D11" s="229">
        <v>8</v>
      </c>
      <c r="E11" s="229"/>
      <c r="F11" t="s">
        <v>7</v>
      </c>
      <c r="H11" s="82"/>
      <c r="I11" s="82"/>
      <c r="J11" s="82"/>
      <c r="K11" s="82"/>
      <c r="L11" s="82"/>
      <c r="M11" s="82"/>
    </row>
    <row r="12" spans="1:17" x14ac:dyDescent="0.25">
      <c r="A12" t="s">
        <v>159</v>
      </c>
      <c r="D12" s="229">
        <v>160</v>
      </c>
      <c r="E12" s="229"/>
      <c r="F12" t="s">
        <v>158</v>
      </c>
      <c r="H12" s="82"/>
      <c r="I12" s="82" t="s">
        <v>160</v>
      </c>
      <c r="J12" s="82"/>
      <c r="K12" s="82"/>
      <c r="L12" s="82"/>
      <c r="M12" s="82"/>
    </row>
    <row r="13" spans="1:17" x14ac:dyDescent="0.25">
      <c r="D13" s="89"/>
      <c r="E13" s="89"/>
      <c r="H13" s="82"/>
      <c r="I13" s="82"/>
      <c r="J13" s="82"/>
      <c r="K13" s="82"/>
      <c r="L13" s="82"/>
      <c r="M13" s="82"/>
    </row>
    <row r="14" spans="1:17" x14ac:dyDescent="0.25">
      <c r="A14" t="s">
        <v>134</v>
      </c>
      <c r="D14" s="229">
        <v>24</v>
      </c>
      <c r="E14" s="229"/>
      <c r="H14" s="82"/>
      <c r="I14" s="82"/>
      <c r="J14" s="82"/>
      <c r="K14" s="82"/>
      <c r="L14" s="82"/>
      <c r="M14" s="82"/>
      <c r="Q14" t="s">
        <v>196</v>
      </c>
    </row>
    <row r="15" spans="1:17" x14ac:dyDescent="0.25">
      <c r="A15" t="s">
        <v>135</v>
      </c>
      <c r="D15" s="229">
        <f>D10-D12/8</f>
        <v>225</v>
      </c>
      <c r="E15" s="229"/>
      <c r="F15" t="s">
        <v>138</v>
      </c>
      <c r="H15" s="82"/>
      <c r="I15" s="82"/>
      <c r="J15" s="82"/>
      <c r="K15" s="82"/>
      <c r="L15" s="82"/>
      <c r="M15" s="82"/>
      <c r="Q15">
        <f>ROUNDUP((F19+(D8-D12)/8),0)</f>
        <v>-3</v>
      </c>
    </row>
    <row r="16" spans="1:17" x14ac:dyDescent="0.25">
      <c r="H16" s="82"/>
      <c r="I16" s="82"/>
      <c r="J16" s="82"/>
      <c r="K16" s="82"/>
      <c r="L16" s="82"/>
      <c r="M16" s="82"/>
    </row>
    <row r="17" spans="1:16" x14ac:dyDescent="0.25">
      <c r="A17" t="s">
        <v>139</v>
      </c>
      <c r="D17">
        <f>QUOTIENT(D5,D10)</f>
        <v>4</v>
      </c>
      <c r="E17">
        <f>QUOTIENT(E5,D10)</f>
        <v>0</v>
      </c>
      <c r="F17" t="s">
        <v>137</v>
      </c>
      <c r="H17" s="82"/>
      <c r="I17" s="82"/>
      <c r="J17" s="82"/>
      <c r="K17" s="82"/>
      <c r="L17" s="82"/>
      <c r="M17" s="82"/>
    </row>
    <row r="18" spans="1:16" x14ac:dyDescent="0.25">
      <c r="A18" t="s">
        <v>140</v>
      </c>
      <c r="D18">
        <v>1</v>
      </c>
      <c r="E18">
        <v>1</v>
      </c>
      <c r="H18" s="82"/>
      <c r="I18" s="82"/>
      <c r="J18" s="82"/>
      <c r="K18" s="82"/>
      <c r="L18" s="82"/>
      <c r="M18" s="82"/>
    </row>
    <row r="19" spans="1:16" x14ac:dyDescent="0.25">
      <c r="A19" t="s">
        <v>154</v>
      </c>
      <c r="D19">
        <f>D5-D17*D10</f>
        <v>45</v>
      </c>
      <c r="E19">
        <f>E5-D10*E17</f>
        <v>110</v>
      </c>
      <c r="H19" s="82"/>
      <c r="I19" s="82"/>
      <c r="J19" s="82"/>
      <c r="K19" s="82"/>
      <c r="L19" s="82"/>
      <c r="M19" s="82"/>
      <c r="P19">
        <f>E5-D12/8</f>
        <v>90</v>
      </c>
    </row>
    <row r="20" spans="1:16" x14ac:dyDescent="0.25">
      <c r="A20" s="96" t="s">
        <v>157</v>
      </c>
      <c r="B20" s="95"/>
      <c r="C20" s="95"/>
      <c r="D20" s="95"/>
      <c r="E20" s="95"/>
      <c r="F20" s="95"/>
      <c r="G20" s="95"/>
      <c r="H20" s="95"/>
      <c r="I20" s="95"/>
      <c r="J20" s="95"/>
      <c r="K20" s="95"/>
      <c r="L20" s="82"/>
      <c r="M20" s="82"/>
    </row>
    <row r="21" spans="1:16" x14ac:dyDescent="0.25">
      <c r="A21" t="s">
        <v>136</v>
      </c>
      <c r="D21" s="97">
        <f>D19-D12/8</f>
        <v>25</v>
      </c>
      <c r="E21">
        <f>E19-D12/8</f>
        <v>90</v>
      </c>
      <c r="F21" t="s">
        <v>197</v>
      </c>
      <c r="H21" s="82"/>
      <c r="I21" s="82"/>
      <c r="J21" s="82"/>
      <c r="K21" s="82"/>
      <c r="L21" s="82"/>
      <c r="M21" s="82"/>
    </row>
    <row r="22" spans="1:16" x14ac:dyDescent="0.25">
      <c r="H22" s="82"/>
      <c r="I22" s="82"/>
      <c r="J22" s="82"/>
      <c r="K22" s="82"/>
      <c r="L22" s="82"/>
      <c r="M22" s="82"/>
    </row>
    <row r="23" spans="1:16" x14ac:dyDescent="0.25">
      <c r="A23" t="s">
        <v>268</v>
      </c>
      <c r="D23" s="232">
        <v>362.97</v>
      </c>
      <c r="E23" s="232"/>
      <c r="F23" t="s">
        <v>144</v>
      </c>
      <c r="H23" t="s">
        <v>306</v>
      </c>
      <c r="J23">
        <f>D23/24</f>
        <v>15.123750000000001</v>
      </c>
    </row>
    <row r="24" spans="1:16" x14ac:dyDescent="0.25">
      <c r="A24" t="s">
        <v>269</v>
      </c>
      <c r="D24" s="232">
        <v>15.14</v>
      </c>
      <c r="E24" s="232"/>
      <c r="F24" t="s">
        <v>144</v>
      </c>
    </row>
    <row r="25" spans="1:16" x14ac:dyDescent="0.25">
      <c r="A25" t="s">
        <v>271</v>
      </c>
      <c r="D25" s="232">
        <f>D23+D24*D15</f>
        <v>3769.4700000000003</v>
      </c>
      <c r="E25" s="232"/>
      <c r="F25" t="s">
        <v>144</v>
      </c>
    </row>
    <row r="26" spans="1:16" x14ac:dyDescent="0.25">
      <c r="A26" t="s">
        <v>270</v>
      </c>
      <c r="D26" s="232">
        <v>105.8</v>
      </c>
      <c r="E26" s="232"/>
      <c r="F26" t="s">
        <v>144</v>
      </c>
    </row>
    <row r="27" spans="1:16" x14ac:dyDescent="0.25">
      <c r="D27" s="92"/>
      <c r="E27" s="92"/>
    </row>
    <row r="28" spans="1:16" x14ac:dyDescent="0.25">
      <c r="A28" t="s">
        <v>283</v>
      </c>
      <c r="D28" t="s">
        <v>162</v>
      </c>
      <c r="E28">
        <v>379</v>
      </c>
      <c r="F28" t="s">
        <v>164</v>
      </c>
    </row>
    <row r="29" spans="1:16" x14ac:dyDescent="0.25">
      <c r="A29" t="s">
        <v>282</v>
      </c>
      <c r="E29">
        <f>1/2380.371</f>
        <v>4.2010258064814263E-4</v>
      </c>
      <c r="F29" t="s">
        <v>165</v>
      </c>
    </row>
    <row r="30" spans="1:16" x14ac:dyDescent="0.25">
      <c r="A30" t="s">
        <v>291</v>
      </c>
      <c r="E30" s="105">
        <f>E28*E29*1000</f>
        <v>159.21887806564604</v>
      </c>
      <c r="F30" t="s">
        <v>144</v>
      </c>
    </row>
    <row r="32" spans="1:16" x14ac:dyDescent="0.25">
      <c r="A32" t="s">
        <v>141</v>
      </c>
      <c r="D32" s="152">
        <f>(D17+D18)*D23</f>
        <v>1814.8500000000001</v>
      </c>
      <c r="E32">
        <f>E18*D23</f>
        <v>362.97</v>
      </c>
      <c r="F32" t="s">
        <v>144</v>
      </c>
    </row>
    <row r="33" spans="1:13" x14ac:dyDescent="0.25">
      <c r="A33" t="s">
        <v>142</v>
      </c>
      <c r="D33" s="152">
        <f>D17*D15*D24+D21*D24</f>
        <v>14004.5</v>
      </c>
      <c r="E33">
        <f>E21*D24</f>
        <v>1362.6000000000001</v>
      </c>
      <c r="F33" t="s">
        <v>144</v>
      </c>
      <c r="G33" s="82"/>
      <c r="H33" s="82"/>
      <c r="I33" s="82"/>
      <c r="J33" s="82"/>
      <c r="L33" s="82"/>
      <c r="M33" s="82"/>
    </row>
    <row r="34" spans="1:13" x14ac:dyDescent="0.25">
      <c r="A34" t="s">
        <v>148</v>
      </c>
      <c r="D34" s="152">
        <f>D32+D33</f>
        <v>15819.35</v>
      </c>
      <c r="E34">
        <f>E32+E33</f>
        <v>1725.5700000000002</v>
      </c>
      <c r="F34" t="s">
        <v>144</v>
      </c>
      <c r="G34" s="169" t="s">
        <v>288</v>
      </c>
      <c r="H34" s="106"/>
      <c r="I34" s="82"/>
      <c r="J34" s="82"/>
      <c r="L34" s="82"/>
      <c r="M34" s="82"/>
    </row>
    <row r="35" spans="1:13" x14ac:dyDescent="0.25">
      <c r="D35" s="152"/>
      <c r="G35" s="82"/>
      <c r="H35" s="106"/>
      <c r="I35" s="82"/>
      <c r="J35" s="82"/>
      <c r="L35" s="82"/>
      <c r="M35" s="82"/>
    </row>
    <row r="36" spans="1:13" x14ac:dyDescent="0.25">
      <c r="A36" t="s">
        <v>267</v>
      </c>
      <c r="D36" s="162">
        <f>(D$17+D$18)*$D$26</f>
        <v>529</v>
      </c>
      <c r="E36" s="162">
        <f>(E$17+E$18)*$D$26</f>
        <v>105.8</v>
      </c>
      <c r="F36" s="169" t="s">
        <v>262</v>
      </c>
      <c r="G36" s="106"/>
      <c r="H36" s="82"/>
      <c r="J36" s="82"/>
      <c r="L36" s="82"/>
      <c r="M36" s="82"/>
    </row>
    <row r="37" spans="1:13" x14ac:dyDescent="0.25">
      <c r="D37" s="162"/>
      <c r="E37" s="162"/>
      <c r="G37" s="82"/>
      <c r="H37" s="106"/>
      <c r="J37" s="82"/>
      <c r="K37" s="82"/>
      <c r="L37" s="82"/>
      <c r="M37" s="82"/>
    </row>
    <row r="38" spans="1:13" x14ac:dyDescent="0.25">
      <c r="A38" t="s">
        <v>285</v>
      </c>
      <c r="D38" s="162">
        <f>((($D$14+D$21-1)+D17*(D14+D15-1))*($E$28-32)*$E$29)*1000</f>
        <v>151606.61930430171</v>
      </c>
      <c r="E38" s="162">
        <f>(($D$14+E$21-1)*($E$28-32)*$E$29)*1000</f>
        <v>16472.642289794323</v>
      </c>
      <c r="F38" t="s">
        <v>144</v>
      </c>
      <c r="G38" s="82"/>
      <c r="H38" s="106"/>
      <c r="J38" s="82"/>
      <c r="K38" s="82"/>
      <c r="L38" s="82"/>
      <c r="M38" s="82"/>
    </row>
    <row r="39" spans="1:13" x14ac:dyDescent="0.25">
      <c r="D39" s="161"/>
      <c r="E39" s="161"/>
      <c r="G39" s="82"/>
      <c r="H39" s="106"/>
      <c r="J39" s="82"/>
      <c r="K39" s="82"/>
      <c r="L39" s="82"/>
      <c r="M39" s="82"/>
    </row>
    <row r="40" spans="1:13" x14ac:dyDescent="0.25">
      <c r="A40" t="s">
        <v>284</v>
      </c>
      <c r="C40" s="82" t="s">
        <v>163</v>
      </c>
      <c r="D40" s="82">
        <f>D41*1000</f>
        <v>167425.96930430169</v>
      </c>
      <c r="E40" s="82">
        <f>E41*1000</f>
        <v>18198.212289794323</v>
      </c>
      <c r="F40" t="s">
        <v>144</v>
      </c>
      <c r="G40" s="82"/>
      <c r="H40" s="106"/>
      <c r="J40" s="82"/>
      <c r="K40" s="82"/>
      <c r="L40" s="82"/>
      <c r="M40" s="82"/>
    </row>
    <row r="41" spans="1:13" x14ac:dyDescent="0.25">
      <c r="B41" s="82"/>
      <c r="C41" s="82"/>
      <c r="D41" s="82">
        <f>(D17*(D23+D15*D24)+D23+D21*D24)/1000+((D17*(D14+D15-1)+(D14+D21-1))*(E28-32)*E29)</f>
        <v>167.4259693043017</v>
      </c>
      <c r="E41" s="105">
        <f>(D23+E21*D24)/1000+((D14+E21-1)*(E28-32)*E29)</f>
        <v>18.198212289794323</v>
      </c>
      <c r="F41" t="s">
        <v>165</v>
      </c>
      <c r="G41" s="82" t="s">
        <v>296</v>
      </c>
      <c r="H41" s="106"/>
      <c r="J41" s="82"/>
      <c r="K41" s="82"/>
      <c r="L41" s="82"/>
      <c r="M41" s="82"/>
    </row>
    <row r="42" spans="1:13" x14ac:dyDescent="0.25">
      <c r="B42" s="82"/>
      <c r="C42" s="82"/>
      <c r="D42" s="82"/>
      <c r="E42" s="105"/>
      <c r="G42" s="82"/>
      <c r="H42" s="106"/>
      <c r="J42" s="82"/>
      <c r="K42" s="82"/>
      <c r="L42" s="82"/>
      <c r="M42" s="82"/>
    </row>
    <row r="43" spans="1:13" x14ac:dyDescent="0.25">
      <c r="A43" t="s">
        <v>289</v>
      </c>
      <c r="B43" s="82"/>
      <c r="C43" s="82"/>
      <c r="D43" s="82">
        <v>16384</v>
      </c>
      <c r="E43" s="105"/>
      <c r="G43" s="82"/>
      <c r="H43" s="106"/>
      <c r="J43" s="82"/>
      <c r="K43" s="82"/>
      <c r="L43" s="82"/>
      <c r="M43" s="82"/>
    </row>
    <row r="44" spans="1:13" x14ac:dyDescent="0.25">
      <c r="A44" t="s">
        <v>287</v>
      </c>
      <c r="B44" s="82"/>
      <c r="C44" s="82"/>
      <c r="D44" s="105">
        <f>D43*E29*1000</f>
        <v>6882.9606813391692</v>
      </c>
      <c r="E44" s="105"/>
      <c r="F44" t="s">
        <v>144</v>
      </c>
      <c r="J44" s="82"/>
      <c r="K44" s="82"/>
      <c r="L44" s="82"/>
      <c r="M44" s="82"/>
    </row>
    <row r="45" spans="1:13" x14ac:dyDescent="0.25">
      <c r="A45" t="s">
        <v>290</v>
      </c>
      <c r="B45" s="82"/>
      <c r="C45" s="82"/>
      <c r="D45" s="105">
        <f>D$38+$D$44</f>
        <v>158489.57998564088</v>
      </c>
      <c r="E45" s="105">
        <f>E$38+$D$44</f>
        <v>23355.602971133492</v>
      </c>
      <c r="F45" t="s">
        <v>144</v>
      </c>
      <c r="G45" s="149" t="s">
        <v>286</v>
      </c>
      <c r="H45" s="82"/>
      <c r="J45" s="82"/>
      <c r="K45" s="82"/>
      <c r="L45" s="82"/>
      <c r="M45" s="82"/>
    </row>
    <row r="46" spans="1:13" x14ac:dyDescent="0.25">
      <c r="B46" s="82"/>
      <c r="C46" s="82"/>
      <c r="D46" s="105"/>
      <c r="E46" s="105"/>
      <c r="G46" s="149"/>
      <c r="H46" s="82"/>
      <c r="J46" s="82"/>
      <c r="K46" s="82"/>
      <c r="L46" s="82"/>
      <c r="M46" s="82"/>
    </row>
    <row r="47" spans="1:13" x14ac:dyDescent="0.25">
      <c r="A47" t="s">
        <v>292</v>
      </c>
      <c r="B47" s="82"/>
      <c r="C47" t="s">
        <v>293</v>
      </c>
      <c r="D47" s="105"/>
      <c r="E47" s="105"/>
      <c r="G47" s="149" t="s">
        <v>295</v>
      </c>
      <c r="H47" s="82"/>
      <c r="J47" s="82"/>
      <c r="K47" s="82"/>
      <c r="L47" s="82"/>
      <c r="M47" s="82"/>
    </row>
    <row r="48" spans="1:13" x14ac:dyDescent="0.25">
      <c r="C48" s="82" t="s">
        <v>94</v>
      </c>
      <c r="D48" s="105" t="s">
        <v>294</v>
      </c>
      <c r="E48" s="105" t="s">
        <v>294</v>
      </c>
      <c r="G48" s="149"/>
      <c r="H48" s="82"/>
      <c r="J48" s="82"/>
      <c r="K48" s="82"/>
      <c r="L48" s="82"/>
      <c r="M48" s="82"/>
    </row>
    <row r="49" spans="1:13" x14ac:dyDescent="0.25">
      <c r="C49" s="82" t="s">
        <v>95</v>
      </c>
      <c r="D49" s="105" t="s">
        <v>294</v>
      </c>
      <c r="E49" s="105" t="s">
        <v>294</v>
      </c>
      <c r="G49" s="149"/>
      <c r="H49" s="82" t="s">
        <v>297</v>
      </c>
      <c r="J49" s="82"/>
      <c r="K49" s="82"/>
      <c r="L49" s="82"/>
      <c r="M49" s="82"/>
    </row>
    <row r="50" spans="1:13" x14ac:dyDescent="0.25">
      <c r="C50" s="82" t="s">
        <v>96</v>
      </c>
      <c r="D50" s="105" t="s">
        <v>294</v>
      </c>
      <c r="E50" s="105">
        <f>60000-E$40</f>
        <v>41801.787710205681</v>
      </c>
      <c r="F50" t="s">
        <v>144</v>
      </c>
      <c r="G50" s="149"/>
      <c r="H50" s="82"/>
      <c r="J50" s="82"/>
      <c r="K50" s="82"/>
      <c r="L50" s="82"/>
      <c r="M50" s="82"/>
    </row>
    <row r="51" spans="1:13" x14ac:dyDescent="0.25">
      <c r="B51" s="82"/>
      <c r="C51" s="82" t="s">
        <v>97</v>
      </c>
      <c r="D51" s="105">
        <f>600000-D$40</f>
        <v>432574.03069569834</v>
      </c>
      <c r="E51" s="105">
        <f>600000-E$40</f>
        <v>581801.78771020565</v>
      </c>
      <c r="F51" t="s">
        <v>144</v>
      </c>
      <c r="G51" s="149"/>
      <c r="H51" s="82"/>
      <c r="J51" s="82"/>
      <c r="K51" s="82"/>
      <c r="L51" s="82"/>
      <c r="M51" s="82"/>
    </row>
    <row r="52" spans="1:13" x14ac:dyDescent="0.25">
      <c r="H52" s="82"/>
      <c r="I52" s="106"/>
      <c r="J52" s="82"/>
      <c r="K52" s="82"/>
      <c r="L52" s="82"/>
      <c r="M52" s="82"/>
    </row>
    <row r="53" spans="1:13" ht="23.25" x14ac:dyDescent="0.35">
      <c r="A53" s="38" t="s">
        <v>126</v>
      </c>
      <c r="D53" s="161"/>
      <c r="E53" s="184" t="s">
        <v>391</v>
      </c>
      <c r="F53" s="162"/>
      <c r="H53" s="82"/>
      <c r="I53" s="106"/>
      <c r="J53" s="82"/>
      <c r="K53" s="82"/>
      <c r="L53" s="82"/>
      <c r="M53" s="82"/>
    </row>
    <row r="54" spans="1:13" x14ac:dyDescent="0.25">
      <c r="H54" s="82"/>
      <c r="I54" s="82"/>
      <c r="J54" s="82"/>
      <c r="K54" s="82"/>
      <c r="L54" s="82"/>
      <c r="M54" s="82"/>
    </row>
    <row r="55" spans="1:13" x14ac:dyDescent="0.25">
      <c r="A55" t="s">
        <v>132</v>
      </c>
      <c r="D55" s="229">
        <v>24</v>
      </c>
      <c r="E55" s="229"/>
      <c r="F55" s="197"/>
      <c r="L55" s="82"/>
      <c r="M55" s="82"/>
    </row>
    <row r="56" spans="1:13" x14ac:dyDescent="0.25">
      <c r="A56" t="s">
        <v>133</v>
      </c>
      <c r="D56" s="231">
        <f>P95/COUNT(B95:M110)</f>
        <v>4.1666666666666664E-2</v>
      </c>
      <c r="E56" s="231"/>
      <c r="F56" s="198"/>
      <c r="L56" s="82"/>
      <c r="M56" s="82"/>
    </row>
    <row r="57" spans="1:13" x14ac:dyDescent="0.25">
      <c r="H57" s="82"/>
      <c r="I57" s="82"/>
      <c r="J57" s="82"/>
      <c r="K57" s="82"/>
      <c r="L57" s="82"/>
      <c r="M57" s="82"/>
    </row>
    <row r="58" spans="1:13" x14ac:dyDescent="0.25">
      <c r="A58" t="s">
        <v>143</v>
      </c>
      <c r="D58" s="99">
        <f>(D32+D33)/24</f>
        <v>659.13958333333335</v>
      </c>
      <c r="E58" s="99">
        <f>(E32+E33)/24</f>
        <v>71.898750000000007</v>
      </c>
      <c r="F58" t="s">
        <v>144</v>
      </c>
      <c r="H58" s="82"/>
      <c r="I58" s="170"/>
      <c r="J58" s="170"/>
      <c r="K58" s="170"/>
      <c r="L58" s="82"/>
      <c r="M58" s="82"/>
    </row>
    <row r="59" spans="1:13" x14ac:dyDescent="0.25">
      <c r="H59" s="82"/>
      <c r="I59" s="82"/>
      <c r="J59" s="82"/>
      <c r="K59" s="82"/>
      <c r="L59" s="82"/>
      <c r="M59" s="82"/>
    </row>
    <row r="60" spans="1:13" x14ac:dyDescent="0.25">
      <c r="A60" t="s">
        <v>147</v>
      </c>
      <c r="D60" s="229">
        <v>3600000</v>
      </c>
      <c r="E60" s="229"/>
      <c r="F60" t="s">
        <v>144</v>
      </c>
      <c r="H60" s="82"/>
      <c r="I60" s="82"/>
      <c r="J60" s="82"/>
      <c r="K60" s="82"/>
      <c r="L60" s="82"/>
      <c r="M60" s="82"/>
    </row>
    <row r="61" spans="1:13" x14ac:dyDescent="0.25">
      <c r="A61" t="s">
        <v>149</v>
      </c>
      <c r="D61" s="229">
        <v>20000</v>
      </c>
      <c r="E61" s="229"/>
      <c r="F61" t="s">
        <v>144</v>
      </c>
      <c r="H61" s="82"/>
      <c r="I61" s="82"/>
      <c r="J61" s="82"/>
      <c r="K61" s="82"/>
      <c r="L61" s="82"/>
      <c r="M61" s="82"/>
    </row>
    <row r="62" spans="1:13" x14ac:dyDescent="0.25">
      <c r="D62" s="88"/>
      <c r="E62" s="88"/>
      <c r="H62" s="82"/>
      <c r="I62" s="82"/>
      <c r="J62" s="82"/>
      <c r="K62" s="82"/>
      <c r="L62" s="82"/>
      <c r="M62" s="82"/>
    </row>
    <row r="63" spans="1:13" x14ac:dyDescent="0.25">
      <c r="B63" t="s">
        <v>98</v>
      </c>
      <c r="H63" s="82"/>
      <c r="I63" s="82"/>
      <c r="J63" s="82"/>
      <c r="K63" s="82"/>
      <c r="L63" s="82"/>
      <c r="M63" s="82"/>
    </row>
    <row r="64" spans="1:13" x14ac:dyDescent="0.25">
      <c r="A64" t="s">
        <v>150</v>
      </c>
      <c r="B64">
        <v>3000</v>
      </c>
      <c r="C64" t="s">
        <v>144</v>
      </c>
      <c r="D64" s="201">
        <f>D58*(D61/B64)/D61</f>
        <v>0.21971319444444448</v>
      </c>
      <c r="E64" s="201">
        <f>E58*(D61/B64)/D61</f>
        <v>2.3966250000000001E-2</v>
      </c>
      <c r="F64" s="90"/>
      <c r="H64" s="82"/>
      <c r="I64" s="82"/>
      <c r="J64" s="82"/>
      <c r="K64" s="82"/>
      <c r="L64" s="82"/>
      <c r="M64" s="82"/>
    </row>
    <row r="65" spans="1:13" x14ac:dyDescent="0.25">
      <c r="A65" t="s">
        <v>145</v>
      </c>
      <c r="B65">
        <v>15000</v>
      </c>
      <c r="C65" t="s">
        <v>144</v>
      </c>
      <c r="D65" s="201">
        <f>D58*(D61/B65)/D61</f>
        <v>4.3942638888888885E-2</v>
      </c>
      <c r="E65" s="201">
        <f>E58*(D61/B65)/D61</f>
        <v>4.7932500000000006E-3</v>
      </c>
      <c r="F65" s="90"/>
      <c r="H65" s="82"/>
      <c r="I65" s="82"/>
      <c r="J65" s="82"/>
      <c r="K65" s="82"/>
      <c r="L65" s="82"/>
      <c r="M65" s="82"/>
    </row>
    <row r="66" spans="1:13" x14ac:dyDescent="0.25">
      <c r="A66" t="s">
        <v>146</v>
      </c>
      <c r="B66">
        <v>60000</v>
      </c>
      <c r="C66" t="s">
        <v>144</v>
      </c>
      <c r="D66" s="201">
        <f>D58*(D61/B66)/D61</f>
        <v>1.0985659722222221E-2</v>
      </c>
      <c r="E66" s="201">
        <f>E58*(D61/B66)/D61</f>
        <v>1.1983125000000002E-3</v>
      </c>
      <c r="F66" s="90"/>
      <c r="H66" s="82"/>
      <c r="I66" s="82"/>
      <c r="J66" s="82"/>
      <c r="K66" s="82"/>
      <c r="L66" s="82"/>
      <c r="M66" s="82"/>
    </row>
    <row r="67" spans="1:13" x14ac:dyDescent="0.25">
      <c r="B67">
        <v>600000</v>
      </c>
      <c r="C67" t="s">
        <v>144</v>
      </c>
      <c r="D67" s="201">
        <f>D58*(D61/B67)/D61</f>
        <v>1.0985659722222221E-3</v>
      </c>
      <c r="E67" s="201">
        <f>E58*(D61/B67)/D61</f>
        <v>1.1983125000000002E-4</v>
      </c>
      <c r="F67" s="90"/>
      <c r="H67" s="82"/>
      <c r="I67" s="82"/>
      <c r="J67" s="82"/>
      <c r="K67" s="82"/>
      <c r="L67" s="82"/>
      <c r="M67" s="82"/>
    </row>
    <row r="68" spans="1:13" x14ac:dyDescent="0.25">
      <c r="D68" s="201"/>
      <c r="E68" s="201"/>
    </row>
    <row r="69" spans="1:13" x14ac:dyDescent="0.25">
      <c r="B69" t="s">
        <v>98</v>
      </c>
      <c r="D69" s="201"/>
      <c r="E69" s="201"/>
    </row>
    <row r="70" spans="1:13" x14ac:dyDescent="0.25">
      <c r="A70" t="s">
        <v>151</v>
      </c>
      <c r="B70">
        <v>3000</v>
      </c>
      <c r="C70" t="s">
        <v>144</v>
      </c>
      <c r="D70" s="201">
        <f>D34*(D60/B70)/D60</f>
        <v>5.2731166666666667</v>
      </c>
      <c r="E70" s="201">
        <f>E34*(D60/B70)/D60</f>
        <v>0.57519000000000009</v>
      </c>
      <c r="F70" s="90"/>
    </row>
    <row r="71" spans="1:13" x14ac:dyDescent="0.25">
      <c r="A71" t="s">
        <v>145</v>
      </c>
      <c r="B71">
        <v>15000</v>
      </c>
      <c r="C71" t="s">
        <v>144</v>
      </c>
      <c r="D71" s="201">
        <f>D34*(D60/B71)/D60</f>
        <v>1.0546233333333332</v>
      </c>
      <c r="E71" s="201">
        <f>E34*(D60/B71)/D60</f>
        <v>0.11503800000000002</v>
      </c>
      <c r="F71" s="90"/>
    </row>
    <row r="72" spans="1:13" x14ac:dyDescent="0.25">
      <c r="A72" t="s">
        <v>146</v>
      </c>
      <c r="B72">
        <v>60000</v>
      </c>
      <c r="C72" t="s">
        <v>144</v>
      </c>
      <c r="D72" s="201">
        <f>D34*(D60/B72)/D60</f>
        <v>0.26365583333333331</v>
      </c>
      <c r="E72" s="201">
        <f>E34*(D60/B72)/D60</f>
        <v>2.8759500000000004E-2</v>
      </c>
      <c r="F72" s="90"/>
    </row>
    <row r="73" spans="1:13" x14ac:dyDescent="0.25">
      <c r="B73">
        <v>600000</v>
      </c>
      <c r="C73" t="s">
        <v>144</v>
      </c>
      <c r="D73" s="201">
        <f>D34*(D60/B73)/D60</f>
        <v>2.6365583333333335E-2</v>
      </c>
      <c r="E73" s="201">
        <f>E34*(D60/B73)/D60</f>
        <v>2.8759500000000004E-3</v>
      </c>
      <c r="F73" s="90"/>
    </row>
    <row r="74" spans="1:13" x14ac:dyDescent="0.25">
      <c r="D74" s="90"/>
      <c r="E74" s="90"/>
      <c r="F74" s="90"/>
    </row>
    <row r="75" spans="1:13" ht="26.25" x14ac:dyDescent="0.4">
      <c r="A75" s="168" t="s">
        <v>161</v>
      </c>
      <c r="E75" s="184" t="s">
        <v>392</v>
      </c>
    </row>
    <row r="77" spans="1:13" x14ac:dyDescent="0.25">
      <c r="C77" s="82"/>
      <c r="D77" s="82" t="s">
        <v>364</v>
      </c>
      <c r="E77" s="82" t="s">
        <v>213</v>
      </c>
    </row>
    <row r="78" spans="1:13" x14ac:dyDescent="0.25">
      <c r="B78" s="82" t="s">
        <v>166</v>
      </c>
      <c r="C78" s="82"/>
      <c r="D78" s="99">
        <f>(D10*8)/D41</f>
        <v>11.706666583113169</v>
      </c>
      <c r="E78" s="99">
        <f>(E5*8)/E41</f>
        <v>48.356398199262117</v>
      </c>
      <c r="F78" t="s">
        <v>167</v>
      </c>
    </row>
    <row r="79" spans="1:13" x14ac:dyDescent="0.25">
      <c r="B79" s="82" t="s">
        <v>168</v>
      </c>
      <c r="D79" s="99">
        <f>6216/((D23+D15*D24)/1000+((D14+D15-1)*(E28-32)*E29))</f>
        <v>155.70433314899233</v>
      </c>
      <c r="E79" s="99"/>
      <c r="F79" t="s">
        <v>167</v>
      </c>
    </row>
    <row r="80" spans="1:13" x14ac:dyDescent="0.25">
      <c r="B80" s="82" t="s">
        <v>169</v>
      </c>
      <c r="D80" s="99">
        <f>576/(D23/1000+((D14-1)*(E28-32)*E29))</f>
        <v>155.01336239305414</v>
      </c>
      <c r="F80" t="s">
        <v>167</v>
      </c>
    </row>
    <row r="81" spans="1:16" x14ac:dyDescent="0.25">
      <c r="B81" s="82"/>
      <c r="D81" s="99"/>
    </row>
    <row r="82" spans="1:16" x14ac:dyDescent="0.25">
      <c r="B82" s="82"/>
      <c r="D82" s="99"/>
    </row>
    <row r="83" spans="1:16" x14ac:dyDescent="0.25">
      <c r="B83" s="82"/>
      <c r="D83" s="99"/>
    </row>
    <row r="84" spans="1:16" x14ac:dyDescent="0.25">
      <c r="B84" s="82"/>
      <c r="D84" s="99"/>
    </row>
    <row r="85" spans="1:16" x14ac:dyDescent="0.25">
      <c r="B85" s="82"/>
      <c r="D85" s="99"/>
    </row>
    <row r="86" spans="1:16" x14ac:dyDescent="0.25">
      <c r="B86" s="82"/>
      <c r="D86" s="99"/>
    </row>
    <row r="87" spans="1:16" x14ac:dyDescent="0.25">
      <c r="B87" s="82"/>
      <c r="D87" s="99"/>
    </row>
    <row r="88" spans="1:16" x14ac:dyDescent="0.25">
      <c r="B88" s="82"/>
      <c r="D88" s="99"/>
    </row>
    <row r="89" spans="1:16" x14ac:dyDescent="0.25">
      <c r="B89" s="82"/>
      <c r="D89" s="99"/>
    </row>
    <row r="90" spans="1:16" x14ac:dyDescent="0.25">
      <c r="B90" s="82"/>
      <c r="D90" s="99"/>
    </row>
    <row r="91" spans="1:16" x14ac:dyDescent="0.25">
      <c r="B91" s="82"/>
      <c r="D91" s="99"/>
    </row>
    <row r="92" spans="1:16" x14ac:dyDescent="0.25">
      <c r="B92" s="82"/>
      <c r="D92" s="99"/>
    </row>
    <row r="93" spans="1:16" x14ac:dyDescent="0.25">
      <c r="B93" s="82"/>
      <c r="D93" s="99"/>
    </row>
    <row r="94" spans="1:16" x14ac:dyDescent="0.25">
      <c r="B94" s="82"/>
      <c r="O94" t="s">
        <v>124</v>
      </c>
      <c r="P94" t="s">
        <v>123</v>
      </c>
    </row>
    <row r="95" spans="1:16" x14ac:dyDescent="0.25">
      <c r="A95" t="s">
        <v>119</v>
      </c>
      <c r="B95" s="82">
        <v>5</v>
      </c>
      <c r="C95">
        <v>21</v>
      </c>
      <c r="D95">
        <v>13</v>
      </c>
      <c r="E95">
        <v>6</v>
      </c>
      <c r="F95">
        <v>22</v>
      </c>
      <c r="G95">
        <v>14</v>
      </c>
      <c r="H95">
        <v>1</v>
      </c>
      <c r="I95">
        <v>17</v>
      </c>
      <c r="J95">
        <v>9</v>
      </c>
      <c r="K95">
        <v>0</v>
      </c>
      <c r="L95">
        <v>16</v>
      </c>
      <c r="M95">
        <v>8</v>
      </c>
      <c r="O95">
        <v>0</v>
      </c>
      <c r="P95">
        <f t="array" ref="P95:P118">FREQUENCY(B95:M110,O95:O118)</f>
        <v>8</v>
      </c>
    </row>
    <row r="96" spans="1:16" x14ac:dyDescent="0.25">
      <c r="A96" t="s">
        <v>118</v>
      </c>
      <c r="B96" s="82">
        <v>4</v>
      </c>
      <c r="C96">
        <v>20</v>
      </c>
      <c r="D96">
        <v>12</v>
      </c>
      <c r="E96">
        <v>1</v>
      </c>
      <c r="F96">
        <v>17</v>
      </c>
      <c r="G96">
        <v>9</v>
      </c>
      <c r="H96">
        <v>0</v>
      </c>
      <c r="I96">
        <v>16</v>
      </c>
      <c r="J96">
        <v>8</v>
      </c>
      <c r="K96">
        <v>6</v>
      </c>
      <c r="L96">
        <v>22</v>
      </c>
      <c r="M96">
        <v>14</v>
      </c>
      <c r="O96">
        <v>1</v>
      </c>
      <c r="P96">
        <v>8</v>
      </c>
    </row>
    <row r="97" spans="1:16" x14ac:dyDescent="0.25">
      <c r="A97" t="s">
        <v>125</v>
      </c>
      <c r="B97" s="82">
        <v>4</v>
      </c>
      <c r="C97">
        <v>20</v>
      </c>
      <c r="D97">
        <v>12</v>
      </c>
      <c r="E97">
        <v>3</v>
      </c>
      <c r="F97">
        <v>19</v>
      </c>
      <c r="G97">
        <v>11</v>
      </c>
      <c r="H97">
        <v>6</v>
      </c>
      <c r="I97">
        <v>22</v>
      </c>
      <c r="J97">
        <v>14</v>
      </c>
      <c r="K97">
        <v>7</v>
      </c>
      <c r="L97">
        <v>23</v>
      </c>
      <c r="M97">
        <v>15</v>
      </c>
      <c r="O97">
        <v>2</v>
      </c>
      <c r="P97">
        <v>8</v>
      </c>
    </row>
    <row r="98" spans="1:16" x14ac:dyDescent="0.25">
      <c r="A98" t="s">
        <v>122</v>
      </c>
      <c r="B98" s="82">
        <v>6</v>
      </c>
      <c r="C98">
        <v>22</v>
      </c>
      <c r="D98">
        <v>14</v>
      </c>
      <c r="E98">
        <v>2</v>
      </c>
      <c r="F98">
        <v>18</v>
      </c>
      <c r="G98">
        <v>10</v>
      </c>
      <c r="H98">
        <v>7</v>
      </c>
      <c r="I98">
        <v>23</v>
      </c>
      <c r="J98">
        <v>15</v>
      </c>
      <c r="K98">
        <v>0</v>
      </c>
      <c r="L98">
        <v>16</v>
      </c>
      <c r="M98">
        <v>8</v>
      </c>
      <c r="O98">
        <v>3</v>
      </c>
      <c r="P98">
        <v>8</v>
      </c>
    </row>
    <row r="99" spans="1:16" x14ac:dyDescent="0.25">
      <c r="B99" s="82">
        <v>7</v>
      </c>
      <c r="C99">
        <v>23</v>
      </c>
      <c r="D99">
        <v>15</v>
      </c>
      <c r="E99">
        <v>4</v>
      </c>
      <c r="F99">
        <v>20</v>
      </c>
      <c r="G99">
        <v>12</v>
      </c>
      <c r="H99">
        <v>3</v>
      </c>
      <c r="I99">
        <v>19</v>
      </c>
      <c r="J99">
        <v>11</v>
      </c>
      <c r="K99">
        <v>2</v>
      </c>
      <c r="L99">
        <v>18</v>
      </c>
      <c r="M99">
        <v>10</v>
      </c>
      <c r="O99">
        <v>4</v>
      </c>
      <c r="P99">
        <v>8</v>
      </c>
    </row>
    <row r="100" spans="1:16" x14ac:dyDescent="0.25">
      <c r="B100" s="82">
        <v>3</v>
      </c>
      <c r="C100">
        <v>19</v>
      </c>
      <c r="D100">
        <v>11</v>
      </c>
      <c r="E100">
        <v>6</v>
      </c>
      <c r="F100">
        <v>22</v>
      </c>
      <c r="G100">
        <v>14</v>
      </c>
      <c r="H100">
        <v>2</v>
      </c>
      <c r="I100">
        <v>18</v>
      </c>
      <c r="J100">
        <v>10</v>
      </c>
      <c r="K100">
        <v>0</v>
      </c>
      <c r="L100">
        <v>16</v>
      </c>
      <c r="M100">
        <v>8</v>
      </c>
      <c r="O100">
        <v>5</v>
      </c>
      <c r="P100">
        <v>8</v>
      </c>
    </row>
    <row r="101" spans="1:16" x14ac:dyDescent="0.25">
      <c r="B101" s="82">
        <v>3</v>
      </c>
      <c r="C101">
        <v>19</v>
      </c>
      <c r="D101">
        <v>11</v>
      </c>
      <c r="E101">
        <v>1</v>
      </c>
      <c r="F101">
        <v>17</v>
      </c>
      <c r="G101">
        <v>9</v>
      </c>
      <c r="H101">
        <v>5</v>
      </c>
      <c r="I101">
        <v>21</v>
      </c>
      <c r="J101">
        <v>13</v>
      </c>
      <c r="K101">
        <v>7</v>
      </c>
      <c r="L101">
        <v>23</v>
      </c>
      <c r="M101">
        <v>15</v>
      </c>
      <c r="O101">
        <v>6</v>
      </c>
      <c r="P101">
        <v>8</v>
      </c>
    </row>
    <row r="102" spans="1:16" x14ac:dyDescent="0.25">
      <c r="B102" s="82">
        <v>0</v>
      </c>
      <c r="C102">
        <v>16</v>
      </c>
      <c r="D102">
        <v>8</v>
      </c>
      <c r="E102">
        <v>6</v>
      </c>
      <c r="F102">
        <v>22</v>
      </c>
      <c r="G102">
        <v>14</v>
      </c>
      <c r="H102">
        <v>3</v>
      </c>
      <c r="I102">
        <v>19</v>
      </c>
      <c r="J102">
        <v>11</v>
      </c>
      <c r="K102">
        <v>2</v>
      </c>
      <c r="L102">
        <v>18</v>
      </c>
      <c r="M102">
        <v>10</v>
      </c>
      <c r="O102">
        <v>7</v>
      </c>
      <c r="P102">
        <v>8</v>
      </c>
    </row>
    <row r="103" spans="1:16" x14ac:dyDescent="0.25">
      <c r="B103" s="82">
        <v>7</v>
      </c>
      <c r="C103">
        <v>23</v>
      </c>
      <c r="D103">
        <v>15</v>
      </c>
      <c r="E103">
        <v>4</v>
      </c>
      <c r="F103">
        <v>20</v>
      </c>
      <c r="G103">
        <v>12</v>
      </c>
      <c r="H103">
        <v>3</v>
      </c>
      <c r="I103">
        <v>19</v>
      </c>
      <c r="J103">
        <v>11</v>
      </c>
      <c r="K103">
        <v>2</v>
      </c>
      <c r="L103">
        <v>18</v>
      </c>
      <c r="M103">
        <v>10</v>
      </c>
      <c r="O103">
        <v>8</v>
      </c>
      <c r="P103">
        <v>8</v>
      </c>
    </row>
    <row r="104" spans="1:16" x14ac:dyDescent="0.25">
      <c r="B104" s="82">
        <v>7</v>
      </c>
      <c r="C104">
        <v>23</v>
      </c>
      <c r="D104">
        <v>15</v>
      </c>
      <c r="E104">
        <v>2</v>
      </c>
      <c r="F104">
        <v>18</v>
      </c>
      <c r="G104">
        <v>10</v>
      </c>
      <c r="H104">
        <v>5</v>
      </c>
      <c r="I104">
        <v>21</v>
      </c>
      <c r="J104">
        <v>13</v>
      </c>
      <c r="K104">
        <v>3</v>
      </c>
      <c r="L104">
        <v>19</v>
      </c>
      <c r="M104">
        <v>11</v>
      </c>
      <c r="O104">
        <v>9</v>
      </c>
      <c r="P104">
        <v>8</v>
      </c>
    </row>
    <row r="105" spans="1:16" x14ac:dyDescent="0.25">
      <c r="B105" s="82">
        <v>0</v>
      </c>
      <c r="C105">
        <v>16</v>
      </c>
      <c r="D105">
        <v>8</v>
      </c>
      <c r="E105">
        <v>5</v>
      </c>
      <c r="F105">
        <v>21</v>
      </c>
      <c r="G105">
        <v>13</v>
      </c>
      <c r="H105">
        <v>2</v>
      </c>
      <c r="I105">
        <v>18</v>
      </c>
      <c r="J105">
        <v>10</v>
      </c>
      <c r="K105">
        <v>1</v>
      </c>
      <c r="L105">
        <v>17</v>
      </c>
      <c r="M105">
        <v>9</v>
      </c>
      <c r="O105">
        <v>10</v>
      </c>
      <c r="P105">
        <v>8</v>
      </c>
    </row>
    <row r="106" spans="1:16" x14ac:dyDescent="0.25">
      <c r="B106" s="82">
        <v>1</v>
      </c>
      <c r="C106">
        <v>17</v>
      </c>
      <c r="D106">
        <v>9</v>
      </c>
      <c r="E106">
        <v>4</v>
      </c>
      <c r="F106">
        <v>20</v>
      </c>
      <c r="G106">
        <v>12</v>
      </c>
      <c r="H106">
        <v>5</v>
      </c>
      <c r="I106">
        <v>21</v>
      </c>
      <c r="J106">
        <v>13</v>
      </c>
      <c r="K106">
        <v>3</v>
      </c>
      <c r="L106">
        <v>19</v>
      </c>
      <c r="M106">
        <v>11</v>
      </c>
      <c r="O106">
        <v>11</v>
      </c>
      <c r="P106">
        <v>8</v>
      </c>
    </row>
    <row r="107" spans="1:16" x14ac:dyDescent="0.25">
      <c r="B107" s="82">
        <v>6</v>
      </c>
      <c r="C107">
        <v>22</v>
      </c>
      <c r="D107">
        <v>14</v>
      </c>
      <c r="E107">
        <v>0</v>
      </c>
      <c r="F107">
        <v>16</v>
      </c>
      <c r="G107">
        <v>8</v>
      </c>
      <c r="H107">
        <v>1</v>
      </c>
      <c r="I107">
        <v>17</v>
      </c>
      <c r="J107">
        <v>9</v>
      </c>
      <c r="K107">
        <v>5</v>
      </c>
      <c r="L107">
        <v>21</v>
      </c>
      <c r="M107">
        <v>13</v>
      </c>
      <c r="O107">
        <v>12</v>
      </c>
      <c r="P107">
        <v>8</v>
      </c>
    </row>
    <row r="108" spans="1:16" x14ac:dyDescent="0.25">
      <c r="B108" s="82">
        <v>7</v>
      </c>
      <c r="C108">
        <v>23</v>
      </c>
      <c r="D108">
        <v>15</v>
      </c>
      <c r="E108">
        <v>1</v>
      </c>
      <c r="F108">
        <v>17</v>
      </c>
      <c r="G108">
        <v>9</v>
      </c>
      <c r="H108">
        <v>4</v>
      </c>
      <c r="I108">
        <v>20</v>
      </c>
      <c r="J108">
        <v>12</v>
      </c>
      <c r="K108">
        <v>5</v>
      </c>
      <c r="L108">
        <v>21</v>
      </c>
      <c r="M108">
        <v>13</v>
      </c>
      <c r="O108">
        <v>13</v>
      </c>
      <c r="P108">
        <v>8</v>
      </c>
    </row>
    <row r="109" spans="1:16" x14ac:dyDescent="0.25">
      <c r="B109" s="82">
        <v>0</v>
      </c>
      <c r="C109">
        <v>16</v>
      </c>
      <c r="D109">
        <v>8</v>
      </c>
      <c r="E109">
        <v>2</v>
      </c>
      <c r="F109">
        <v>18</v>
      </c>
      <c r="G109">
        <v>10</v>
      </c>
      <c r="H109">
        <v>6</v>
      </c>
      <c r="I109">
        <v>22</v>
      </c>
      <c r="J109">
        <v>14</v>
      </c>
      <c r="K109">
        <v>4</v>
      </c>
      <c r="L109">
        <v>20</v>
      </c>
      <c r="M109">
        <v>12</v>
      </c>
      <c r="O109">
        <v>14</v>
      </c>
      <c r="P109">
        <v>8</v>
      </c>
    </row>
    <row r="110" spans="1:16" x14ac:dyDescent="0.25">
      <c r="B110" s="82">
        <v>4</v>
      </c>
      <c r="C110">
        <v>20</v>
      </c>
      <c r="D110">
        <v>12</v>
      </c>
      <c r="E110">
        <v>7</v>
      </c>
      <c r="F110">
        <v>23</v>
      </c>
      <c r="G110">
        <v>15</v>
      </c>
      <c r="H110">
        <v>5</v>
      </c>
      <c r="I110">
        <v>21</v>
      </c>
      <c r="J110">
        <v>13</v>
      </c>
      <c r="K110">
        <v>1</v>
      </c>
      <c r="L110">
        <v>17</v>
      </c>
      <c r="M110">
        <v>9</v>
      </c>
      <c r="O110">
        <v>15</v>
      </c>
      <c r="P110">
        <v>8</v>
      </c>
    </row>
    <row r="111" spans="1:16" x14ac:dyDescent="0.25">
      <c r="B111" s="82"/>
      <c r="O111">
        <v>16</v>
      </c>
      <c r="P111">
        <v>8</v>
      </c>
    </row>
    <row r="112" spans="1:16" x14ac:dyDescent="0.25">
      <c r="B112" s="82"/>
      <c r="O112">
        <v>17</v>
      </c>
      <c r="P112">
        <v>8</v>
      </c>
    </row>
    <row r="113" spans="1:16" x14ac:dyDescent="0.25">
      <c r="B113" s="82"/>
      <c r="O113">
        <v>18</v>
      </c>
      <c r="P113">
        <v>8</v>
      </c>
    </row>
    <row r="114" spans="1:16" x14ac:dyDescent="0.25">
      <c r="B114" s="82"/>
      <c r="O114">
        <v>19</v>
      </c>
      <c r="P114">
        <v>8</v>
      </c>
    </row>
    <row r="115" spans="1:16" x14ac:dyDescent="0.25">
      <c r="B115" s="82"/>
      <c r="O115">
        <v>20</v>
      </c>
      <c r="P115">
        <v>8</v>
      </c>
    </row>
    <row r="116" spans="1:16" x14ac:dyDescent="0.25">
      <c r="B116" s="82"/>
      <c r="O116">
        <v>21</v>
      </c>
      <c r="P116">
        <v>8</v>
      </c>
    </row>
    <row r="117" spans="1:16" x14ac:dyDescent="0.25">
      <c r="B117" s="82"/>
      <c r="O117">
        <v>22</v>
      </c>
      <c r="P117">
        <v>8</v>
      </c>
    </row>
    <row r="118" spans="1:16" x14ac:dyDescent="0.25">
      <c r="B118" s="82"/>
      <c r="O118">
        <v>23</v>
      </c>
      <c r="P118">
        <v>8</v>
      </c>
    </row>
    <row r="119" spans="1:16" x14ac:dyDescent="0.25">
      <c r="B119" s="82"/>
    </row>
    <row r="121" spans="1:16" x14ac:dyDescent="0.25">
      <c r="O121" t="s">
        <v>124</v>
      </c>
      <c r="P121" t="s">
        <v>123</v>
      </c>
    </row>
    <row r="122" spans="1:16" x14ac:dyDescent="0.25">
      <c r="A122" t="s">
        <v>120</v>
      </c>
      <c r="B122">
        <v>4</v>
      </c>
      <c r="C122">
        <v>20</v>
      </c>
      <c r="D122">
        <v>12</v>
      </c>
      <c r="E122">
        <v>0</v>
      </c>
      <c r="F122">
        <v>16</v>
      </c>
      <c r="G122">
        <v>8</v>
      </c>
      <c r="H122">
        <v>3</v>
      </c>
      <c r="I122">
        <v>19</v>
      </c>
      <c r="J122">
        <v>11</v>
      </c>
      <c r="K122">
        <v>5</v>
      </c>
      <c r="L122">
        <v>21</v>
      </c>
      <c r="M122">
        <v>13</v>
      </c>
      <c r="O122">
        <v>0</v>
      </c>
      <c r="P122">
        <f t="array" ref="P122:P145">FREQUENCY(B122:M137,O122:O145)</f>
        <v>8</v>
      </c>
    </row>
    <row r="123" spans="1:16" x14ac:dyDescent="0.25">
      <c r="A123" t="s">
        <v>118</v>
      </c>
      <c r="B123">
        <v>3</v>
      </c>
      <c r="C123">
        <v>19</v>
      </c>
      <c r="D123">
        <v>11</v>
      </c>
      <c r="E123">
        <v>7</v>
      </c>
      <c r="F123">
        <v>23</v>
      </c>
      <c r="G123">
        <v>15</v>
      </c>
      <c r="H123">
        <v>2</v>
      </c>
      <c r="I123">
        <v>18</v>
      </c>
      <c r="J123">
        <v>10</v>
      </c>
      <c r="K123">
        <v>5</v>
      </c>
      <c r="L123">
        <v>21</v>
      </c>
      <c r="M123">
        <v>13</v>
      </c>
      <c r="O123">
        <v>1</v>
      </c>
      <c r="P123">
        <v>8</v>
      </c>
    </row>
    <row r="124" spans="1:16" x14ac:dyDescent="0.25">
      <c r="A124" t="s">
        <v>121</v>
      </c>
      <c r="B124">
        <v>6</v>
      </c>
      <c r="C124">
        <v>22</v>
      </c>
      <c r="D124">
        <v>14</v>
      </c>
      <c r="E124">
        <v>0</v>
      </c>
      <c r="F124">
        <v>16</v>
      </c>
      <c r="G124">
        <v>8</v>
      </c>
      <c r="H124">
        <v>1</v>
      </c>
      <c r="I124">
        <v>17</v>
      </c>
      <c r="J124">
        <v>9</v>
      </c>
      <c r="K124">
        <v>4</v>
      </c>
      <c r="L124">
        <v>20</v>
      </c>
      <c r="M124">
        <v>12</v>
      </c>
      <c r="O124">
        <v>2</v>
      </c>
      <c r="P124">
        <v>8</v>
      </c>
    </row>
    <row r="125" spans="1:16" x14ac:dyDescent="0.25">
      <c r="A125" t="s">
        <v>122</v>
      </c>
      <c r="B125">
        <v>3</v>
      </c>
      <c r="C125">
        <v>19</v>
      </c>
      <c r="D125">
        <v>11</v>
      </c>
      <c r="E125">
        <v>1</v>
      </c>
      <c r="F125">
        <v>17</v>
      </c>
      <c r="G125">
        <v>9</v>
      </c>
      <c r="H125">
        <v>4</v>
      </c>
      <c r="I125">
        <v>20</v>
      </c>
      <c r="J125">
        <v>12</v>
      </c>
      <c r="K125">
        <v>5</v>
      </c>
      <c r="L125">
        <v>21</v>
      </c>
      <c r="M125">
        <v>13</v>
      </c>
      <c r="O125">
        <v>3</v>
      </c>
      <c r="P125">
        <v>8</v>
      </c>
    </row>
    <row r="126" spans="1:16" x14ac:dyDescent="0.25">
      <c r="B126">
        <v>5</v>
      </c>
      <c r="C126">
        <v>21</v>
      </c>
      <c r="D126">
        <v>13</v>
      </c>
      <c r="E126">
        <v>2</v>
      </c>
      <c r="F126">
        <v>18</v>
      </c>
      <c r="G126">
        <v>10</v>
      </c>
      <c r="H126">
        <v>0</v>
      </c>
      <c r="I126">
        <v>16</v>
      </c>
      <c r="J126">
        <v>8</v>
      </c>
      <c r="K126">
        <v>6</v>
      </c>
      <c r="L126">
        <v>22</v>
      </c>
      <c r="M126">
        <v>14</v>
      </c>
      <c r="O126">
        <v>4</v>
      </c>
      <c r="P126">
        <v>8</v>
      </c>
    </row>
    <row r="127" spans="1:16" x14ac:dyDescent="0.25">
      <c r="B127">
        <v>1</v>
      </c>
      <c r="C127">
        <v>17</v>
      </c>
      <c r="D127">
        <v>9</v>
      </c>
      <c r="E127">
        <v>3</v>
      </c>
      <c r="F127">
        <v>19</v>
      </c>
      <c r="G127">
        <v>11</v>
      </c>
      <c r="H127">
        <v>4</v>
      </c>
      <c r="I127">
        <v>20</v>
      </c>
      <c r="J127">
        <v>12</v>
      </c>
      <c r="K127">
        <v>6</v>
      </c>
      <c r="L127">
        <v>22</v>
      </c>
      <c r="M127">
        <v>14</v>
      </c>
      <c r="O127">
        <v>5</v>
      </c>
      <c r="P127">
        <v>8</v>
      </c>
    </row>
    <row r="128" spans="1:16" x14ac:dyDescent="0.25">
      <c r="B128">
        <v>5</v>
      </c>
      <c r="C128">
        <v>21</v>
      </c>
      <c r="D128">
        <v>13</v>
      </c>
      <c r="E128">
        <v>1</v>
      </c>
      <c r="F128">
        <v>17</v>
      </c>
      <c r="G128">
        <v>9</v>
      </c>
      <c r="H128">
        <v>2</v>
      </c>
      <c r="I128">
        <v>18</v>
      </c>
      <c r="J128">
        <v>10</v>
      </c>
      <c r="K128">
        <v>4</v>
      </c>
      <c r="L128">
        <v>20</v>
      </c>
      <c r="M128">
        <v>12</v>
      </c>
      <c r="O128">
        <v>6</v>
      </c>
      <c r="P128">
        <v>8</v>
      </c>
    </row>
    <row r="129" spans="2:16" x14ac:dyDescent="0.25">
      <c r="B129">
        <v>3</v>
      </c>
      <c r="C129">
        <v>19</v>
      </c>
      <c r="D129">
        <v>11</v>
      </c>
      <c r="E129">
        <v>6</v>
      </c>
      <c r="F129">
        <v>22</v>
      </c>
      <c r="G129">
        <v>14</v>
      </c>
      <c r="H129">
        <v>5</v>
      </c>
      <c r="I129">
        <v>21</v>
      </c>
      <c r="J129">
        <v>13</v>
      </c>
      <c r="K129">
        <v>1</v>
      </c>
      <c r="L129">
        <v>17</v>
      </c>
      <c r="M129">
        <v>9</v>
      </c>
      <c r="O129">
        <v>7</v>
      </c>
      <c r="P129">
        <v>8</v>
      </c>
    </row>
    <row r="130" spans="2:16" x14ac:dyDescent="0.25">
      <c r="B130">
        <v>1</v>
      </c>
      <c r="C130">
        <v>17</v>
      </c>
      <c r="D130">
        <v>9</v>
      </c>
      <c r="E130">
        <v>7</v>
      </c>
      <c r="F130">
        <v>23</v>
      </c>
      <c r="G130">
        <v>15</v>
      </c>
      <c r="H130">
        <v>2</v>
      </c>
      <c r="I130">
        <v>18</v>
      </c>
      <c r="J130">
        <v>10</v>
      </c>
      <c r="K130">
        <v>6</v>
      </c>
      <c r="L130">
        <v>22</v>
      </c>
      <c r="M130">
        <v>14</v>
      </c>
      <c r="O130">
        <v>8</v>
      </c>
      <c r="P130">
        <v>8</v>
      </c>
    </row>
    <row r="131" spans="2:16" x14ac:dyDescent="0.25">
      <c r="B131">
        <v>4</v>
      </c>
      <c r="C131">
        <v>20</v>
      </c>
      <c r="D131">
        <v>12</v>
      </c>
      <c r="E131">
        <v>0</v>
      </c>
      <c r="F131">
        <v>16</v>
      </c>
      <c r="G131">
        <v>8</v>
      </c>
      <c r="H131">
        <v>1</v>
      </c>
      <c r="I131">
        <v>17</v>
      </c>
      <c r="J131">
        <v>9</v>
      </c>
      <c r="K131">
        <v>6</v>
      </c>
      <c r="L131">
        <v>22</v>
      </c>
      <c r="M131">
        <v>14</v>
      </c>
      <c r="O131">
        <v>9</v>
      </c>
      <c r="P131">
        <v>8</v>
      </c>
    </row>
    <row r="132" spans="2:16" x14ac:dyDescent="0.25">
      <c r="B132">
        <v>3</v>
      </c>
      <c r="C132">
        <v>19</v>
      </c>
      <c r="D132">
        <v>11</v>
      </c>
      <c r="E132">
        <v>5</v>
      </c>
      <c r="F132">
        <v>21</v>
      </c>
      <c r="G132">
        <v>13</v>
      </c>
      <c r="H132">
        <v>2</v>
      </c>
      <c r="I132">
        <v>18</v>
      </c>
      <c r="J132">
        <v>10</v>
      </c>
      <c r="K132">
        <v>7</v>
      </c>
      <c r="L132">
        <v>23</v>
      </c>
      <c r="M132">
        <v>15</v>
      </c>
      <c r="O132">
        <v>10</v>
      </c>
      <c r="P132">
        <v>8</v>
      </c>
    </row>
    <row r="133" spans="2:16" x14ac:dyDescent="0.25">
      <c r="B133">
        <v>2</v>
      </c>
      <c r="C133">
        <v>18</v>
      </c>
      <c r="D133">
        <v>10</v>
      </c>
      <c r="E133">
        <v>7</v>
      </c>
      <c r="F133">
        <v>23</v>
      </c>
      <c r="G133">
        <v>15</v>
      </c>
      <c r="H133">
        <v>6</v>
      </c>
      <c r="I133">
        <v>22</v>
      </c>
      <c r="J133">
        <v>14</v>
      </c>
      <c r="K133">
        <v>0</v>
      </c>
      <c r="L133">
        <v>16</v>
      </c>
      <c r="M133">
        <v>8</v>
      </c>
      <c r="O133">
        <v>11</v>
      </c>
      <c r="P133">
        <v>8</v>
      </c>
    </row>
    <row r="134" spans="2:16" x14ac:dyDescent="0.25">
      <c r="B134">
        <v>7</v>
      </c>
      <c r="C134">
        <v>23</v>
      </c>
      <c r="D134">
        <v>15</v>
      </c>
      <c r="E134">
        <v>1</v>
      </c>
      <c r="F134">
        <v>17</v>
      </c>
      <c r="G134">
        <v>9</v>
      </c>
      <c r="H134">
        <v>4</v>
      </c>
      <c r="I134">
        <v>20</v>
      </c>
      <c r="J134">
        <v>12</v>
      </c>
      <c r="K134">
        <v>3</v>
      </c>
      <c r="L134">
        <v>19</v>
      </c>
      <c r="M134">
        <v>11</v>
      </c>
      <c r="O134">
        <v>12</v>
      </c>
      <c r="P134">
        <v>8</v>
      </c>
    </row>
    <row r="135" spans="2:16" x14ac:dyDescent="0.25">
      <c r="B135">
        <v>7</v>
      </c>
      <c r="C135">
        <v>23</v>
      </c>
      <c r="D135">
        <v>15</v>
      </c>
      <c r="E135">
        <v>5</v>
      </c>
      <c r="F135">
        <v>21</v>
      </c>
      <c r="G135">
        <v>13</v>
      </c>
      <c r="H135">
        <v>2</v>
      </c>
      <c r="I135">
        <v>18</v>
      </c>
      <c r="J135">
        <v>10</v>
      </c>
      <c r="K135">
        <v>0</v>
      </c>
      <c r="L135">
        <v>16</v>
      </c>
      <c r="M135">
        <v>8</v>
      </c>
      <c r="O135">
        <v>13</v>
      </c>
      <c r="P135">
        <v>8</v>
      </c>
    </row>
    <row r="136" spans="2:16" x14ac:dyDescent="0.25">
      <c r="B136">
        <v>3</v>
      </c>
      <c r="C136">
        <v>19</v>
      </c>
      <c r="D136">
        <v>11</v>
      </c>
      <c r="E136">
        <v>0</v>
      </c>
      <c r="F136">
        <v>16</v>
      </c>
      <c r="G136">
        <v>8</v>
      </c>
      <c r="H136">
        <v>6</v>
      </c>
      <c r="I136">
        <v>22</v>
      </c>
      <c r="J136">
        <v>14</v>
      </c>
      <c r="K136">
        <v>7</v>
      </c>
      <c r="L136">
        <v>23</v>
      </c>
      <c r="M136">
        <v>15</v>
      </c>
      <c r="O136">
        <v>14</v>
      </c>
      <c r="P136">
        <v>8</v>
      </c>
    </row>
    <row r="137" spans="2:16" x14ac:dyDescent="0.25">
      <c r="B137">
        <v>7</v>
      </c>
      <c r="C137">
        <v>23</v>
      </c>
      <c r="D137">
        <v>15</v>
      </c>
      <c r="E137">
        <v>2</v>
      </c>
      <c r="F137">
        <v>18</v>
      </c>
      <c r="G137">
        <v>10</v>
      </c>
      <c r="H137">
        <v>0</v>
      </c>
      <c r="I137">
        <v>16</v>
      </c>
      <c r="J137">
        <v>8</v>
      </c>
      <c r="K137">
        <v>4</v>
      </c>
      <c r="L137">
        <v>20</v>
      </c>
      <c r="M137">
        <v>12</v>
      </c>
      <c r="O137">
        <v>15</v>
      </c>
      <c r="P137">
        <v>8</v>
      </c>
    </row>
    <row r="138" spans="2:16" x14ac:dyDescent="0.25">
      <c r="O138">
        <v>16</v>
      </c>
      <c r="P138">
        <v>8</v>
      </c>
    </row>
    <row r="139" spans="2:16" x14ac:dyDescent="0.25">
      <c r="O139">
        <v>17</v>
      </c>
      <c r="P139">
        <v>8</v>
      </c>
    </row>
    <row r="140" spans="2:16" x14ac:dyDescent="0.25">
      <c r="O140">
        <v>18</v>
      </c>
      <c r="P140">
        <v>8</v>
      </c>
    </row>
    <row r="141" spans="2:16" x14ac:dyDescent="0.25">
      <c r="O141">
        <v>19</v>
      </c>
      <c r="P141">
        <v>8</v>
      </c>
    </row>
    <row r="142" spans="2:16" x14ac:dyDescent="0.25">
      <c r="O142">
        <v>20</v>
      </c>
      <c r="P142">
        <v>8</v>
      </c>
    </row>
    <row r="143" spans="2:16" x14ac:dyDescent="0.25">
      <c r="O143">
        <v>21</v>
      </c>
      <c r="P143">
        <v>8</v>
      </c>
    </row>
    <row r="144" spans="2:16" x14ac:dyDescent="0.25">
      <c r="O144">
        <v>22</v>
      </c>
      <c r="P144">
        <v>8</v>
      </c>
    </row>
    <row r="145" spans="8:16" x14ac:dyDescent="0.25">
      <c r="O145">
        <v>23</v>
      </c>
      <c r="P145">
        <v>8</v>
      </c>
    </row>
    <row r="154" spans="8:16" x14ac:dyDescent="0.25">
      <c r="J154" s="98"/>
    </row>
    <row r="155" spans="8:16" x14ac:dyDescent="0.25">
      <c r="H155" s="98"/>
    </row>
  </sheetData>
  <mergeCells count="14">
    <mergeCell ref="D10:E10"/>
    <mergeCell ref="D9:E9"/>
    <mergeCell ref="D60:E60"/>
    <mergeCell ref="D61:E61"/>
    <mergeCell ref="D56:E56"/>
    <mergeCell ref="D55:E55"/>
    <mergeCell ref="D26:E26"/>
    <mergeCell ref="D25:E25"/>
    <mergeCell ref="D24:E24"/>
    <mergeCell ref="D23:E23"/>
    <mergeCell ref="D15:E15"/>
    <mergeCell ref="D14:E14"/>
    <mergeCell ref="D12:E12"/>
    <mergeCell ref="D11:E11"/>
  </mergeCells>
  <pageMargins left="0.7" right="0.7" top="0.75" bottom="0.75" header="0.3" footer="0.3"/>
  <pageSetup orientation="portrait" verticalDpi="0" r:id="rId1"/>
  <headerFooter>
    <oddFooter>&amp;C&amp;1#&amp;"Arial"&amp;11&amp;K404040Restricted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8"/>
  <sheetViews>
    <sheetView topLeftCell="A88" zoomScaleNormal="100" workbookViewId="0">
      <selection activeCell="H91" sqref="H91"/>
    </sheetView>
  </sheetViews>
  <sheetFormatPr defaultRowHeight="15" x14ac:dyDescent="0.25"/>
  <cols>
    <col min="1" max="1" width="25.5703125" customWidth="1"/>
    <col min="3" max="3" width="12.7109375" bestFit="1" customWidth="1"/>
    <col min="4" max="4" width="12.28515625" customWidth="1"/>
    <col min="5" max="5" width="12.5703125" customWidth="1"/>
    <col min="6" max="6" width="8.7109375" customWidth="1"/>
    <col min="7" max="7" width="12.28515625" bestFit="1" customWidth="1"/>
    <col min="8" max="8" width="9.7109375" bestFit="1" customWidth="1"/>
    <col min="9" max="9" width="9" customWidth="1"/>
    <col min="11" max="11" width="8.5703125" customWidth="1"/>
    <col min="13" max="13" width="8.5703125" customWidth="1"/>
    <col min="15" max="15" width="8.140625" customWidth="1"/>
    <col min="17" max="17" width="9" customWidth="1"/>
  </cols>
  <sheetData>
    <row r="1" spans="1:24" ht="21" x14ac:dyDescent="0.35">
      <c r="A1" s="184" t="s">
        <v>319</v>
      </c>
    </row>
    <row r="2" spans="1:24" x14ac:dyDescent="0.25">
      <c r="A2" t="s">
        <v>74</v>
      </c>
      <c r="E2" s="229">
        <v>3.8</v>
      </c>
      <c r="F2" s="229"/>
      <c r="G2" s="229"/>
      <c r="H2" t="s">
        <v>316</v>
      </c>
      <c r="J2" t="s">
        <v>206</v>
      </c>
    </row>
    <row r="3" spans="1:24" x14ac:dyDescent="0.25">
      <c r="A3" t="s">
        <v>318</v>
      </c>
      <c r="C3" t="s">
        <v>203</v>
      </c>
      <c r="D3" t="s">
        <v>204</v>
      </c>
      <c r="E3" t="s">
        <v>205</v>
      </c>
      <c r="F3" t="s">
        <v>310</v>
      </c>
      <c r="G3" t="s">
        <v>202</v>
      </c>
    </row>
    <row r="4" spans="1:24" x14ac:dyDescent="0.25">
      <c r="B4" s="98"/>
      <c r="C4" s="98"/>
      <c r="D4" s="98"/>
      <c r="E4" s="98">
        <v>5.6</v>
      </c>
      <c r="F4" s="98"/>
      <c r="G4" s="98">
        <v>3.3999999999999998E-3</v>
      </c>
      <c r="H4" t="s">
        <v>15</v>
      </c>
      <c r="J4" s="179" t="s">
        <v>308</v>
      </c>
    </row>
    <row r="5" spans="1:24" x14ac:dyDescent="0.25">
      <c r="A5">
        <v>4.2</v>
      </c>
      <c r="B5" s="98" t="s">
        <v>316</v>
      </c>
      <c r="C5" s="98">
        <v>500</v>
      </c>
      <c r="D5" s="98"/>
      <c r="E5" s="98">
        <v>9</v>
      </c>
      <c r="F5" s="98">
        <v>1.6</v>
      </c>
      <c r="G5" s="98">
        <v>8.0000000000000002E-3</v>
      </c>
      <c r="H5" t="s">
        <v>15</v>
      </c>
      <c r="J5" s="249" t="s">
        <v>309</v>
      </c>
    </row>
    <row r="6" spans="1:24" x14ac:dyDescent="0.25">
      <c r="A6">
        <v>4.5</v>
      </c>
      <c r="B6" s="98" t="s">
        <v>316</v>
      </c>
      <c r="C6" s="98">
        <v>900</v>
      </c>
      <c r="D6" s="98"/>
      <c r="E6" s="98"/>
      <c r="F6" s="98">
        <v>1.6</v>
      </c>
      <c r="G6" s="98">
        <v>8.0000000000000002E-3</v>
      </c>
      <c r="H6" t="s">
        <v>15</v>
      </c>
      <c r="J6" s="233"/>
    </row>
    <row r="7" spans="1:24" x14ac:dyDescent="0.25">
      <c r="A7">
        <v>3.4</v>
      </c>
      <c r="B7" s="98" t="s">
        <v>316</v>
      </c>
      <c r="C7" s="98">
        <v>615</v>
      </c>
      <c r="D7" s="98"/>
      <c r="E7" s="98">
        <v>25</v>
      </c>
      <c r="F7" s="98">
        <v>1.8</v>
      </c>
      <c r="G7" s="98">
        <v>0.01</v>
      </c>
      <c r="H7" t="s">
        <v>15</v>
      </c>
      <c r="J7" s="183" t="s">
        <v>311</v>
      </c>
    </row>
    <row r="8" spans="1:24" x14ac:dyDescent="0.25">
      <c r="B8" s="98"/>
      <c r="C8" s="98"/>
      <c r="D8" s="98"/>
      <c r="E8" s="98">
        <v>15</v>
      </c>
      <c r="F8" s="98">
        <v>1.7</v>
      </c>
      <c r="G8" s="98">
        <v>0.01</v>
      </c>
      <c r="H8" t="s">
        <v>15</v>
      </c>
      <c r="J8" s="179" t="s">
        <v>312</v>
      </c>
    </row>
    <row r="10" spans="1:24" x14ac:dyDescent="0.25">
      <c r="A10" t="s">
        <v>315</v>
      </c>
    </row>
    <row r="11" spans="1:24" x14ac:dyDescent="0.25">
      <c r="A11" s="251">
        <v>3.3</v>
      </c>
      <c r="B11" s="251" t="s">
        <v>316</v>
      </c>
      <c r="C11" s="182">
        <v>33</v>
      </c>
      <c r="D11" s="182">
        <v>10.5</v>
      </c>
      <c r="E11" s="182"/>
      <c r="F11" s="182"/>
      <c r="G11" s="182">
        <v>1E-3</v>
      </c>
      <c r="H11" s="152" t="s">
        <v>15</v>
      </c>
      <c r="J11" s="180" t="s">
        <v>307</v>
      </c>
      <c r="R11" s="152"/>
      <c r="S11" s="152"/>
      <c r="T11" s="152"/>
      <c r="U11" s="152"/>
      <c r="V11" s="152"/>
      <c r="W11" s="152"/>
      <c r="X11" s="152"/>
    </row>
    <row r="12" spans="1:24" x14ac:dyDescent="0.25">
      <c r="A12" s="251"/>
      <c r="B12" s="251"/>
      <c r="C12" s="182">
        <v>33</v>
      </c>
      <c r="D12" s="182">
        <v>11.2</v>
      </c>
      <c r="E12" s="182"/>
      <c r="F12" s="182"/>
      <c r="G12" s="182">
        <v>1E-3</v>
      </c>
      <c r="H12" s="152" t="s">
        <v>15</v>
      </c>
      <c r="J12" s="250"/>
      <c r="R12" s="152"/>
      <c r="S12" s="152"/>
      <c r="T12" s="152"/>
      <c r="U12" s="152"/>
      <c r="V12" s="152"/>
      <c r="W12" s="152"/>
      <c r="X12" s="152"/>
    </row>
    <row r="13" spans="1:24" x14ac:dyDescent="0.25">
      <c r="A13" s="251"/>
      <c r="B13" s="251"/>
      <c r="C13" s="182">
        <v>40</v>
      </c>
      <c r="D13" s="182">
        <v>16</v>
      </c>
      <c r="E13" s="182"/>
      <c r="F13" s="182"/>
      <c r="G13" s="182">
        <v>2E-3</v>
      </c>
      <c r="H13" s="152" t="s">
        <v>15</v>
      </c>
      <c r="J13" s="250"/>
      <c r="R13" s="152"/>
      <c r="S13" s="152"/>
      <c r="T13" s="152"/>
      <c r="U13" s="152"/>
      <c r="V13" s="152"/>
      <c r="W13" s="152"/>
      <c r="X13" s="152"/>
    </row>
    <row r="14" spans="1:24" x14ac:dyDescent="0.25">
      <c r="A14" s="251"/>
      <c r="B14" s="251"/>
      <c r="C14" s="182">
        <v>31.4</v>
      </c>
      <c r="D14" s="182">
        <v>12.7</v>
      </c>
      <c r="E14" s="182"/>
      <c r="F14" s="182"/>
      <c r="G14" s="182"/>
      <c r="H14" s="152" t="s">
        <v>15</v>
      </c>
      <c r="J14" s="183" t="s">
        <v>313</v>
      </c>
      <c r="R14" s="152"/>
      <c r="S14" s="152"/>
      <c r="T14" s="152"/>
      <c r="U14" s="152"/>
      <c r="V14" s="152"/>
      <c r="W14" s="152"/>
      <c r="X14" s="152"/>
    </row>
    <row r="15" spans="1:24" x14ac:dyDescent="0.25">
      <c r="A15" s="251"/>
      <c r="B15" s="251"/>
      <c r="C15" s="182">
        <v>47</v>
      </c>
      <c r="D15" s="182">
        <v>21.5</v>
      </c>
      <c r="E15" s="182"/>
      <c r="F15" s="182"/>
      <c r="G15" s="182">
        <v>1E-3</v>
      </c>
      <c r="H15" s="152" t="s">
        <v>15</v>
      </c>
      <c r="J15" s="179" t="s">
        <v>314</v>
      </c>
      <c r="R15" s="152"/>
      <c r="S15" s="152"/>
      <c r="T15" s="152"/>
      <c r="U15" s="152"/>
      <c r="V15" s="152"/>
      <c r="W15" s="152"/>
      <c r="X15" s="152"/>
    </row>
    <row r="16" spans="1:24" x14ac:dyDescent="0.25">
      <c r="A16" s="152"/>
      <c r="B16" s="182"/>
      <c r="C16" s="182"/>
      <c r="D16" s="182"/>
      <c r="E16" s="182"/>
      <c r="F16" s="182"/>
      <c r="G16" s="182"/>
      <c r="H16" s="152"/>
      <c r="I16" s="179"/>
      <c r="R16" s="152"/>
      <c r="S16" s="152"/>
      <c r="T16" s="152"/>
      <c r="U16" s="152"/>
      <c r="V16" s="152"/>
      <c r="W16" s="152"/>
      <c r="X16" s="152"/>
    </row>
    <row r="17" spans="1:24" x14ac:dyDescent="0.25">
      <c r="A17" s="152"/>
      <c r="B17" s="152"/>
      <c r="N17" s="152"/>
      <c r="O17" s="152"/>
      <c r="P17" s="152"/>
      <c r="Q17" s="152"/>
      <c r="R17" s="152"/>
      <c r="S17" s="152"/>
      <c r="T17" s="152"/>
      <c r="U17" s="152"/>
      <c r="V17" s="152"/>
      <c r="W17" s="152"/>
      <c r="X17" s="152"/>
    </row>
    <row r="18" spans="1:24" ht="21" x14ac:dyDescent="0.35">
      <c r="A18" s="184" t="s">
        <v>320</v>
      </c>
      <c r="I18" s="152"/>
      <c r="J18" s="152"/>
      <c r="K18" s="152"/>
      <c r="L18" s="152"/>
      <c r="M18" s="152"/>
      <c r="N18" s="152"/>
      <c r="O18" s="152"/>
      <c r="P18" s="152"/>
      <c r="Q18" s="152"/>
      <c r="R18" s="152"/>
      <c r="S18" s="152"/>
      <c r="T18" s="152"/>
      <c r="U18" s="152"/>
      <c r="V18" s="152"/>
      <c r="W18" s="152"/>
      <c r="X18" s="152"/>
    </row>
    <row r="19" spans="1:24" x14ac:dyDescent="0.25">
      <c r="C19" t="s">
        <v>203</v>
      </c>
      <c r="D19" t="s">
        <v>204</v>
      </c>
      <c r="E19" t="s">
        <v>205</v>
      </c>
      <c r="F19" t="s">
        <v>310</v>
      </c>
      <c r="G19" t="s">
        <v>202</v>
      </c>
      <c r="I19" t="s">
        <v>203</v>
      </c>
      <c r="J19" t="s">
        <v>204</v>
      </c>
      <c r="K19" t="s">
        <v>205</v>
      </c>
      <c r="L19" t="s">
        <v>310</v>
      </c>
      <c r="M19" t="s">
        <v>202</v>
      </c>
      <c r="N19" s="152"/>
      <c r="O19" s="152"/>
      <c r="P19" s="152"/>
      <c r="Q19" s="152"/>
      <c r="R19" s="152"/>
      <c r="S19" s="152"/>
      <c r="T19" s="152"/>
      <c r="U19" s="152"/>
      <c r="V19" s="152"/>
      <c r="W19" s="152"/>
      <c r="X19" s="152"/>
    </row>
    <row r="20" spans="1:24" x14ac:dyDescent="0.25">
      <c r="A20" t="s">
        <v>74</v>
      </c>
      <c r="C20" s="98">
        <f>AVERAGE((C5*A5),(C6*A6),(C7*A7))</f>
        <v>2747</v>
      </c>
      <c r="D20" s="243">
        <f>AVERAGE(D11:D15) * A11</f>
        <v>47.454000000000001</v>
      </c>
      <c r="E20" s="243">
        <f>AVERAGE(E4:E8) * E2</f>
        <v>51.87</v>
      </c>
      <c r="F20" s="243">
        <f>AVERAGE(F4:F8) * E2</f>
        <v>6.3650000000000002</v>
      </c>
      <c r="G20" s="243">
        <f>((AVERAGE(G4:G8) * E2) + (AVERAGE(G11:G15) * A11)) / 2</f>
        <v>1.7034500000000001E-2</v>
      </c>
      <c r="H20" t="s">
        <v>317</v>
      </c>
      <c r="I20" s="152">
        <f>AVERAGE((C5/1000*A5),(C6/1000*A6),(C7/1000*A7))</f>
        <v>2.7469999999999999</v>
      </c>
      <c r="J20" s="229">
        <f>AVERAGE(D11:D15)/1000 * A11</f>
        <v>4.7453999999999996E-2</v>
      </c>
      <c r="K20" s="303">
        <f>AVERAGE(E4:E8)/1000 * E2</f>
        <v>5.1869999999999999E-2</v>
      </c>
      <c r="L20" s="303">
        <f>AVERAGE(F4:F8)/1000 * E2</f>
        <v>6.365E-3</v>
      </c>
      <c r="M20" s="303">
        <f>((AVERAGE(G4:G8)/1000 * E2) + (AVERAGE(G11:G15)/1000 * A11)) / 2</f>
        <v>1.7034500000000001E-5</v>
      </c>
      <c r="N20" s="152" t="s">
        <v>373</v>
      </c>
      <c r="O20" s="152"/>
      <c r="P20" t="s">
        <v>375</v>
      </c>
      <c r="Q20" s="152"/>
      <c r="R20" s="152"/>
      <c r="S20" s="152"/>
      <c r="T20" s="152"/>
      <c r="U20" s="152"/>
      <c r="V20" s="152"/>
      <c r="W20" s="152"/>
      <c r="X20" s="152"/>
    </row>
    <row r="21" spans="1:24" x14ac:dyDescent="0.25">
      <c r="A21" t="s">
        <v>41</v>
      </c>
      <c r="C21" s="243">
        <f>AVERAGE(C11:C15) * A11</f>
        <v>121.70400000000001</v>
      </c>
      <c r="D21" s="243"/>
      <c r="E21" s="243"/>
      <c r="F21" s="243"/>
      <c r="G21" s="243"/>
      <c r="H21" t="s">
        <v>317</v>
      </c>
      <c r="I21" s="303">
        <f>AVERAGE(C11:C15)/1000 * A11</f>
        <v>0.12170400000000001</v>
      </c>
      <c r="J21" s="229"/>
      <c r="K21" s="303"/>
      <c r="L21" s="303"/>
      <c r="M21" s="303"/>
      <c r="N21" s="152" t="s">
        <v>373</v>
      </c>
      <c r="O21" s="152"/>
      <c r="P21" s="152"/>
      <c r="Q21" s="152"/>
      <c r="R21" s="152"/>
      <c r="S21" s="152"/>
      <c r="T21" s="152"/>
      <c r="U21" s="152"/>
      <c r="V21" s="152"/>
      <c r="W21" s="152"/>
      <c r="X21" s="152"/>
    </row>
    <row r="22" spans="1:24" x14ac:dyDescent="0.25">
      <c r="A22" t="s">
        <v>100</v>
      </c>
      <c r="C22" s="243"/>
      <c r="D22" s="243"/>
      <c r="E22" s="243"/>
      <c r="F22" s="243"/>
      <c r="G22" s="243"/>
      <c r="H22" t="s">
        <v>317</v>
      </c>
      <c r="I22" s="303"/>
      <c r="J22" s="229"/>
      <c r="K22" s="303"/>
      <c r="L22" s="303"/>
      <c r="M22" s="303"/>
      <c r="N22" s="152" t="s">
        <v>373</v>
      </c>
      <c r="O22" s="152"/>
      <c r="P22" s="152"/>
      <c r="Q22" s="152"/>
      <c r="R22" s="152"/>
      <c r="S22" s="152"/>
      <c r="T22" s="152"/>
      <c r="U22" s="152"/>
      <c r="V22" s="152"/>
      <c r="W22" s="152"/>
      <c r="X22" s="152"/>
    </row>
    <row r="23" spans="1:24" x14ac:dyDescent="0.25">
      <c r="C23" s="181"/>
      <c r="D23" s="181"/>
      <c r="E23" s="181"/>
      <c r="F23" s="181"/>
      <c r="G23" s="181"/>
      <c r="I23" s="152"/>
      <c r="J23" s="152"/>
      <c r="K23" s="152"/>
      <c r="L23" s="152"/>
      <c r="M23" s="152"/>
      <c r="N23" s="152"/>
      <c r="O23" s="152"/>
      <c r="P23" s="152"/>
      <c r="Q23" s="152"/>
      <c r="R23" s="152"/>
      <c r="S23" s="152"/>
      <c r="T23" s="152"/>
      <c r="U23" s="152"/>
      <c r="V23" s="152"/>
      <c r="W23" s="152"/>
      <c r="X23" s="152"/>
    </row>
    <row r="24" spans="1:24" ht="21" x14ac:dyDescent="0.35">
      <c r="A24" s="184" t="s">
        <v>329</v>
      </c>
      <c r="C24" s="181"/>
      <c r="D24" s="181"/>
      <c r="E24" s="181"/>
      <c r="F24" s="181"/>
      <c r="G24" s="189" t="s">
        <v>331</v>
      </c>
      <c r="J24" s="152"/>
      <c r="K24" s="152"/>
      <c r="L24" s="152"/>
      <c r="M24" s="152"/>
      <c r="N24" s="152"/>
      <c r="O24" s="152"/>
      <c r="P24" s="152"/>
      <c r="Q24" s="152"/>
      <c r="R24" s="152"/>
      <c r="S24" s="152"/>
      <c r="T24" s="152"/>
      <c r="U24" s="152"/>
      <c r="V24" s="152"/>
      <c r="W24" s="152"/>
      <c r="X24" s="152"/>
    </row>
    <row r="25" spans="1:24" x14ac:dyDescent="0.25">
      <c r="A25" s="242" t="s">
        <v>74</v>
      </c>
      <c r="B25" s="242"/>
      <c r="C25" s="242"/>
      <c r="D25" s="242"/>
      <c r="E25" s="185"/>
      <c r="F25" s="247" t="s">
        <v>330</v>
      </c>
      <c r="G25" s="247"/>
      <c r="I25" s="246" t="s">
        <v>100</v>
      </c>
      <c r="J25" s="246"/>
      <c r="P25" s="152"/>
      <c r="Q25" s="152"/>
      <c r="R25" s="152"/>
      <c r="S25" s="152"/>
      <c r="T25" s="152"/>
      <c r="U25" s="152"/>
      <c r="V25" s="152"/>
      <c r="W25" s="152"/>
      <c r="X25" s="152"/>
    </row>
    <row r="26" spans="1:24" x14ac:dyDescent="0.25">
      <c r="A26" t="s">
        <v>323</v>
      </c>
      <c r="B26" t="s">
        <v>98</v>
      </c>
      <c r="C26" s="181" t="s">
        <v>364</v>
      </c>
      <c r="D26" s="181" t="s">
        <v>213</v>
      </c>
      <c r="F26" s="152" t="s">
        <v>364</v>
      </c>
      <c r="G26" s="152" t="s">
        <v>213</v>
      </c>
      <c r="I26" s="152" t="s">
        <v>364</v>
      </c>
      <c r="J26" s="152" t="s">
        <v>213</v>
      </c>
      <c r="T26" s="152"/>
      <c r="U26" s="152"/>
      <c r="V26" s="152"/>
      <c r="W26" s="152"/>
      <c r="X26" s="152"/>
    </row>
    <row r="27" spans="1:24" x14ac:dyDescent="0.25">
      <c r="A27" t="s">
        <v>203</v>
      </c>
      <c r="C27" s="186">
        <v>40</v>
      </c>
      <c r="D27" s="186">
        <v>4</v>
      </c>
      <c r="E27" s="186" t="s">
        <v>144</v>
      </c>
      <c r="F27" s="187">
        <v>1502</v>
      </c>
      <c r="G27" s="187">
        <v>190</v>
      </c>
      <c r="H27" s="186" t="s">
        <v>144</v>
      </c>
      <c r="I27" s="187">
        <v>15819</v>
      </c>
      <c r="J27" s="187">
        <v>1726</v>
      </c>
      <c r="K27" s="186" t="s">
        <v>144</v>
      </c>
      <c r="T27" s="152"/>
      <c r="U27" s="152"/>
      <c r="V27" s="152"/>
      <c r="W27" s="152"/>
      <c r="X27" s="152"/>
    </row>
    <row r="28" spans="1:24" ht="16.5" customHeight="1" x14ac:dyDescent="0.25">
      <c r="A28" t="s">
        <v>324</v>
      </c>
      <c r="B28" t="s">
        <v>325</v>
      </c>
      <c r="C28" s="186">
        <v>7</v>
      </c>
      <c r="D28" s="186">
        <v>4</v>
      </c>
      <c r="E28" s="186" t="s">
        <v>144</v>
      </c>
      <c r="F28" s="245">
        <v>314</v>
      </c>
      <c r="G28" s="245">
        <v>63</v>
      </c>
      <c r="H28" s="186" t="s">
        <v>144</v>
      </c>
      <c r="I28" s="245">
        <v>529</v>
      </c>
      <c r="J28" s="245">
        <v>105</v>
      </c>
      <c r="K28" s="186" t="s">
        <v>144</v>
      </c>
      <c r="T28" s="152"/>
      <c r="U28" s="152"/>
      <c r="V28" s="152"/>
      <c r="W28" s="152"/>
      <c r="X28" s="152"/>
    </row>
    <row r="29" spans="1:24" x14ac:dyDescent="0.25">
      <c r="B29" t="s">
        <v>326</v>
      </c>
      <c r="C29" s="186">
        <v>6</v>
      </c>
      <c r="D29" s="186">
        <v>3</v>
      </c>
      <c r="E29" s="186" t="s">
        <v>144</v>
      </c>
      <c r="F29" s="245"/>
      <c r="G29" s="245"/>
      <c r="H29" s="186" t="s">
        <v>144</v>
      </c>
      <c r="I29" s="245"/>
      <c r="J29" s="245"/>
      <c r="K29" s="186" t="s">
        <v>144</v>
      </c>
      <c r="T29" s="152"/>
      <c r="U29" s="152"/>
      <c r="V29" s="152"/>
      <c r="W29" s="152"/>
      <c r="X29" s="152"/>
    </row>
    <row r="30" spans="1:24" x14ac:dyDescent="0.25">
      <c r="B30" t="s">
        <v>327</v>
      </c>
      <c r="C30" s="186">
        <v>8</v>
      </c>
      <c r="D30" s="186">
        <v>5</v>
      </c>
      <c r="E30" s="186" t="s">
        <v>144</v>
      </c>
      <c r="F30" s="245"/>
      <c r="G30" s="245"/>
      <c r="H30" s="186" t="s">
        <v>144</v>
      </c>
      <c r="I30" s="245"/>
      <c r="J30" s="245"/>
      <c r="K30" s="186" t="s">
        <v>144</v>
      </c>
      <c r="T30" s="152"/>
      <c r="U30" s="152"/>
      <c r="V30" s="152"/>
      <c r="W30" s="152"/>
      <c r="X30" s="152"/>
    </row>
    <row r="31" spans="1:24" x14ac:dyDescent="0.25">
      <c r="B31" t="s">
        <v>328</v>
      </c>
      <c r="C31" s="186">
        <v>8</v>
      </c>
      <c r="D31" s="186">
        <v>5</v>
      </c>
      <c r="E31" s="186" t="s">
        <v>144</v>
      </c>
      <c r="F31" s="245"/>
      <c r="G31" s="245"/>
      <c r="H31" s="186" t="s">
        <v>144</v>
      </c>
      <c r="I31" s="245"/>
      <c r="J31" s="245"/>
      <c r="K31" s="186" t="s">
        <v>144</v>
      </c>
      <c r="T31" s="152"/>
      <c r="U31" s="152"/>
      <c r="V31" s="152"/>
      <c r="W31" s="152"/>
      <c r="X31" s="152"/>
    </row>
    <row r="32" spans="1:24" x14ac:dyDescent="0.25">
      <c r="A32" t="s">
        <v>205</v>
      </c>
      <c r="B32" t="s">
        <v>377</v>
      </c>
      <c r="C32" s="186">
        <v>3</v>
      </c>
      <c r="D32" s="186">
        <v>3</v>
      </c>
      <c r="E32" s="186" t="s">
        <v>144</v>
      </c>
      <c r="F32" s="248">
        <v>1000</v>
      </c>
      <c r="G32" s="248"/>
      <c r="H32" s="186" t="s">
        <v>144</v>
      </c>
      <c r="I32" s="187">
        <v>158490</v>
      </c>
      <c r="J32" s="187">
        <v>23356</v>
      </c>
      <c r="K32" s="186" t="s">
        <v>144</v>
      </c>
      <c r="T32" s="152"/>
      <c r="U32" s="152"/>
      <c r="V32" s="152"/>
      <c r="W32" s="152"/>
      <c r="X32" s="152"/>
    </row>
    <row r="33" spans="1:24" x14ac:dyDescent="0.25">
      <c r="A33" t="s">
        <v>310</v>
      </c>
      <c r="B33" t="s">
        <v>325</v>
      </c>
      <c r="C33" s="186">
        <v>2950</v>
      </c>
      <c r="D33" s="186">
        <v>2989</v>
      </c>
      <c r="E33" s="186" t="s">
        <v>144</v>
      </c>
      <c r="F33" s="244">
        <v>0</v>
      </c>
      <c r="G33" s="244"/>
      <c r="H33" s="186" t="s">
        <v>144</v>
      </c>
      <c r="I33" s="244">
        <v>0</v>
      </c>
      <c r="J33" s="244"/>
      <c r="K33" s="186" t="s">
        <v>144</v>
      </c>
      <c r="T33" s="152"/>
      <c r="U33" s="152"/>
      <c r="V33" s="152"/>
      <c r="W33" s="152"/>
      <c r="X33" s="152"/>
    </row>
    <row r="34" spans="1:24" x14ac:dyDescent="0.25">
      <c r="B34" t="s">
        <v>326</v>
      </c>
      <c r="C34" s="186">
        <v>12391</v>
      </c>
      <c r="D34" s="186">
        <v>12430</v>
      </c>
      <c r="E34" s="186" t="s">
        <v>144</v>
      </c>
      <c r="F34" s="244"/>
      <c r="G34" s="244"/>
      <c r="H34" s="186" t="s">
        <v>144</v>
      </c>
      <c r="I34" s="244"/>
      <c r="J34" s="244"/>
      <c r="K34" s="186" t="s">
        <v>144</v>
      </c>
      <c r="T34" s="152"/>
      <c r="U34" s="152"/>
      <c r="V34" s="152"/>
      <c r="W34" s="152"/>
      <c r="X34" s="152"/>
    </row>
    <row r="35" spans="1:24" x14ac:dyDescent="0.25">
      <c r="B35" t="s">
        <v>327</v>
      </c>
      <c r="C35" s="186">
        <v>40956</v>
      </c>
      <c r="D35" s="186">
        <v>40956</v>
      </c>
      <c r="E35" s="186" t="s">
        <v>144</v>
      </c>
      <c r="F35" s="244"/>
      <c r="G35" s="244"/>
      <c r="H35" s="186" t="s">
        <v>144</v>
      </c>
      <c r="I35" s="244"/>
      <c r="J35" s="244"/>
      <c r="K35" s="186" t="s">
        <v>144</v>
      </c>
      <c r="T35" s="152"/>
      <c r="U35" s="152"/>
      <c r="V35" s="152"/>
      <c r="W35" s="152"/>
      <c r="X35" s="152"/>
    </row>
    <row r="36" spans="1:24" x14ac:dyDescent="0.25">
      <c r="B36" t="s">
        <v>328</v>
      </c>
      <c r="C36" s="186">
        <v>40956</v>
      </c>
      <c r="D36" s="186">
        <v>40956</v>
      </c>
      <c r="E36" s="186" t="s">
        <v>144</v>
      </c>
      <c r="F36" s="244"/>
      <c r="G36" s="244"/>
      <c r="H36" s="186" t="s">
        <v>144</v>
      </c>
      <c r="I36" s="244"/>
      <c r="J36" s="244"/>
      <c r="K36" s="186" t="s">
        <v>144</v>
      </c>
      <c r="Q36" s="152"/>
      <c r="R36" s="152"/>
      <c r="S36" s="152"/>
      <c r="T36" s="152"/>
      <c r="U36" s="152"/>
      <c r="V36" s="152"/>
      <c r="W36" s="152"/>
      <c r="X36" s="152"/>
    </row>
    <row r="37" spans="1:24" ht="15.75" customHeight="1" x14ac:dyDescent="0.25">
      <c r="A37" t="s">
        <v>202</v>
      </c>
      <c r="B37" t="s">
        <v>325</v>
      </c>
      <c r="C37" s="186">
        <v>0</v>
      </c>
      <c r="D37" s="186">
        <v>0</v>
      </c>
      <c r="E37" s="186" t="s">
        <v>144</v>
      </c>
      <c r="F37">
        <v>0</v>
      </c>
      <c r="G37" s="187">
        <v>1748</v>
      </c>
      <c r="H37" s="186" t="s">
        <v>144</v>
      </c>
      <c r="I37" s="186">
        <v>0</v>
      </c>
      <c r="J37" s="186">
        <v>0</v>
      </c>
      <c r="K37" s="186" t="s">
        <v>144</v>
      </c>
      <c r="P37" s="152"/>
      <c r="Q37" s="152"/>
      <c r="R37" s="152"/>
      <c r="S37" s="152"/>
      <c r="T37" s="152"/>
      <c r="U37" s="152"/>
      <c r="V37" s="152"/>
      <c r="W37" s="152"/>
      <c r="X37" s="152"/>
    </row>
    <row r="38" spans="1:24" x14ac:dyDescent="0.25">
      <c r="B38" t="s">
        <v>326</v>
      </c>
      <c r="C38" s="186">
        <v>0</v>
      </c>
      <c r="D38" s="186">
        <v>0</v>
      </c>
      <c r="E38" s="186" t="s">
        <v>144</v>
      </c>
      <c r="F38" s="187">
        <v>8185</v>
      </c>
      <c r="G38" s="187">
        <v>13748</v>
      </c>
      <c r="H38" s="186" t="s">
        <v>144</v>
      </c>
      <c r="I38" s="186">
        <v>0</v>
      </c>
      <c r="J38" s="186">
        <v>0</v>
      </c>
      <c r="K38" s="186" t="s">
        <v>144</v>
      </c>
      <c r="P38" s="152"/>
      <c r="Q38" s="152"/>
      <c r="R38" s="152"/>
      <c r="S38" s="152"/>
      <c r="T38" s="152"/>
      <c r="U38" s="152"/>
      <c r="V38" s="152"/>
      <c r="W38" s="152"/>
      <c r="X38" s="152"/>
    </row>
    <row r="39" spans="1:24" x14ac:dyDescent="0.25">
      <c r="B39" t="s">
        <v>327</v>
      </c>
      <c r="C39" s="186">
        <v>18993</v>
      </c>
      <c r="D39" s="186">
        <v>19032</v>
      </c>
      <c r="E39" s="186" t="s">
        <v>144</v>
      </c>
      <c r="F39" s="187">
        <v>53185</v>
      </c>
      <c r="G39" s="187">
        <v>58748</v>
      </c>
      <c r="H39" s="186" t="s">
        <v>144</v>
      </c>
      <c r="I39" s="186">
        <v>0</v>
      </c>
      <c r="J39" s="187">
        <v>41802</v>
      </c>
      <c r="K39" s="186" t="s">
        <v>144</v>
      </c>
      <c r="P39" s="152"/>
      <c r="Q39" s="152"/>
      <c r="R39" s="152"/>
      <c r="S39" s="152"/>
      <c r="T39" s="152"/>
      <c r="U39" s="152"/>
      <c r="V39" s="152"/>
      <c r="W39" s="152"/>
      <c r="X39" s="152"/>
    </row>
    <row r="40" spans="1:24" x14ac:dyDescent="0.25">
      <c r="B40" t="s">
        <v>328</v>
      </c>
      <c r="C40" s="186">
        <v>558993</v>
      </c>
      <c r="D40" s="186">
        <v>559032</v>
      </c>
      <c r="E40" s="186" t="s">
        <v>144</v>
      </c>
      <c r="F40" s="187">
        <v>593185</v>
      </c>
      <c r="G40" s="187">
        <v>598748</v>
      </c>
      <c r="H40" s="186" t="s">
        <v>144</v>
      </c>
      <c r="I40" s="187">
        <v>432574</v>
      </c>
      <c r="J40" s="187">
        <v>581802</v>
      </c>
      <c r="K40" s="186" t="s">
        <v>144</v>
      </c>
      <c r="P40" s="152"/>
      <c r="Q40" s="152"/>
      <c r="R40" s="152"/>
      <c r="S40" s="152"/>
      <c r="T40" s="152"/>
      <c r="U40" s="152"/>
      <c r="V40" s="152"/>
      <c r="W40" s="152"/>
      <c r="X40" s="152"/>
    </row>
    <row r="41" spans="1:24" x14ac:dyDescent="0.25">
      <c r="C41" s="186"/>
      <c r="D41" s="186"/>
      <c r="E41" s="186"/>
      <c r="F41" s="212"/>
      <c r="G41" s="212"/>
      <c r="H41" s="186"/>
      <c r="I41" s="212"/>
      <c r="J41" s="212"/>
      <c r="K41" s="186"/>
      <c r="P41" s="152"/>
      <c r="Q41" s="152"/>
      <c r="R41" s="152"/>
      <c r="S41" s="152"/>
      <c r="T41" s="152"/>
      <c r="U41" s="152"/>
      <c r="V41" s="152"/>
      <c r="W41" s="152"/>
      <c r="X41" s="152"/>
    </row>
    <row r="42" spans="1:24" x14ac:dyDescent="0.25">
      <c r="A42" t="s">
        <v>332</v>
      </c>
      <c r="B42" s="152">
        <v>0</v>
      </c>
      <c r="C42" s="152">
        <v>1</v>
      </c>
      <c r="D42" s="152"/>
      <c r="E42" s="152" t="s">
        <v>334</v>
      </c>
      <c r="F42" s="212"/>
      <c r="G42" s="212"/>
      <c r="H42" s="186"/>
      <c r="I42" s="212"/>
      <c r="J42" s="212"/>
      <c r="K42" s="186"/>
      <c r="P42" s="152"/>
      <c r="Q42" s="152"/>
      <c r="R42" s="152"/>
      <c r="S42" s="152"/>
      <c r="T42" s="152"/>
      <c r="U42" s="152"/>
      <c r="V42" s="152"/>
      <c r="W42" s="152"/>
      <c r="X42" s="152"/>
    </row>
    <row r="43" spans="1:24" x14ac:dyDescent="0.25">
      <c r="B43" s="152"/>
      <c r="C43" s="152"/>
      <c r="D43" s="152"/>
      <c r="E43" s="152" t="s">
        <v>333</v>
      </c>
      <c r="F43" s="212"/>
      <c r="G43" s="212"/>
      <c r="H43" s="186"/>
      <c r="I43" s="212"/>
      <c r="J43" s="212"/>
      <c r="K43" s="186"/>
      <c r="P43" s="152"/>
      <c r="Q43" s="152"/>
      <c r="R43" s="152"/>
      <c r="S43" s="152"/>
      <c r="T43" s="152"/>
      <c r="U43" s="152"/>
      <c r="V43" s="152"/>
      <c r="W43" s="152"/>
      <c r="X43" s="152"/>
    </row>
    <row r="44" spans="1:24" x14ac:dyDescent="0.25">
      <c r="L44" s="152"/>
      <c r="M44" s="152"/>
      <c r="N44" s="152"/>
      <c r="O44" s="152"/>
      <c r="P44" s="152"/>
      <c r="Q44" s="152"/>
      <c r="R44" s="152"/>
      <c r="S44" s="152"/>
      <c r="T44" s="152"/>
      <c r="U44" s="152"/>
      <c r="V44" s="152"/>
      <c r="W44" s="152"/>
      <c r="X44" s="152"/>
    </row>
    <row r="45" spans="1:24" ht="21" x14ac:dyDescent="0.35">
      <c r="A45" s="184" t="s">
        <v>321</v>
      </c>
      <c r="D45" s="184" t="s">
        <v>148</v>
      </c>
      <c r="I45" s="152"/>
      <c r="J45" s="152"/>
      <c r="K45" s="152"/>
      <c r="L45" s="152"/>
      <c r="M45" s="152"/>
      <c r="N45" s="152"/>
      <c r="O45" s="152"/>
      <c r="P45" s="152"/>
      <c r="Q45" s="152"/>
      <c r="R45" s="152"/>
      <c r="S45" s="152"/>
      <c r="T45" s="152"/>
      <c r="U45" s="152"/>
      <c r="V45" s="152"/>
      <c r="W45" s="152"/>
      <c r="X45" s="152"/>
    </row>
    <row r="46" spans="1:24" x14ac:dyDescent="0.25">
      <c r="B46" t="s">
        <v>98</v>
      </c>
      <c r="C46" t="s">
        <v>364</v>
      </c>
      <c r="D46" t="s">
        <v>213</v>
      </c>
      <c r="G46" t="s">
        <v>98</v>
      </c>
      <c r="H46" s="152" t="s">
        <v>364</v>
      </c>
      <c r="I46" s="152" t="s">
        <v>213</v>
      </c>
      <c r="M46" s="152"/>
      <c r="N46" s="152"/>
      <c r="O46" s="152"/>
      <c r="P46" s="152"/>
      <c r="Q46" s="152"/>
      <c r="R46" s="152"/>
      <c r="S46" s="152"/>
      <c r="T46" s="152"/>
      <c r="U46" s="152"/>
      <c r="V46" s="152"/>
      <c r="W46" s="152"/>
      <c r="X46" s="152"/>
    </row>
    <row r="47" spans="1:24" x14ac:dyDescent="0.25">
      <c r="A47" t="s">
        <v>74</v>
      </c>
      <c r="B47" t="s">
        <v>94</v>
      </c>
      <c r="C47" s="98">
        <f>H47*1000</f>
        <v>129.14453800000001</v>
      </c>
      <c r="D47" s="98">
        <f>I47*1000</f>
        <v>30.358410999999997</v>
      </c>
      <c r="E47" t="s">
        <v>322</v>
      </c>
      <c r="G47" t="s">
        <v>94</v>
      </c>
      <c r="H47">
        <f>($I$20*($C$27/1000)+$J$20*($C28/1000)+$K$20*($C$32/1000)+$L$20*($C33/1000)+$M$20*($C37/1000))*$C$42</f>
        <v>0.129144538</v>
      </c>
      <c r="I47">
        <f>($I$20*($D$27/1000)+$J$20*($D28/1000)+$K$20*($D$32/1000)+$L$20*($D33/1000)+$M$20*($D37/1000))*$C$42</f>
        <v>3.0358410999999998E-2</v>
      </c>
      <c r="J47" t="s">
        <v>374</v>
      </c>
      <c r="M47" s="152"/>
      <c r="N47" s="152"/>
      <c r="O47" s="152"/>
      <c r="P47" s="152"/>
      <c r="Q47" s="152"/>
      <c r="R47" s="152"/>
      <c r="S47" s="152"/>
      <c r="T47" s="152"/>
      <c r="U47" s="152"/>
      <c r="V47" s="152"/>
      <c r="W47" s="152"/>
      <c r="X47" s="152"/>
    </row>
    <row r="48" spans="1:24" x14ac:dyDescent="0.25">
      <c r="B48" t="s">
        <v>95</v>
      </c>
      <c r="C48" s="98">
        <f>H48*1000</f>
        <v>189.18904900000001</v>
      </c>
      <c r="D48" s="98">
        <f>I48*1000</f>
        <v>90.40292199999999</v>
      </c>
      <c r="E48" t="s">
        <v>322</v>
      </c>
      <c r="G48" t="s">
        <v>95</v>
      </c>
      <c r="H48">
        <f>($I$20*($C$27/1000)+$J$20*($C29/1000)+$K$20*($C$32/1000)+$L$20*($C34/1000)+$M$20*($C38/1000))*$C$42</f>
        <v>0.189189049</v>
      </c>
      <c r="I48">
        <f t="shared" ref="I48:I50" si="0">($I$20*($D$27/1000)+$J$20*($D29/1000)+$K$20*($D$32/1000)+$L$20*($D34/1000)+$M$20*($D38/1000))*$C$42</f>
        <v>9.0402921999999997E-2</v>
      </c>
      <c r="J48" t="s">
        <v>374</v>
      </c>
      <c r="K48" s="152"/>
      <c r="L48" s="152"/>
      <c r="M48" s="152"/>
      <c r="N48" s="152"/>
      <c r="O48" s="152"/>
      <c r="P48" s="152"/>
      <c r="Q48" s="152"/>
      <c r="R48" s="152"/>
      <c r="S48" s="152"/>
      <c r="T48" s="152"/>
      <c r="U48" s="152"/>
      <c r="V48" s="152"/>
      <c r="W48" s="152"/>
      <c r="X48" s="152"/>
    </row>
    <row r="49" spans="1:12" x14ac:dyDescent="0.25">
      <c r="B49" t="s">
        <v>96</v>
      </c>
      <c r="C49" s="98">
        <f t="shared" ref="C49:C58" si="1">H49*1000</f>
        <v>371.42371825850006</v>
      </c>
      <c r="D49" s="98">
        <f t="shared" ref="D49:D58" si="2">I49*1000</f>
        <v>272.39002060400003</v>
      </c>
      <c r="E49" t="s">
        <v>322</v>
      </c>
      <c r="G49" t="s">
        <v>96</v>
      </c>
      <c r="H49">
        <f>($I$20*($C$27/1000)+$J$20*($C30/1000)+$K$20*($C$32/1000)+$L$20*($C35/1000)+$M$20*($C39/1000))*$C$42</f>
        <v>0.37142371825850007</v>
      </c>
      <c r="I49">
        <f t="shared" si="0"/>
        <v>0.27239002060400003</v>
      </c>
      <c r="J49" t="s">
        <v>374</v>
      </c>
    </row>
    <row r="50" spans="1:12" x14ac:dyDescent="0.25">
      <c r="B50" t="s">
        <v>97</v>
      </c>
      <c r="C50" s="98">
        <f t="shared" si="1"/>
        <v>380.62234825850004</v>
      </c>
      <c r="D50" s="98">
        <f t="shared" si="2"/>
        <v>281.58865060400001</v>
      </c>
      <c r="E50" t="s">
        <v>322</v>
      </c>
      <c r="G50" t="s">
        <v>97</v>
      </c>
      <c r="H50">
        <f>($I$20*($C$27/1000)+$J$20*($C31/1000)+$K$20*($C$32/1000)+$L$20*($C36/1000)+$M$20*($C40/1000))*$C$42</f>
        <v>0.38062234825850005</v>
      </c>
      <c r="I50">
        <f t="shared" si="0"/>
        <v>0.28158865060400001</v>
      </c>
      <c r="J50" t="s">
        <v>374</v>
      </c>
    </row>
    <row r="51" spans="1:12" x14ac:dyDescent="0.25">
      <c r="A51" t="s">
        <v>41</v>
      </c>
      <c r="B51" t="s">
        <v>94</v>
      </c>
      <c r="C51" s="306" t="s">
        <v>376</v>
      </c>
      <c r="D51" s="98">
        <f t="shared" si="2"/>
        <v>78.013138306000002</v>
      </c>
      <c r="E51" t="s">
        <v>322</v>
      </c>
      <c r="G51" t="s">
        <v>94</v>
      </c>
      <c r="H51" s="306" t="s">
        <v>376</v>
      </c>
      <c r="I51" s="98">
        <f>($I$21*(G$27/1000)+$J$20*(G$28/1000)+$K$20*($F$32/1000)+$L$20*($F$33/1000)+$M$20*(G37/1000))*$C$42</f>
        <v>7.8013138305999999E-2</v>
      </c>
      <c r="J51" t="s">
        <v>374</v>
      </c>
      <c r="K51" s="305" t="s">
        <v>376</v>
      </c>
      <c r="L51" t="s">
        <v>378</v>
      </c>
    </row>
    <row r="52" spans="1:12" x14ac:dyDescent="0.25">
      <c r="B52" t="s">
        <v>95</v>
      </c>
      <c r="C52" s="98">
        <f t="shared" si="1"/>
        <v>249.7093913825</v>
      </c>
      <c r="D52" s="98">
        <f t="shared" si="2"/>
        <v>78.217552306000002</v>
      </c>
      <c r="E52" t="s">
        <v>322</v>
      </c>
      <c r="G52" t="s">
        <v>95</v>
      </c>
      <c r="H52" s="98">
        <f>($I$21*(F$27/1000)+$J$20*(F$28/1000)+$K$20*($F$32/1000)+$L$20*($F$33/1000)+$M$20*(F38/1000))*$C$42</f>
        <v>0.24970939138250001</v>
      </c>
      <c r="I52" s="98">
        <f>($I$21*(G$27/1000)+$J$20*(G$28/1000)+$K$20*($F$32/1000)+$L$20*($F$33/1000)+$M$20*(G38/1000))*$C$42</f>
        <v>7.8217552305999999E-2</v>
      </c>
      <c r="J52" t="s">
        <v>374</v>
      </c>
    </row>
    <row r="53" spans="1:12" x14ac:dyDescent="0.25">
      <c r="B53" t="s">
        <v>96</v>
      </c>
      <c r="C53" s="98">
        <f t="shared" si="1"/>
        <v>250.47594388249999</v>
      </c>
      <c r="D53" s="98">
        <f t="shared" si="2"/>
        <v>78.984104806000005</v>
      </c>
      <c r="E53" t="s">
        <v>322</v>
      </c>
      <c r="G53" t="s">
        <v>96</v>
      </c>
      <c r="H53" s="98">
        <f>($I$21*(F$27/1000)+$J$20*(F$28/1000)+$K$20*($F$32/1000)+$L$20*($F$33/1000)+$M$20*(F39/1000))*$C$42</f>
        <v>0.2504759438825</v>
      </c>
      <c r="I53" s="98">
        <f>($I$21*(G$27/1000)+$J$20*(G$28/1000)+$K$20*($F$32/1000)+$L$20*($F$33/1000)+$M$20*(G39/1000))*$C$42</f>
        <v>7.8984104806000002E-2</v>
      </c>
      <c r="J53" t="s">
        <v>374</v>
      </c>
    </row>
    <row r="54" spans="1:12" x14ac:dyDescent="0.25">
      <c r="B54" t="s">
        <v>97</v>
      </c>
      <c r="C54" s="98">
        <f t="shared" si="1"/>
        <v>259.6745738825</v>
      </c>
      <c r="D54" s="98">
        <f t="shared" si="2"/>
        <v>88.182734805999999</v>
      </c>
      <c r="E54" t="s">
        <v>322</v>
      </c>
      <c r="G54" t="s">
        <v>97</v>
      </c>
      <c r="H54" s="98">
        <f>($I$21*(F$27/1000)+$J$20*(F$28/1000)+$K$20*($F$32/1000)+$L$20*($F$33/1000)+$M$20*(F40/1000))*$C$42</f>
        <v>0.25967457388249998</v>
      </c>
      <c r="I54" s="98">
        <f>($I$21*(G$27/1000)+$J$20*(G$28/1000)+$K$20*($F$32/1000)+$L$20*($F$33/1000)+$M$20*(G40/1000))*$C$42</f>
        <v>8.8182734806000002E-2</v>
      </c>
      <c r="J54" t="s">
        <v>374</v>
      </c>
    </row>
    <row r="55" spans="1:12" x14ac:dyDescent="0.25">
      <c r="A55" t="s">
        <v>100</v>
      </c>
      <c r="B55" t="s">
        <v>94</v>
      </c>
      <c r="C55" s="306" t="s">
        <v>376</v>
      </c>
      <c r="D55" s="306" t="s">
        <v>376</v>
      </c>
      <c r="E55" t="s">
        <v>322</v>
      </c>
      <c r="G55" t="s">
        <v>94</v>
      </c>
      <c r="H55" s="306" t="s">
        <v>376</v>
      </c>
      <c r="I55" s="306" t="s">
        <v>376</v>
      </c>
      <c r="J55" t="s">
        <v>374</v>
      </c>
    </row>
    <row r="56" spans="1:12" x14ac:dyDescent="0.25">
      <c r="B56" t="s">
        <v>95</v>
      </c>
      <c r="C56" s="306" t="s">
        <v>376</v>
      </c>
      <c r="D56" s="306" t="s">
        <v>376</v>
      </c>
      <c r="E56" t="s">
        <v>322</v>
      </c>
      <c r="G56" t="s">
        <v>95</v>
      </c>
      <c r="H56" s="306" t="s">
        <v>376</v>
      </c>
      <c r="I56" s="306" t="s">
        <v>376</v>
      </c>
      <c r="J56" t="s">
        <v>374</v>
      </c>
    </row>
    <row r="57" spans="1:12" x14ac:dyDescent="0.25">
      <c r="B57" t="s">
        <v>96</v>
      </c>
      <c r="C57" s="306" t="s">
        <v>376</v>
      </c>
      <c r="D57" s="98">
        <f t="shared" si="2"/>
        <v>1427.2315701690002</v>
      </c>
      <c r="E57" t="s">
        <v>322</v>
      </c>
      <c r="G57" t="s">
        <v>96</v>
      </c>
      <c r="H57" s="306" t="s">
        <v>376</v>
      </c>
      <c r="I57" s="98">
        <f>($I$21*(J$27/1000)+$J$20*(J$28/1000)+$K$20*($J$32/1000)+$L$20*($I$33/1000)+$M$20*(J39/1000))*$C$42</f>
        <v>1.4272315701690002</v>
      </c>
      <c r="J57" t="s">
        <v>374</v>
      </c>
    </row>
    <row r="58" spans="1:12" x14ac:dyDescent="0.25">
      <c r="B58" t="s">
        <v>97</v>
      </c>
      <c r="C58" s="98">
        <f t="shared" si="1"/>
        <v>10178.583723803</v>
      </c>
      <c r="D58" s="98">
        <f t="shared" si="2"/>
        <v>1436.430200169</v>
      </c>
      <c r="E58" t="s">
        <v>322</v>
      </c>
      <c r="G58" t="s">
        <v>97</v>
      </c>
      <c r="H58" s="98">
        <f>($I$21*(I$27/1000)+$J$20*(I$28/1000)+$K$20*($I$32/1000)+$L$20*($I$33/1000)+$M$20*(I40/1000))*$C$42</f>
        <v>10.178583723802999</v>
      </c>
      <c r="I58" s="98">
        <f>($I$21*(J$27/1000)+$J$20*(J$28/1000)+$K$20*($J$32/1000)+$L$20*($I$33/1000)+$M$20*(J40/1000))*$C$42</f>
        <v>1.4364302001690001</v>
      </c>
      <c r="J58" t="s">
        <v>374</v>
      </c>
    </row>
    <row r="60" spans="1:12" ht="21" x14ac:dyDescent="0.35">
      <c r="A60" s="184" t="s">
        <v>337</v>
      </c>
      <c r="D60" s="184" t="s">
        <v>335</v>
      </c>
    </row>
    <row r="61" spans="1:12" x14ac:dyDescent="0.25">
      <c r="B61" t="s">
        <v>98</v>
      </c>
      <c r="C61" t="s">
        <v>364</v>
      </c>
      <c r="D61" t="s">
        <v>213</v>
      </c>
      <c r="E61" t="s">
        <v>336</v>
      </c>
      <c r="G61" t="s">
        <v>98</v>
      </c>
      <c r="H61" s="152" t="s">
        <v>364</v>
      </c>
      <c r="I61" s="152" t="s">
        <v>213</v>
      </c>
      <c r="J61" s="152" t="s">
        <v>336</v>
      </c>
    </row>
    <row r="62" spans="1:12" x14ac:dyDescent="0.25">
      <c r="A62" t="s">
        <v>74</v>
      </c>
      <c r="B62" t="s">
        <v>94</v>
      </c>
      <c r="C62" s="98">
        <f>H62*1000</f>
        <v>43.04817933333333</v>
      </c>
      <c r="D62" s="98">
        <f>I62*1000</f>
        <v>10.119470333333334</v>
      </c>
      <c r="E62" s="98" t="s">
        <v>317</v>
      </c>
      <c r="G62" t="s">
        <v>94</v>
      </c>
      <c r="H62">
        <f>(H47/((C$27+C28+C$32+C33+C37)/1000))*$C$42</f>
        <v>4.3048179333333332E-2</v>
      </c>
      <c r="I62">
        <f>(I47/((D$27+D28+D$32+D33+D37)/1000))*$C$42</f>
        <v>1.0119470333333333E-2</v>
      </c>
      <c r="J62" t="s">
        <v>373</v>
      </c>
    </row>
    <row r="63" spans="1:12" x14ac:dyDescent="0.25">
      <c r="B63" t="s">
        <v>95</v>
      </c>
      <c r="C63" s="98">
        <f t="shared" ref="C63:C73" si="3">H63*1000</f>
        <v>15.208122909967846</v>
      </c>
      <c r="D63" s="98">
        <f t="shared" ref="D63:D73" si="4">I63*1000</f>
        <v>7.2671159163987138</v>
      </c>
      <c r="E63" s="98" t="s">
        <v>317</v>
      </c>
      <c r="G63" t="s">
        <v>95</v>
      </c>
      <c r="H63">
        <f>(H48/((C$27+C29+C$32+C34+C38)/1000))*$C$42</f>
        <v>1.5208122909967847E-2</v>
      </c>
      <c r="I63">
        <f>(I48/((D$27+D29+D$32+D34+D38)/1000))*$C$42</f>
        <v>7.2671159163987141E-3</v>
      </c>
      <c r="J63" t="s">
        <v>373</v>
      </c>
    </row>
    <row r="64" spans="1:12" x14ac:dyDescent="0.25">
      <c r="B64" t="s">
        <v>96</v>
      </c>
      <c r="C64" s="98">
        <f t="shared" si="3"/>
        <v>6.1903953043083346</v>
      </c>
      <c r="D64" s="98">
        <f t="shared" si="4"/>
        <v>4.5398336767333332</v>
      </c>
      <c r="E64" s="98" t="s">
        <v>317</v>
      </c>
      <c r="G64" t="s">
        <v>96</v>
      </c>
      <c r="H64">
        <f>(H49/((C$27+C30+C$32+C35+C39)/1000))*$C$42</f>
        <v>6.1903953043083342E-3</v>
      </c>
      <c r="I64">
        <f>(I49/((D$27+D30+D$32+D35+D39)/1000))*$C$42</f>
        <v>4.5398336767333335E-3</v>
      </c>
      <c r="J64" t="s">
        <v>373</v>
      </c>
    </row>
    <row r="65" spans="1:10" x14ac:dyDescent="0.25">
      <c r="B65" t="s">
        <v>97</v>
      </c>
      <c r="C65" s="98">
        <f t="shared" si="3"/>
        <v>0.63437058043083339</v>
      </c>
      <c r="D65" s="98">
        <f t="shared" si="4"/>
        <v>0.46931441767333332</v>
      </c>
      <c r="E65" s="98" t="s">
        <v>317</v>
      </c>
      <c r="G65" t="s">
        <v>97</v>
      </c>
      <c r="H65">
        <f>(H50/((C$27+C31+C$32+C36+C40)/1000))*$C$42</f>
        <v>6.3437058043083337E-4</v>
      </c>
      <c r="I65">
        <f>(I50/((D$27+D31+D$32+D36+D40)/1000))*$C$42</f>
        <v>4.6931441767333334E-4</v>
      </c>
      <c r="J65" t="s">
        <v>373</v>
      </c>
    </row>
    <row r="66" spans="1:10" x14ac:dyDescent="0.25">
      <c r="A66" t="s">
        <v>41</v>
      </c>
      <c r="B66" t="s">
        <v>94</v>
      </c>
      <c r="C66" s="306" t="s">
        <v>376</v>
      </c>
      <c r="D66" s="98">
        <f t="shared" si="4"/>
        <v>25.995714197267578</v>
      </c>
      <c r="E66" s="98" t="s">
        <v>317</v>
      </c>
      <c r="G66" t="s">
        <v>94</v>
      </c>
      <c r="H66" s="306" t="s">
        <v>376</v>
      </c>
      <c r="I66">
        <f>(I51/((G$27+$G$28+$F$32+$F$33+G37)/1000))*$C$42</f>
        <v>2.5995714197267577E-2</v>
      </c>
      <c r="J66" t="s">
        <v>373</v>
      </c>
    </row>
    <row r="67" spans="1:10" x14ac:dyDescent="0.25">
      <c r="B67" t="s">
        <v>95</v>
      </c>
      <c r="C67" s="98">
        <f t="shared" si="3"/>
        <v>22.698790235660397</v>
      </c>
      <c r="D67" s="98">
        <f t="shared" si="4"/>
        <v>5.214155876674889</v>
      </c>
      <c r="E67" s="98" t="s">
        <v>317</v>
      </c>
      <c r="G67" t="s">
        <v>95</v>
      </c>
      <c r="H67" s="98">
        <f>(H52/((F$27+F$28+$F$32+$F$33+F38)/1000))*$C$42</f>
        <v>2.2698790235660397E-2</v>
      </c>
      <c r="I67">
        <f>(I52/((G$27+$G$28+$F$32+$F$33+G38)/1000))*$C$42</f>
        <v>5.2141558766748888E-3</v>
      </c>
      <c r="J67" t="s">
        <v>373</v>
      </c>
    </row>
    <row r="68" spans="1:10" x14ac:dyDescent="0.25">
      <c r="B68" t="s">
        <v>96</v>
      </c>
      <c r="C68" s="98">
        <f t="shared" si="3"/>
        <v>4.4727048424581701</v>
      </c>
      <c r="D68" s="98">
        <f t="shared" si="4"/>
        <v>1.3163798071032151</v>
      </c>
      <c r="E68" s="98" t="s">
        <v>317</v>
      </c>
      <c r="G68" t="s">
        <v>96</v>
      </c>
      <c r="H68" s="98">
        <f>(H53/((F$27+F$28+$F$32+$F$33+F39)/1000))*$C$42</f>
        <v>4.4727048424581702E-3</v>
      </c>
      <c r="I68">
        <f>(I53/((G$27+$G$28+$F$32+$F$33+G39)/1000))*$C$42</f>
        <v>1.3163798071032151E-3</v>
      </c>
      <c r="J68" t="s">
        <v>373</v>
      </c>
    </row>
    <row r="69" spans="1:10" x14ac:dyDescent="0.25">
      <c r="B69" t="s">
        <v>97</v>
      </c>
      <c r="C69" s="98">
        <f t="shared" si="3"/>
        <v>0.435694862730935</v>
      </c>
      <c r="D69" s="98">
        <f t="shared" si="4"/>
        <v>0.14697097972503381</v>
      </c>
      <c r="E69" s="98" t="s">
        <v>317</v>
      </c>
      <c r="G69" t="s">
        <v>97</v>
      </c>
      <c r="H69" s="98">
        <f>(H54/((F$27+F$28+$F$32+$F$33+F40)/1000))*$C$42</f>
        <v>4.3569486273093501E-4</v>
      </c>
      <c r="I69">
        <f>(I54/((G$27+$G$28+$F$32+$F$33+G40)/1000))*$C$42</f>
        <v>1.469709797250338E-4</v>
      </c>
      <c r="J69" t="s">
        <v>373</v>
      </c>
    </row>
    <row r="70" spans="1:10" x14ac:dyDescent="0.25">
      <c r="A70" t="s">
        <v>100</v>
      </c>
      <c r="B70" t="s">
        <v>94</v>
      </c>
      <c r="C70" s="306" t="s">
        <v>376</v>
      </c>
      <c r="D70" s="306" t="s">
        <v>376</v>
      </c>
      <c r="E70" s="98" t="s">
        <v>317</v>
      </c>
      <c r="G70" t="s">
        <v>94</v>
      </c>
      <c r="H70" s="306" t="s">
        <v>376</v>
      </c>
      <c r="I70" s="306" t="s">
        <v>376</v>
      </c>
      <c r="J70" t="s">
        <v>373</v>
      </c>
    </row>
    <row r="71" spans="1:10" x14ac:dyDescent="0.25">
      <c r="B71" t="s">
        <v>95</v>
      </c>
      <c r="C71" s="306" t="s">
        <v>376</v>
      </c>
      <c r="D71" s="306" t="s">
        <v>376</v>
      </c>
      <c r="E71" s="98" t="s">
        <v>317</v>
      </c>
      <c r="G71" t="s">
        <v>95</v>
      </c>
      <c r="H71" s="306" t="s">
        <v>376</v>
      </c>
      <c r="I71" s="306" t="s">
        <v>376</v>
      </c>
      <c r="J71" t="s">
        <v>373</v>
      </c>
    </row>
    <row r="72" spans="1:10" x14ac:dyDescent="0.25">
      <c r="B72" t="s">
        <v>96</v>
      </c>
      <c r="C72" s="306" t="s">
        <v>376</v>
      </c>
      <c r="D72" s="98">
        <f t="shared" si="4"/>
        <v>21.305461645479109</v>
      </c>
      <c r="E72" s="98" t="s">
        <v>317</v>
      </c>
      <c r="G72" t="s">
        <v>96</v>
      </c>
      <c r="H72" s="306" t="s">
        <v>376</v>
      </c>
      <c r="I72" s="98">
        <f>(I57/((J$27+J$28+J$32+$I$33+J39)/1000))*$C$42</f>
        <v>2.1305461645479109E-2</v>
      </c>
      <c r="J72" t="s">
        <v>373</v>
      </c>
    </row>
    <row r="73" spans="1:10" x14ac:dyDescent="0.25">
      <c r="B73" t="s">
        <v>97</v>
      </c>
      <c r="C73" s="98">
        <f t="shared" si="3"/>
        <v>16.757297721814844</v>
      </c>
      <c r="D73" s="98">
        <f t="shared" si="4"/>
        <v>2.3664847306442129</v>
      </c>
      <c r="E73" s="98" t="s">
        <v>317</v>
      </c>
      <c r="G73" t="s">
        <v>97</v>
      </c>
      <c r="H73" s="98">
        <f>(H58/((I$27+I$28+I$32+$I$33+I40)/1000))*$C$42</f>
        <v>1.6757297721814845E-2</v>
      </c>
      <c r="I73" s="98">
        <f>(I58/((J$27+J$28+J$32+$I$33+J40)/1000))*$C$42</f>
        <v>2.366484730644213E-3</v>
      </c>
      <c r="J73" t="s">
        <v>373</v>
      </c>
    </row>
    <row r="75" spans="1:10" ht="21" x14ac:dyDescent="0.35">
      <c r="A75" s="184" t="s">
        <v>321</v>
      </c>
      <c r="D75" s="184" t="s">
        <v>338</v>
      </c>
    </row>
    <row r="76" spans="1:10" x14ac:dyDescent="0.25">
      <c r="B76" t="s">
        <v>98</v>
      </c>
      <c r="C76" t="s">
        <v>364</v>
      </c>
      <c r="D76" t="s">
        <v>213</v>
      </c>
      <c r="E76" s="98" t="s">
        <v>336</v>
      </c>
      <c r="G76" t="s">
        <v>98</v>
      </c>
      <c r="H76" t="s">
        <v>364</v>
      </c>
      <c r="I76" t="s">
        <v>213</v>
      </c>
      <c r="J76" s="98" t="s">
        <v>336</v>
      </c>
    </row>
    <row r="77" spans="1:10" x14ac:dyDescent="0.25">
      <c r="A77" t="s">
        <v>340</v>
      </c>
      <c r="C77">
        <v>1000</v>
      </c>
      <c r="D77" s="197">
        <v>102</v>
      </c>
      <c r="E77" s="98" t="s">
        <v>7</v>
      </c>
      <c r="F77" s="188" t="s">
        <v>339</v>
      </c>
      <c r="G77" s="152"/>
    </row>
    <row r="78" spans="1:10" x14ac:dyDescent="0.25">
      <c r="A78" s="250" t="s">
        <v>74</v>
      </c>
      <c r="B78" t="s">
        <v>94</v>
      </c>
      <c r="C78" s="98">
        <f>H78*1000</f>
        <v>0.129144538</v>
      </c>
      <c r="D78" s="98">
        <f t="shared" ref="D78:D89" si="5">I78*1000</f>
        <v>0.29763148039215687</v>
      </c>
      <c r="E78" s="98" t="s">
        <v>322</v>
      </c>
      <c r="G78" t="s">
        <v>94</v>
      </c>
      <c r="H78" s="134">
        <f>H47/C$77</f>
        <v>1.29144538E-4</v>
      </c>
      <c r="I78" s="134">
        <f>I47/$D$77</f>
        <v>2.9763148039215685E-4</v>
      </c>
      <c r="J78" t="s">
        <v>374</v>
      </c>
    </row>
    <row r="79" spans="1:10" x14ac:dyDescent="0.25">
      <c r="A79" s="250"/>
      <c r="B79" t="s">
        <v>95</v>
      </c>
      <c r="C79" s="98">
        <f t="shared" ref="C79:C89" si="6">H79*1000</f>
        <v>0.189189049</v>
      </c>
      <c r="D79" s="98">
        <f t="shared" si="5"/>
        <v>0.88630315686274508</v>
      </c>
      <c r="E79" s="98" t="s">
        <v>322</v>
      </c>
      <c r="G79" t="s">
        <v>95</v>
      </c>
      <c r="H79" s="134">
        <f>H48/C$77</f>
        <v>1.89189049E-4</v>
      </c>
      <c r="I79" s="134">
        <f>I48/$D$77</f>
        <v>8.8630315686274508E-4</v>
      </c>
      <c r="J79" t="s">
        <v>374</v>
      </c>
    </row>
    <row r="80" spans="1:10" x14ac:dyDescent="0.25">
      <c r="A80" s="250"/>
      <c r="B80" t="s">
        <v>96</v>
      </c>
      <c r="C80" s="98">
        <f t="shared" si="6"/>
        <v>0.37142371825850007</v>
      </c>
      <c r="D80" s="98">
        <f t="shared" si="5"/>
        <v>2.6704903980784316</v>
      </c>
      <c r="E80" s="98" t="s">
        <v>322</v>
      </c>
      <c r="G80" t="s">
        <v>96</v>
      </c>
      <c r="H80" s="134">
        <f>H49/C$77</f>
        <v>3.7142371825850005E-4</v>
      </c>
      <c r="I80" s="134">
        <f>I49/$D$77</f>
        <v>2.6704903980784315E-3</v>
      </c>
      <c r="J80" t="s">
        <v>374</v>
      </c>
    </row>
    <row r="81" spans="1:14" x14ac:dyDescent="0.25">
      <c r="A81" s="250"/>
      <c r="B81" t="s">
        <v>97</v>
      </c>
      <c r="C81" s="98">
        <f t="shared" si="6"/>
        <v>0.38062234825850005</v>
      </c>
      <c r="D81" s="98">
        <f t="shared" si="5"/>
        <v>2.760673045137255</v>
      </c>
      <c r="E81" s="98" t="s">
        <v>322</v>
      </c>
      <c r="G81" t="s">
        <v>97</v>
      </c>
      <c r="H81" s="134">
        <f>H50/C$77</f>
        <v>3.8062234825850006E-4</v>
      </c>
      <c r="I81" s="134">
        <f>I50/$D$77</f>
        <v>2.760673045137255E-3</v>
      </c>
      <c r="J81" t="s">
        <v>374</v>
      </c>
    </row>
    <row r="82" spans="1:14" x14ac:dyDescent="0.25">
      <c r="A82" s="250" t="s">
        <v>41</v>
      </c>
      <c r="B82" t="s">
        <v>94</v>
      </c>
      <c r="C82" s="307" t="s">
        <v>376</v>
      </c>
      <c r="D82" s="98">
        <f t="shared" si="5"/>
        <v>0.76483468927450982</v>
      </c>
      <c r="E82" s="98" t="s">
        <v>322</v>
      </c>
      <c r="G82" t="s">
        <v>94</v>
      </c>
      <c r="H82" s="307" t="s">
        <v>376</v>
      </c>
      <c r="I82" s="134">
        <f>I51/$D$77</f>
        <v>7.648346892745098E-4</v>
      </c>
      <c r="J82" t="s">
        <v>374</v>
      </c>
    </row>
    <row r="83" spans="1:14" x14ac:dyDescent="0.25">
      <c r="A83" s="250"/>
      <c r="B83" t="s">
        <v>95</v>
      </c>
      <c r="C83" s="98">
        <f t="shared" si="6"/>
        <v>0.24970939138250001</v>
      </c>
      <c r="D83" s="98">
        <f t="shared" si="5"/>
        <v>0.7668387480980392</v>
      </c>
      <c r="E83" s="98" t="s">
        <v>322</v>
      </c>
      <c r="G83" t="s">
        <v>95</v>
      </c>
      <c r="H83" s="134">
        <f>H52/C$77</f>
        <v>2.4970939138250001E-4</v>
      </c>
      <c r="I83" s="134">
        <f>I52/$D$77</f>
        <v>7.6683874809803918E-4</v>
      </c>
      <c r="J83" t="s">
        <v>374</v>
      </c>
    </row>
    <row r="84" spans="1:14" x14ac:dyDescent="0.25">
      <c r="A84" s="250"/>
      <c r="B84" t="s">
        <v>96</v>
      </c>
      <c r="C84" s="98">
        <f t="shared" si="6"/>
        <v>0.2504759438825</v>
      </c>
      <c r="D84" s="98">
        <f t="shared" si="5"/>
        <v>0.77435396868627449</v>
      </c>
      <c r="E84" s="98" t="s">
        <v>322</v>
      </c>
      <c r="G84" t="s">
        <v>96</v>
      </c>
      <c r="H84" s="134">
        <f>H53/C$77</f>
        <v>2.5047594388249999E-4</v>
      </c>
      <c r="I84" s="134">
        <f>I53/$D$77</f>
        <v>7.7435396868627451E-4</v>
      </c>
      <c r="J84" t="s">
        <v>374</v>
      </c>
    </row>
    <row r="85" spans="1:14" x14ac:dyDescent="0.25">
      <c r="A85" s="250"/>
      <c r="B85" t="s">
        <v>97</v>
      </c>
      <c r="C85" s="98">
        <f t="shared" si="6"/>
        <v>0.25967457388249998</v>
      </c>
      <c r="D85" s="98">
        <f t="shared" si="5"/>
        <v>0.8645366157450981</v>
      </c>
      <c r="E85" s="98" t="s">
        <v>322</v>
      </c>
      <c r="G85" t="s">
        <v>97</v>
      </c>
      <c r="H85" s="134">
        <f>H54/C$77</f>
        <v>2.596745738825E-4</v>
      </c>
      <c r="I85" s="134">
        <f>I54/$D$77</f>
        <v>8.6453661574509809E-4</v>
      </c>
      <c r="J85" t="s">
        <v>374</v>
      </c>
    </row>
    <row r="86" spans="1:14" x14ac:dyDescent="0.25">
      <c r="B86" t="s">
        <v>94</v>
      </c>
      <c r="C86" s="307" t="s">
        <v>376</v>
      </c>
      <c r="D86" s="307" t="s">
        <v>376</v>
      </c>
      <c r="E86" s="98" t="s">
        <v>322</v>
      </c>
      <c r="G86" t="s">
        <v>94</v>
      </c>
      <c r="H86" s="307" t="s">
        <v>376</v>
      </c>
      <c r="I86" s="307" t="s">
        <v>376</v>
      </c>
      <c r="J86" t="s">
        <v>374</v>
      </c>
    </row>
    <row r="87" spans="1:14" x14ac:dyDescent="0.25">
      <c r="A87" s="180"/>
      <c r="B87" t="s">
        <v>95</v>
      </c>
      <c r="C87" s="307" t="s">
        <v>376</v>
      </c>
      <c r="D87" s="307" t="s">
        <v>376</v>
      </c>
      <c r="E87" s="98" t="s">
        <v>322</v>
      </c>
      <c r="G87" t="s">
        <v>95</v>
      </c>
      <c r="H87" s="307" t="s">
        <v>376</v>
      </c>
      <c r="I87" s="307" t="s">
        <v>376</v>
      </c>
      <c r="J87" t="s">
        <v>374</v>
      </c>
    </row>
    <row r="88" spans="1:14" x14ac:dyDescent="0.25">
      <c r="A88" s="180" t="s">
        <v>100</v>
      </c>
      <c r="B88" t="s">
        <v>96</v>
      </c>
      <c r="C88" s="307" t="s">
        <v>376</v>
      </c>
      <c r="D88" s="98">
        <f t="shared" si="5"/>
        <v>13.992466374205884</v>
      </c>
      <c r="E88" s="98" t="s">
        <v>322</v>
      </c>
      <c r="G88" t="s">
        <v>96</v>
      </c>
      <c r="H88" s="307" t="s">
        <v>376</v>
      </c>
      <c r="I88" s="134">
        <f>I57/$D$77</f>
        <v>1.3992466374205884E-2</v>
      </c>
      <c r="J88" t="s">
        <v>374</v>
      </c>
    </row>
    <row r="89" spans="1:14" x14ac:dyDescent="0.25">
      <c r="A89" s="180"/>
      <c r="B89" t="s">
        <v>97</v>
      </c>
      <c r="C89" s="98">
        <f t="shared" si="6"/>
        <v>10.178583723802999</v>
      </c>
      <c r="D89" s="98">
        <f t="shared" si="5"/>
        <v>14.082649021264707</v>
      </c>
      <c r="E89" s="98" t="s">
        <v>322</v>
      </c>
      <c r="G89" t="s">
        <v>97</v>
      </c>
      <c r="H89" s="134">
        <f>H58/C$77</f>
        <v>1.0178583723803E-2</v>
      </c>
      <c r="I89" s="134">
        <f>I58/$D$77</f>
        <v>1.4082649021264708E-2</v>
      </c>
      <c r="J89" t="s">
        <v>374</v>
      </c>
    </row>
    <row r="91" spans="1:14" ht="21" x14ac:dyDescent="0.35">
      <c r="A91" s="184" t="s">
        <v>342</v>
      </c>
      <c r="D91" s="184"/>
      <c r="H91" s="189" t="s">
        <v>343</v>
      </c>
    </row>
    <row r="92" spans="1:14" x14ac:dyDescent="0.25">
      <c r="C92" t="s">
        <v>364</v>
      </c>
      <c r="D92" t="s">
        <v>213</v>
      </c>
      <c r="E92" s="98" t="s">
        <v>336</v>
      </c>
    </row>
    <row r="93" spans="1:14" x14ac:dyDescent="0.25">
      <c r="A93" t="s">
        <v>13</v>
      </c>
      <c r="C93" s="105">
        <v>8000</v>
      </c>
      <c r="D93" s="191">
        <v>3600</v>
      </c>
      <c r="E93" t="s">
        <v>14</v>
      </c>
      <c r="H93" t="s">
        <v>352</v>
      </c>
      <c r="M93">
        <v>0</v>
      </c>
      <c r="N93" t="s">
        <v>345</v>
      </c>
    </row>
    <row r="94" spans="1:14" x14ac:dyDescent="0.25">
      <c r="A94" t="s">
        <v>20</v>
      </c>
      <c r="C94" s="105">
        <f>C93*(J94/100)/(365*24)</f>
        <v>2.7397260273972601E-2</v>
      </c>
      <c r="D94" s="191">
        <f>D93*(J94/100)/(365*24)</f>
        <v>1.2328767123287671E-2</v>
      </c>
      <c r="E94" t="s">
        <v>15</v>
      </c>
      <c r="H94" t="s">
        <v>344</v>
      </c>
      <c r="J94">
        <v>3</v>
      </c>
      <c r="K94" t="s">
        <v>346</v>
      </c>
      <c r="M94" t="s">
        <v>347</v>
      </c>
    </row>
    <row r="95" spans="1:14" ht="15" customHeight="1" x14ac:dyDescent="0.25">
      <c r="A95" t="s">
        <v>18</v>
      </c>
      <c r="C95" s="240">
        <f>(I95+I96+I97+I98)*L96</f>
        <v>16.060000000000002</v>
      </c>
      <c r="D95" s="240"/>
      <c r="E95" t="s">
        <v>15</v>
      </c>
      <c r="H95" t="s">
        <v>348</v>
      </c>
      <c r="I95" s="99">
        <v>1.5</v>
      </c>
      <c r="J95" t="s">
        <v>15</v>
      </c>
      <c r="K95" s="191" t="s">
        <v>353</v>
      </c>
      <c r="M95">
        <v>3.6</v>
      </c>
      <c r="N95" t="s">
        <v>354</v>
      </c>
    </row>
    <row r="96" spans="1:14" x14ac:dyDescent="0.25">
      <c r="E96" s="190"/>
      <c r="H96" t="s">
        <v>349</v>
      </c>
      <c r="I96" s="192">
        <v>4.5</v>
      </c>
      <c r="J96" t="s">
        <v>15</v>
      </c>
      <c r="K96" s="193"/>
      <c r="L96" s="194">
        <v>2.2000000000000002</v>
      </c>
    </row>
    <row r="97" spans="1:12" x14ac:dyDescent="0.25">
      <c r="E97" s="190"/>
      <c r="H97" t="s">
        <v>350</v>
      </c>
      <c r="I97" s="192">
        <v>0.9</v>
      </c>
      <c r="J97" t="s">
        <v>15</v>
      </c>
    </row>
    <row r="98" spans="1:12" x14ac:dyDescent="0.25">
      <c r="E98" s="190"/>
      <c r="H98" t="s">
        <v>351</v>
      </c>
      <c r="I98" s="192">
        <v>0.4</v>
      </c>
      <c r="J98" t="s">
        <v>15</v>
      </c>
    </row>
    <row r="100" spans="1:12" ht="21" x14ac:dyDescent="0.35">
      <c r="A100" s="184" t="s">
        <v>341</v>
      </c>
      <c r="D100" s="184"/>
    </row>
    <row r="101" spans="1:12" x14ac:dyDescent="0.25">
      <c r="A101" s="63"/>
      <c r="B101" s="204" t="s">
        <v>98</v>
      </c>
      <c r="C101" s="238" t="s">
        <v>364</v>
      </c>
      <c r="D101" s="238"/>
      <c r="E101" s="241" t="s">
        <v>213</v>
      </c>
      <c r="F101" s="239"/>
      <c r="G101" s="311" t="s">
        <v>336</v>
      </c>
      <c r="H101" s="238" t="s">
        <v>364</v>
      </c>
      <c r="I101" s="238"/>
      <c r="J101" s="241" t="s">
        <v>213</v>
      </c>
      <c r="K101" s="239"/>
      <c r="L101" s="63" t="s">
        <v>336</v>
      </c>
    </row>
    <row r="102" spans="1:12" x14ac:dyDescent="0.25">
      <c r="A102" t="s">
        <v>357</v>
      </c>
      <c r="B102" s="203"/>
      <c r="C102" s="105">
        <f>(C$93/1000*$M$95*(1-$M$93/100)/($C$95/1000*$M$95+C$94/1000*$M$95))*$C$42</f>
        <v>497.28367308707573</v>
      </c>
      <c r="D102" s="105"/>
      <c r="E102" s="314">
        <f>($D$93/1000*$M$95*(1-$M$93/100)/($C$95/1000*$M$95+$D$94/1000*$M$95))*$C$42</f>
        <v>223.98745397518067</v>
      </c>
      <c r="F102" s="315"/>
      <c r="G102" s="312" t="s">
        <v>355</v>
      </c>
      <c r="H102" s="99">
        <f>C102/24</f>
        <v>20.720153045294822</v>
      </c>
      <c r="J102" s="202">
        <f>E102/24</f>
        <v>9.332810582299194</v>
      </c>
      <c r="L102" s="318" t="s">
        <v>356</v>
      </c>
    </row>
    <row r="103" spans="1:12" x14ac:dyDescent="0.25">
      <c r="B103" s="203"/>
      <c r="C103" s="236" t="s">
        <v>148</v>
      </c>
      <c r="D103" s="313" t="s">
        <v>358</v>
      </c>
      <c r="E103" s="237" t="s">
        <v>148</v>
      </c>
      <c r="F103" s="234" t="s">
        <v>358</v>
      </c>
      <c r="G103" s="312"/>
      <c r="H103" s="236" t="s">
        <v>148</v>
      </c>
      <c r="I103" s="235" t="s">
        <v>358</v>
      </c>
      <c r="J103" s="237" t="s">
        <v>148</v>
      </c>
      <c r="K103" s="234" t="s">
        <v>358</v>
      </c>
    </row>
    <row r="104" spans="1:12" x14ac:dyDescent="0.25">
      <c r="B104" s="203"/>
      <c r="C104" s="236"/>
      <c r="D104" s="313"/>
      <c r="E104" s="237"/>
      <c r="F104" s="234"/>
      <c r="G104" s="312"/>
      <c r="H104" s="236"/>
      <c r="I104" s="235"/>
      <c r="J104" s="237"/>
      <c r="K104" s="234"/>
    </row>
    <row r="105" spans="1:12" x14ac:dyDescent="0.25">
      <c r="A105" s="233" t="s">
        <v>359</v>
      </c>
      <c r="B105" s="203" t="s">
        <v>94</v>
      </c>
      <c r="C105" s="105">
        <f>(C$93/1000*$M$95*(1-$M$93/100)/(H62+$C$95/1000*$M$95+C$94/1000*$M$95))*$C$42</f>
        <v>285.25355178895285</v>
      </c>
      <c r="D105" s="105">
        <f>$C$102-$C105</f>
        <v>212.03012129812288</v>
      </c>
      <c r="E105" s="314">
        <f>($D$93/1000*$M$95*(1-$M$93/100)/(I62+$C$95/1000*$M$95+$D$94/1000*$M$95))*$C$42</f>
        <v>190.6447168895368</v>
      </c>
      <c r="F105" s="315">
        <f>E$102-E105</f>
        <v>33.342737085643876</v>
      </c>
      <c r="G105" s="312" t="s">
        <v>355</v>
      </c>
      <c r="H105" s="99">
        <f>C105/24</f>
        <v>11.885564657873035</v>
      </c>
      <c r="I105" s="99">
        <f>D105/24</f>
        <v>8.8345883874217872</v>
      </c>
      <c r="J105" s="202">
        <f>E105/24</f>
        <v>7.9435298703973665</v>
      </c>
      <c r="K105" s="205">
        <f>F105/24</f>
        <v>1.3892807119018282</v>
      </c>
      <c r="L105" t="s">
        <v>356</v>
      </c>
    </row>
    <row r="106" spans="1:12" x14ac:dyDescent="0.25">
      <c r="A106" s="233"/>
      <c r="B106" s="203" t="s">
        <v>95</v>
      </c>
      <c r="C106" s="105">
        <f>(C$93/1000*$M$95*(1-$M$93/100)/(H63+$C$95/1000*$M$95+C$94/1000*$M$95))*$C$42</f>
        <v>393.85825615054074</v>
      </c>
      <c r="D106" s="105">
        <f>$C$102-$C106</f>
        <v>103.42541693653499</v>
      </c>
      <c r="E106" s="314">
        <f>($D$93/1000*$M$95*(1-$M$93/100)/(I63+$C$95/1000*$M$95+$D$94/1000*$M$95))*$C$42</f>
        <v>198.99428204470536</v>
      </c>
      <c r="F106" s="315">
        <f>E$102-E106</f>
        <v>24.993171930475313</v>
      </c>
      <c r="G106" s="312" t="s">
        <v>355</v>
      </c>
      <c r="H106" s="99">
        <f t="shared" ref="H106:H116" si="7">C106/24</f>
        <v>16.410760672939197</v>
      </c>
      <c r="I106" s="99">
        <f t="shared" ref="I106:I116" si="8">D106/24</f>
        <v>4.3093923723556244</v>
      </c>
      <c r="J106" s="202">
        <f t="shared" ref="J106:J116" si="9">E106/24</f>
        <v>8.2914284185293905</v>
      </c>
      <c r="K106" s="205">
        <f t="shared" ref="K106:K116" si="10">F106/24</f>
        <v>1.0413821637698046</v>
      </c>
      <c r="L106" t="s">
        <v>356</v>
      </c>
    </row>
    <row r="107" spans="1:12" x14ac:dyDescent="0.25">
      <c r="A107" s="233"/>
      <c r="B107" s="203" t="s">
        <v>96</v>
      </c>
      <c r="C107" s="105">
        <f>(C$93/1000*$M$95*(1-$M$93/100)/(H64+$C$95/1000*$M$95+C$94/1000*$M$95))*$C$42</f>
        <v>449.26274971022565</v>
      </c>
      <c r="D107" s="105">
        <f>$C$102-$C107</f>
        <v>48.020923376850078</v>
      </c>
      <c r="E107" s="314">
        <f>($D$93/1000*$M$95*(1-$M$93/100)/(I64+$C$95/1000*$M$95+$D$94/1000*$M$95))*$C$42</f>
        <v>207.69158463809615</v>
      </c>
      <c r="F107" s="315">
        <f>E$102-E107</f>
        <v>16.295869337084525</v>
      </c>
      <c r="G107" s="312" t="s">
        <v>355</v>
      </c>
      <c r="H107" s="99">
        <f t="shared" si="7"/>
        <v>18.719281237926069</v>
      </c>
      <c r="I107" s="99">
        <f t="shared" si="8"/>
        <v>2.0008718073687533</v>
      </c>
      <c r="J107" s="202">
        <f t="shared" si="9"/>
        <v>8.6538160265873394</v>
      </c>
      <c r="K107" s="205">
        <f t="shared" si="10"/>
        <v>0.67899455571185519</v>
      </c>
      <c r="L107" t="s">
        <v>356</v>
      </c>
    </row>
    <row r="108" spans="1:12" x14ac:dyDescent="0.25">
      <c r="A108" s="233"/>
      <c r="B108" s="203" t="s">
        <v>97</v>
      </c>
      <c r="C108" s="105">
        <f>(C$93/1000*$M$95*(1-$M$93/100)/(H65+$C$95/1000*$M$95+C$94/1000*$M$95))*$C$42</f>
        <v>491.89567109780899</v>
      </c>
      <c r="D108" s="105">
        <f>$C$102-$C108</f>
        <v>5.3880019892667406</v>
      </c>
      <c r="E108" s="314">
        <f>($D$93/1000*$M$95*(1-$M$93/100)/(I65+$C$95/1000*$M$95+$D$94/1000*$M$95))*$C$42</f>
        <v>222.18527523655993</v>
      </c>
      <c r="F108" s="315">
        <f>E$102-E108</f>
        <v>1.8021787386207393</v>
      </c>
      <c r="G108" s="312" t="s">
        <v>355</v>
      </c>
      <c r="H108" s="99">
        <f t="shared" si="7"/>
        <v>20.495652962408709</v>
      </c>
      <c r="I108" s="99">
        <f t="shared" si="8"/>
        <v>0.2245000828861142</v>
      </c>
      <c r="J108" s="202">
        <f t="shared" si="9"/>
        <v>9.2577198015233311</v>
      </c>
      <c r="K108" s="205">
        <f t="shared" si="10"/>
        <v>7.5090780775864133E-2</v>
      </c>
      <c r="L108" t="s">
        <v>356</v>
      </c>
    </row>
    <row r="109" spans="1:12" x14ac:dyDescent="0.25">
      <c r="A109" s="233" t="s">
        <v>360</v>
      </c>
      <c r="B109" s="203" t="s">
        <v>94</v>
      </c>
      <c r="C109" s="306" t="s">
        <v>376</v>
      </c>
      <c r="D109" s="306" t="s">
        <v>376</v>
      </c>
      <c r="E109" s="314">
        <f>($D$93/1000*$M$95*(1-$M$93/100)/(I66+$C$95/1000*$M$95+$D$94/1000*$M$95))*$C$42</f>
        <v>154.55047809713679</v>
      </c>
      <c r="F109" s="315">
        <f>E$102-E109</f>
        <v>69.436975878043881</v>
      </c>
      <c r="G109" s="312" t="s">
        <v>355</v>
      </c>
      <c r="H109" s="304" t="s">
        <v>376</v>
      </c>
      <c r="I109" s="304" t="s">
        <v>376</v>
      </c>
      <c r="J109" s="202">
        <f t="shared" si="9"/>
        <v>6.4396032540473662</v>
      </c>
      <c r="K109" s="205">
        <f t="shared" si="10"/>
        <v>2.8932073282518282</v>
      </c>
      <c r="L109" t="s">
        <v>356</v>
      </c>
    </row>
    <row r="110" spans="1:12" x14ac:dyDescent="0.25">
      <c r="A110" s="233"/>
      <c r="B110" s="203" t="s">
        <v>95</v>
      </c>
      <c r="C110" s="105">
        <f>(C$93/1000*$M$95*(1-$M$93/100)/(H67+$C$95/1000*$M$95+C$94/1000*$M$95))*$C$42</f>
        <v>357.26061326846087</v>
      </c>
      <c r="D110" s="105">
        <f>$C$102-$C110</f>
        <v>140.02305981861485</v>
      </c>
      <c r="E110" s="314">
        <f>($D$93/1000*$M$95*(1-$M$93/100)/(I67+$C$95/1000*$M$95+$D$94/1000*$M$95))*$C$42</f>
        <v>205.47117926518868</v>
      </c>
      <c r="F110" s="315">
        <f>E$102-E110</f>
        <v>18.51627470999199</v>
      </c>
      <c r="G110" s="312" t="s">
        <v>355</v>
      </c>
      <c r="H110" s="99">
        <f t="shared" si="7"/>
        <v>14.88585888618587</v>
      </c>
      <c r="I110" s="99">
        <f t="shared" si="8"/>
        <v>5.8342941591089525</v>
      </c>
      <c r="J110" s="202">
        <f t="shared" si="9"/>
        <v>8.561299136049529</v>
      </c>
      <c r="K110" s="205">
        <f t="shared" si="10"/>
        <v>0.77151144624966628</v>
      </c>
      <c r="L110" t="s">
        <v>356</v>
      </c>
    </row>
    <row r="111" spans="1:12" x14ac:dyDescent="0.25">
      <c r="A111" s="233"/>
      <c r="B111" s="203" t="s">
        <v>96</v>
      </c>
      <c r="C111" s="105">
        <f>(C$93/1000*$M$95*(1-$M$93/100)/(H68+$C$95/1000*$M$95+C$94/1000*$M$95))*$C$42</f>
        <v>461.63215674285641</v>
      </c>
      <c r="D111" s="105">
        <f>$C$102-$C111</f>
        <v>35.651516344219317</v>
      </c>
      <c r="E111" s="314">
        <f>($D$93/1000*$M$95*(1-$M$93/100)/(I68+$C$95/1000*$M$95+$D$94/1000*$M$95))*$C$42</f>
        <v>219.00488066984323</v>
      </c>
      <c r="F111" s="315">
        <f>E$102-E111</f>
        <v>4.9825733053374393</v>
      </c>
      <c r="G111" s="312" t="s">
        <v>355</v>
      </c>
      <c r="H111" s="99">
        <f t="shared" si="7"/>
        <v>19.234673197619017</v>
      </c>
      <c r="I111" s="99">
        <f t="shared" si="8"/>
        <v>1.4854798476758049</v>
      </c>
      <c r="J111" s="202">
        <f t="shared" si="9"/>
        <v>9.125203361243468</v>
      </c>
      <c r="K111" s="205">
        <f t="shared" si="10"/>
        <v>0.20760722105572663</v>
      </c>
      <c r="L111" t="s">
        <v>356</v>
      </c>
    </row>
    <row r="112" spans="1:12" x14ac:dyDescent="0.25">
      <c r="A112" s="233"/>
      <c r="B112" s="203" t="s">
        <v>97</v>
      </c>
      <c r="C112" s="105">
        <f>(C$93/1000*$M$95*(1-$M$93/100)/(H69+$C$95/1000*$M$95+C$94/1000*$M$95))*$C$42</f>
        <v>493.57051567646903</v>
      </c>
      <c r="D112" s="105">
        <f>$C$102-$C112</f>
        <v>3.7131574106066978</v>
      </c>
      <c r="E112" s="314">
        <f>($D$93/1000*$M$95*(1-$M$93/100)/(I69+$C$95/1000*$M$95+$D$94/1000*$M$95))*$C$42</f>
        <v>223.41994566839568</v>
      </c>
      <c r="F112" s="315">
        <f>E$102-E112</f>
        <v>0.56750830678498687</v>
      </c>
      <c r="G112" s="312" t="s">
        <v>355</v>
      </c>
      <c r="H112" s="99">
        <f t="shared" si="7"/>
        <v>20.565438153186211</v>
      </c>
      <c r="I112" s="99">
        <f t="shared" si="8"/>
        <v>0.15471489210861242</v>
      </c>
      <c r="J112" s="202">
        <f t="shared" si="9"/>
        <v>9.3091644028498202</v>
      </c>
      <c r="K112" s="205">
        <f t="shared" si="10"/>
        <v>2.3646179449374454E-2</v>
      </c>
      <c r="L112" t="s">
        <v>356</v>
      </c>
    </row>
    <row r="113" spans="1:12" x14ac:dyDescent="0.25">
      <c r="A113" s="233" t="s">
        <v>361</v>
      </c>
      <c r="B113" s="203" t="s">
        <v>94</v>
      </c>
      <c r="C113" s="306" t="s">
        <v>376</v>
      </c>
      <c r="D113" s="306" t="s">
        <v>376</v>
      </c>
      <c r="E113" s="316" t="s">
        <v>376</v>
      </c>
      <c r="F113" s="317" t="s">
        <v>376</v>
      </c>
      <c r="G113" s="312" t="s">
        <v>355</v>
      </c>
      <c r="H113" s="308" t="s">
        <v>376</v>
      </c>
      <c r="I113" s="308" t="s">
        <v>376</v>
      </c>
      <c r="J113" s="309" t="s">
        <v>376</v>
      </c>
      <c r="K113" s="310" t="s">
        <v>376</v>
      </c>
      <c r="L113" t="s">
        <v>356</v>
      </c>
    </row>
    <row r="114" spans="1:12" x14ac:dyDescent="0.25">
      <c r="A114" s="233"/>
      <c r="B114" s="203" t="s">
        <v>95</v>
      </c>
      <c r="C114" s="306" t="s">
        <v>376</v>
      </c>
      <c r="D114" s="306" t="s">
        <v>376</v>
      </c>
      <c r="E114" s="316" t="s">
        <v>376</v>
      </c>
      <c r="F114" s="317" t="s">
        <v>376</v>
      </c>
      <c r="G114" s="312" t="s">
        <v>355</v>
      </c>
      <c r="H114" s="308" t="s">
        <v>376</v>
      </c>
      <c r="I114" s="308" t="s">
        <v>376</v>
      </c>
      <c r="J114" s="309" t="s">
        <v>376</v>
      </c>
      <c r="K114" s="310" t="s">
        <v>376</v>
      </c>
      <c r="L114" t="s">
        <v>356</v>
      </c>
    </row>
    <row r="115" spans="1:12" x14ac:dyDescent="0.25">
      <c r="A115" s="233"/>
      <c r="B115" s="203" t="s">
        <v>96</v>
      </c>
      <c r="C115" s="306" t="s">
        <v>376</v>
      </c>
      <c r="D115" s="306" t="s">
        <v>376</v>
      </c>
      <c r="E115" s="314">
        <f>($D$93/1000*$M$95*(1-$M$93/100)/(I72+$C$95/1000*$M$95+$D$94/1000*$M$95))*$C$42</f>
        <v>163.70696183553059</v>
      </c>
      <c r="F115" s="315">
        <f>E$102-E115</f>
        <v>60.280492139650079</v>
      </c>
      <c r="G115" s="312" t="s">
        <v>355</v>
      </c>
      <c r="H115" s="308" t="s">
        <v>376</v>
      </c>
      <c r="I115" s="308" t="s">
        <v>376</v>
      </c>
      <c r="J115" s="202">
        <f t="shared" si="9"/>
        <v>6.821123409813775</v>
      </c>
      <c r="K115" s="205">
        <f t="shared" si="10"/>
        <v>2.5116871724854199</v>
      </c>
      <c r="L115" t="s">
        <v>356</v>
      </c>
    </row>
    <row r="116" spans="1:12" x14ac:dyDescent="0.25">
      <c r="A116" s="233"/>
      <c r="B116" s="203" t="s">
        <v>97</v>
      </c>
      <c r="C116" s="105">
        <f>(C$93/1000*$M$95*(1-$M$93/100)/(H73+$C$95/1000*$M$95+C$94/1000*$M$95))*$C$42</f>
        <v>385.6871092769772</v>
      </c>
      <c r="D116" s="105">
        <f>$C$102-$C116</f>
        <v>111.59656381009853</v>
      </c>
      <c r="E116" s="314">
        <f>($D$93/1000*$M$95*(1-$M$93/100)/(I73+$C$95/1000*$M$95+$D$94/1000*$M$95))*$C$42</f>
        <v>215.18635066833627</v>
      </c>
      <c r="F116" s="315">
        <f>E$102-E116</f>
        <v>8.8011033068443965</v>
      </c>
      <c r="G116" s="312" t="s">
        <v>355</v>
      </c>
      <c r="H116" s="99">
        <f t="shared" si="7"/>
        <v>16.070296219874049</v>
      </c>
      <c r="I116" s="99">
        <f t="shared" si="8"/>
        <v>4.6498568254207724</v>
      </c>
      <c r="J116" s="202">
        <f t="shared" si="9"/>
        <v>8.9660979445140114</v>
      </c>
      <c r="K116" s="205">
        <f t="shared" si="10"/>
        <v>0.3667126377851832</v>
      </c>
      <c r="L116" t="s">
        <v>356</v>
      </c>
    </row>
    <row r="117" spans="1:12" x14ac:dyDescent="0.25">
      <c r="A117" s="211"/>
      <c r="B117" s="59"/>
      <c r="C117" s="105"/>
      <c r="D117" s="105"/>
      <c r="E117" s="319"/>
      <c r="F117" s="319"/>
      <c r="G117" s="59"/>
      <c r="H117" s="99"/>
      <c r="I117" s="99"/>
      <c r="J117" s="320"/>
      <c r="K117" s="320"/>
    </row>
    <row r="118" spans="1:12" x14ac:dyDescent="0.25">
      <c r="A118" s="211"/>
      <c r="B118" s="59"/>
      <c r="D118" s="322"/>
      <c r="F118" s="323"/>
      <c r="G118" s="59"/>
      <c r="H118" s="99"/>
      <c r="I118" s="99"/>
      <c r="J118" s="320"/>
      <c r="K118" s="320"/>
    </row>
    <row r="119" spans="1:12" x14ac:dyDescent="0.25">
      <c r="C119" s="321"/>
      <c r="D119" s="321" t="s">
        <v>18</v>
      </c>
      <c r="E119" s="321" t="s">
        <v>379</v>
      </c>
      <c r="F119" t="s">
        <v>148</v>
      </c>
    </row>
    <row r="120" spans="1:12" x14ac:dyDescent="0.25">
      <c r="A120" s="250" t="s">
        <v>74</v>
      </c>
      <c r="B120" s="324" t="s">
        <v>364</v>
      </c>
      <c r="C120" s="203" t="s">
        <v>94</v>
      </c>
      <c r="D120" s="105">
        <f>H105-I105</f>
        <v>3.0509762704512475</v>
      </c>
      <c r="E120" s="105">
        <f>I105</f>
        <v>8.8345883874217872</v>
      </c>
      <c r="F120" s="99">
        <f>H105</f>
        <v>11.885564657873035</v>
      </c>
    </row>
    <row r="121" spans="1:12" x14ac:dyDescent="0.25">
      <c r="A121" s="250"/>
      <c r="B121" s="324"/>
      <c r="C121" s="203" t="s">
        <v>95</v>
      </c>
      <c r="D121" s="105">
        <f>H106-I106</f>
        <v>12.101368300583573</v>
      </c>
      <c r="E121" s="105">
        <f>I106</f>
        <v>4.3093923723556244</v>
      </c>
      <c r="F121" s="99">
        <f t="shared" ref="F121:F123" si="11">H106</f>
        <v>16.410760672939197</v>
      </c>
    </row>
    <row r="122" spans="1:12" x14ac:dyDescent="0.25">
      <c r="A122" s="250"/>
      <c r="B122" s="324"/>
      <c r="C122" s="203" t="s">
        <v>96</v>
      </c>
      <c r="D122" s="105">
        <f>H107-I107</f>
        <v>16.718409430557315</v>
      </c>
      <c r="E122" s="105">
        <f>I107</f>
        <v>2.0008718073687533</v>
      </c>
      <c r="F122" s="99">
        <f t="shared" si="11"/>
        <v>18.719281237926069</v>
      </c>
    </row>
    <row r="123" spans="1:12" x14ac:dyDescent="0.25">
      <c r="A123" s="250"/>
      <c r="B123" s="324"/>
      <c r="C123" s="203" t="s">
        <v>97</v>
      </c>
      <c r="D123" s="105">
        <f>H108-I108</f>
        <v>20.271152879522596</v>
      </c>
      <c r="E123" s="105">
        <f>I108</f>
        <v>0.2245000828861142</v>
      </c>
      <c r="F123" s="99">
        <f t="shared" si="11"/>
        <v>20.495652962408709</v>
      </c>
    </row>
    <row r="124" spans="1:12" x14ac:dyDescent="0.25">
      <c r="A124" s="250"/>
      <c r="B124" s="325" t="s">
        <v>213</v>
      </c>
      <c r="C124" s="203" t="s">
        <v>94</v>
      </c>
      <c r="D124" s="105">
        <f>J105-K105</f>
        <v>6.554249158495538</v>
      </c>
      <c r="E124" s="105">
        <f>K105</f>
        <v>1.3892807119018282</v>
      </c>
      <c r="F124" s="99">
        <f>J105</f>
        <v>7.9435298703973665</v>
      </c>
    </row>
    <row r="125" spans="1:12" x14ac:dyDescent="0.25">
      <c r="A125" s="250"/>
      <c r="B125" s="325"/>
      <c r="C125" s="203" t="s">
        <v>95</v>
      </c>
      <c r="D125" s="105">
        <f>J106-K106</f>
        <v>7.2500462547595861</v>
      </c>
      <c r="E125" s="105">
        <f>K106</f>
        <v>1.0413821637698046</v>
      </c>
      <c r="F125" s="99">
        <f>J106</f>
        <v>8.2914284185293905</v>
      </c>
      <c r="I125" s="105"/>
      <c r="J125" s="105"/>
    </row>
    <row r="126" spans="1:12" x14ac:dyDescent="0.25">
      <c r="A126" s="250"/>
      <c r="B126" s="325"/>
      <c r="C126" s="203" t="s">
        <v>96</v>
      </c>
      <c r="D126" s="105">
        <f>J107-K107</f>
        <v>7.9748214708754839</v>
      </c>
      <c r="E126" s="105">
        <f>K107</f>
        <v>0.67899455571185519</v>
      </c>
      <c r="F126" s="99">
        <f>J107</f>
        <v>8.6538160265873394</v>
      </c>
      <c r="I126" s="105"/>
      <c r="J126" s="105"/>
    </row>
    <row r="127" spans="1:12" x14ac:dyDescent="0.25">
      <c r="A127" s="250"/>
      <c r="B127" s="325"/>
      <c r="C127" s="203" t="s">
        <v>97</v>
      </c>
      <c r="D127" s="105">
        <f>J108-K108</f>
        <v>9.1826290207474663</v>
      </c>
      <c r="E127" s="105">
        <f>K108</f>
        <v>7.5090780775864133E-2</v>
      </c>
      <c r="F127" s="99">
        <f>J108</f>
        <v>9.2577198015233311</v>
      </c>
      <c r="I127" s="105"/>
      <c r="J127" s="105"/>
    </row>
    <row r="128" spans="1:12" x14ac:dyDescent="0.25">
      <c r="A128" s="250" t="s">
        <v>41</v>
      </c>
      <c r="B128" s="324" t="s">
        <v>364</v>
      </c>
      <c r="C128" s="203" t="s">
        <v>95</v>
      </c>
      <c r="D128" s="105">
        <f>H110-I110</f>
        <v>9.0515647270769186</v>
      </c>
      <c r="E128" s="105">
        <f>I110</f>
        <v>5.8342941591089525</v>
      </c>
      <c r="F128" s="99">
        <f>H110</f>
        <v>14.88585888618587</v>
      </c>
    </row>
    <row r="129" spans="1:10" x14ac:dyDescent="0.25">
      <c r="A129" s="250"/>
      <c r="B129" s="324"/>
      <c r="C129" s="203" t="s">
        <v>96</v>
      </c>
      <c r="D129" s="105">
        <f>H111-I111</f>
        <v>17.749193349943212</v>
      </c>
      <c r="E129" s="105">
        <f>I111</f>
        <v>1.4854798476758049</v>
      </c>
      <c r="F129" s="99">
        <f t="shared" ref="F129:F130" si="12">H111</f>
        <v>19.234673197619017</v>
      </c>
    </row>
    <row r="130" spans="1:10" x14ac:dyDescent="0.25">
      <c r="A130" s="250"/>
      <c r="B130" s="324"/>
      <c r="C130" s="203" t="s">
        <v>97</v>
      </c>
      <c r="D130" s="105">
        <f>H112-I112</f>
        <v>20.410723261077599</v>
      </c>
      <c r="E130" s="105">
        <f>I112</f>
        <v>0.15471489210861242</v>
      </c>
      <c r="F130" s="99">
        <f t="shared" si="12"/>
        <v>20.565438153186211</v>
      </c>
    </row>
    <row r="131" spans="1:10" x14ac:dyDescent="0.25">
      <c r="A131" s="250"/>
      <c r="B131" s="325" t="s">
        <v>213</v>
      </c>
      <c r="C131" s="203" t="s">
        <v>94</v>
      </c>
      <c r="D131" s="105">
        <f>J109-K109</f>
        <v>3.546395925795538</v>
      </c>
      <c r="E131" s="105">
        <f>K109</f>
        <v>2.8932073282518282</v>
      </c>
      <c r="F131" s="99">
        <f>J109</f>
        <v>6.4396032540473662</v>
      </c>
    </row>
    <row r="132" spans="1:10" x14ac:dyDescent="0.25">
      <c r="A132" s="250"/>
      <c r="B132" s="325"/>
      <c r="C132" s="203" t="s">
        <v>95</v>
      </c>
      <c r="D132" s="105">
        <f>J110-K110</f>
        <v>7.789787689799863</v>
      </c>
      <c r="E132" s="105">
        <f>K110</f>
        <v>0.77151144624966628</v>
      </c>
      <c r="F132" s="99">
        <f t="shared" ref="F132:F134" si="13">J110</f>
        <v>8.561299136049529</v>
      </c>
      <c r="I132" s="105"/>
      <c r="J132" s="105"/>
    </row>
    <row r="133" spans="1:10" x14ac:dyDescent="0.25">
      <c r="A133" s="250"/>
      <c r="B133" s="325"/>
      <c r="C133" s="203" t="s">
        <v>96</v>
      </c>
      <c r="D133" s="105">
        <f>J111-K111</f>
        <v>8.9175961401877419</v>
      </c>
      <c r="E133" s="105">
        <f>K111</f>
        <v>0.20760722105572663</v>
      </c>
      <c r="F133" s="99">
        <f t="shared" si="13"/>
        <v>9.125203361243468</v>
      </c>
      <c r="I133" s="105"/>
      <c r="J133" s="105"/>
    </row>
    <row r="134" spans="1:10" x14ac:dyDescent="0.25">
      <c r="A134" s="250"/>
      <c r="B134" s="325"/>
      <c r="C134" s="203" t="s">
        <v>97</v>
      </c>
      <c r="D134" s="105">
        <f>J112-K112</f>
        <v>9.2855182234004463</v>
      </c>
      <c r="E134" s="105">
        <f>K112</f>
        <v>2.3646179449374454E-2</v>
      </c>
      <c r="F134" s="99">
        <f t="shared" si="13"/>
        <v>9.3091644028498202</v>
      </c>
      <c r="I134" s="105"/>
      <c r="J134" s="105"/>
    </row>
    <row r="135" spans="1:10" x14ac:dyDescent="0.25">
      <c r="A135" s="250" t="s">
        <v>100</v>
      </c>
      <c r="B135" s="326" t="s">
        <v>364</v>
      </c>
      <c r="C135" s="203" t="s">
        <v>97</v>
      </c>
      <c r="D135" s="105">
        <f>H116-I116</f>
        <v>11.420439394453275</v>
      </c>
      <c r="E135" s="105">
        <f>I116</f>
        <v>4.6498568254207724</v>
      </c>
      <c r="F135" s="99">
        <f>H116</f>
        <v>16.070296219874049</v>
      </c>
    </row>
    <row r="136" spans="1:10" x14ac:dyDescent="0.25">
      <c r="A136" s="250"/>
      <c r="B136" s="325" t="s">
        <v>213</v>
      </c>
      <c r="C136" s="203" t="s">
        <v>96</v>
      </c>
      <c r="D136" s="105">
        <f>J115-K115</f>
        <v>4.309436237328355</v>
      </c>
      <c r="E136" s="105">
        <f>K115</f>
        <v>2.5116871724854199</v>
      </c>
      <c r="F136" s="99">
        <f>J115</f>
        <v>6.821123409813775</v>
      </c>
    </row>
    <row r="137" spans="1:10" x14ac:dyDescent="0.25">
      <c r="A137" s="250"/>
      <c r="B137" s="325"/>
      <c r="C137" s="203" t="s">
        <v>97</v>
      </c>
      <c r="D137" s="105">
        <f>J116-K116</f>
        <v>8.5993853067288288</v>
      </c>
      <c r="E137" s="105">
        <f>K116</f>
        <v>0.3667126377851832</v>
      </c>
      <c r="F137" s="99">
        <f>J116</f>
        <v>8.9660979445140114</v>
      </c>
    </row>
    <row r="138" spans="1:10" x14ac:dyDescent="0.25">
      <c r="A138" s="180"/>
      <c r="B138" s="180"/>
    </row>
  </sheetData>
  <mergeCells count="51">
    <mergeCell ref="B120:B123"/>
    <mergeCell ref="B124:B127"/>
    <mergeCell ref="A120:A127"/>
    <mergeCell ref="B128:B130"/>
    <mergeCell ref="A128:A134"/>
    <mergeCell ref="B131:B134"/>
    <mergeCell ref="B136:B137"/>
    <mergeCell ref="A135:A137"/>
    <mergeCell ref="K20:K22"/>
    <mergeCell ref="L20:L22"/>
    <mergeCell ref="M20:M22"/>
    <mergeCell ref="I21:I22"/>
    <mergeCell ref="A82:A85"/>
    <mergeCell ref="A78:A81"/>
    <mergeCell ref="E2:G2"/>
    <mergeCell ref="J5:J6"/>
    <mergeCell ref="J12:J13"/>
    <mergeCell ref="C21:C22"/>
    <mergeCell ref="A11:A15"/>
    <mergeCell ref="B11:B15"/>
    <mergeCell ref="D20:D22"/>
    <mergeCell ref="E20:E22"/>
    <mergeCell ref="F20:F22"/>
    <mergeCell ref="J20:J22"/>
    <mergeCell ref="A25:D25"/>
    <mergeCell ref="G20:G22"/>
    <mergeCell ref="I33:J36"/>
    <mergeCell ref="G28:G31"/>
    <mergeCell ref="J28:J31"/>
    <mergeCell ref="F33:G36"/>
    <mergeCell ref="I25:J25"/>
    <mergeCell ref="F25:G25"/>
    <mergeCell ref="F32:G32"/>
    <mergeCell ref="F28:F31"/>
    <mergeCell ref="I28:I31"/>
    <mergeCell ref="C101:D101"/>
    <mergeCell ref="E101:F101"/>
    <mergeCell ref="C95:D95"/>
    <mergeCell ref="H101:I101"/>
    <mergeCell ref="J101:K101"/>
    <mergeCell ref="I103:I104"/>
    <mergeCell ref="K103:K104"/>
    <mergeCell ref="H103:H104"/>
    <mergeCell ref="J103:J104"/>
    <mergeCell ref="E103:E104"/>
    <mergeCell ref="A109:A112"/>
    <mergeCell ref="A113:A116"/>
    <mergeCell ref="D103:D104"/>
    <mergeCell ref="F103:F104"/>
    <mergeCell ref="A105:A108"/>
    <mergeCell ref="C103:C104"/>
  </mergeCells>
  <hyperlinks>
    <hyperlink ref="J8" r:id="rId1"/>
    <hyperlink ref="J7" r:id="rId2"/>
    <hyperlink ref="J5" r:id="rId3"/>
    <hyperlink ref="J4" r:id="rId4"/>
    <hyperlink ref="J14" r:id="rId5"/>
    <hyperlink ref="J15" r:id="rId6"/>
  </hyperlinks>
  <pageMargins left="0.7" right="0.7" top="0.75" bottom="0.75" header="0.3" footer="0.3"/>
  <pageSetup orientation="portrait" verticalDpi="0" r:id="rId7"/>
  <headerFooter>
    <oddFooter>&amp;C&amp;1#&amp;"Arial"&amp;11&amp;K404040Restricted</oddFooter>
  </headerFooter>
  <drawing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Views>
    <sheetView topLeftCell="A53" zoomScaleNormal="100" workbookViewId="0">
      <selection activeCell="P74" sqref="P74"/>
    </sheetView>
  </sheetViews>
  <sheetFormatPr defaultRowHeight="15" x14ac:dyDescent="0.25"/>
  <cols>
    <col min="2" max="2" width="13.28515625" bestFit="1" customWidth="1"/>
    <col min="6" max="6" width="9" customWidth="1"/>
    <col min="7" max="7" width="7.140625" bestFit="1" customWidth="1"/>
    <col min="8" max="8" width="9.7109375" bestFit="1" customWidth="1"/>
    <col min="9" max="9" width="8" bestFit="1" customWidth="1"/>
    <col min="10" max="10" width="8.42578125" bestFit="1" customWidth="1"/>
    <col min="11" max="11" width="9.7109375" bestFit="1" customWidth="1"/>
    <col min="15" max="15" width="13.28515625" bestFit="1" customWidth="1"/>
  </cols>
  <sheetData>
    <row r="1" spans="1:7" ht="24" thickBot="1" x14ac:dyDescent="0.4">
      <c r="A1" s="38" t="s">
        <v>80</v>
      </c>
    </row>
    <row r="2" spans="1:7" ht="15.75" thickBot="1" x14ac:dyDescent="0.3">
      <c r="A2" s="25" t="s">
        <v>32</v>
      </c>
      <c r="B2" s="26" t="s">
        <v>33</v>
      </c>
      <c r="C2" s="27" t="s">
        <v>34</v>
      </c>
      <c r="D2" s="26" t="s">
        <v>35</v>
      </c>
      <c r="E2" s="26" t="s">
        <v>36</v>
      </c>
      <c r="F2" s="26" t="s">
        <v>37</v>
      </c>
      <c r="G2" s="48"/>
    </row>
    <row r="3" spans="1:7" ht="27" thickTop="1" thickBot="1" x14ac:dyDescent="0.3">
      <c r="A3" s="28" t="s">
        <v>38</v>
      </c>
      <c r="B3" s="29" t="s">
        <v>39</v>
      </c>
      <c r="C3" s="30" t="s">
        <v>40</v>
      </c>
      <c r="D3" s="29" t="s">
        <v>41</v>
      </c>
      <c r="E3" s="31">
        <v>13</v>
      </c>
      <c r="F3" s="29"/>
      <c r="G3" s="48"/>
    </row>
    <row r="4" spans="1:7" ht="39" thickBot="1" x14ac:dyDescent="0.3">
      <c r="A4" s="28" t="s">
        <v>42</v>
      </c>
      <c r="B4" s="29" t="s">
        <v>43</v>
      </c>
      <c r="C4" s="30" t="s">
        <v>44</v>
      </c>
      <c r="D4" s="29" t="s">
        <v>41</v>
      </c>
      <c r="E4" s="31">
        <v>12</v>
      </c>
      <c r="F4" s="29"/>
      <c r="G4" s="48"/>
    </row>
    <row r="5" spans="1:7" ht="26.25" thickBot="1" x14ac:dyDescent="0.3">
      <c r="A5" s="28" t="s">
        <v>45</v>
      </c>
      <c r="B5" s="29" t="s">
        <v>46</v>
      </c>
      <c r="C5" s="30" t="s">
        <v>47</v>
      </c>
      <c r="D5" s="29" t="s">
        <v>41</v>
      </c>
      <c r="E5" s="31">
        <v>12</v>
      </c>
      <c r="F5" s="29"/>
      <c r="G5" s="48"/>
    </row>
    <row r="6" spans="1:7" ht="26.25" thickBot="1" x14ac:dyDescent="0.3">
      <c r="A6" s="28" t="s">
        <v>45</v>
      </c>
      <c r="B6" s="29" t="s">
        <v>43</v>
      </c>
      <c r="C6" s="30" t="s">
        <v>48</v>
      </c>
      <c r="D6" s="29" t="s">
        <v>41</v>
      </c>
      <c r="E6" s="31">
        <v>8</v>
      </c>
      <c r="F6" s="29"/>
      <c r="G6" s="48"/>
    </row>
    <row r="7" spans="1:7" ht="26.25" thickBot="1" x14ac:dyDescent="0.3">
      <c r="A7" s="28" t="s">
        <v>45</v>
      </c>
      <c r="B7" s="29" t="s">
        <v>49</v>
      </c>
      <c r="C7" s="30" t="s">
        <v>50</v>
      </c>
      <c r="D7" s="29" t="s">
        <v>41</v>
      </c>
      <c r="E7" s="31">
        <v>14</v>
      </c>
      <c r="F7" s="29"/>
      <c r="G7" s="48"/>
    </row>
    <row r="8" spans="1:7" ht="26.25" thickBot="1" x14ac:dyDescent="0.3">
      <c r="A8" s="28" t="s">
        <v>45</v>
      </c>
      <c r="B8" s="29" t="s">
        <v>51</v>
      </c>
      <c r="C8" s="30" t="s">
        <v>52</v>
      </c>
      <c r="D8" s="29" t="s">
        <v>41</v>
      </c>
      <c r="E8" s="31">
        <v>10</v>
      </c>
      <c r="F8" s="29"/>
      <c r="G8" s="48"/>
    </row>
    <row r="9" spans="1:7" ht="39" thickBot="1" x14ac:dyDescent="0.3">
      <c r="A9" s="28" t="s">
        <v>45</v>
      </c>
      <c r="B9" s="29" t="s">
        <v>53</v>
      </c>
      <c r="C9" s="30" t="s">
        <v>54</v>
      </c>
      <c r="D9" s="29" t="s">
        <v>41</v>
      </c>
      <c r="E9" s="31">
        <v>14</v>
      </c>
      <c r="F9" s="29"/>
      <c r="G9" s="48"/>
    </row>
    <row r="10" spans="1:7" ht="15.75" thickBot="1" x14ac:dyDescent="0.3">
      <c r="A10" s="34" t="s">
        <v>79</v>
      </c>
      <c r="B10" s="35"/>
      <c r="C10" s="36"/>
      <c r="D10" s="35"/>
      <c r="E10" s="37">
        <f>AVERAGE(E3:E9)</f>
        <v>11.857142857142858</v>
      </c>
      <c r="F10" s="35"/>
      <c r="G10" s="49"/>
    </row>
    <row r="11" spans="1:7" ht="51.75" thickBot="1" x14ac:dyDescent="0.3">
      <c r="A11" s="28" t="s">
        <v>42</v>
      </c>
      <c r="B11" s="29" t="s">
        <v>55</v>
      </c>
      <c r="C11" s="30" t="s">
        <v>56</v>
      </c>
      <c r="D11" s="29" t="s">
        <v>57</v>
      </c>
      <c r="E11" s="31">
        <v>17</v>
      </c>
      <c r="F11" s="29"/>
      <c r="G11" s="48"/>
    </row>
    <row r="12" spans="1:7" ht="26.25" thickBot="1" x14ac:dyDescent="0.3">
      <c r="A12" s="28" t="s">
        <v>45</v>
      </c>
      <c r="B12" s="29" t="s">
        <v>58</v>
      </c>
      <c r="C12" s="30" t="s">
        <v>59</v>
      </c>
      <c r="D12" s="29" t="s">
        <v>57</v>
      </c>
      <c r="E12" s="31">
        <v>12</v>
      </c>
      <c r="F12" s="29"/>
      <c r="G12" s="48"/>
    </row>
    <row r="13" spans="1:7" ht="15.75" thickBot="1" x14ac:dyDescent="0.3">
      <c r="A13" s="34" t="s">
        <v>79</v>
      </c>
      <c r="B13" s="35"/>
      <c r="C13" s="36"/>
      <c r="D13" s="35"/>
      <c r="E13" s="37">
        <f>AVERAGE(E11:E12)</f>
        <v>14.5</v>
      </c>
      <c r="F13" s="35"/>
      <c r="G13" s="49"/>
    </row>
    <row r="14" spans="1:7" ht="26.25" thickBot="1" x14ac:dyDescent="0.3">
      <c r="A14" s="28" t="s">
        <v>60</v>
      </c>
      <c r="B14" s="29" t="s">
        <v>61</v>
      </c>
      <c r="C14" s="30" t="s">
        <v>62</v>
      </c>
      <c r="D14" s="29" t="s">
        <v>63</v>
      </c>
      <c r="E14" s="31">
        <v>22</v>
      </c>
      <c r="F14" s="29" t="s">
        <v>64</v>
      </c>
      <c r="G14" s="48"/>
    </row>
    <row r="15" spans="1:7" ht="26.25" thickBot="1" x14ac:dyDescent="0.3">
      <c r="A15" s="28" t="s">
        <v>60</v>
      </c>
      <c r="B15" s="29" t="s">
        <v>65</v>
      </c>
      <c r="C15" s="30" t="s">
        <v>66</v>
      </c>
      <c r="D15" s="29" t="s">
        <v>63</v>
      </c>
      <c r="E15" s="31">
        <v>36</v>
      </c>
      <c r="F15" s="29"/>
      <c r="G15" s="48"/>
    </row>
    <row r="16" spans="1:7" ht="26.25" thickBot="1" x14ac:dyDescent="0.3">
      <c r="A16" s="28" t="s">
        <v>45</v>
      </c>
      <c r="B16" s="29" t="s">
        <v>67</v>
      </c>
      <c r="C16" s="30" t="s">
        <v>68</v>
      </c>
      <c r="D16" s="29" t="s">
        <v>63</v>
      </c>
      <c r="E16" s="31">
        <v>25</v>
      </c>
      <c r="F16" s="29" t="s">
        <v>64</v>
      </c>
      <c r="G16" s="48"/>
    </row>
    <row r="17" spans="1:7" ht="26.25" thickBot="1" x14ac:dyDescent="0.3">
      <c r="A17" s="28" t="s">
        <v>45</v>
      </c>
      <c r="B17" s="29" t="s">
        <v>69</v>
      </c>
      <c r="C17" s="30" t="s">
        <v>70</v>
      </c>
      <c r="D17" s="29" t="s">
        <v>63</v>
      </c>
      <c r="E17" s="31">
        <v>19</v>
      </c>
      <c r="F17" s="29"/>
      <c r="G17" s="48"/>
    </row>
    <row r="18" spans="1:7" ht="39" thickBot="1" x14ac:dyDescent="0.3">
      <c r="A18" s="28" t="s">
        <v>45</v>
      </c>
      <c r="B18" s="29" t="s">
        <v>69</v>
      </c>
      <c r="C18" s="30" t="s">
        <v>71</v>
      </c>
      <c r="D18" s="29" t="s">
        <v>63</v>
      </c>
      <c r="E18" s="31">
        <v>21</v>
      </c>
      <c r="F18" s="29" t="s">
        <v>64</v>
      </c>
      <c r="G18" s="48"/>
    </row>
    <row r="19" spans="1:7" ht="15.75" thickBot="1" x14ac:dyDescent="0.3">
      <c r="A19" s="34" t="s">
        <v>79</v>
      </c>
      <c r="B19" s="35"/>
      <c r="C19" s="36"/>
      <c r="D19" s="35"/>
      <c r="E19" s="37">
        <f>AVERAGE(E14:E18)</f>
        <v>24.6</v>
      </c>
      <c r="F19" s="35"/>
      <c r="G19" s="49"/>
    </row>
    <row r="20" spans="1:7" ht="15.75" thickBot="1" x14ac:dyDescent="0.3">
      <c r="A20" s="28" t="s">
        <v>72</v>
      </c>
      <c r="B20" s="29" t="s">
        <v>73</v>
      </c>
      <c r="C20" s="30" t="s">
        <v>73</v>
      </c>
      <c r="D20" s="29" t="s">
        <v>74</v>
      </c>
      <c r="E20" s="33">
        <v>20</v>
      </c>
      <c r="F20" s="29"/>
      <c r="G20" s="48"/>
    </row>
    <row r="21" spans="1:7" ht="39" thickBot="1" x14ac:dyDescent="0.3">
      <c r="A21" s="28" t="s">
        <v>42</v>
      </c>
      <c r="B21" s="29" t="s">
        <v>55</v>
      </c>
      <c r="C21" s="30" t="s">
        <v>75</v>
      </c>
      <c r="D21" s="29" t="s">
        <v>74</v>
      </c>
      <c r="E21" s="31">
        <v>13</v>
      </c>
      <c r="F21" s="29" t="s">
        <v>76</v>
      </c>
      <c r="G21" s="48"/>
    </row>
    <row r="22" spans="1:7" ht="26.25" thickBot="1" x14ac:dyDescent="0.3">
      <c r="A22" s="28" t="s">
        <v>60</v>
      </c>
      <c r="B22" s="29" t="s">
        <v>65</v>
      </c>
      <c r="C22" s="30" t="s">
        <v>77</v>
      </c>
      <c r="D22" s="29" t="s">
        <v>74</v>
      </c>
      <c r="E22" s="31">
        <v>14</v>
      </c>
      <c r="F22" s="29" t="s">
        <v>64</v>
      </c>
      <c r="G22" s="48"/>
    </row>
    <row r="23" spans="1:7" ht="26.25" thickBot="1" x14ac:dyDescent="0.3">
      <c r="A23" s="28" t="s">
        <v>45</v>
      </c>
      <c r="B23" s="29" t="s">
        <v>58</v>
      </c>
      <c r="C23" s="30" t="s">
        <v>78</v>
      </c>
      <c r="D23" s="29" t="s">
        <v>74</v>
      </c>
      <c r="E23" s="32">
        <v>9.5</v>
      </c>
      <c r="F23" s="29"/>
      <c r="G23" s="48"/>
    </row>
    <row r="24" spans="1:7" ht="15.75" thickBot="1" x14ac:dyDescent="0.3">
      <c r="A24" s="34" t="s">
        <v>79</v>
      </c>
      <c r="B24" s="35"/>
      <c r="C24" s="36"/>
      <c r="D24" s="35"/>
      <c r="E24" s="37">
        <f>AVERAGE(E20:E23)</f>
        <v>14.125</v>
      </c>
      <c r="F24" s="35"/>
      <c r="G24" s="49"/>
    </row>
    <row r="27" spans="1:7" ht="24" thickBot="1" x14ac:dyDescent="0.4">
      <c r="A27" s="38" t="s">
        <v>81</v>
      </c>
    </row>
    <row r="28" spans="1:7" ht="15.75" thickBot="1" x14ac:dyDescent="0.3">
      <c r="A28" s="25" t="s">
        <v>32</v>
      </c>
      <c r="B28" s="271" t="s">
        <v>36</v>
      </c>
      <c r="C28" s="272"/>
      <c r="D28" s="26"/>
    </row>
    <row r="29" spans="1:7" ht="16.5" thickTop="1" thickBot="1" x14ac:dyDescent="0.3">
      <c r="A29" s="28" t="s">
        <v>82</v>
      </c>
      <c r="B29" s="31" t="s">
        <v>83</v>
      </c>
      <c r="C29" s="29" t="s">
        <v>84</v>
      </c>
      <c r="D29" s="29"/>
    </row>
    <row r="30" spans="1:7" ht="26.25" thickBot="1" x14ac:dyDescent="0.3">
      <c r="A30" s="28" t="s">
        <v>87</v>
      </c>
      <c r="B30" s="32">
        <f>6.39/500</f>
        <v>1.278E-2</v>
      </c>
      <c r="C30" s="29" t="s">
        <v>84</v>
      </c>
      <c r="D30" s="29" t="s">
        <v>86</v>
      </c>
    </row>
    <row r="31" spans="1:7" ht="26.25" thickBot="1" x14ac:dyDescent="0.3">
      <c r="A31" s="28" t="s">
        <v>87</v>
      </c>
      <c r="B31" s="32">
        <f>2.56/500</f>
        <v>5.1200000000000004E-3</v>
      </c>
      <c r="C31" s="29" t="s">
        <v>84</v>
      </c>
      <c r="D31" s="29" t="s">
        <v>88</v>
      </c>
    </row>
    <row r="32" spans="1:7" ht="26.25" thickBot="1" x14ac:dyDescent="0.3">
      <c r="A32" s="28" t="s">
        <v>85</v>
      </c>
      <c r="B32" s="32">
        <f>10.79/500</f>
        <v>2.1579999999999998E-2</v>
      </c>
      <c r="C32" s="29" t="s">
        <v>84</v>
      </c>
      <c r="D32" s="29" t="s">
        <v>86</v>
      </c>
    </row>
    <row r="33" spans="1:6" ht="26.25" thickBot="1" x14ac:dyDescent="0.3">
      <c r="A33" s="28" t="s">
        <v>85</v>
      </c>
      <c r="B33" s="32">
        <f>10.79/500</f>
        <v>2.1579999999999998E-2</v>
      </c>
      <c r="C33" s="29" t="s">
        <v>84</v>
      </c>
      <c r="D33" s="29" t="s">
        <v>86</v>
      </c>
    </row>
    <row r="35" spans="1:6" x14ac:dyDescent="0.25">
      <c r="A35" s="39" t="s">
        <v>90</v>
      </c>
      <c r="B35">
        <v>120</v>
      </c>
      <c r="C35">
        <v>87600</v>
      </c>
    </row>
    <row r="36" spans="1:6" x14ac:dyDescent="0.25">
      <c r="A36" s="39" t="s">
        <v>89</v>
      </c>
      <c r="B36">
        <v>100</v>
      </c>
    </row>
    <row r="37" spans="1:6" x14ac:dyDescent="0.25">
      <c r="A37" s="39" t="s">
        <v>91</v>
      </c>
      <c r="B37">
        <v>2</v>
      </c>
    </row>
    <row r="38" spans="1:6" x14ac:dyDescent="0.25">
      <c r="A38" s="39" t="s">
        <v>92</v>
      </c>
      <c r="B38">
        <v>340000</v>
      </c>
    </row>
    <row r="39" spans="1:6" x14ac:dyDescent="0.25">
      <c r="A39" s="50" t="s">
        <v>111</v>
      </c>
      <c r="B39">
        <f>1/B38</f>
        <v>2.9411764705882355E-6</v>
      </c>
    </row>
    <row r="40" spans="1:6" x14ac:dyDescent="0.25">
      <c r="A40" s="39"/>
    </row>
    <row r="41" spans="1:6" x14ac:dyDescent="0.25">
      <c r="A41" s="39"/>
      <c r="B41" t="s">
        <v>41</v>
      </c>
      <c r="C41" t="s">
        <v>100</v>
      </c>
      <c r="D41" t="s">
        <v>74</v>
      </c>
      <c r="E41" t="s">
        <v>57</v>
      </c>
    </row>
    <row r="42" spans="1:6" x14ac:dyDescent="0.25">
      <c r="A42" s="39" t="s">
        <v>99</v>
      </c>
      <c r="B42" s="44">
        <v>12</v>
      </c>
      <c r="C42" s="44">
        <v>14</v>
      </c>
      <c r="D42" s="44">
        <v>14</v>
      </c>
      <c r="E42" s="44">
        <v>15</v>
      </c>
    </row>
    <row r="43" spans="1:6" x14ac:dyDescent="0.25">
      <c r="A43" s="39" t="s">
        <v>101</v>
      </c>
      <c r="B43" s="252">
        <v>800</v>
      </c>
      <c r="C43" s="252"/>
      <c r="D43" s="44"/>
      <c r="E43" s="44"/>
    </row>
    <row r="44" spans="1:6" x14ac:dyDescent="0.25">
      <c r="A44" s="39" t="s">
        <v>102</v>
      </c>
      <c r="B44" s="252">
        <v>150</v>
      </c>
      <c r="C44" s="252"/>
      <c r="D44" s="44"/>
      <c r="E44" s="44"/>
      <c r="F44" t="s">
        <v>106</v>
      </c>
    </row>
    <row r="45" spans="1:6" x14ac:dyDescent="0.25">
      <c r="A45" s="39" t="s">
        <v>103</v>
      </c>
      <c r="B45" s="252">
        <v>550</v>
      </c>
      <c r="C45" s="252"/>
      <c r="D45" s="44"/>
      <c r="E45" s="44"/>
      <c r="F45" t="s">
        <v>107</v>
      </c>
    </row>
    <row r="46" spans="1:6" x14ac:dyDescent="0.25">
      <c r="A46" s="39" t="s">
        <v>104</v>
      </c>
      <c r="B46" s="45"/>
      <c r="C46" s="45"/>
      <c r="D46" s="273">
        <v>0.02</v>
      </c>
      <c r="E46" s="273"/>
      <c r="F46" t="s">
        <v>108</v>
      </c>
    </row>
    <row r="47" spans="1:6" x14ac:dyDescent="0.25">
      <c r="A47" s="39" t="s">
        <v>105</v>
      </c>
      <c r="B47" s="252">
        <v>120</v>
      </c>
      <c r="C47" s="252"/>
      <c r="D47" s="44"/>
      <c r="E47" s="44"/>
      <c r="F47" t="s">
        <v>109</v>
      </c>
    </row>
    <row r="48" spans="1:6" x14ac:dyDescent="0.25">
      <c r="A48" s="39" t="s">
        <v>110</v>
      </c>
      <c r="B48" s="252">
        <v>70</v>
      </c>
      <c r="C48" s="252"/>
      <c r="D48" s="44"/>
      <c r="E48" s="44"/>
      <c r="F48" t="s">
        <v>22</v>
      </c>
    </row>
    <row r="49" spans="1:15" x14ac:dyDescent="0.25">
      <c r="A49" s="39"/>
    </row>
    <row r="50" spans="1:15" x14ac:dyDescent="0.25">
      <c r="A50" s="39" t="s">
        <v>98</v>
      </c>
      <c r="B50" t="s">
        <v>94</v>
      </c>
      <c r="C50" t="s">
        <v>95</v>
      </c>
      <c r="D50" t="s">
        <v>96</v>
      </c>
      <c r="E50" t="s">
        <v>97</v>
      </c>
    </row>
    <row r="51" spans="1:15" x14ac:dyDescent="0.25">
      <c r="A51" s="39" t="s">
        <v>93</v>
      </c>
      <c r="B51">
        <f>'Ch. 2.3 Monthly Data'!B26+'Ch. 2.3 Monthly Data'!B27</f>
        <v>706.2412955465586</v>
      </c>
      <c r="C51">
        <f>'Ch. 2.3 Monthly Data'!B28+'Ch. 2.3 Monthly Data'!B29</f>
        <v>141.24825910931173</v>
      </c>
      <c r="D51">
        <f>'Ch. 2.3 Monthly Data'!B30+'Ch. 2.3 Monthly Data'!B31</f>
        <v>35.312064777327933</v>
      </c>
      <c r="E51">
        <f>'Ch. 2.3 Monthly Data'!B32+'Ch. 2.3 Monthly Data'!B33</f>
        <v>3.5312064777327938</v>
      </c>
      <c r="F51" t="s">
        <v>1</v>
      </c>
    </row>
    <row r="52" spans="1:15" x14ac:dyDescent="0.25">
      <c r="A52" s="39" t="s">
        <v>93</v>
      </c>
      <c r="B52">
        <f>'Ch. 2.3 Monthly Data'!D26</f>
        <v>112.32</v>
      </c>
      <c r="C52">
        <f>'Ch. 2.3 Monthly Data'!D28</f>
        <v>22.463999999999999</v>
      </c>
      <c r="D52">
        <f>'Ch. 2.3 Monthly Data'!D30</f>
        <v>5.6159999999999997</v>
      </c>
      <c r="E52">
        <f>'Ch. 2.3 Monthly Data'!D32</f>
        <v>0.56159999999999999</v>
      </c>
      <c r="F52" t="s">
        <v>2</v>
      </c>
    </row>
    <row r="53" spans="1:15" x14ac:dyDescent="0.25">
      <c r="A53" s="39"/>
    </row>
    <row r="54" spans="1:15" x14ac:dyDescent="0.25">
      <c r="A54" s="59"/>
      <c r="B54" s="59"/>
      <c r="C54" s="59"/>
      <c r="D54" s="59"/>
      <c r="E54" s="63"/>
    </row>
    <row r="55" spans="1:15" ht="18.75" thickBot="1" x14ac:dyDescent="0.4">
      <c r="A55" s="60"/>
      <c r="B55" s="61"/>
      <c r="C55" s="61"/>
      <c r="D55" s="62"/>
      <c r="E55" s="62" t="s">
        <v>98</v>
      </c>
      <c r="F55" s="53" t="s">
        <v>112</v>
      </c>
      <c r="G55" s="54" t="s">
        <v>113</v>
      </c>
      <c r="H55" s="55" t="s">
        <v>114</v>
      </c>
      <c r="I55" s="56" t="s">
        <v>115</v>
      </c>
      <c r="J55" s="57" t="s">
        <v>116</v>
      </c>
      <c r="K55" s="58" t="s">
        <v>117</v>
      </c>
    </row>
    <row r="56" spans="1:15" ht="15" customHeight="1" x14ac:dyDescent="0.25">
      <c r="A56" s="265" t="s">
        <v>367</v>
      </c>
      <c r="B56" s="266"/>
      <c r="C56" s="265" t="s">
        <v>74</v>
      </c>
      <c r="D56" s="266"/>
      <c r="E56" s="51" t="s">
        <v>94</v>
      </c>
      <c r="F56" s="64">
        <f>B36*D42</f>
        <v>1400</v>
      </c>
      <c r="G56" s="65"/>
      <c r="H56" s="66">
        <f>B35*B36*B51*D46</f>
        <v>169497.91093117406</v>
      </c>
      <c r="I56" s="67">
        <f>B36*(1/B38)*C35*D42+B36*(1/B38)*C35*((1/2)*B45)</f>
        <v>7446.0000000000009</v>
      </c>
      <c r="J56" s="68"/>
      <c r="K56" s="69">
        <f t="shared" ref="K56:K67" si="0">F56+G56+H56+I56+J56</f>
        <v>178343.91093117406</v>
      </c>
      <c r="O56" s="46"/>
    </row>
    <row r="57" spans="1:15" x14ac:dyDescent="0.25">
      <c r="A57" s="267"/>
      <c r="B57" s="268"/>
      <c r="C57" s="267"/>
      <c r="D57" s="268"/>
      <c r="E57" s="47" t="s">
        <v>95</v>
      </c>
      <c r="F57" s="70">
        <f>B36*D42</f>
        <v>1400</v>
      </c>
      <c r="G57" s="71"/>
      <c r="H57" s="72">
        <f>B35*B36*C51*D46</f>
        <v>33899.582186234817</v>
      </c>
      <c r="I57" s="73">
        <f>B36*(1/B38)*C35*D42+B36*(1/B38)*C35*((1/2)*B45)</f>
        <v>7446.0000000000009</v>
      </c>
      <c r="J57" s="74"/>
      <c r="K57" s="69">
        <f t="shared" si="0"/>
        <v>42745.582186234817</v>
      </c>
    </row>
    <row r="58" spans="1:15" x14ac:dyDescent="0.25">
      <c r="A58" s="267"/>
      <c r="B58" s="268"/>
      <c r="C58" s="267"/>
      <c r="D58" s="268"/>
      <c r="E58" s="47" t="s">
        <v>96</v>
      </c>
      <c r="F58" s="70">
        <f>B36*D42</f>
        <v>1400</v>
      </c>
      <c r="G58" s="71"/>
      <c r="H58" s="72">
        <f>B35*B36*D51*D46</f>
        <v>8474.8955465587042</v>
      </c>
      <c r="I58" s="73">
        <f>B36*(1/B38)*C35*D42+B36*(1/B38)*C35*((1/2)*B45)</f>
        <v>7446.0000000000009</v>
      </c>
      <c r="J58" s="74"/>
      <c r="K58" s="69">
        <f>F58+G58+H58+I58+J58</f>
        <v>17320.895546558706</v>
      </c>
    </row>
    <row r="59" spans="1:15" x14ac:dyDescent="0.25">
      <c r="A59" s="267"/>
      <c r="B59" s="268"/>
      <c r="C59" s="267"/>
      <c r="D59" s="268"/>
      <c r="E59" s="47" t="s">
        <v>97</v>
      </c>
      <c r="F59" s="70">
        <f>B36*D42</f>
        <v>1400</v>
      </c>
      <c r="G59" s="71"/>
      <c r="H59" s="72">
        <f>B35*B36*E51*D46</f>
        <v>847.48955465587051</v>
      </c>
      <c r="I59" s="73">
        <f>B36*(1/B38)*C35*D42+B36*(1/B38)*C35*((1/2)*B45)</f>
        <v>7446.0000000000009</v>
      </c>
      <c r="J59" s="74"/>
      <c r="K59" s="69">
        <f t="shared" si="0"/>
        <v>9693.489554655871</v>
      </c>
    </row>
    <row r="60" spans="1:15" x14ac:dyDescent="0.25">
      <c r="A60" s="267" t="s">
        <v>368</v>
      </c>
      <c r="B60" s="268"/>
      <c r="C60" s="267" t="s">
        <v>74</v>
      </c>
      <c r="D60" s="268"/>
      <c r="E60" s="47" t="s">
        <v>94</v>
      </c>
      <c r="F60" s="70">
        <f>B36*D42</f>
        <v>1400</v>
      </c>
      <c r="G60" s="71"/>
      <c r="H60" s="72">
        <f>B35*B36*B52*D46</f>
        <v>26956.799999999999</v>
      </c>
      <c r="I60" s="73">
        <f>B36*(1/B38)*C35*D42+B36*(1/B38)*C35*((1/2)*B45)</f>
        <v>7446.0000000000009</v>
      </c>
      <c r="J60" s="74"/>
      <c r="K60" s="69">
        <f t="shared" si="0"/>
        <v>35802.800000000003</v>
      </c>
    </row>
    <row r="61" spans="1:15" x14ac:dyDescent="0.25">
      <c r="A61" s="267"/>
      <c r="B61" s="268"/>
      <c r="C61" s="267"/>
      <c r="D61" s="268"/>
      <c r="E61" s="47" t="s">
        <v>95</v>
      </c>
      <c r="F61" s="70">
        <f>B36*D42</f>
        <v>1400</v>
      </c>
      <c r="G61" s="71"/>
      <c r="H61" s="72">
        <f>B35*B36*C52*D46</f>
        <v>5391.36</v>
      </c>
      <c r="I61" s="73">
        <f>B36*(1/B38)*C35*D42+B36*(1/B38)*C35*((1/2)*B45)</f>
        <v>7446.0000000000009</v>
      </c>
      <c r="J61" s="74"/>
      <c r="K61" s="69">
        <f t="shared" si="0"/>
        <v>14237.36</v>
      </c>
    </row>
    <row r="62" spans="1:15" x14ac:dyDescent="0.25">
      <c r="A62" s="267"/>
      <c r="B62" s="268"/>
      <c r="C62" s="267"/>
      <c r="D62" s="268"/>
      <c r="E62" s="47" t="s">
        <v>96</v>
      </c>
      <c r="F62" s="70">
        <f>B36*D42</f>
        <v>1400</v>
      </c>
      <c r="G62" s="71"/>
      <c r="H62" s="72">
        <f>B35*B36*D52*D46</f>
        <v>1347.84</v>
      </c>
      <c r="I62" s="73">
        <f>B36*(1/B38)*C35*D42+B36*(1/B38)*C35*((1/2)*B45)</f>
        <v>7446.0000000000009</v>
      </c>
      <c r="J62" s="74"/>
      <c r="K62" s="69">
        <f t="shared" si="0"/>
        <v>10193.84</v>
      </c>
    </row>
    <row r="63" spans="1:15" ht="15.75" thickBot="1" x14ac:dyDescent="0.3">
      <c r="A63" s="269"/>
      <c r="B63" s="270"/>
      <c r="C63" s="269"/>
      <c r="D63" s="270"/>
      <c r="E63" s="52" t="s">
        <v>97</v>
      </c>
      <c r="F63" s="75">
        <f>B36*D42</f>
        <v>1400</v>
      </c>
      <c r="G63" s="76"/>
      <c r="H63" s="77">
        <f>B35*B36*E52*D46</f>
        <v>134.78399999999999</v>
      </c>
      <c r="I63" s="78">
        <f>B36*(1/B38)*C35*D42+B36*(1/B38)*C35*((1/2)*B45)</f>
        <v>7446.0000000000009</v>
      </c>
      <c r="J63" s="79"/>
      <c r="K63" s="80">
        <f t="shared" si="0"/>
        <v>8980.7840000000015</v>
      </c>
    </row>
    <row r="64" spans="1:15" x14ac:dyDescent="0.25">
      <c r="A64" s="253" t="s">
        <v>369</v>
      </c>
      <c r="B64" s="254"/>
      <c r="C64" s="259" t="s">
        <v>41</v>
      </c>
      <c r="D64" s="260"/>
      <c r="E64" s="51"/>
      <c r="F64" s="64">
        <f>(B36*B42+B37*B43+B37*B44)</f>
        <v>3100</v>
      </c>
      <c r="G64" s="65">
        <f>B37*((1/2)*B45)</f>
        <v>550</v>
      </c>
      <c r="H64" s="66">
        <f>B35*(B37*B47+B37*B48)</f>
        <v>45600</v>
      </c>
      <c r="I64" s="67">
        <f>B36*B39*C35*B42+B36*B39*C35*((1/2)*B45)+B37*B39*C35*B43+B37*B39*C35*((1/2)*B45)</f>
        <v>7948.4117647058829</v>
      </c>
      <c r="J64" s="68">
        <f>B37*((1/2)*B45)</f>
        <v>550</v>
      </c>
      <c r="K64" s="69">
        <f t="shared" si="0"/>
        <v>57748.411764705881</v>
      </c>
    </row>
    <row r="65" spans="1:11" ht="15.75" thickBot="1" x14ac:dyDescent="0.3">
      <c r="A65" s="255"/>
      <c r="B65" s="256"/>
      <c r="C65" s="261" t="s">
        <v>100</v>
      </c>
      <c r="D65" s="262"/>
      <c r="E65" s="52"/>
      <c r="F65" s="75">
        <f>(B36*C42+B37*B43+B37*B44)</f>
        <v>3300</v>
      </c>
      <c r="G65" s="76">
        <f>B37*((1/2)*B45)</f>
        <v>550</v>
      </c>
      <c r="H65" s="77">
        <f>B35*(B37*B47+B37*B48)</f>
        <v>45600</v>
      </c>
      <c r="I65" s="78">
        <f>B36*B39*C35*C42+B36*B39*C35*((1/2)*B45)+B37*B39*C35*B43+B37*B39*C35*((1/2)*B45)</f>
        <v>7999.9411764705892</v>
      </c>
      <c r="J65" s="79">
        <f>B37*((1/2)*B45)</f>
        <v>550</v>
      </c>
      <c r="K65" s="81">
        <f t="shared" si="0"/>
        <v>57999.941176470587</v>
      </c>
    </row>
    <row r="66" spans="1:11" x14ac:dyDescent="0.25">
      <c r="A66" s="253" t="s">
        <v>370</v>
      </c>
      <c r="B66" s="254"/>
      <c r="C66" s="259" t="s">
        <v>41</v>
      </c>
      <c r="D66" s="260"/>
      <c r="E66" s="51"/>
      <c r="F66" s="64">
        <f>(B36*B42+B37*B43+B37*B44)</f>
        <v>3100</v>
      </c>
      <c r="G66" s="65">
        <f>B37*((1/2)*B45)</f>
        <v>550</v>
      </c>
      <c r="H66" s="66"/>
      <c r="I66" s="67">
        <f>B36*B39*C35*B42+B36*B39*C35*((1/2)*B45)+B37*B39*C35*B43+B37*B39*C35*((1/2)*B45)</f>
        <v>7948.4117647058829</v>
      </c>
      <c r="J66" s="68">
        <f>B37*((1/2)*B45)</f>
        <v>550</v>
      </c>
      <c r="K66" s="69">
        <f t="shared" si="0"/>
        <v>12148.411764705883</v>
      </c>
    </row>
    <row r="67" spans="1:11" x14ac:dyDescent="0.25">
      <c r="A67" s="257"/>
      <c r="B67" s="258"/>
      <c r="C67" s="263" t="s">
        <v>100</v>
      </c>
      <c r="D67" s="264"/>
      <c r="E67" s="51"/>
      <c r="F67" s="64">
        <f>(B36*C42+B37*B43+B37*B44)</f>
        <v>3300</v>
      </c>
      <c r="G67" s="65">
        <f>B37*((1/2)*B45)</f>
        <v>550</v>
      </c>
      <c r="H67" s="66"/>
      <c r="I67" s="67">
        <f>B36*B39*C35*C42+B36*B39*C35*((1/2)*B45)+B37*B39*C35*B43+B37*B39*C35*((1/2)*B45)</f>
        <v>7999.9411764705892</v>
      </c>
      <c r="J67" s="68">
        <f>B37*((1/2)*B45)</f>
        <v>550</v>
      </c>
      <c r="K67" s="69">
        <f t="shared" si="0"/>
        <v>12399.941176470589</v>
      </c>
    </row>
  </sheetData>
  <mergeCells count="17">
    <mergeCell ref="B28:C28"/>
    <mergeCell ref="B43:C43"/>
    <mergeCell ref="B44:C44"/>
    <mergeCell ref="B45:C45"/>
    <mergeCell ref="D46:E46"/>
    <mergeCell ref="B47:C47"/>
    <mergeCell ref="A64:B65"/>
    <mergeCell ref="A66:B67"/>
    <mergeCell ref="C64:D64"/>
    <mergeCell ref="C65:D65"/>
    <mergeCell ref="C66:D66"/>
    <mergeCell ref="C67:D67"/>
    <mergeCell ref="B48:C48"/>
    <mergeCell ref="C56:D59"/>
    <mergeCell ref="C60:D63"/>
    <mergeCell ref="A56:B59"/>
    <mergeCell ref="A60:B63"/>
  </mergeCells>
  <pageMargins left="0.7" right="0.7" top="0.75" bottom="0.75" header="0.3" footer="0.3"/>
  <pageSetup orientation="portrait" verticalDpi="1200" r:id="rId1"/>
  <headerFooter>
    <oddFooter>&amp;C&amp;1#&amp;"Arial"&amp;11&amp;K404040Restricted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Views>
    <sheetView topLeftCell="A45" zoomScaleNormal="100" workbookViewId="0">
      <selection activeCell="S77" sqref="S77"/>
    </sheetView>
  </sheetViews>
  <sheetFormatPr defaultRowHeight="15" x14ac:dyDescent="0.25"/>
  <cols>
    <col min="2" max="2" width="13.28515625" bestFit="1" customWidth="1"/>
    <col min="6" max="6" width="9" customWidth="1"/>
    <col min="7" max="7" width="7.140625" bestFit="1" customWidth="1"/>
    <col min="8" max="8" width="9.7109375" bestFit="1" customWidth="1"/>
    <col min="9" max="9" width="8" bestFit="1" customWidth="1"/>
    <col min="10" max="10" width="8.42578125" bestFit="1" customWidth="1"/>
    <col min="11" max="11" width="9.7109375" bestFit="1" customWidth="1"/>
    <col min="15" max="15" width="13.28515625" bestFit="1" customWidth="1"/>
  </cols>
  <sheetData>
    <row r="1" spans="1:7" ht="24" thickBot="1" x14ac:dyDescent="0.4">
      <c r="A1" s="38" t="s">
        <v>80</v>
      </c>
    </row>
    <row r="2" spans="1:7" ht="15.75" thickBot="1" x14ac:dyDescent="0.3">
      <c r="A2" s="25" t="s">
        <v>32</v>
      </c>
      <c r="B2" s="84" t="s">
        <v>33</v>
      </c>
      <c r="C2" s="27" t="s">
        <v>34</v>
      </c>
      <c r="D2" s="84" t="s">
        <v>35</v>
      </c>
      <c r="E2" s="84" t="s">
        <v>36</v>
      </c>
      <c r="F2" s="84" t="s">
        <v>37</v>
      </c>
      <c r="G2" s="48"/>
    </row>
    <row r="3" spans="1:7" ht="27" thickTop="1" thickBot="1" x14ac:dyDescent="0.3">
      <c r="A3" s="28" t="s">
        <v>38</v>
      </c>
      <c r="B3" s="29" t="s">
        <v>39</v>
      </c>
      <c r="C3" s="30" t="s">
        <v>40</v>
      </c>
      <c r="D3" s="29" t="s">
        <v>41</v>
      </c>
      <c r="E3" s="31">
        <v>13</v>
      </c>
      <c r="F3" s="29"/>
      <c r="G3" s="48"/>
    </row>
    <row r="4" spans="1:7" ht="39" thickBot="1" x14ac:dyDescent="0.3">
      <c r="A4" s="28" t="s">
        <v>42</v>
      </c>
      <c r="B4" s="29" t="s">
        <v>43</v>
      </c>
      <c r="C4" s="30" t="s">
        <v>44</v>
      </c>
      <c r="D4" s="29" t="s">
        <v>41</v>
      </c>
      <c r="E4" s="31">
        <v>12</v>
      </c>
      <c r="F4" s="29"/>
      <c r="G4" s="48"/>
    </row>
    <row r="5" spans="1:7" ht="26.25" thickBot="1" x14ac:dyDescent="0.3">
      <c r="A5" s="28" t="s">
        <v>45</v>
      </c>
      <c r="B5" s="29" t="s">
        <v>46</v>
      </c>
      <c r="C5" s="30" t="s">
        <v>47</v>
      </c>
      <c r="D5" s="29" t="s">
        <v>41</v>
      </c>
      <c r="E5" s="31">
        <v>12</v>
      </c>
      <c r="F5" s="29"/>
      <c r="G5" s="48"/>
    </row>
    <row r="6" spans="1:7" ht="26.25" thickBot="1" x14ac:dyDescent="0.3">
      <c r="A6" s="28" t="s">
        <v>45</v>
      </c>
      <c r="B6" s="29" t="s">
        <v>43</v>
      </c>
      <c r="C6" s="30" t="s">
        <v>48</v>
      </c>
      <c r="D6" s="29" t="s">
        <v>41</v>
      </c>
      <c r="E6" s="31">
        <v>8</v>
      </c>
      <c r="F6" s="29"/>
      <c r="G6" s="48"/>
    </row>
    <row r="7" spans="1:7" ht="26.25" thickBot="1" x14ac:dyDescent="0.3">
      <c r="A7" s="28" t="s">
        <v>45</v>
      </c>
      <c r="B7" s="29" t="s">
        <v>49</v>
      </c>
      <c r="C7" s="30" t="s">
        <v>50</v>
      </c>
      <c r="D7" s="29" t="s">
        <v>41</v>
      </c>
      <c r="E7" s="31">
        <v>14</v>
      </c>
      <c r="F7" s="29"/>
      <c r="G7" s="48"/>
    </row>
    <row r="8" spans="1:7" ht="26.25" thickBot="1" x14ac:dyDescent="0.3">
      <c r="A8" s="28" t="s">
        <v>45</v>
      </c>
      <c r="B8" s="29" t="s">
        <v>51</v>
      </c>
      <c r="C8" s="30" t="s">
        <v>52</v>
      </c>
      <c r="D8" s="29" t="s">
        <v>41</v>
      </c>
      <c r="E8" s="31">
        <v>10</v>
      </c>
      <c r="F8" s="29"/>
      <c r="G8" s="48"/>
    </row>
    <row r="9" spans="1:7" ht="39" thickBot="1" x14ac:dyDescent="0.3">
      <c r="A9" s="28" t="s">
        <v>45</v>
      </c>
      <c r="B9" s="29" t="s">
        <v>53</v>
      </c>
      <c r="C9" s="30" t="s">
        <v>54</v>
      </c>
      <c r="D9" s="29" t="s">
        <v>41</v>
      </c>
      <c r="E9" s="31">
        <v>14</v>
      </c>
      <c r="F9" s="29"/>
      <c r="G9" s="48"/>
    </row>
    <row r="10" spans="1:7" ht="15.75" thickBot="1" x14ac:dyDescent="0.3">
      <c r="A10" s="34" t="s">
        <v>79</v>
      </c>
      <c r="B10" s="35"/>
      <c r="C10" s="36"/>
      <c r="D10" s="35"/>
      <c r="E10" s="37">
        <f>AVERAGE(E3:E9)</f>
        <v>11.857142857142858</v>
      </c>
      <c r="F10" s="35"/>
      <c r="G10" s="49"/>
    </row>
    <row r="11" spans="1:7" ht="51.75" thickBot="1" x14ac:dyDescent="0.3">
      <c r="A11" s="28" t="s">
        <v>42</v>
      </c>
      <c r="B11" s="29" t="s">
        <v>55</v>
      </c>
      <c r="C11" s="30" t="s">
        <v>56</v>
      </c>
      <c r="D11" s="29" t="s">
        <v>57</v>
      </c>
      <c r="E11" s="31">
        <v>17</v>
      </c>
      <c r="F11" s="29"/>
      <c r="G11" s="48"/>
    </row>
    <row r="12" spans="1:7" ht="26.25" thickBot="1" x14ac:dyDescent="0.3">
      <c r="A12" s="28" t="s">
        <v>45</v>
      </c>
      <c r="B12" s="29" t="s">
        <v>58</v>
      </c>
      <c r="C12" s="30" t="s">
        <v>59</v>
      </c>
      <c r="D12" s="29" t="s">
        <v>57</v>
      </c>
      <c r="E12" s="31">
        <v>12</v>
      </c>
      <c r="F12" s="29"/>
      <c r="G12" s="48"/>
    </row>
    <row r="13" spans="1:7" ht="15.75" thickBot="1" x14ac:dyDescent="0.3">
      <c r="A13" s="34" t="s">
        <v>79</v>
      </c>
      <c r="B13" s="35"/>
      <c r="C13" s="36"/>
      <c r="D13" s="35"/>
      <c r="E13" s="37">
        <f>AVERAGE(E11:E12)</f>
        <v>14.5</v>
      </c>
      <c r="F13" s="35"/>
      <c r="G13" s="49"/>
    </row>
    <row r="14" spans="1:7" ht="26.25" thickBot="1" x14ac:dyDescent="0.3">
      <c r="A14" s="28" t="s">
        <v>60</v>
      </c>
      <c r="B14" s="29" t="s">
        <v>61</v>
      </c>
      <c r="C14" s="30" t="s">
        <v>62</v>
      </c>
      <c r="D14" s="29" t="s">
        <v>63</v>
      </c>
      <c r="E14" s="31">
        <v>22</v>
      </c>
      <c r="F14" s="29" t="s">
        <v>64</v>
      </c>
      <c r="G14" s="48"/>
    </row>
    <row r="15" spans="1:7" ht="26.25" thickBot="1" x14ac:dyDescent="0.3">
      <c r="A15" s="28" t="s">
        <v>60</v>
      </c>
      <c r="B15" s="29" t="s">
        <v>65</v>
      </c>
      <c r="C15" s="30" t="s">
        <v>66</v>
      </c>
      <c r="D15" s="29" t="s">
        <v>63</v>
      </c>
      <c r="E15" s="31">
        <v>36</v>
      </c>
      <c r="F15" s="29"/>
      <c r="G15" s="48"/>
    </row>
    <row r="16" spans="1:7" ht="26.25" thickBot="1" x14ac:dyDescent="0.3">
      <c r="A16" s="28" t="s">
        <v>45</v>
      </c>
      <c r="B16" s="29" t="s">
        <v>67</v>
      </c>
      <c r="C16" s="30" t="s">
        <v>68</v>
      </c>
      <c r="D16" s="29" t="s">
        <v>63</v>
      </c>
      <c r="E16" s="31">
        <v>25</v>
      </c>
      <c r="F16" s="29" t="s">
        <v>64</v>
      </c>
      <c r="G16" s="48"/>
    </row>
    <row r="17" spans="1:7" ht="26.25" thickBot="1" x14ac:dyDescent="0.3">
      <c r="A17" s="28" t="s">
        <v>45</v>
      </c>
      <c r="B17" s="29" t="s">
        <v>69</v>
      </c>
      <c r="C17" s="30" t="s">
        <v>70</v>
      </c>
      <c r="D17" s="29" t="s">
        <v>63</v>
      </c>
      <c r="E17" s="31">
        <v>19</v>
      </c>
      <c r="F17" s="29"/>
      <c r="G17" s="48"/>
    </row>
    <row r="18" spans="1:7" ht="39" thickBot="1" x14ac:dyDescent="0.3">
      <c r="A18" s="28" t="s">
        <v>45</v>
      </c>
      <c r="B18" s="29" t="s">
        <v>69</v>
      </c>
      <c r="C18" s="30" t="s">
        <v>71</v>
      </c>
      <c r="D18" s="29" t="s">
        <v>63</v>
      </c>
      <c r="E18" s="31">
        <v>21</v>
      </c>
      <c r="F18" s="29" t="s">
        <v>64</v>
      </c>
      <c r="G18" s="48"/>
    </row>
    <row r="19" spans="1:7" ht="15.75" thickBot="1" x14ac:dyDescent="0.3">
      <c r="A19" s="34" t="s">
        <v>79</v>
      </c>
      <c r="B19" s="35"/>
      <c r="C19" s="36"/>
      <c r="D19" s="35"/>
      <c r="E19" s="37">
        <f>AVERAGE(E14:E18)</f>
        <v>24.6</v>
      </c>
      <c r="F19" s="35"/>
      <c r="G19" s="49"/>
    </row>
    <row r="20" spans="1:7" ht="15.75" thickBot="1" x14ac:dyDescent="0.3">
      <c r="A20" s="28" t="s">
        <v>72</v>
      </c>
      <c r="B20" s="29" t="s">
        <v>73</v>
      </c>
      <c r="C20" s="30" t="s">
        <v>73</v>
      </c>
      <c r="D20" s="29" t="s">
        <v>74</v>
      </c>
      <c r="E20" s="33">
        <v>20</v>
      </c>
      <c r="F20" s="29"/>
      <c r="G20" s="48"/>
    </row>
    <row r="21" spans="1:7" ht="39" thickBot="1" x14ac:dyDescent="0.3">
      <c r="A21" s="28" t="s">
        <v>42</v>
      </c>
      <c r="B21" s="29" t="s">
        <v>55</v>
      </c>
      <c r="C21" s="30" t="s">
        <v>75</v>
      </c>
      <c r="D21" s="29" t="s">
        <v>74</v>
      </c>
      <c r="E21" s="31">
        <v>13</v>
      </c>
      <c r="F21" s="29" t="s">
        <v>76</v>
      </c>
      <c r="G21" s="48"/>
    </row>
    <row r="22" spans="1:7" ht="26.25" thickBot="1" x14ac:dyDescent="0.3">
      <c r="A22" s="28" t="s">
        <v>60</v>
      </c>
      <c r="B22" s="29" t="s">
        <v>65</v>
      </c>
      <c r="C22" s="30" t="s">
        <v>77</v>
      </c>
      <c r="D22" s="29" t="s">
        <v>74</v>
      </c>
      <c r="E22" s="31">
        <v>14</v>
      </c>
      <c r="F22" s="29" t="s">
        <v>64</v>
      </c>
      <c r="G22" s="48"/>
    </row>
    <row r="23" spans="1:7" ht="26.25" thickBot="1" x14ac:dyDescent="0.3">
      <c r="A23" s="28" t="s">
        <v>45</v>
      </c>
      <c r="B23" s="29" t="s">
        <v>58</v>
      </c>
      <c r="C23" s="30" t="s">
        <v>78</v>
      </c>
      <c r="D23" s="29" t="s">
        <v>74</v>
      </c>
      <c r="E23" s="32">
        <v>9.5</v>
      </c>
      <c r="F23" s="29"/>
      <c r="G23" s="48"/>
    </row>
    <row r="24" spans="1:7" ht="15.75" thickBot="1" x14ac:dyDescent="0.3">
      <c r="A24" s="34" t="s">
        <v>79</v>
      </c>
      <c r="B24" s="35"/>
      <c r="C24" s="36"/>
      <c r="D24" s="35"/>
      <c r="E24" s="37">
        <f>AVERAGE(E20:E23)</f>
        <v>14.125</v>
      </c>
      <c r="F24" s="35"/>
      <c r="G24" s="49"/>
    </row>
    <row r="27" spans="1:7" ht="24" thickBot="1" x14ac:dyDescent="0.4">
      <c r="A27" s="38" t="s">
        <v>81</v>
      </c>
    </row>
    <row r="28" spans="1:7" ht="15.75" thickBot="1" x14ac:dyDescent="0.3">
      <c r="A28" s="25" t="s">
        <v>32</v>
      </c>
      <c r="B28" s="271" t="s">
        <v>36</v>
      </c>
      <c r="C28" s="272"/>
      <c r="D28" s="84"/>
    </row>
    <row r="29" spans="1:7" ht="16.5" thickTop="1" thickBot="1" x14ac:dyDescent="0.3">
      <c r="A29" s="28" t="s">
        <v>82</v>
      </c>
      <c r="B29" s="31" t="s">
        <v>83</v>
      </c>
      <c r="C29" s="29" t="s">
        <v>84</v>
      </c>
      <c r="D29" s="29"/>
    </row>
    <row r="30" spans="1:7" ht="26.25" thickBot="1" x14ac:dyDescent="0.3">
      <c r="A30" s="28" t="s">
        <v>87</v>
      </c>
      <c r="B30" s="32">
        <f>6.39/500</f>
        <v>1.278E-2</v>
      </c>
      <c r="C30" s="29" t="s">
        <v>84</v>
      </c>
      <c r="D30" s="29" t="s">
        <v>86</v>
      </c>
    </row>
    <row r="31" spans="1:7" ht="26.25" thickBot="1" x14ac:dyDescent="0.3">
      <c r="A31" s="28" t="s">
        <v>87</v>
      </c>
      <c r="B31" s="32">
        <f>2.56/500</f>
        <v>5.1200000000000004E-3</v>
      </c>
      <c r="C31" s="29" t="s">
        <v>84</v>
      </c>
      <c r="D31" s="29" t="s">
        <v>88</v>
      </c>
    </row>
    <row r="32" spans="1:7" ht="26.25" thickBot="1" x14ac:dyDescent="0.3">
      <c r="A32" s="28" t="s">
        <v>85</v>
      </c>
      <c r="B32" s="32">
        <f>10.79/500</f>
        <v>2.1579999999999998E-2</v>
      </c>
      <c r="C32" s="29" t="s">
        <v>84</v>
      </c>
      <c r="D32" s="29" t="s">
        <v>86</v>
      </c>
    </row>
    <row r="33" spans="1:6" ht="26.25" thickBot="1" x14ac:dyDescent="0.3">
      <c r="A33" s="28" t="s">
        <v>85</v>
      </c>
      <c r="B33" s="32">
        <f>10.79/500</f>
        <v>2.1579999999999998E-2</v>
      </c>
      <c r="C33" s="29" t="s">
        <v>84</v>
      </c>
      <c r="D33" s="29" t="s">
        <v>86</v>
      </c>
    </row>
    <row r="35" spans="1:6" x14ac:dyDescent="0.25">
      <c r="A35" s="39" t="s">
        <v>90</v>
      </c>
      <c r="B35">
        <v>120</v>
      </c>
      <c r="C35">
        <v>87600</v>
      </c>
    </row>
    <row r="36" spans="1:6" x14ac:dyDescent="0.25">
      <c r="A36" s="39" t="s">
        <v>89</v>
      </c>
      <c r="B36">
        <v>2</v>
      </c>
    </row>
    <row r="37" spans="1:6" x14ac:dyDescent="0.25">
      <c r="A37" s="39" t="s">
        <v>91</v>
      </c>
      <c r="B37">
        <v>1</v>
      </c>
    </row>
    <row r="38" spans="1:6" x14ac:dyDescent="0.25">
      <c r="A38" s="39" t="s">
        <v>92</v>
      </c>
      <c r="B38">
        <v>340000</v>
      </c>
    </row>
    <row r="39" spans="1:6" x14ac:dyDescent="0.25">
      <c r="A39" s="50" t="s">
        <v>111</v>
      </c>
      <c r="B39">
        <f>1/B38</f>
        <v>2.9411764705882355E-6</v>
      </c>
    </row>
    <row r="40" spans="1:6" x14ac:dyDescent="0.25">
      <c r="A40" s="39"/>
    </row>
    <row r="41" spans="1:6" x14ac:dyDescent="0.25">
      <c r="A41" s="39"/>
      <c r="B41" t="s">
        <v>41</v>
      </c>
      <c r="C41" t="s">
        <v>100</v>
      </c>
      <c r="D41" t="s">
        <v>74</v>
      </c>
      <c r="E41" t="s">
        <v>57</v>
      </c>
    </row>
    <row r="42" spans="1:6" x14ac:dyDescent="0.25">
      <c r="A42" s="39" t="s">
        <v>99</v>
      </c>
      <c r="B42" s="44">
        <v>12</v>
      </c>
      <c r="C42" s="44">
        <v>14</v>
      </c>
      <c r="D42" s="44">
        <v>14</v>
      </c>
      <c r="E42" s="44">
        <v>15</v>
      </c>
    </row>
    <row r="43" spans="1:6" x14ac:dyDescent="0.25">
      <c r="A43" s="39" t="s">
        <v>101</v>
      </c>
      <c r="B43" s="252">
        <v>800</v>
      </c>
      <c r="C43" s="252"/>
      <c r="D43" s="44"/>
      <c r="E43" s="44"/>
    </row>
    <row r="44" spans="1:6" x14ac:dyDescent="0.25">
      <c r="A44" s="39" t="s">
        <v>102</v>
      </c>
      <c r="B44" s="252">
        <v>150</v>
      </c>
      <c r="C44" s="252"/>
      <c r="D44" s="44"/>
      <c r="E44" s="44"/>
      <c r="F44" t="s">
        <v>106</v>
      </c>
    </row>
    <row r="45" spans="1:6" x14ac:dyDescent="0.25">
      <c r="A45" s="39" t="s">
        <v>103</v>
      </c>
      <c r="B45" s="252">
        <v>550</v>
      </c>
      <c r="C45" s="252"/>
      <c r="D45" s="44"/>
      <c r="E45" s="44"/>
      <c r="F45" t="s">
        <v>107</v>
      </c>
    </row>
    <row r="46" spans="1:6" x14ac:dyDescent="0.25">
      <c r="A46" s="39" t="s">
        <v>104</v>
      </c>
      <c r="B46" s="85"/>
      <c r="C46" s="85"/>
      <c r="D46" s="273">
        <v>0.02</v>
      </c>
      <c r="E46" s="273"/>
      <c r="F46" t="s">
        <v>108</v>
      </c>
    </row>
    <row r="47" spans="1:6" x14ac:dyDescent="0.25">
      <c r="A47" s="39" t="s">
        <v>105</v>
      </c>
      <c r="B47" s="252">
        <v>120</v>
      </c>
      <c r="C47" s="252"/>
      <c r="D47" s="44"/>
      <c r="E47" s="44"/>
      <c r="F47" t="s">
        <v>109</v>
      </c>
    </row>
    <row r="48" spans="1:6" x14ac:dyDescent="0.25">
      <c r="A48" s="39" t="s">
        <v>110</v>
      </c>
      <c r="B48" s="252">
        <v>70</v>
      </c>
      <c r="C48" s="252"/>
      <c r="D48" s="44"/>
      <c r="E48" s="44"/>
      <c r="F48" t="s">
        <v>22</v>
      </c>
    </row>
    <row r="49" spans="1:15" x14ac:dyDescent="0.25">
      <c r="A49" s="39"/>
    </row>
    <row r="50" spans="1:15" x14ac:dyDescent="0.25">
      <c r="A50" s="39" t="s">
        <v>98</v>
      </c>
      <c r="B50" t="s">
        <v>94</v>
      </c>
      <c r="C50" t="s">
        <v>95</v>
      </c>
      <c r="D50" t="s">
        <v>96</v>
      </c>
      <c r="E50" t="s">
        <v>97</v>
      </c>
    </row>
    <row r="51" spans="1:15" x14ac:dyDescent="0.25">
      <c r="A51" s="39" t="s">
        <v>93</v>
      </c>
      <c r="B51">
        <f>'Ch. 2.3 Monthly Data'!B26+'Ch. 2.3 Monthly Data'!B27</f>
        <v>706.2412955465586</v>
      </c>
      <c r="C51">
        <f>'Ch. 2.3 Monthly Data'!B28+'Ch. 2.3 Monthly Data'!B29</f>
        <v>141.24825910931173</v>
      </c>
      <c r="D51">
        <f>'Ch. 2.3 Monthly Data'!B30+'Ch. 2.3 Monthly Data'!B31</f>
        <v>35.312064777327933</v>
      </c>
      <c r="E51">
        <f>'Ch. 2.3 Monthly Data'!B32+'Ch. 2.3 Monthly Data'!B33</f>
        <v>3.5312064777327938</v>
      </c>
      <c r="F51" t="s">
        <v>1</v>
      </c>
    </row>
    <row r="52" spans="1:15" x14ac:dyDescent="0.25">
      <c r="A52" s="39" t="s">
        <v>93</v>
      </c>
      <c r="B52">
        <f>'Ch. 2.3 Monthly Data'!D26</f>
        <v>112.32</v>
      </c>
      <c r="C52">
        <f>'Ch. 2.3 Monthly Data'!D28</f>
        <v>22.463999999999999</v>
      </c>
      <c r="D52">
        <f>'Ch. 2.3 Monthly Data'!D30</f>
        <v>5.6159999999999997</v>
      </c>
      <c r="E52">
        <f>'Ch. 2.3 Monthly Data'!D32</f>
        <v>0.56159999999999999</v>
      </c>
      <c r="F52" t="s">
        <v>2</v>
      </c>
    </row>
    <row r="53" spans="1:15" x14ac:dyDescent="0.25">
      <c r="A53" s="39"/>
    </row>
    <row r="54" spans="1:15" x14ac:dyDescent="0.25">
      <c r="A54" s="59"/>
      <c r="B54" s="59"/>
      <c r="C54" s="59"/>
      <c r="D54" s="59"/>
      <c r="E54" s="63"/>
    </row>
    <row r="55" spans="1:15" ht="18.75" thickBot="1" x14ac:dyDescent="0.4">
      <c r="A55" s="60"/>
      <c r="B55" s="61"/>
      <c r="C55" s="61"/>
      <c r="D55" s="62"/>
      <c r="E55" s="62" t="s">
        <v>98</v>
      </c>
      <c r="F55" s="53" t="s">
        <v>112</v>
      </c>
      <c r="G55" s="54" t="s">
        <v>113</v>
      </c>
      <c r="H55" s="55" t="s">
        <v>114</v>
      </c>
      <c r="I55" s="56" t="s">
        <v>115</v>
      </c>
      <c r="J55" s="57" t="s">
        <v>116</v>
      </c>
      <c r="K55" s="58" t="s">
        <v>117</v>
      </c>
    </row>
    <row r="56" spans="1:15" ht="15" customHeight="1" x14ac:dyDescent="0.25">
      <c r="A56" s="265" t="s">
        <v>367</v>
      </c>
      <c r="B56" s="266"/>
      <c r="C56" s="265" t="s">
        <v>74</v>
      </c>
      <c r="D56" s="266"/>
      <c r="E56" s="51" t="s">
        <v>94</v>
      </c>
      <c r="F56" s="64">
        <f>B36*D42</f>
        <v>28</v>
      </c>
      <c r="G56" s="65"/>
      <c r="H56" s="66">
        <f>B35*B36*B51*D46</f>
        <v>3389.9582186234811</v>
      </c>
      <c r="I56" s="67">
        <f>B36*(1/B38)*C35*D42+B36*(1/B38)*C35*((1/2)*B45)</f>
        <v>148.92000000000002</v>
      </c>
      <c r="J56" s="68"/>
      <c r="K56" s="69">
        <f t="shared" ref="K56:K67" si="0">F56+G56+H56+I56+J56</f>
        <v>3566.8782186234812</v>
      </c>
      <c r="O56" s="46"/>
    </row>
    <row r="57" spans="1:15" x14ac:dyDescent="0.25">
      <c r="A57" s="267"/>
      <c r="B57" s="268"/>
      <c r="C57" s="267"/>
      <c r="D57" s="268"/>
      <c r="E57" s="47" t="s">
        <v>95</v>
      </c>
      <c r="F57" s="70">
        <f>B36*D42</f>
        <v>28</v>
      </c>
      <c r="G57" s="71"/>
      <c r="H57" s="72">
        <f>B35*B36*C51*D46</f>
        <v>677.99164372469636</v>
      </c>
      <c r="I57" s="73">
        <f>B36*(1/B38)*C35*D42+B36*(1/B38)*C35*((1/2)*B45)</f>
        <v>148.92000000000002</v>
      </c>
      <c r="J57" s="74"/>
      <c r="K57" s="69">
        <f t="shared" si="0"/>
        <v>854.91164372469643</v>
      </c>
    </row>
    <row r="58" spans="1:15" x14ac:dyDescent="0.25">
      <c r="A58" s="267"/>
      <c r="B58" s="268"/>
      <c r="C58" s="267"/>
      <c r="D58" s="268"/>
      <c r="E58" s="47" t="s">
        <v>96</v>
      </c>
      <c r="F58" s="70">
        <f>B36*D42</f>
        <v>28</v>
      </c>
      <c r="G58" s="71"/>
      <c r="H58" s="72">
        <f>B35*B36*D51*D46</f>
        <v>169.49791093117409</v>
      </c>
      <c r="I58" s="73">
        <f>B36*(1/B38)*C35*D42+B36*(1/B38)*C35*((1/2)*B45)</f>
        <v>148.92000000000002</v>
      </c>
      <c r="J58" s="74"/>
      <c r="K58" s="69">
        <f>F58+G58+H58+I58+J58</f>
        <v>346.41791093117411</v>
      </c>
    </row>
    <row r="59" spans="1:15" x14ac:dyDescent="0.25">
      <c r="A59" s="267"/>
      <c r="B59" s="268"/>
      <c r="C59" s="267"/>
      <c r="D59" s="268"/>
      <c r="E59" s="47" t="s">
        <v>97</v>
      </c>
      <c r="F59" s="70">
        <f>B36*D42</f>
        <v>28</v>
      </c>
      <c r="G59" s="71"/>
      <c r="H59" s="72">
        <f>B35*B36*E51*D46</f>
        <v>16.949791093117412</v>
      </c>
      <c r="I59" s="73">
        <f>B36*(1/B38)*C35*D42+B36*(1/B38)*C35*((1/2)*B45)</f>
        <v>148.92000000000002</v>
      </c>
      <c r="J59" s="74"/>
      <c r="K59" s="69">
        <f t="shared" si="0"/>
        <v>193.86979109311744</v>
      </c>
    </row>
    <row r="60" spans="1:15" x14ac:dyDescent="0.25">
      <c r="A60" s="267" t="s">
        <v>368</v>
      </c>
      <c r="B60" s="268"/>
      <c r="C60" s="267" t="s">
        <v>74</v>
      </c>
      <c r="D60" s="268"/>
      <c r="E60" s="47" t="s">
        <v>94</v>
      </c>
      <c r="F60" s="70">
        <f>B36*D42</f>
        <v>28</v>
      </c>
      <c r="G60" s="71"/>
      <c r="H60" s="72">
        <f>B35*B36*B52*D46</f>
        <v>539.13599999999997</v>
      </c>
      <c r="I60" s="73">
        <f>B36*(1/B38)*C35*D42+B36*(1/B38)*C35*((1/2)*B45)</f>
        <v>148.92000000000002</v>
      </c>
      <c r="J60" s="74"/>
      <c r="K60" s="69">
        <f t="shared" si="0"/>
        <v>716.05600000000004</v>
      </c>
    </row>
    <row r="61" spans="1:15" x14ac:dyDescent="0.25">
      <c r="A61" s="267"/>
      <c r="B61" s="268"/>
      <c r="C61" s="267"/>
      <c r="D61" s="268"/>
      <c r="E61" s="47" t="s">
        <v>95</v>
      </c>
      <c r="F61" s="70">
        <f>B36*D42</f>
        <v>28</v>
      </c>
      <c r="G61" s="71"/>
      <c r="H61" s="72">
        <f>B35*B36*C52*D46</f>
        <v>107.82719999999999</v>
      </c>
      <c r="I61" s="73">
        <f>B36*(1/B38)*C35*D42+B36*(1/B38)*C35*((1/2)*B45)</f>
        <v>148.92000000000002</v>
      </c>
      <c r="J61" s="74"/>
      <c r="K61" s="69">
        <f t="shared" si="0"/>
        <v>284.74720000000002</v>
      </c>
    </row>
    <row r="62" spans="1:15" x14ac:dyDescent="0.25">
      <c r="A62" s="267"/>
      <c r="B62" s="268"/>
      <c r="C62" s="267"/>
      <c r="D62" s="268"/>
      <c r="E62" s="47" t="s">
        <v>96</v>
      </c>
      <c r="F62" s="70">
        <f>B36*D42</f>
        <v>28</v>
      </c>
      <c r="G62" s="71"/>
      <c r="H62" s="72">
        <f>B35*B36*D52*D46</f>
        <v>26.956799999999998</v>
      </c>
      <c r="I62" s="73">
        <f>B36*(1/B38)*C35*D42+B36*(1/B38)*C35*((1/2)*B45)</f>
        <v>148.92000000000002</v>
      </c>
      <c r="J62" s="74"/>
      <c r="K62" s="69">
        <f t="shared" si="0"/>
        <v>203.8768</v>
      </c>
    </row>
    <row r="63" spans="1:15" ht="15.75" thickBot="1" x14ac:dyDescent="0.3">
      <c r="A63" s="269"/>
      <c r="B63" s="270"/>
      <c r="C63" s="269"/>
      <c r="D63" s="270"/>
      <c r="E63" s="52" t="s">
        <v>97</v>
      </c>
      <c r="F63" s="75">
        <f>B36*D42</f>
        <v>28</v>
      </c>
      <c r="G63" s="76"/>
      <c r="H63" s="77">
        <f>B35*B36*E52*D46</f>
        <v>2.6956799999999999</v>
      </c>
      <c r="I63" s="78">
        <f>B36*(1/B38)*C35*D42+B36*(1/B38)*C35*((1/2)*B45)</f>
        <v>148.92000000000002</v>
      </c>
      <c r="J63" s="79"/>
      <c r="K63" s="80">
        <f t="shared" si="0"/>
        <v>179.61568000000003</v>
      </c>
    </row>
    <row r="64" spans="1:15" x14ac:dyDescent="0.25">
      <c r="A64" s="253" t="s">
        <v>369</v>
      </c>
      <c r="B64" s="254"/>
      <c r="C64" s="259" t="s">
        <v>41</v>
      </c>
      <c r="D64" s="260"/>
      <c r="E64" s="51"/>
      <c r="F64" s="64">
        <f>(B36*B42+B37*B43+B37*B44)</f>
        <v>974</v>
      </c>
      <c r="G64" s="65">
        <f>B37*((1/2)*B45)</f>
        <v>275</v>
      </c>
      <c r="H64" s="66">
        <f>B35*(B37*B47+B37*B48)</f>
        <v>22800</v>
      </c>
      <c r="I64" s="67">
        <f>B36*B39*C35*B42+B36*B39*C35*((1/2)*B45)+B37*B39*C35*B43+B37*B39*C35*((1/2)*B45)</f>
        <v>424.86000000000007</v>
      </c>
      <c r="J64" s="68">
        <f>B37*((1/2)*B45)</f>
        <v>275</v>
      </c>
      <c r="K64" s="69">
        <f t="shared" si="0"/>
        <v>24748.86</v>
      </c>
    </row>
    <row r="65" spans="1:11" ht="15.75" thickBot="1" x14ac:dyDescent="0.3">
      <c r="A65" s="255"/>
      <c r="B65" s="256"/>
      <c r="C65" s="261" t="s">
        <v>100</v>
      </c>
      <c r="D65" s="262"/>
      <c r="E65" s="52"/>
      <c r="F65" s="75">
        <f>(B36*C42+B37*B43+B37*B44)</f>
        <v>978</v>
      </c>
      <c r="G65" s="76">
        <f>B37*((1/2)*B45)</f>
        <v>275</v>
      </c>
      <c r="H65" s="77">
        <f>B35*(B37*B47+B37*B48)</f>
        <v>22800</v>
      </c>
      <c r="I65" s="78">
        <f>B36*B39*C35*C42+B36*B39*C35*((1/2)*B45)+B37*B39*C35*B43+B37*B39*C35*((1/2)*B45)</f>
        <v>425.89058823529422</v>
      </c>
      <c r="J65" s="79">
        <f>B37*((1/2)*B45)</f>
        <v>275</v>
      </c>
      <c r="K65" s="81">
        <f t="shared" si="0"/>
        <v>24753.890588235296</v>
      </c>
    </row>
    <row r="66" spans="1:11" x14ac:dyDescent="0.25">
      <c r="A66" s="253" t="s">
        <v>370</v>
      </c>
      <c r="B66" s="254"/>
      <c r="C66" s="259" t="s">
        <v>41</v>
      </c>
      <c r="D66" s="260"/>
      <c r="E66" s="51"/>
      <c r="F66" s="64">
        <f>(B36*B42+B37*B43+B37*B44)</f>
        <v>974</v>
      </c>
      <c r="G66" s="65">
        <f>B37*((1/2)*B45)</f>
        <v>275</v>
      </c>
      <c r="H66" s="66"/>
      <c r="I66" s="67">
        <f>B36*B39*C35*B42+B36*B39*C35*((1/2)*B45)+B37*B39*C35*B43+B37*B39*C35*((1/2)*B45)</f>
        <v>424.86000000000007</v>
      </c>
      <c r="J66" s="68">
        <f>B37*((1/2)*B45)</f>
        <v>275</v>
      </c>
      <c r="K66" s="69">
        <f t="shared" si="0"/>
        <v>1948.8600000000001</v>
      </c>
    </row>
    <row r="67" spans="1:11" x14ac:dyDescent="0.25">
      <c r="A67" s="257"/>
      <c r="B67" s="258"/>
      <c r="C67" s="263" t="s">
        <v>100</v>
      </c>
      <c r="D67" s="264"/>
      <c r="E67" s="51"/>
      <c r="F67" s="64">
        <f>(B36*C42+B37*B43+B37*B44)</f>
        <v>978</v>
      </c>
      <c r="G67" s="65">
        <f>B37*((1/2)*B45)</f>
        <v>275</v>
      </c>
      <c r="H67" s="66"/>
      <c r="I67" s="67">
        <f>B36*B39*C35*C42+B36*B39*C35*((1/2)*B45)+B37*B39*C35*B43+B37*B39*C35*((1/2)*B45)</f>
        <v>425.89058823529422</v>
      </c>
      <c r="J67" s="68">
        <f>B37*((1/2)*B45)</f>
        <v>275</v>
      </c>
      <c r="K67" s="69">
        <f t="shared" si="0"/>
        <v>1953.8905882352942</v>
      </c>
    </row>
  </sheetData>
  <mergeCells count="17">
    <mergeCell ref="B47:C47"/>
    <mergeCell ref="A66:B67"/>
    <mergeCell ref="C66:D66"/>
    <mergeCell ref="C67:D67"/>
    <mergeCell ref="B48:C48"/>
    <mergeCell ref="A56:B59"/>
    <mergeCell ref="C56:D59"/>
    <mergeCell ref="A60:B63"/>
    <mergeCell ref="C60:D63"/>
    <mergeCell ref="A64:B65"/>
    <mergeCell ref="C64:D64"/>
    <mergeCell ref="C65:D65"/>
    <mergeCell ref="B28:C28"/>
    <mergeCell ref="B43:C43"/>
    <mergeCell ref="B44:C44"/>
    <mergeCell ref="B45:C45"/>
    <mergeCell ref="D46:E46"/>
  </mergeCells>
  <pageMargins left="0.7" right="0.7" top="0.75" bottom="0.75" header="0.3" footer="0.3"/>
  <pageSetup orientation="portrait" verticalDpi="1200" r:id="rId1"/>
  <headerFooter>
    <oddFooter>&amp;C&amp;1#&amp;"Arial"&amp;11&amp;K404040Restricted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1"/>
  <sheetViews>
    <sheetView zoomScale="85" zoomScaleNormal="85" workbookViewId="0">
      <pane ySplit="1" topLeftCell="A2" activePane="bottomLeft" state="frozen"/>
      <selection pane="bottomLeft" activeCell="P43" sqref="P43"/>
    </sheetView>
  </sheetViews>
  <sheetFormatPr defaultRowHeight="15" x14ac:dyDescent="0.25"/>
  <cols>
    <col min="4" max="5" width="10.140625" customWidth="1"/>
    <col min="6" max="6" width="9.85546875" customWidth="1"/>
    <col min="9" max="9" width="9.7109375" bestFit="1" customWidth="1"/>
    <col min="10" max="10" width="9.7109375" customWidth="1"/>
    <col min="14" max="14" width="19.5703125" bestFit="1" customWidth="1"/>
    <col min="16" max="16" width="9.7109375" bestFit="1" customWidth="1"/>
  </cols>
  <sheetData>
    <row r="1" spans="1:19" ht="15.75" thickBot="1" x14ac:dyDescent="0.3">
      <c r="A1" s="136"/>
      <c r="B1" s="136"/>
      <c r="C1" s="136"/>
      <c r="D1" s="136"/>
      <c r="E1" s="136"/>
      <c r="F1" s="137"/>
      <c r="G1" s="150" t="s">
        <v>74</v>
      </c>
      <c r="H1" s="150"/>
      <c r="I1" s="151" t="s">
        <v>41</v>
      </c>
      <c r="J1" s="150"/>
      <c r="K1" s="151" t="s">
        <v>100</v>
      </c>
      <c r="L1" s="150"/>
      <c r="O1" s="166" t="s">
        <v>74</v>
      </c>
      <c r="P1" s="167" t="s">
        <v>41</v>
      </c>
      <c r="Q1" s="160" t="s">
        <v>100</v>
      </c>
    </row>
    <row r="2" spans="1:19" x14ac:dyDescent="0.25">
      <c r="A2" s="149" t="s">
        <v>248</v>
      </c>
      <c r="C2" t="s">
        <v>257</v>
      </c>
      <c r="E2" t="s">
        <v>259</v>
      </c>
      <c r="F2" s="138"/>
      <c r="G2" s="159" t="s">
        <v>256</v>
      </c>
      <c r="H2">
        <v>14</v>
      </c>
      <c r="I2" s="153" t="s">
        <v>256</v>
      </c>
      <c r="J2">
        <v>19</v>
      </c>
      <c r="K2" s="153" t="s">
        <v>256</v>
      </c>
      <c r="L2">
        <v>8</v>
      </c>
      <c r="N2" t="s">
        <v>273</v>
      </c>
      <c r="O2">
        <v>2</v>
      </c>
      <c r="P2">
        <v>3</v>
      </c>
      <c r="Q2">
        <v>1</v>
      </c>
      <c r="S2" t="s">
        <v>278</v>
      </c>
    </row>
    <row r="3" spans="1:19" x14ac:dyDescent="0.25">
      <c r="F3" s="138"/>
      <c r="I3" s="146"/>
      <c r="K3" s="146"/>
      <c r="N3" t="s">
        <v>274</v>
      </c>
      <c r="O3">
        <v>3</v>
      </c>
      <c r="P3">
        <v>2</v>
      </c>
      <c r="Q3">
        <v>1</v>
      </c>
      <c r="S3" t="s">
        <v>279</v>
      </c>
    </row>
    <row r="4" spans="1:19" ht="15.75" thickBot="1" x14ac:dyDescent="0.3">
      <c r="A4" s="136"/>
      <c r="B4" s="136"/>
      <c r="C4" s="136"/>
      <c r="D4" s="136"/>
      <c r="E4" s="136"/>
      <c r="F4" s="137"/>
      <c r="G4" s="136"/>
      <c r="H4" s="136"/>
      <c r="I4" s="145"/>
      <c r="J4" s="136"/>
      <c r="K4" s="145"/>
      <c r="L4" s="136"/>
      <c r="N4" t="s">
        <v>275</v>
      </c>
      <c r="O4">
        <v>3</v>
      </c>
      <c r="P4">
        <v>2</v>
      </c>
      <c r="Q4">
        <v>1</v>
      </c>
      <c r="S4" t="s">
        <v>280</v>
      </c>
    </row>
    <row r="5" spans="1:19" x14ac:dyDescent="0.25">
      <c r="A5" s="172" t="s">
        <v>303</v>
      </c>
      <c r="B5" s="152"/>
      <c r="C5" s="152" t="s">
        <v>144</v>
      </c>
      <c r="D5" s="298" t="s">
        <v>288</v>
      </c>
      <c r="E5" s="152" t="s">
        <v>364</v>
      </c>
      <c r="F5" s="173"/>
      <c r="G5" s="152">
        <v>40</v>
      </c>
      <c r="H5" s="152"/>
      <c r="I5" s="174">
        <v>1526</v>
      </c>
      <c r="J5" s="152"/>
      <c r="K5" s="174">
        <v>15819</v>
      </c>
      <c r="L5" s="152"/>
      <c r="N5" t="s">
        <v>276</v>
      </c>
      <c r="O5">
        <v>3</v>
      </c>
      <c r="P5">
        <v>1</v>
      </c>
      <c r="Q5">
        <v>2</v>
      </c>
    </row>
    <row r="6" spans="1:19" x14ac:dyDescent="0.25">
      <c r="A6" s="175"/>
      <c r="B6" s="175"/>
      <c r="C6" s="175"/>
      <c r="D6" s="299"/>
      <c r="E6" s="175" t="s">
        <v>213</v>
      </c>
      <c r="F6" s="173"/>
      <c r="G6" s="175">
        <v>4</v>
      </c>
      <c r="H6" s="175"/>
      <c r="I6" s="174">
        <v>190</v>
      </c>
      <c r="J6" s="175"/>
      <c r="K6" s="174">
        <v>1726</v>
      </c>
      <c r="L6" s="175"/>
      <c r="N6" t="s">
        <v>277</v>
      </c>
      <c r="O6">
        <v>3</v>
      </c>
      <c r="P6">
        <v>1</v>
      </c>
      <c r="Q6">
        <v>1</v>
      </c>
    </row>
    <row r="7" spans="1:19" x14ac:dyDescent="0.25">
      <c r="A7" s="175"/>
      <c r="B7" s="175"/>
      <c r="C7" s="175"/>
      <c r="D7" s="300" t="s">
        <v>262</v>
      </c>
      <c r="E7" s="299" t="s">
        <v>364</v>
      </c>
      <c r="F7" s="173" t="s">
        <v>94</v>
      </c>
      <c r="G7" s="175">
        <v>7</v>
      </c>
      <c r="H7" s="175"/>
      <c r="I7" s="302">
        <v>314</v>
      </c>
      <c r="J7" s="175"/>
      <c r="K7" s="302">
        <v>529</v>
      </c>
      <c r="L7" s="175"/>
      <c r="N7" t="s">
        <v>281</v>
      </c>
      <c r="O7">
        <v>1</v>
      </c>
      <c r="P7">
        <v>2</v>
      </c>
      <c r="Q7">
        <v>2</v>
      </c>
    </row>
    <row r="8" spans="1:19" x14ac:dyDescent="0.25">
      <c r="A8" s="175"/>
      <c r="B8" s="175"/>
      <c r="C8" s="175"/>
      <c r="D8" s="300"/>
      <c r="E8" s="299"/>
      <c r="F8" s="173" t="s">
        <v>95</v>
      </c>
      <c r="G8" s="175">
        <v>6</v>
      </c>
      <c r="H8" s="175"/>
      <c r="I8" s="302"/>
      <c r="J8" s="175"/>
      <c r="K8" s="302"/>
      <c r="L8" s="175"/>
    </row>
    <row r="9" spans="1:19" x14ac:dyDescent="0.25">
      <c r="A9" s="175"/>
      <c r="B9" s="175"/>
      <c r="C9" s="175"/>
      <c r="D9" s="300"/>
      <c r="E9" s="299"/>
      <c r="F9" s="173" t="s">
        <v>96</v>
      </c>
      <c r="G9" s="175">
        <v>8</v>
      </c>
      <c r="H9" s="175"/>
      <c r="I9" s="302"/>
      <c r="J9" s="175"/>
      <c r="K9" s="302"/>
      <c r="L9" s="175"/>
    </row>
    <row r="10" spans="1:19" x14ac:dyDescent="0.25">
      <c r="A10" s="175"/>
      <c r="B10" s="175"/>
      <c r="C10" s="175"/>
      <c r="D10" s="300"/>
      <c r="E10" s="299"/>
      <c r="F10" s="173" t="s">
        <v>97</v>
      </c>
      <c r="G10" s="175">
        <v>8</v>
      </c>
      <c r="H10" s="175"/>
      <c r="I10" s="302"/>
      <c r="J10" s="175"/>
      <c r="K10" s="302"/>
      <c r="L10" s="175"/>
    </row>
    <row r="11" spans="1:19" x14ac:dyDescent="0.25">
      <c r="A11" s="175"/>
      <c r="B11" s="175"/>
      <c r="C11" s="175"/>
      <c r="D11" s="300"/>
      <c r="E11" s="300" t="s">
        <v>213</v>
      </c>
      <c r="F11" s="173" t="s">
        <v>94</v>
      </c>
      <c r="G11" s="175">
        <v>4</v>
      </c>
      <c r="H11" s="175"/>
      <c r="I11" s="302">
        <v>63</v>
      </c>
      <c r="J11" s="175"/>
      <c r="K11" s="302">
        <v>105</v>
      </c>
      <c r="L11" s="175"/>
    </row>
    <row r="12" spans="1:19" x14ac:dyDescent="0.25">
      <c r="A12" s="175"/>
      <c r="B12" s="175"/>
      <c r="C12" s="175"/>
      <c r="D12" s="300"/>
      <c r="E12" s="300"/>
      <c r="F12" s="173" t="s">
        <v>95</v>
      </c>
      <c r="G12" s="175">
        <v>3</v>
      </c>
      <c r="H12" s="175"/>
      <c r="I12" s="302"/>
      <c r="J12" s="175"/>
      <c r="K12" s="302"/>
      <c r="L12" s="175"/>
    </row>
    <row r="13" spans="1:19" x14ac:dyDescent="0.25">
      <c r="A13" s="175"/>
      <c r="B13" s="175"/>
      <c r="C13" s="175"/>
      <c r="D13" s="300"/>
      <c r="E13" s="300"/>
      <c r="F13" s="173" t="s">
        <v>96</v>
      </c>
      <c r="G13" s="175">
        <v>5</v>
      </c>
      <c r="H13" s="175"/>
      <c r="I13" s="302"/>
      <c r="J13" s="175"/>
      <c r="K13" s="302"/>
      <c r="L13" s="175"/>
    </row>
    <row r="14" spans="1:19" x14ac:dyDescent="0.25">
      <c r="A14" s="175"/>
      <c r="B14" s="175"/>
      <c r="C14" s="175"/>
      <c r="D14" s="300"/>
      <c r="E14" s="300"/>
      <c r="F14" s="173" t="s">
        <v>97</v>
      </c>
      <c r="G14" s="175">
        <v>5</v>
      </c>
      <c r="H14" s="175"/>
      <c r="I14" s="302"/>
      <c r="J14" s="175"/>
      <c r="K14" s="302"/>
      <c r="L14" s="175"/>
    </row>
    <row r="15" spans="1:19" x14ac:dyDescent="0.25">
      <c r="A15" s="175"/>
      <c r="B15" s="175"/>
      <c r="C15" s="175"/>
      <c r="D15" s="300" t="s">
        <v>286</v>
      </c>
      <c r="E15" s="152" t="s">
        <v>364</v>
      </c>
      <c r="F15" s="173"/>
      <c r="G15" s="175">
        <v>3</v>
      </c>
      <c r="H15" s="175"/>
      <c r="I15" s="177">
        <v>1000</v>
      </c>
      <c r="J15" s="175"/>
      <c r="K15" s="174">
        <v>158490</v>
      </c>
      <c r="L15" s="175"/>
    </row>
    <row r="16" spans="1:19" x14ac:dyDescent="0.25">
      <c r="A16" s="175"/>
      <c r="B16" s="175"/>
      <c r="C16" s="175"/>
      <c r="D16" s="300"/>
      <c r="E16" s="175" t="s">
        <v>213</v>
      </c>
      <c r="F16" s="173"/>
      <c r="G16" s="175">
        <v>3</v>
      </c>
      <c r="H16" s="175"/>
      <c r="I16" s="177">
        <v>1000</v>
      </c>
      <c r="J16" s="175"/>
      <c r="K16" s="174">
        <v>23356</v>
      </c>
      <c r="L16" s="175"/>
    </row>
    <row r="17" spans="1:12" x14ac:dyDescent="0.25">
      <c r="A17" s="175"/>
      <c r="B17" s="175"/>
      <c r="C17" s="175"/>
      <c r="D17" s="300" t="s">
        <v>295</v>
      </c>
      <c r="E17" s="299" t="s">
        <v>364</v>
      </c>
      <c r="F17" s="173" t="s">
        <v>94</v>
      </c>
      <c r="G17" s="93">
        <v>2950</v>
      </c>
      <c r="H17" s="175"/>
      <c r="I17" s="178" t="s">
        <v>294</v>
      </c>
      <c r="J17" s="175"/>
      <c r="K17" s="178" t="s">
        <v>294</v>
      </c>
    </row>
    <row r="18" spans="1:12" x14ac:dyDescent="0.25">
      <c r="A18" s="175"/>
      <c r="B18" s="175"/>
      <c r="C18" s="175"/>
      <c r="D18" s="300"/>
      <c r="E18" s="299"/>
      <c r="F18" s="173" t="s">
        <v>95</v>
      </c>
      <c r="G18" s="93">
        <v>12391</v>
      </c>
      <c r="H18" s="175"/>
      <c r="I18" s="178" t="s">
        <v>294</v>
      </c>
      <c r="J18" s="175"/>
      <c r="K18" s="178" t="s">
        <v>294</v>
      </c>
    </row>
    <row r="19" spans="1:12" x14ac:dyDescent="0.25">
      <c r="A19" s="175"/>
      <c r="B19" s="175"/>
      <c r="C19" s="175"/>
      <c r="D19" s="300"/>
      <c r="E19" s="299"/>
      <c r="F19" s="173" t="s">
        <v>96</v>
      </c>
      <c r="G19" s="93">
        <v>40956</v>
      </c>
      <c r="H19" s="175"/>
      <c r="I19" s="178" t="s">
        <v>294</v>
      </c>
      <c r="J19" s="175"/>
      <c r="K19" s="178" t="s">
        <v>294</v>
      </c>
    </row>
    <row r="20" spans="1:12" x14ac:dyDescent="0.25">
      <c r="A20" s="175"/>
      <c r="B20" s="175"/>
      <c r="C20" s="175"/>
      <c r="D20" s="300"/>
      <c r="E20" s="299"/>
      <c r="F20" s="173" t="s">
        <v>97</v>
      </c>
      <c r="G20" s="93">
        <v>40956</v>
      </c>
      <c r="H20" s="175"/>
      <c r="I20" s="178" t="s">
        <v>294</v>
      </c>
      <c r="J20" s="175"/>
      <c r="K20" s="178" t="s">
        <v>294</v>
      </c>
    </row>
    <row r="21" spans="1:12" x14ac:dyDescent="0.25">
      <c r="A21" s="175"/>
      <c r="B21" s="175"/>
      <c r="C21" s="175"/>
      <c r="D21" s="300"/>
      <c r="E21" s="300" t="s">
        <v>213</v>
      </c>
      <c r="F21" s="173" t="s">
        <v>94</v>
      </c>
      <c r="G21" s="93">
        <v>2989</v>
      </c>
      <c r="H21" s="175"/>
      <c r="I21" s="178" t="s">
        <v>294</v>
      </c>
      <c r="J21" s="175"/>
      <c r="K21" s="178" t="s">
        <v>294</v>
      </c>
    </row>
    <row r="22" spans="1:12" x14ac:dyDescent="0.25">
      <c r="A22" s="175"/>
      <c r="B22" s="175"/>
      <c r="C22" s="175"/>
      <c r="D22" s="300"/>
      <c r="E22" s="300"/>
      <c r="F22" s="173" t="s">
        <v>95</v>
      </c>
      <c r="G22" s="93">
        <v>12430</v>
      </c>
      <c r="H22" s="175"/>
      <c r="I22" s="178" t="s">
        <v>294</v>
      </c>
      <c r="J22" s="175"/>
      <c r="K22" s="178" t="s">
        <v>294</v>
      </c>
    </row>
    <row r="23" spans="1:12" x14ac:dyDescent="0.25">
      <c r="A23" s="175"/>
      <c r="B23" s="175"/>
      <c r="C23" s="175"/>
      <c r="D23" s="300"/>
      <c r="E23" s="300"/>
      <c r="F23" s="173" t="s">
        <v>96</v>
      </c>
      <c r="G23" s="93">
        <v>40956</v>
      </c>
      <c r="H23" s="175"/>
      <c r="I23" s="178" t="s">
        <v>294</v>
      </c>
      <c r="J23" s="175"/>
      <c r="K23" s="178" t="s">
        <v>294</v>
      </c>
    </row>
    <row r="24" spans="1:12" x14ac:dyDescent="0.25">
      <c r="A24" s="175"/>
      <c r="B24" s="175"/>
      <c r="C24" s="175"/>
      <c r="D24" s="300"/>
      <c r="E24" s="300"/>
      <c r="F24" s="173" t="s">
        <v>97</v>
      </c>
      <c r="G24" s="93">
        <v>40956</v>
      </c>
      <c r="H24" s="175"/>
      <c r="I24" s="178" t="s">
        <v>294</v>
      </c>
      <c r="J24" s="175"/>
      <c r="K24" s="178" t="s">
        <v>294</v>
      </c>
    </row>
    <row r="25" spans="1:12" x14ac:dyDescent="0.25">
      <c r="A25" s="175"/>
      <c r="B25" s="175"/>
      <c r="C25" s="175"/>
      <c r="D25" s="300" t="s">
        <v>304</v>
      </c>
      <c r="E25" s="299" t="s">
        <v>364</v>
      </c>
      <c r="F25" s="173" t="s">
        <v>94</v>
      </c>
      <c r="G25" s="93">
        <v>0</v>
      </c>
      <c r="H25" s="175"/>
      <c r="I25" s="178" t="s">
        <v>294</v>
      </c>
      <c r="J25" s="175"/>
      <c r="K25" s="178" t="s">
        <v>294</v>
      </c>
    </row>
    <row r="26" spans="1:12" x14ac:dyDescent="0.25">
      <c r="A26" s="175"/>
      <c r="B26" s="175"/>
      <c r="C26" s="175"/>
      <c r="D26" s="300"/>
      <c r="E26" s="299"/>
      <c r="F26" s="173" t="s">
        <v>95</v>
      </c>
      <c r="G26" s="93">
        <v>0</v>
      </c>
      <c r="H26" s="175"/>
      <c r="I26" s="174">
        <v>8185</v>
      </c>
      <c r="J26" s="175"/>
      <c r="K26" s="178" t="s">
        <v>294</v>
      </c>
    </row>
    <row r="27" spans="1:12" x14ac:dyDescent="0.25">
      <c r="A27" s="175"/>
      <c r="B27" s="175"/>
      <c r="C27" s="175"/>
      <c r="D27" s="300"/>
      <c r="E27" s="299"/>
      <c r="F27" s="173" t="s">
        <v>96</v>
      </c>
      <c r="G27" s="93">
        <v>18993</v>
      </c>
      <c r="H27" s="175"/>
      <c r="I27" s="174">
        <v>53185</v>
      </c>
      <c r="J27" s="175"/>
      <c r="K27" s="178" t="s">
        <v>294</v>
      </c>
    </row>
    <row r="28" spans="1:12" x14ac:dyDescent="0.25">
      <c r="A28" s="175"/>
      <c r="B28" s="175"/>
      <c r="C28" s="175"/>
      <c r="D28" s="300"/>
      <c r="E28" s="299"/>
      <c r="F28" s="173" t="s">
        <v>97</v>
      </c>
      <c r="G28" s="93">
        <v>558993</v>
      </c>
      <c r="H28" s="175"/>
      <c r="I28" s="174">
        <v>593185</v>
      </c>
      <c r="J28" s="175"/>
      <c r="K28" s="174">
        <v>432574</v>
      </c>
    </row>
    <row r="29" spans="1:12" x14ac:dyDescent="0.25">
      <c r="A29" s="175"/>
      <c r="B29" s="175"/>
      <c r="C29" s="175"/>
      <c r="D29" s="300"/>
      <c r="E29" s="300" t="s">
        <v>213</v>
      </c>
      <c r="F29" s="173" t="s">
        <v>94</v>
      </c>
      <c r="G29" s="93">
        <v>0</v>
      </c>
      <c r="H29" s="175"/>
      <c r="I29" s="174">
        <v>1748</v>
      </c>
      <c r="J29" s="175"/>
      <c r="K29" s="178" t="s">
        <v>294</v>
      </c>
      <c r="L29" s="175"/>
    </row>
    <row r="30" spans="1:12" x14ac:dyDescent="0.25">
      <c r="A30" s="175"/>
      <c r="B30" s="175"/>
      <c r="C30" s="175"/>
      <c r="D30" s="300"/>
      <c r="E30" s="300"/>
      <c r="F30" s="173" t="s">
        <v>95</v>
      </c>
      <c r="G30" s="93">
        <v>0</v>
      </c>
      <c r="H30" s="175"/>
      <c r="I30" s="174">
        <v>13748</v>
      </c>
      <c r="J30" s="175"/>
      <c r="K30" s="178" t="s">
        <v>294</v>
      </c>
      <c r="L30" s="175"/>
    </row>
    <row r="31" spans="1:12" x14ac:dyDescent="0.25">
      <c r="A31" s="175"/>
      <c r="B31" s="175"/>
      <c r="C31" s="175"/>
      <c r="D31" s="300"/>
      <c r="E31" s="300"/>
      <c r="F31" s="173" t="s">
        <v>96</v>
      </c>
      <c r="G31" s="93">
        <v>19032</v>
      </c>
      <c r="H31" s="175"/>
      <c r="I31" s="174">
        <v>58748</v>
      </c>
      <c r="J31" s="175"/>
      <c r="K31" s="174">
        <v>41802</v>
      </c>
      <c r="L31" s="175"/>
    </row>
    <row r="32" spans="1:12" ht="15.75" thickBot="1" x14ac:dyDescent="0.3">
      <c r="A32" s="175"/>
      <c r="B32" s="175"/>
      <c r="C32" s="175"/>
      <c r="D32" s="300"/>
      <c r="E32" s="301"/>
      <c r="F32" s="173" t="s">
        <v>97</v>
      </c>
      <c r="G32" s="93">
        <v>559032</v>
      </c>
      <c r="H32" s="176"/>
      <c r="I32" s="174">
        <v>598748</v>
      </c>
      <c r="J32" s="175"/>
      <c r="K32" s="174">
        <v>581802</v>
      </c>
      <c r="L32" s="175"/>
    </row>
    <row r="33" spans="1:12" ht="15.75" thickBot="1" x14ac:dyDescent="0.3">
      <c r="A33" s="148" t="s">
        <v>258</v>
      </c>
      <c r="B33" s="140"/>
      <c r="C33" s="140"/>
      <c r="D33" s="140"/>
      <c r="E33" s="285" t="s">
        <v>364</v>
      </c>
      <c r="F33" s="141" t="s">
        <v>94</v>
      </c>
      <c r="G33" s="275" t="s">
        <v>252</v>
      </c>
      <c r="H33" s="276"/>
      <c r="I33" s="156" t="s">
        <v>255</v>
      </c>
      <c r="J33" s="254" t="s">
        <v>371</v>
      </c>
      <c r="K33" s="156" t="s">
        <v>255</v>
      </c>
      <c r="L33" s="140"/>
    </row>
    <row r="34" spans="1:12" ht="15.75" thickBot="1" x14ac:dyDescent="0.3">
      <c r="A34" s="274" t="s">
        <v>253</v>
      </c>
      <c r="B34" s="274"/>
      <c r="C34" s="274"/>
      <c r="D34" s="59"/>
      <c r="E34" s="286"/>
      <c r="F34" s="138" t="s">
        <v>95</v>
      </c>
      <c r="G34" s="275"/>
      <c r="H34" s="276"/>
      <c r="I34" s="157" t="s">
        <v>255</v>
      </c>
      <c r="J34" s="283"/>
      <c r="K34" s="157" t="s">
        <v>255</v>
      </c>
      <c r="L34" s="59"/>
    </row>
    <row r="35" spans="1:12" ht="15.75" thickBot="1" x14ac:dyDescent="0.3">
      <c r="A35" s="274"/>
      <c r="B35" s="274"/>
      <c r="C35" s="274"/>
      <c r="D35" s="59"/>
      <c r="E35" s="286"/>
      <c r="F35" s="138" t="s">
        <v>96</v>
      </c>
      <c r="G35" s="275"/>
      <c r="H35" s="276"/>
      <c r="I35" s="153" t="s">
        <v>256</v>
      </c>
      <c r="J35" s="283"/>
      <c r="K35" s="157" t="s">
        <v>255</v>
      </c>
      <c r="L35" s="59"/>
    </row>
    <row r="36" spans="1:12" x14ac:dyDescent="0.25">
      <c r="A36" s="63" t="s">
        <v>254</v>
      </c>
      <c r="B36" s="63"/>
      <c r="C36" s="63"/>
      <c r="D36" s="63"/>
      <c r="E36" s="287"/>
      <c r="F36" s="139" t="s">
        <v>97</v>
      </c>
      <c r="G36" s="277"/>
      <c r="H36" s="278"/>
      <c r="I36" s="154" t="s">
        <v>256</v>
      </c>
      <c r="J36" s="258"/>
      <c r="K36" s="158" t="s">
        <v>255</v>
      </c>
      <c r="L36" s="63"/>
    </row>
    <row r="37" spans="1:12" x14ac:dyDescent="0.25">
      <c r="E37" s="286" t="s">
        <v>213</v>
      </c>
      <c r="F37" s="138" t="s">
        <v>94</v>
      </c>
      <c r="G37" s="279" t="s">
        <v>252</v>
      </c>
      <c r="H37" s="280"/>
      <c r="I37" s="153" t="s">
        <v>256</v>
      </c>
      <c r="J37" s="284" t="s">
        <v>371</v>
      </c>
      <c r="K37" s="157" t="s">
        <v>255</v>
      </c>
    </row>
    <row r="38" spans="1:12" x14ac:dyDescent="0.25">
      <c r="E38" s="286"/>
      <c r="F38" s="138" t="s">
        <v>95</v>
      </c>
      <c r="G38" s="281"/>
      <c r="H38" s="268"/>
      <c r="I38" s="153" t="s">
        <v>256</v>
      </c>
      <c r="J38" s="283"/>
      <c r="K38" s="157" t="s">
        <v>255</v>
      </c>
    </row>
    <row r="39" spans="1:12" x14ac:dyDescent="0.25">
      <c r="E39" s="286"/>
      <c r="F39" s="138" t="s">
        <v>96</v>
      </c>
      <c r="G39" s="281"/>
      <c r="H39" s="268"/>
      <c r="I39" s="153" t="s">
        <v>256</v>
      </c>
      <c r="J39" s="283"/>
      <c r="K39" s="157" t="s">
        <v>255</v>
      </c>
    </row>
    <row r="40" spans="1:12" ht="15.75" thickBot="1" x14ac:dyDescent="0.3">
      <c r="A40" s="136"/>
      <c r="B40" s="136"/>
      <c r="C40" s="136"/>
      <c r="D40" s="136"/>
      <c r="E40" s="288"/>
      <c r="F40" s="137" t="s">
        <v>97</v>
      </c>
      <c r="G40" s="282"/>
      <c r="H40" s="270"/>
      <c r="I40" s="155" t="s">
        <v>256</v>
      </c>
      <c r="J40" s="256"/>
      <c r="K40" s="155" t="s">
        <v>256</v>
      </c>
      <c r="L40" s="136"/>
    </row>
    <row r="41" spans="1:12" ht="15.75" thickBot="1" x14ac:dyDescent="0.3">
      <c r="A41" s="165" t="s">
        <v>272</v>
      </c>
      <c r="B41" s="164"/>
      <c r="C41" s="164"/>
      <c r="D41" s="136"/>
      <c r="E41" s="147"/>
      <c r="F41" s="137"/>
      <c r="G41" s="164">
        <v>113.5</v>
      </c>
      <c r="H41" s="136"/>
      <c r="I41" s="163">
        <v>0.69569999999999999</v>
      </c>
      <c r="J41" s="136"/>
      <c r="K41" s="163">
        <v>4.0599999999999997E-2</v>
      </c>
      <c r="L41" s="136"/>
    </row>
    <row r="42" spans="1:12" x14ac:dyDescent="0.25">
      <c r="A42" s="332" t="s">
        <v>380</v>
      </c>
      <c r="B42" s="333"/>
      <c r="C42" s="333"/>
      <c r="D42" s="140"/>
      <c r="E42" s="285" t="s">
        <v>364</v>
      </c>
      <c r="F42" s="141" t="s">
        <v>94</v>
      </c>
      <c r="G42" s="327">
        <f>'Ch. 4.5 &amp; 4.6 Energy'!H105</f>
        <v>11.885564657873035</v>
      </c>
      <c r="H42" s="327"/>
      <c r="I42" s="328"/>
      <c r="J42" s="327"/>
      <c r="K42" s="328">
        <v>0</v>
      </c>
      <c r="L42" s="140"/>
    </row>
    <row r="43" spans="1:12" x14ac:dyDescent="0.25">
      <c r="A43" s="59"/>
      <c r="B43" s="59"/>
      <c r="C43" s="59"/>
      <c r="D43" s="59"/>
      <c r="E43" s="286"/>
      <c r="F43" s="138" t="s">
        <v>95</v>
      </c>
      <c r="G43" s="320">
        <f>'Ch. 4.5 &amp; 4.6 Energy'!H106</f>
        <v>16.410760672939197</v>
      </c>
      <c r="H43" s="320"/>
      <c r="I43" s="202">
        <f>'Ch. 4.5 &amp; 4.6 Energy'!H110</f>
        <v>14.88585888618587</v>
      </c>
      <c r="J43" s="320"/>
      <c r="K43" s="202">
        <v>0</v>
      </c>
      <c r="L43" s="59"/>
    </row>
    <row r="44" spans="1:12" x14ac:dyDescent="0.25">
      <c r="A44" s="59"/>
      <c r="B44" s="59"/>
      <c r="C44" s="59"/>
      <c r="D44" s="59"/>
      <c r="E44" s="286"/>
      <c r="F44" s="138" t="s">
        <v>96</v>
      </c>
      <c r="G44" s="320">
        <f>'Ch. 4.5 &amp; 4.6 Energy'!H107</f>
        <v>18.719281237926069</v>
      </c>
      <c r="H44" s="320"/>
      <c r="I44" s="202">
        <f>'Ch. 4.5 &amp; 4.6 Energy'!H111</f>
        <v>19.234673197619017</v>
      </c>
      <c r="J44" s="320"/>
      <c r="K44" s="202">
        <v>0</v>
      </c>
      <c r="L44" s="59"/>
    </row>
    <row r="45" spans="1:12" x14ac:dyDescent="0.25">
      <c r="A45" s="63"/>
      <c r="B45" s="63"/>
      <c r="C45" s="63"/>
      <c r="D45" s="63"/>
      <c r="E45" s="287"/>
      <c r="F45" s="139" t="s">
        <v>97</v>
      </c>
      <c r="G45" s="329">
        <f>'Ch. 4.5 &amp; 4.6 Energy'!H108</f>
        <v>20.495652962408709</v>
      </c>
      <c r="H45" s="329"/>
      <c r="I45" s="330">
        <f>'Ch. 4.5 &amp; 4.6 Energy'!H112</f>
        <v>20.565438153186211</v>
      </c>
      <c r="J45" s="329"/>
      <c r="K45" s="330">
        <f>'Ch. 4.5 &amp; 4.6 Energy'!H116</f>
        <v>16.070296219874049</v>
      </c>
      <c r="L45" s="63"/>
    </row>
    <row r="46" spans="1:12" x14ac:dyDescent="0.25">
      <c r="E46" s="286" t="s">
        <v>213</v>
      </c>
      <c r="F46" s="138" t="s">
        <v>94</v>
      </c>
      <c r="G46" s="99">
        <f>'Ch. 4.5 &amp; 4.6 Energy'!J105</f>
        <v>7.9435298703973665</v>
      </c>
      <c r="H46" s="99"/>
      <c r="I46" s="202">
        <f>'Ch. 4.5 &amp; 4.6 Energy'!J109</f>
        <v>6.4396032540473662</v>
      </c>
      <c r="J46" s="99"/>
      <c r="K46" s="202">
        <v>0</v>
      </c>
    </row>
    <row r="47" spans="1:12" x14ac:dyDescent="0.25">
      <c r="E47" s="286"/>
      <c r="F47" s="138" t="s">
        <v>95</v>
      </c>
      <c r="G47" s="99">
        <f>'Ch. 4.5 &amp; 4.6 Energy'!J106</f>
        <v>8.2914284185293905</v>
      </c>
      <c r="H47" s="99"/>
      <c r="I47" s="202">
        <f>'Ch. 4.5 &amp; 4.6 Energy'!J110</f>
        <v>8.561299136049529</v>
      </c>
      <c r="J47" s="99"/>
      <c r="K47" s="202">
        <v>0</v>
      </c>
    </row>
    <row r="48" spans="1:12" x14ac:dyDescent="0.25">
      <c r="E48" s="286"/>
      <c r="F48" s="138" t="s">
        <v>96</v>
      </c>
      <c r="G48" s="99">
        <f>'Ch. 4.5 &amp; 4.6 Energy'!J107</f>
        <v>8.6538160265873394</v>
      </c>
      <c r="H48" s="99"/>
      <c r="I48" s="202">
        <f>'Ch. 4.5 &amp; 4.6 Energy'!J111</f>
        <v>9.125203361243468</v>
      </c>
      <c r="J48" s="99"/>
      <c r="K48" s="202">
        <f>'Ch. 4.5 &amp; 4.6 Energy'!J115</f>
        <v>6.821123409813775</v>
      </c>
    </row>
    <row r="49" spans="1:12" ht="15.75" thickBot="1" x14ac:dyDescent="0.3">
      <c r="A49" s="136"/>
      <c r="B49" s="136"/>
      <c r="C49" s="136"/>
      <c r="D49" s="136"/>
      <c r="E49" s="288"/>
      <c r="F49" s="137" t="s">
        <v>97</v>
      </c>
      <c r="G49" s="331">
        <f>'Ch. 4.5 &amp; 4.6 Energy'!J108</f>
        <v>9.2577198015233311</v>
      </c>
      <c r="H49" s="331"/>
      <c r="I49" s="202">
        <f>'Ch. 4.5 &amp; 4.6 Energy'!J112</f>
        <v>9.3091644028498202</v>
      </c>
      <c r="J49" s="331"/>
      <c r="K49" s="202">
        <f>'Ch. 4.5 &amp; 4.6 Energy'!J116</f>
        <v>8.9660979445140114</v>
      </c>
      <c r="L49" s="136"/>
    </row>
    <row r="50" spans="1:12" x14ac:dyDescent="0.25">
      <c r="A50" s="148" t="s">
        <v>249</v>
      </c>
      <c r="B50" s="140" t="s">
        <v>251</v>
      </c>
      <c r="C50" s="140"/>
      <c r="D50" s="140"/>
      <c r="E50" s="285" t="s">
        <v>367</v>
      </c>
      <c r="F50" s="141" t="s">
        <v>94</v>
      </c>
      <c r="G50" s="142">
        <f>'Ch. 4.7 Costs'!K56</f>
        <v>178343.91093117406</v>
      </c>
      <c r="H50" s="140"/>
      <c r="I50" s="265">
        <f>'Ch. 4.7 Costs'!K64</f>
        <v>57748.411764705881</v>
      </c>
      <c r="J50" s="206"/>
      <c r="K50" s="265">
        <f>'Ch. 4.7 Costs'!K65</f>
        <v>57999.941176470587</v>
      </c>
      <c r="L50" s="206"/>
    </row>
    <row r="51" spans="1:12" x14ac:dyDescent="0.25">
      <c r="A51" s="59"/>
      <c r="B51" s="59" t="s">
        <v>250</v>
      </c>
      <c r="C51" s="59"/>
      <c r="D51" s="59"/>
      <c r="E51" s="286"/>
      <c r="F51" s="138" t="s">
        <v>95</v>
      </c>
      <c r="G51" s="143">
        <f>'Ch. 4.7 Costs'!K57</f>
        <v>42745.582186234817</v>
      </c>
      <c r="H51" s="59"/>
      <c r="I51" s="267"/>
      <c r="J51" s="207"/>
      <c r="K51" s="267"/>
      <c r="L51" s="207"/>
    </row>
    <row r="52" spans="1:12" x14ac:dyDescent="0.25">
      <c r="A52" s="59"/>
      <c r="B52" s="59"/>
      <c r="C52" s="59"/>
      <c r="D52" s="59"/>
      <c r="E52" s="286"/>
      <c r="F52" s="138" t="s">
        <v>96</v>
      </c>
      <c r="G52" s="143">
        <f>'Ch. 4.7 Costs'!K58</f>
        <v>17320.895546558706</v>
      </c>
      <c r="H52" s="59"/>
      <c r="I52" s="267"/>
      <c r="J52" s="207"/>
      <c r="K52" s="267"/>
      <c r="L52" s="207"/>
    </row>
    <row r="53" spans="1:12" x14ac:dyDescent="0.25">
      <c r="A53" s="63"/>
      <c r="B53" s="63"/>
      <c r="C53" s="63"/>
      <c r="D53" s="63"/>
      <c r="E53" s="287"/>
      <c r="F53" s="139" t="s">
        <v>97</v>
      </c>
      <c r="G53" s="144">
        <f>'Ch. 4.7 Costs'!K59</f>
        <v>9693.489554655871</v>
      </c>
      <c r="H53" s="63"/>
      <c r="I53" s="267"/>
      <c r="J53" s="207"/>
      <c r="K53" s="267"/>
      <c r="L53" s="207"/>
    </row>
    <row r="54" spans="1:12" x14ac:dyDescent="0.25">
      <c r="A54" s="59"/>
      <c r="B54" s="59"/>
      <c r="C54" s="59"/>
      <c r="D54" s="59"/>
      <c r="E54" s="286" t="s">
        <v>368</v>
      </c>
      <c r="F54" s="138" t="s">
        <v>94</v>
      </c>
      <c r="G54" s="143">
        <f>'Ch. 4.7 Costs'!K60</f>
        <v>35802.800000000003</v>
      </c>
      <c r="H54" s="59"/>
      <c r="I54" s="267"/>
      <c r="J54" s="207"/>
      <c r="K54" s="267"/>
      <c r="L54" s="207"/>
    </row>
    <row r="55" spans="1:12" x14ac:dyDescent="0.25">
      <c r="A55" s="59"/>
      <c r="B55" s="59"/>
      <c r="C55" s="59"/>
      <c r="D55" s="59"/>
      <c r="E55" s="286"/>
      <c r="F55" s="138" t="s">
        <v>95</v>
      </c>
      <c r="G55" s="143">
        <f>'Ch. 4.7 Costs'!K61</f>
        <v>14237.36</v>
      </c>
      <c r="H55" s="59"/>
      <c r="I55" s="267"/>
      <c r="J55" s="207"/>
      <c r="K55" s="267"/>
      <c r="L55" s="207"/>
    </row>
    <row r="56" spans="1:12" x14ac:dyDescent="0.25">
      <c r="A56" s="59"/>
      <c r="B56" s="59"/>
      <c r="C56" s="59"/>
      <c r="D56" s="59"/>
      <c r="E56" s="286"/>
      <c r="F56" s="138" t="s">
        <v>96</v>
      </c>
      <c r="G56" s="143">
        <f>'Ch. 4.7 Costs'!K62</f>
        <v>10193.84</v>
      </c>
      <c r="H56" s="59"/>
      <c r="I56" s="267"/>
      <c r="J56" s="207"/>
      <c r="K56" s="267"/>
      <c r="L56" s="207"/>
    </row>
    <row r="57" spans="1:12" x14ac:dyDescent="0.25">
      <c r="A57" s="63"/>
      <c r="B57" s="63"/>
      <c r="C57" s="63"/>
      <c r="D57" s="63"/>
      <c r="E57" s="287"/>
      <c r="F57" s="139" t="s">
        <v>97</v>
      </c>
      <c r="G57" s="144">
        <f>'Ch. 4.7 Costs'!K63</f>
        <v>8980.7840000000015</v>
      </c>
      <c r="H57" s="63"/>
      <c r="I57" s="295"/>
      <c r="J57" s="208"/>
      <c r="K57" s="295"/>
      <c r="L57" s="208"/>
    </row>
    <row r="58" spans="1:12" x14ac:dyDescent="0.25">
      <c r="A58" s="59"/>
      <c r="B58" s="59"/>
      <c r="C58" s="59"/>
      <c r="D58" s="59"/>
      <c r="E58" s="296" t="s">
        <v>372</v>
      </c>
      <c r="F58" s="138" t="s">
        <v>94</v>
      </c>
      <c r="G58" s="279" t="s">
        <v>252</v>
      </c>
      <c r="H58" s="280"/>
      <c r="I58" s="289">
        <f>'Ch. 4.7 Costs'!K66</f>
        <v>12148.411764705883</v>
      </c>
      <c r="J58" s="59"/>
      <c r="K58" s="292">
        <f>'Ch. 4.7 Costs'!K67</f>
        <v>12399.941176470589</v>
      </c>
      <c r="L58" s="209"/>
    </row>
    <row r="59" spans="1:12" x14ac:dyDescent="0.25">
      <c r="A59" s="59"/>
      <c r="B59" s="59"/>
      <c r="C59" s="59"/>
      <c r="D59" s="59"/>
      <c r="E59" s="296"/>
      <c r="F59" s="138" t="s">
        <v>95</v>
      </c>
      <c r="G59" s="281"/>
      <c r="H59" s="268"/>
      <c r="I59" s="290"/>
      <c r="J59" s="59"/>
      <c r="K59" s="293"/>
      <c r="L59" s="203"/>
    </row>
    <row r="60" spans="1:12" x14ac:dyDescent="0.25">
      <c r="A60" s="59"/>
      <c r="B60" s="59"/>
      <c r="C60" s="59"/>
      <c r="D60" s="59"/>
      <c r="E60" s="296"/>
      <c r="F60" s="138" t="s">
        <v>96</v>
      </c>
      <c r="G60" s="281"/>
      <c r="H60" s="268"/>
      <c r="I60" s="290"/>
      <c r="J60" s="59"/>
      <c r="K60" s="293"/>
      <c r="L60" s="203"/>
    </row>
    <row r="61" spans="1:12" ht="15.75" thickBot="1" x14ac:dyDescent="0.3">
      <c r="A61" s="136"/>
      <c r="B61" s="136"/>
      <c r="C61" s="136"/>
      <c r="D61" s="136"/>
      <c r="E61" s="297"/>
      <c r="F61" s="137" t="s">
        <v>97</v>
      </c>
      <c r="G61" s="282"/>
      <c r="H61" s="270"/>
      <c r="I61" s="291"/>
      <c r="J61" s="136"/>
      <c r="K61" s="294"/>
      <c r="L61" s="210"/>
    </row>
  </sheetData>
  <mergeCells count="32">
    <mergeCell ref="K7:K10"/>
    <mergeCell ref="K11:K14"/>
    <mergeCell ref="E21:E24"/>
    <mergeCell ref="E25:E28"/>
    <mergeCell ref="E29:E32"/>
    <mergeCell ref="I7:I10"/>
    <mergeCell ref="I11:I14"/>
    <mergeCell ref="E7:E10"/>
    <mergeCell ref="E11:E14"/>
    <mergeCell ref="E17:E20"/>
    <mergeCell ref="D5:D6"/>
    <mergeCell ref="D7:D14"/>
    <mergeCell ref="D17:D24"/>
    <mergeCell ref="D25:D32"/>
    <mergeCell ref="D15:D16"/>
    <mergeCell ref="E42:E45"/>
    <mergeCell ref="E46:E49"/>
    <mergeCell ref="E50:E53"/>
    <mergeCell ref="E54:E57"/>
    <mergeCell ref="E58:E61"/>
    <mergeCell ref="G58:H61"/>
    <mergeCell ref="I58:I61"/>
    <mergeCell ref="K58:K61"/>
    <mergeCell ref="I50:I57"/>
    <mergeCell ref="K50:K57"/>
    <mergeCell ref="A34:C35"/>
    <mergeCell ref="G33:H36"/>
    <mergeCell ref="G37:H40"/>
    <mergeCell ref="J33:J36"/>
    <mergeCell ref="J37:J40"/>
    <mergeCell ref="E33:E36"/>
    <mergeCell ref="E37:E40"/>
  </mergeCells>
  <pageMargins left="0.7" right="0.7" top="0.75" bottom="0.75" header="0.3" footer="0.3"/>
  <pageSetup orientation="portrait" verticalDpi="0" r:id="rId1"/>
  <headerFooter>
    <oddFooter>&amp;C&amp;1#&amp;"Arial"&amp;11&amp;K404040Restricted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7BF3C322DBF4344D94830E1BCD0749E4" ma:contentTypeVersion="13" ma:contentTypeDescription="Luo uusi asiakirja." ma:contentTypeScope="" ma:versionID="8d8a7938cb530af19f76ceead88e5683">
  <xsd:schema xmlns:xsd="http://www.w3.org/2001/XMLSchema" xmlns:xs="http://www.w3.org/2001/XMLSchema" xmlns:p="http://schemas.microsoft.com/office/2006/metadata/properties" xmlns:ns3="661b2308-19a4-451e-9dbb-a229fa0a74bf" xmlns:ns4="11b1e898-917f-4713-bbff-91e9b4b4ce8c" targetNamespace="http://schemas.microsoft.com/office/2006/metadata/properties" ma:root="true" ma:fieldsID="253492f4c682139bb37b75f64f4610c5" ns3:_="" ns4:_="">
    <xsd:import namespace="661b2308-19a4-451e-9dbb-a229fa0a74bf"/>
    <xsd:import namespace="11b1e898-917f-4713-bbff-91e9b4b4ce8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1b2308-19a4-451e-9dbb-a229fa0a74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b1e898-917f-4713-bbff-91e9b4b4ce8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Jakamisvihjeen hajautus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53E9345-7484-47C9-A14D-79BBCC1E76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C47AD90-0E1E-4B29-A64D-B91F346881CF}">
  <ds:schemaRefs>
    <ds:schemaRef ds:uri="http://schemas.microsoft.com/office/infopath/2007/PartnerControls"/>
    <ds:schemaRef ds:uri="11b1e898-917f-4713-bbff-91e9b4b4ce8c"/>
    <ds:schemaRef ds:uri="http://schemas.microsoft.com/office/2006/documentManagement/types"/>
    <ds:schemaRef ds:uri="http://schemas.microsoft.com/office/2006/metadata/properties"/>
    <ds:schemaRef ds:uri="661b2308-19a4-451e-9dbb-a229fa0a74bf"/>
    <ds:schemaRef ds:uri="http://purl.org/dc/terms/"/>
    <ds:schemaRef ds:uri="http://schemas.openxmlformats.org/package/2006/metadata/core-properties"/>
    <ds:schemaRef ds:uri="http://purl.org/dc/dcmitype/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4ED4DAEE-51E7-4AC3-9F58-2C0727E396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1b2308-19a4-451e-9dbb-a229fa0a74bf"/>
    <ds:schemaRef ds:uri="11b1e898-917f-4713-bbff-91e9b4b4ce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Ch. 2.3 Data Rate</vt:lpstr>
      <vt:lpstr>Ch. 2.3 Monthly Data</vt:lpstr>
      <vt:lpstr>Ch. 2.6 Battery Capacity</vt:lpstr>
      <vt:lpstr>NB-IoT</vt:lpstr>
      <vt:lpstr>LoRaWAN</vt:lpstr>
      <vt:lpstr>TS-UNB</vt:lpstr>
      <vt:lpstr>Ch. 4.5 &amp; 4.6 Energy</vt:lpstr>
      <vt:lpstr>Ch. 4.7 Costs</vt:lpstr>
      <vt:lpstr>Ch. 4.7 Alt Costs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2021-03-04T12:51:08Z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842b46-9b7a-431a-b662-8cc44ff92a4e_Enabled">
    <vt:lpwstr>True</vt:lpwstr>
  </property>
  <property fmtid="{D5CDD505-2E9C-101B-9397-08002B2CF9AE}" pid="3" name="MSIP_Label_d5842b46-9b7a-431a-b662-8cc44ff92a4e_SiteId">
    <vt:lpwstr>6d7393e0-41f5-4c2e-9b12-4c2be5da5c57</vt:lpwstr>
  </property>
  <property fmtid="{D5CDD505-2E9C-101B-9397-08002B2CF9AE}" pid="4" name="MSIP_Label_d5842b46-9b7a-431a-b662-8cc44ff92a4e_Owner">
    <vt:lpwstr>vesa.maki@vaisala.com</vt:lpwstr>
  </property>
  <property fmtid="{D5CDD505-2E9C-101B-9397-08002B2CF9AE}" pid="5" name="MSIP_Label_d5842b46-9b7a-431a-b662-8cc44ff92a4e_SetDate">
    <vt:lpwstr>2020-10-15T12:01:00.0926646Z</vt:lpwstr>
  </property>
  <property fmtid="{D5CDD505-2E9C-101B-9397-08002B2CF9AE}" pid="6" name="MSIP_Label_d5842b46-9b7a-431a-b662-8cc44ff92a4e_Name">
    <vt:lpwstr>Restricted</vt:lpwstr>
  </property>
  <property fmtid="{D5CDD505-2E9C-101B-9397-08002B2CF9AE}" pid="7" name="MSIP_Label_d5842b46-9b7a-431a-b662-8cc44ff92a4e_Application">
    <vt:lpwstr>Microsoft Azure Information Protection</vt:lpwstr>
  </property>
  <property fmtid="{D5CDD505-2E9C-101B-9397-08002B2CF9AE}" pid="8" name="MSIP_Label_d5842b46-9b7a-431a-b662-8cc44ff92a4e_ActionId">
    <vt:lpwstr>f5d1fb84-fb3b-42f7-85b5-1df1f806820b</vt:lpwstr>
  </property>
  <property fmtid="{D5CDD505-2E9C-101B-9397-08002B2CF9AE}" pid="9" name="MSIP_Label_d5842b46-9b7a-431a-b662-8cc44ff92a4e_Extended_MSFT_Method">
    <vt:lpwstr>Automatic</vt:lpwstr>
  </property>
  <property fmtid="{D5CDD505-2E9C-101B-9397-08002B2CF9AE}" pid="10" name="MSIP_Label_f6c791fc-dee7-453e-a285-84b1a1512c81_Enabled">
    <vt:lpwstr>True</vt:lpwstr>
  </property>
  <property fmtid="{D5CDD505-2E9C-101B-9397-08002B2CF9AE}" pid="11" name="MSIP_Label_f6c791fc-dee7-453e-a285-84b1a1512c81_SiteId">
    <vt:lpwstr>6d7393e0-41f5-4c2e-9b12-4c2be5da5c57</vt:lpwstr>
  </property>
  <property fmtid="{D5CDD505-2E9C-101B-9397-08002B2CF9AE}" pid="12" name="MSIP_Label_f6c791fc-dee7-453e-a285-84b1a1512c81_Owner">
    <vt:lpwstr>vesa.maki@vaisala.com</vt:lpwstr>
  </property>
  <property fmtid="{D5CDD505-2E9C-101B-9397-08002B2CF9AE}" pid="13" name="MSIP_Label_f6c791fc-dee7-453e-a285-84b1a1512c81_SetDate">
    <vt:lpwstr>2020-10-15T12:01:00.0926646Z</vt:lpwstr>
  </property>
  <property fmtid="{D5CDD505-2E9C-101B-9397-08002B2CF9AE}" pid="14" name="MSIP_Label_f6c791fc-dee7-453e-a285-84b1a1512c81_Name">
    <vt:lpwstr>Label</vt:lpwstr>
  </property>
  <property fmtid="{D5CDD505-2E9C-101B-9397-08002B2CF9AE}" pid="15" name="MSIP_Label_f6c791fc-dee7-453e-a285-84b1a1512c81_Application">
    <vt:lpwstr>Microsoft Azure Information Protection</vt:lpwstr>
  </property>
  <property fmtid="{D5CDD505-2E9C-101B-9397-08002B2CF9AE}" pid="16" name="MSIP_Label_f6c791fc-dee7-453e-a285-84b1a1512c81_ActionId">
    <vt:lpwstr>f5d1fb84-fb3b-42f7-85b5-1df1f806820b</vt:lpwstr>
  </property>
  <property fmtid="{D5CDD505-2E9C-101B-9397-08002B2CF9AE}" pid="17" name="MSIP_Label_f6c791fc-dee7-453e-a285-84b1a1512c81_Parent">
    <vt:lpwstr>d5842b46-9b7a-431a-b662-8cc44ff92a4e</vt:lpwstr>
  </property>
  <property fmtid="{D5CDD505-2E9C-101B-9397-08002B2CF9AE}" pid="18" name="MSIP_Label_f6c791fc-dee7-453e-a285-84b1a1512c81_Extended_MSFT_Method">
    <vt:lpwstr>Automatic</vt:lpwstr>
  </property>
  <property fmtid="{D5CDD505-2E9C-101B-9397-08002B2CF9AE}" pid="19" name="Sensitivity">
    <vt:lpwstr>Restricted Label</vt:lpwstr>
  </property>
  <property fmtid="{D5CDD505-2E9C-101B-9397-08002B2CF9AE}" pid="20" name="ContentTypeId">
    <vt:lpwstr>0x0101007BF3C322DBF4344D94830E1BCD0749E4</vt:lpwstr>
  </property>
</Properties>
</file>