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EA69063E-21A9-404E-9405-76D05678DBE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I32" i="3" s="1"/>
  <c r="E30" i="3"/>
  <c r="I30" i="3" s="1"/>
  <c r="E28" i="3"/>
  <c r="G32" i="3"/>
  <c r="E42" i="3"/>
  <c r="F38" i="3"/>
  <c r="E40" i="3"/>
  <c r="G40" i="3" s="1"/>
  <c r="E38" i="3"/>
  <c r="I38" i="3" s="1"/>
  <c r="E36" i="3"/>
  <c r="I36" i="3" s="1"/>
  <c r="E34" i="3"/>
  <c r="E24" i="3"/>
  <c r="I24" i="3" s="1"/>
  <c r="E22" i="3"/>
  <c r="I22" i="3" s="1"/>
  <c r="E20" i="3"/>
  <c r="I20" i="3" s="1"/>
  <c r="E18" i="3"/>
  <c r="I18" i="3" s="1"/>
  <c r="E16" i="3"/>
  <c r="E14" i="3"/>
  <c r="E12" i="3"/>
  <c r="G12" i="3" s="1"/>
  <c r="E10" i="3"/>
  <c r="E8" i="3"/>
  <c r="I8" i="3" s="1"/>
  <c r="E6" i="3"/>
  <c r="G6" i="3" s="1"/>
  <c r="H6" i="3"/>
  <c r="H4" i="3"/>
  <c r="E4" i="3"/>
  <c r="G4" i="3" s="1"/>
  <c r="G26" i="3"/>
  <c r="H14" i="3"/>
  <c r="F14" i="3"/>
  <c r="G14" i="3" s="1"/>
  <c r="H10" i="3"/>
  <c r="F10" i="3"/>
  <c r="F8" i="3"/>
  <c r="G30" i="3" l="1"/>
  <c r="G36" i="3"/>
  <c r="G18" i="3"/>
  <c r="G34" i="3"/>
  <c r="G24" i="3"/>
  <c r="G22" i="3"/>
  <c r="G20" i="3"/>
  <c r="I16" i="3"/>
  <c r="G42" i="3"/>
  <c r="I28" i="3"/>
  <c r="I14" i="3"/>
  <c r="I42" i="3"/>
  <c r="G28" i="3"/>
  <c r="I34" i="3"/>
  <c r="G10" i="3"/>
  <c r="I10" i="3"/>
  <c r="I6" i="3"/>
  <c r="I4" i="3"/>
  <c r="G38" i="3"/>
  <c r="G8" i="3"/>
  <c r="G16" i="3"/>
  <c r="J12" i="2" l="1"/>
  <c r="J13" i="2"/>
  <c r="J14" i="2"/>
  <c r="J15" i="2"/>
  <c r="J16" i="2"/>
  <c r="J17" i="2"/>
  <c r="J11" i="2"/>
  <c r="I12" i="2"/>
  <c r="I13" i="2"/>
  <c r="I14" i="2"/>
  <c r="I15" i="2"/>
  <c r="I16" i="2"/>
  <c r="I17" i="2"/>
  <c r="I11" i="2"/>
  <c r="H18" i="2"/>
  <c r="J18" i="2"/>
  <c r="H12" i="2"/>
  <c r="H13" i="2"/>
  <c r="H14" i="2"/>
  <c r="H15" i="2"/>
  <c r="H16" i="2"/>
  <c r="H17" i="2"/>
  <c r="H11" i="2"/>
  <c r="F18" i="2"/>
  <c r="G18" i="2"/>
  <c r="E11" i="2"/>
  <c r="C18" i="2"/>
  <c r="D16" i="2"/>
  <c r="D11" i="2"/>
  <c r="C12" i="2"/>
  <c r="D12" i="2" s="1"/>
  <c r="C13" i="2"/>
  <c r="D13" i="2" s="1"/>
  <c r="C14" i="2"/>
  <c r="D14" i="2" s="1"/>
  <c r="C15" i="2"/>
  <c r="D15" i="2" s="1"/>
  <c r="C16" i="2"/>
  <c r="C17" i="2"/>
  <c r="D17" i="2" s="1"/>
  <c r="C11" i="2"/>
  <c r="B8" i="1"/>
  <c r="D8" i="1" s="1"/>
  <c r="B9" i="1"/>
  <c r="D9" i="1" s="1"/>
  <c r="B8" i="2"/>
  <c r="B13" i="2" s="1"/>
  <c r="A17" i="2"/>
  <c r="E17" i="2" s="1"/>
  <c r="A12" i="2"/>
  <c r="E12" i="2" s="1"/>
  <c r="A13" i="2"/>
  <c r="E13" i="2" s="1"/>
  <c r="A14" i="2"/>
  <c r="E14" i="2" s="1"/>
  <c r="A15" i="2"/>
  <c r="E15" i="2" s="1"/>
  <c r="A16" i="2"/>
  <c r="E16" i="2" s="1"/>
  <c r="A11" i="2"/>
  <c r="E3" i="1"/>
  <c r="F4" i="1"/>
  <c r="F5" i="1"/>
  <c r="F6" i="1"/>
  <c r="F7" i="1"/>
  <c r="F3" i="1"/>
  <c r="E9" i="1"/>
  <c r="E4" i="1"/>
  <c r="E5" i="1"/>
  <c r="E6" i="1"/>
  <c r="E7" i="1"/>
  <c r="E8" i="1"/>
  <c r="D4" i="1"/>
  <c r="D5" i="1"/>
  <c r="D6" i="1"/>
  <c r="D7" i="1"/>
  <c r="D3" i="1"/>
  <c r="C4" i="1"/>
  <c r="C5" i="1"/>
  <c r="C6" i="1"/>
  <c r="C7" i="1"/>
  <c r="C8" i="1"/>
  <c r="C9" i="1"/>
  <c r="C3" i="1"/>
  <c r="B24" i="1"/>
  <c r="D14" i="1"/>
  <c r="B6" i="1"/>
  <c r="B7" i="1"/>
  <c r="B5" i="1"/>
  <c r="B4" i="1"/>
  <c r="B3" i="1"/>
  <c r="I18" i="2" l="1"/>
  <c r="F13" i="2"/>
  <c r="G13" i="2"/>
  <c r="D18" i="2"/>
  <c r="B12" i="2"/>
  <c r="B15" i="2"/>
  <c r="B14" i="2"/>
  <c r="B11" i="2"/>
  <c r="E18" i="2"/>
  <c r="F8" i="1"/>
  <c r="B16" i="2" s="1"/>
  <c r="F9" i="1"/>
  <c r="B17" i="2" s="1"/>
  <c r="B10" i="1"/>
  <c r="B2" i="2" s="1"/>
  <c r="B6" i="2" s="1"/>
  <c r="F14" i="2" l="1"/>
  <c r="G14" i="2"/>
  <c r="G12" i="2"/>
  <c r="F12" i="2"/>
  <c r="F11" i="2"/>
  <c r="G11" i="2"/>
  <c r="F15" i="2"/>
  <c r="G15" i="2"/>
  <c r="F17" i="2"/>
  <c r="G17" i="2"/>
  <c r="F16" i="2"/>
  <c r="G16" i="2"/>
  <c r="B18" i="2"/>
  <c r="B4" i="2"/>
</calcChain>
</file>

<file path=xl/sharedStrings.xml><?xml version="1.0" encoding="utf-8"?>
<sst xmlns="http://schemas.openxmlformats.org/spreadsheetml/2006/main" count="106" uniqueCount="86">
  <si>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</si>
  <si>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</si>
  <si>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</si>
  <si>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</si>
  <si>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</si>
  <si>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</si>
  <si>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</si>
  <si>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</si>
  <si>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</si>
  <si>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</si>
  <si>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</si>
  <si>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</si>
  <si>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</si>
  <si>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</si>
  <si>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</si>
  <si>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</si>
  <si>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</si>
  <si>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</si>
  <si>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</si>
  <si>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</si>
  <si>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</si>
  <si>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</si>
  <si>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</si>
  <si>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</si>
  <si>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</si>
  <si>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</si>
  <si>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</si>
  <si>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</si>
  <si>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</si>
  <si>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</si>
  <si>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</si>
  <si>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</si>
  <si>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</si>
  <si>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</si>
  <si>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</si>
  <si>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</si>
  <si>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</si>
  <si>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</si>
  <si>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</si>
  <si>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</si>
  <si>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</si>
  <si>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</si>
  <si>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</si>
  <si>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</si>
  <si>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</si>
  <si>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100м</t>
  </si>
  <si>
    <t>Е16-29-1</t>
  </si>
  <si>
    <t>гидравлические испытания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</si>
  <si>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</si>
  <si>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</si>
  <si>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</si>
  <si>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</si>
  <si>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</si>
  <si>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</si>
  <si>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НЕПРОХОДНОМ КАНАЛЕ ПРИ УСЛОВНОМ ДАВЛЕНИИ 1,6 МПА, ТЕМПЕРАТУРЕ 150 ГРАД.С, ДИАМЕТРОМ ТРУБ 100 ММ</t>
  </si>
  <si>
    <t>Е24-2-4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</si>
  <si>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</si>
  <si>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</si>
  <si>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</si>
  <si>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</si>
  <si>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</si>
  <si>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ПРОКЛАДКА ТРУБОПРОВОДОВ В НЕПРОХОДНОМ КАНАЛЕ ПРИ УСЛОВНОМ ДАВЛЕНИИ 1,6 МПА, ТЕМПЕРАТУРЕ 150 ГРАД.С, ДИАМЕТРОМ ТРУБ 300 ММ</t>
  </si>
  <si>
    <t>Е24-2-9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</si>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</sst>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8" fontId="0" fillId="0" borderId="1" xfId="0" applyNumberFormat="1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49" fontId="3" fillId="0" borderId="10" xfId="0" applyNumberFormat="1" applyFont="1" applyBorder="1"/>
    <xf numFmtId="0" fontId="3" fillId="0" borderId="10" xfId="0" applyFont="1" applyBorder="1"/>
    <xf numFmtId="49" fontId="3" fillId="0" borderId="10" xfId="0" applyNumberFormat="1" applyFont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4" fillId="0" borderId="7" xfId="0" applyFont="1" applyBorder="1"/>
    <xf numFmtId="49" fontId="3" fillId="0" borderId="1" xfId="0" applyNumberFormat="1" applyFont="1" applyBorder="1" applyAlignment="1">
      <alignment wrapText="1"/>
    </xf>
    <xf numFmtId="0" fontId="4" fillId="0" borderId="7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4" fillId="0" borderId="7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wrapText="1"/>
    </xf>
    <xf numFmtId="0" fontId="0" fillId="0" borderId="0" xfId="0" applyFont="1" applyFill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3" fillId="0" borderId="14" xfId="0" applyNumberFormat="1" applyFont="1" applyBorder="1"/>
    <xf numFmtId="49" fontId="3" fillId="0" borderId="15" xfId="0" applyNumberFormat="1" applyFont="1" applyBorder="1" applyAlignment="1">
      <alignment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wrapText="1"/>
    </xf>
    <xf numFmtId="49" fontId="3" fillId="0" borderId="20" xfId="0" applyNumberFormat="1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49" fontId="5" fillId="0" borderId="27" xfId="0" applyNumberFormat="1" applyFont="1" applyFill="1" applyBorder="1"/>
    <xf numFmtId="49" fontId="5" fillId="0" borderId="27" xfId="0" applyNumberFormat="1" applyFont="1" applyFill="1" applyBorder="1" applyAlignment="1">
      <alignment wrapText="1"/>
    </xf>
    <xf numFmtId="49" fontId="5" fillId="0" borderId="28" xfId="0" applyNumberFormat="1" applyFont="1" applyFill="1" applyBorder="1" applyAlignment="1">
      <alignment wrapText="1"/>
    </xf>
    <xf numFmtId="49" fontId="3" fillId="0" borderId="28" xfId="0" applyNumberFormat="1" applyFont="1" applyFill="1" applyBorder="1" applyAlignment="1">
      <alignment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vertical="center" wrapText="1"/>
    </xf>
    <xf numFmtId="0" fontId="4" fillId="0" borderId="31" xfId="0" applyFont="1" applyBorder="1"/>
    <xf numFmtId="0" fontId="0" fillId="0" borderId="32" xfId="0" applyBorder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49" fontId="3" fillId="3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2" borderId="18" xfId="0" applyFill="1" applyBorder="1"/>
    <xf numFmtId="0" fontId="0" fillId="2" borderId="2" xfId="0" applyFill="1" applyBorder="1"/>
    <xf numFmtId="0" fontId="0" fillId="2" borderId="19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2" xfId="0" applyNumberFormat="1" applyFont="1" applyFill="1" applyBorder="1" applyAlignment="1">
      <alignment wrapText="1"/>
    </xf>
    <xf numFmtId="49" fontId="3" fillId="2" borderId="2" xfId="0" applyNumberFormat="1" applyFont="1" applyFill="1" applyBorder="1"/>
    <xf numFmtId="49" fontId="3" fillId="2" borderId="19" xfId="0" applyNumberFormat="1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0" fontId="3" fillId="2" borderId="0" xfId="0" applyFont="1" applyFill="1" applyBorder="1"/>
    <xf numFmtId="49" fontId="3" fillId="2" borderId="22" xfId="0" applyNumberFormat="1" applyFont="1" applyFill="1" applyBorder="1" applyAlignment="1">
      <alignment wrapText="1"/>
    </xf>
    <xf numFmtId="49" fontId="3" fillId="2" borderId="23" xfId="0" applyNumberFormat="1" applyFont="1" applyFill="1" applyBorder="1" applyAlignment="1">
      <alignment wrapText="1"/>
    </xf>
    <xf numFmtId="49" fontId="3" fillId="2" borderId="23" xfId="0" applyNumberFormat="1" applyFont="1" applyFill="1" applyBorder="1"/>
    <xf numFmtId="49" fontId="3" fillId="2" borderId="24" xfId="0" applyNumberFormat="1" applyFont="1" applyFill="1" applyBorder="1"/>
    <xf numFmtId="49" fontId="3" fillId="0" borderId="18" xfId="0" applyNumberFormat="1" applyFont="1" applyBorder="1" applyAlignment="1">
      <alignment horizontal="left"/>
    </xf>
    <xf numFmtId="0" fontId="6" fillId="0" borderId="0" xfId="0" applyFont="1" applyBorder="1" applyAlignment="1">
      <alignment wrapText="1"/>
    </xf>
    <xf numFmtId="49" fontId="3" fillId="0" borderId="20" xfId="0" applyNumberFormat="1" applyFont="1" applyBorder="1" applyAlignment="1">
      <alignment horizontal="left" wrapText="1"/>
    </xf>
    <xf numFmtId="49" fontId="3" fillId="3" borderId="20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22" xfId="0" applyNumberFormat="1" applyFont="1" applyFill="1" applyBorder="1" applyAlignment="1">
      <alignment wrapText="1"/>
    </xf>
    <xf numFmtId="0" fontId="6" fillId="0" borderId="33" xfId="0" applyFont="1" applyBorder="1" applyAlignment="1">
      <alignment wrapText="1"/>
    </xf>
    <xf numFmtId="49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2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center" vertical="center" wrapText="1"/>
    </xf>
    <xf numFmtId="2" fontId="3" fillId="0" borderId="2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A7" sqref="A7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A3+2*0.3</f>
        <v>32.6</v>
      </c>
      <c r="D3" s="1">
        <f>B3+2*0.3</f>
        <v>41</v>
      </c>
      <c r="E3" s="1">
        <f>C3+2*$B$24</f>
        <v>33.15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A4+2*0.3</f>
        <v>48.6</v>
      </c>
      <c r="D4" s="1">
        <f t="shared" ref="D4:D9" si="1">B4+2*0.3</f>
        <v>108.05</v>
      </c>
      <c r="E4" s="1">
        <f t="shared" ref="E4:E9" si="2">C4+2*$B$24</f>
        <v>49.15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57.6</v>
      </c>
      <c r="D5" s="1">
        <f t="shared" si="1"/>
        <v>70.599999999999994</v>
      </c>
      <c r="E5" s="1">
        <f t="shared" si="2"/>
        <v>58.15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76.599999999999994</v>
      </c>
      <c r="D6" s="1">
        <f t="shared" si="1"/>
        <v>624.4</v>
      </c>
      <c r="E6" s="1">
        <f t="shared" si="2"/>
        <v>77.149999999999991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89.6</v>
      </c>
      <c r="D7" s="1">
        <f t="shared" si="1"/>
        <v>116</v>
      </c>
      <c r="E7" s="1">
        <f t="shared" si="2"/>
        <v>90.149999999999991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108.6</v>
      </c>
      <c r="D8" s="1">
        <f t="shared" si="1"/>
        <v>2393.6</v>
      </c>
      <c r="E8" s="1">
        <f t="shared" si="2"/>
        <v>109.14999999999999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325.60000000000002</v>
      </c>
      <c r="D9" s="1">
        <f>B9+2*0.3</f>
        <v>10584.6</v>
      </c>
      <c r="E9" s="1">
        <f>C9+2*$B$24</f>
        <v>326.15000000000003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J18"/>
  <sheetViews>
    <sheetView workbookViewId="0">
      <selection activeCell="C31" sqref="C31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</cols>
  <sheetData>
    <row r="2" spans="1:10" x14ac:dyDescent="0.25">
      <c r="A2" t="s">
        <v>8</v>
      </c>
      <c r="B2">
        <f>(исходники!B10 + 10)*10</f>
        <v>139440.5</v>
      </c>
      <c r="C2" t="s">
        <v>9</v>
      </c>
    </row>
    <row r="4" spans="1:10" x14ac:dyDescent="0.25">
      <c r="A4" t="s">
        <v>11</v>
      </c>
      <c r="B4">
        <f>B2*исходники!D14</f>
        <v>15338.455</v>
      </c>
      <c r="C4" t="s">
        <v>12</v>
      </c>
    </row>
    <row r="6" spans="1:10" x14ac:dyDescent="0.25">
      <c r="A6" t="s">
        <v>13</v>
      </c>
      <c r="B6">
        <f>B2*исходники!C20</f>
        <v>557762</v>
      </c>
    </row>
    <row r="8" spans="1:10" x14ac:dyDescent="0.25">
      <c r="A8" t="s">
        <v>22</v>
      </c>
      <c r="B8">
        <f>исходники!B12-исходники!D14-0.05</f>
        <v>0.94000000000000006</v>
      </c>
    </row>
    <row r="10" spans="1:10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52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</row>
    <row r="11" spans="1:10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1275.5243833333334</v>
      </c>
      <c r="C11" s="1">
        <f>исходники!C3*исходники!D3</f>
        <v>1336.6000000000001</v>
      </c>
      <c r="D11" s="1">
        <f>C11*0.05</f>
        <v>66.830000000000013</v>
      </c>
      <c r="E11" s="6">
        <f>POWER((A11/2000),2)*исходники!B3*PI()</f>
        <v>3.2491607860487076E-2</v>
      </c>
      <c r="F11" s="6">
        <f>B11+D11-E11</f>
        <v>1342.3218917254728</v>
      </c>
      <c r="G11" s="6">
        <f>B11-D11</f>
        <v>1208.6943833333335</v>
      </c>
      <c r="H11" s="1">
        <f>F11*0.95</f>
        <v>1275.2057971391991</v>
      </c>
      <c r="I11" s="6">
        <f>F11-H11</f>
        <v>67.116094586273675</v>
      </c>
      <c r="J11" s="6">
        <f>F11</f>
        <v>1342.3218917254728</v>
      </c>
    </row>
    <row r="12" spans="1:10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4976.7450083333333</v>
      </c>
      <c r="C12" s="1">
        <f>исходники!C4*исходники!D4</f>
        <v>5251.23</v>
      </c>
      <c r="D12" s="1">
        <f t="shared" ref="D12:D17" si="0">C12*0.05</f>
        <v>262.56149999999997</v>
      </c>
      <c r="E12" s="6">
        <f>POWER((A12/2000),2)*исходники!B4*PI()</f>
        <v>0.19443693924185659</v>
      </c>
      <c r="F12" s="6">
        <f t="shared" ref="F12:F17" si="1">B12+D12-E12</f>
        <v>5239.1120713940909</v>
      </c>
      <c r="G12" s="6">
        <f t="shared" ref="G12:G17" si="2">B12-D12</f>
        <v>4714.1835083333335</v>
      </c>
      <c r="H12" s="1">
        <f t="shared" ref="H12:H17" si="3">F12*0.95</f>
        <v>4977.1564678243858</v>
      </c>
      <c r="I12" s="6">
        <f t="shared" ref="I12:I17" si="4">F12-H12</f>
        <v>261.95560356970509</v>
      </c>
      <c r="J12" s="6">
        <f t="shared" ref="J12:J17" si="5">F12</f>
        <v>5239.1120713940909</v>
      </c>
    </row>
    <row r="13" spans="1:10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3855.8008833333333</v>
      </c>
      <c r="C13" s="1">
        <f>исходники!C5*исходники!D5</f>
        <v>4066.56</v>
      </c>
      <c r="D13" s="1">
        <f t="shared" si="0"/>
        <v>203.328</v>
      </c>
      <c r="E13" s="6">
        <f>POWER((A13/2000),2)*исходники!B5*PI()</f>
        <v>0.17862310430148168</v>
      </c>
      <c r="F13" s="6">
        <f t="shared" si="1"/>
        <v>4058.9502602290318</v>
      </c>
      <c r="G13" s="6">
        <f t="shared" si="2"/>
        <v>3652.4728833333334</v>
      </c>
      <c r="H13" s="1">
        <f t="shared" si="3"/>
        <v>3856.0027472175798</v>
      </c>
      <c r="I13" s="6">
        <f t="shared" si="4"/>
        <v>202.94751301145197</v>
      </c>
      <c r="J13" s="6">
        <f t="shared" si="5"/>
        <v>4058.9502602290318</v>
      </c>
    </row>
    <row r="14" spans="1:10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45140.600883333333</v>
      </c>
      <c r="C14" s="1">
        <f>исходники!C6*исходники!D6</f>
        <v>47829.039999999994</v>
      </c>
      <c r="D14" s="1">
        <f t="shared" si="0"/>
        <v>2391.4519999999998</v>
      </c>
      <c r="E14" s="6">
        <f>POWER((A14/2000),2)*исходники!B6*PI()</f>
        <v>2.8298436181146474</v>
      </c>
      <c r="F14" s="6">
        <f t="shared" si="1"/>
        <v>47529.223039715216</v>
      </c>
      <c r="G14" s="6">
        <f t="shared" si="2"/>
        <v>42749.148883333335</v>
      </c>
      <c r="H14" s="1">
        <f t="shared" si="3"/>
        <v>45152.761887729452</v>
      </c>
      <c r="I14" s="6">
        <f t="shared" si="4"/>
        <v>2376.4611519857644</v>
      </c>
      <c r="J14" s="6">
        <f t="shared" si="5"/>
        <v>47529.223039715216</v>
      </c>
    </row>
    <row r="15" spans="1:10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9823.2263833333345</v>
      </c>
      <c r="C15" s="1">
        <f>исходники!C7*исходники!D7</f>
        <v>10393.599999999999</v>
      </c>
      <c r="D15" s="1">
        <f t="shared" si="0"/>
        <v>519.67999999999995</v>
      </c>
      <c r="E15" s="6">
        <f>POWER((A15/2000),2)*исходники!B7*PI()</f>
        <v>0.71791942355209504</v>
      </c>
      <c r="F15" s="6">
        <f t="shared" si="1"/>
        <v>10342.188463909783</v>
      </c>
      <c r="G15" s="6">
        <f t="shared" si="2"/>
        <v>9303.5463833333342</v>
      </c>
      <c r="H15" s="1">
        <f t="shared" si="3"/>
        <v>9825.0790407142922</v>
      </c>
      <c r="I15" s="6">
        <f t="shared" si="4"/>
        <v>517.10942319549031</v>
      </c>
      <c r="J15" s="6">
        <f t="shared" si="5"/>
        <v>10342.188463909783</v>
      </c>
    </row>
    <row r="16" spans="1:10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244995.17588333337</v>
      </c>
      <c r="C16" s="1">
        <f>исходники!C8*исходники!D8</f>
        <v>259944.95999999996</v>
      </c>
      <c r="D16" s="1">
        <f t="shared" si="0"/>
        <v>12997.248</v>
      </c>
      <c r="E16" s="6">
        <f>POWER((A16/2000),2)*исходники!B8*PI()</f>
        <v>21.921995837637734</v>
      </c>
      <c r="F16" s="6">
        <f t="shared" si="1"/>
        <v>257970.50188749572</v>
      </c>
      <c r="G16" s="6">
        <f t="shared" si="2"/>
        <v>231997.92788333338</v>
      </c>
      <c r="H16" s="1">
        <f t="shared" si="3"/>
        <v>245071.97679312091</v>
      </c>
      <c r="I16" s="6">
        <f t="shared" si="4"/>
        <v>12898.525094374811</v>
      </c>
      <c r="J16" s="6">
        <f t="shared" si="5"/>
        <v>257970.50188749572</v>
      </c>
    </row>
    <row r="17" spans="1:10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3242385.3958833339</v>
      </c>
      <c r="C17" s="1">
        <f>исходники!C9*исходники!D9</f>
        <v>3446345.7600000002</v>
      </c>
      <c r="D17" s="1">
        <f t="shared" si="0"/>
        <v>172317.28800000003</v>
      </c>
      <c r="E17" s="6">
        <f>POWER((A17/2000),2)*исходники!B9*PI()</f>
        <v>878.02409579772643</v>
      </c>
      <c r="F17" s="6">
        <f t="shared" si="1"/>
        <v>3413824.6597875361</v>
      </c>
      <c r="G17" s="6">
        <f t="shared" si="2"/>
        <v>3070068.1078833337</v>
      </c>
      <c r="H17" s="1">
        <f t="shared" si="3"/>
        <v>3243133.4267981593</v>
      </c>
      <c r="I17" s="6">
        <f t="shared" si="4"/>
        <v>170691.23298937688</v>
      </c>
      <c r="J17" s="6">
        <f t="shared" si="5"/>
        <v>3413824.6597875361</v>
      </c>
    </row>
    <row r="18" spans="1:10" x14ac:dyDescent="0.25">
      <c r="A18" s="4" t="s">
        <v>10</v>
      </c>
      <c r="B18" s="1">
        <f>SUM(B11:B17)</f>
        <v>3552452.4693083339</v>
      </c>
      <c r="C18" s="1">
        <f t="shared" ref="C18:E18" si="6">SUM(C11:C17)</f>
        <v>3775167.75</v>
      </c>
      <c r="D18" s="1">
        <f t="shared" si="6"/>
        <v>188758.38750000004</v>
      </c>
      <c r="E18" s="6">
        <f>SUM(E11:E17)</f>
        <v>903.89940632843468</v>
      </c>
      <c r="F18" s="6">
        <f t="shared" ref="F18:G18" si="7">SUM(F11:F17)</f>
        <v>3740306.9574020053</v>
      </c>
      <c r="G18" s="6">
        <f t="shared" si="7"/>
        <v>3363694.0818083338</v>
      </c>
      <c r="H18" s="6">
        <f t="shared" ref="H18" si="8">SUM(H11:H17)</f>
        <v>3553291.609531905</v>
      </c>
      <c r="I18" s="6">
        <f t="shared" ref="I18" si="9">SUM(I11:I17)</f>
        <v>187015.34787010038</v>
      </c>
      <c r="J18" s="6">
        <f t="shared" ref="J18" si="10">SUM(J11:J17)</f>
        <v>3740306.9574020053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D42"/>
  <sheetViews>
    <sheetView tabSelected="1" topLeftCell="A9" zoomScale="68" zoomScaleNormal="68" workbookViewId="0">
      <selection activeCell="C28" sqref="C28"/>
    </sheetView>
  </sheetViews>
  <sheetFormatPr defaultRowHeight="15" x14ac:dyDescent="0.25"/>
  <cols>
    <col min="2" max="2" width="20" customWidth="1"/>
    <col min="3" max="3" width="55" customWidth="1"/>
    <col min="4" max="4" width="12.5703125" customWidth="1"/>
    <col min="5" max="5" width="16.7109375" customWidth="1"/>
    <col min="6" max="6" width="11.85546875" bestFit="1" customWidth="1"/>
    <col min="7" max="7" width="14.7109375" bestFit="1" customWidth="1"/>
    <col min="8" max="8" width="10.140625" customWidth="1"/>
    <col min="9" max="9" width="14.7109375" bestFit="1" customWidth="1"/>
    <col min="11" max="11" width="18.42578125" customWidth="1"/>
    <col min="12" max="12" width="15.7109375" customWidth="1"/>
    <col min="13" max="13" width="16.28515625" customWidth="1"/>
  </cols>
  <sheetData>
    <row r="1" spans="1:30" ht="55.5" customHeight="1" thickBot="1" x14ac:dyDescent="0.35">
      <c r="A1" s="7"/>
      <c r="B1" s="8" t="s">
        <v>30</v>
      </c>
      <c r="C1" s="9" t="s">
        <v>31</v>
      </c>
      <c r="D1" s="9" t="s">
        <v>32</v>
      </c>
      <c r="E1" s="9" t="s">
        <v>33</v>
      </c>
      <c r="F1" s="10" t="s">
        <v>34</v>
      </c>
      <c r="G1" s="10"/>
      <c r="H1" s="10" t="s">
        <v>35</v>
      </c>
      <c r="I1" s="46"/>
      <c r="J1" s="39"/>
      <c r="K1" s="31" t="s">
        <v>36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32"/>
    </row>
    <row r="2" spans="1:30" ht="30" customHeight="1" thickTop="1" x14ac:dyDescent="0.35">
      <c r="A2" s="12"/>
      <c r="B2" s="13"/>
      <c r="C2" s="14"/>
      <c r="D2" s="14"/>
      <c r="E2" s="14"/>
      <c r="F2" s="15" t="s">
        <v>37</v>
      </c>
      <c r="G2" s="16" t="s">
        <v>38</v>
      </c>
      <c r="H2" s="16" t="s">
        <v>37</v>
      </c>
      <c r="I2" s="47" t="s">
        <v>38</v>
      </c>
      <c r="J2" s="40"/>
      <c r="K2" s="33"/>
      <c r="L2" s="17"/>
      <c r="M2" s="18"/>
      <c r="N2" s="17"/>
      <c r="O2" s="17"/>
      <c r="P2" s="19"/>
      <c r="Q2" s="19"/>
      <c r="R2" s="19"/>
      <c r="S2" s="17"/>
      <c r="T2" s="19"/>
      <c r="U2" s="19"/>
      <c r="V2" s="19"/>
      <c r="W2" s="19"/>
      <c r="X2" s="19"/>
      <c r="Y2" s="19"/>
      <c r="Z2" s="19"/>
      <c r="AA2" s="19"/>
      <c r="AB2" s="19"/>
      <c r="AC2" s="19"/>
      <c r="AD2" s="34"/>
    </row>
    <row r="3" spans="1:30" ht="21" thickBot="1" x14ac:dyDescent="0.3">
      <c r="A3" s="49">
        <v>0</v>
      </c>
      <c r="B3" s="35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36">
        <v>8</v>
      </c>
      <c r="J3" s="41">
        <v>9</v>
      </c>
      <c r="K3" s="35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36">
        <v>29</v>
      </c>
    </row>
    <row r="4" spans="1:30" ht="70.5" thickTop="1" x14ac:dyDescent="0.35">
      <c r="A4" s="23">
        <v>2</v>
      </c>
      <c r="B4" s="68" t="s">
        <v>39</v>
      </c>
      <c r="C4" s="69" t="s">
        <v>71</v>
      </c>
      <c r="D4" s="75" t="s">
        <v>40</v>
      </c>
      <c r="E4" s="76">
        <f>'земляные работы'!B4/1000</f>
        <v>15.338455</v>
      </c>
      <c r="F4" s="76">
        <v>11.44</v>
      </c>
      <c r="G4" s="76">
        <f>E4*F4</f>
        <v>175.47192519999999</v>
      </c>
      <c r="H4" s="76">
        <f>F4</f>
        <v>11.44</v>
      </c>
      <c r="I4" s="77">
        <f>E4*H4</f>
        <v>175.47192519999999</v>
      </c>
      <c r="J4" s="42"/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6"/>
    </row>
    <row r="5" spans="1:30" ht="21" x14ac:dyDescent="0.35">
      <c r="A5" s="21"/>
      <c r="B5" s="37"/>
      <c r="C5" s="22"/>
      <c r="D5" s="78"/>
      <c r="E5" s="79"/>
      <c r="F5" s="79"/>
      <c r="G5" s="79"/>
      <c r="H5" s="79"/>
      <c r="I5" s="80"/>
      <c r="J5" s="43"/>
      <c r="K5" s="57"/>
      <c r="L5" s="58"/>
      <c r="M5" s="58"/>
      <c r="N5" s="58"/>
      <c r="O5" s="58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</row>
    <row r="6" spans="1:30" ht="42" x14ac:dyDescent="0.35">
      <c r="A6" s="23">
        <v>3</v>
      </c>
      <c r="B6" s="70" t="s">
        <v>41</v>
      </c>
      <c r="C6" s="69" t="s">
        <v>72</v>
      </c>
      <c r="D6" s="81" t="s">
        <v>82</v>
      </c>
      <c r="E6" s="82">
        <f>'земляные работы'!B6/1000</f>
        <v>557.76199999999994</v>
      </c>
      <c r="F6" s="82">
        <v>0.41</v>
      </c>
      <c r="G6" s="82">
        <f>E6*F6</f>
        <v>228.68241999999995</v>
      </c>
      <c r="H6" s="82">
        <f>F6</f>
        <v>0.41</v>
      </c>
      <c r="I6" s="83">
        <f>E6*H6</f>
        <v>228.68241999999995</v>
      </c>
      <c r="J6" s="44"/>
      <c r="K6" s="61"/>
      <c r="L6" s="25"/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62"/>
    </row>
    <row r="7" spans="1:30" ht="21" x14ac:dyDescent="0.35">
      <c r="A7" s="23"/>
      <c r="B7" s="70"/>
      <c r="C7" s="24"/>
      <c r="D7" s="81"/>
      <c r="E7" s="82"/>
      <c r="F7" s="82"/>
      <c r="G7" s="82"/>
      <c r="H7" s="82"/>
      <c r="I7" s="83"/>
      <c r="J7" s="44"/>
      <c r="K7" s="61"/>
      <c r="L7" s="25"/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62"/>
    </row>
    <row r="8" spans="1:30" ht="69.75" x14ac:dyDescent="0.35">
      <c r="A8" s="23">
        <v>4</v>
      </c>
      <c r="B8" s="70" t="s">
        <v>42</v>
      </c>
      <c r="C8" s="69" t="s">
        <v>69</v>
      </c>
      <c r="D8" s="81" t="s">
        <v>40</v>
      </c>
      <c r="E8" s="82">
        <f>'земляные работы'!G18/1000</f>
        <v>3363.694081808334</v>
      </c>
      <c r="F8" s="82">
        <f>10.75+23.36</f>
        <v>34.11</v>
      </c>
      <c r="G8" s="82">
        <f>E8*F8</f>
        <v>114735.60513048228</v>
      </c>
      <c r="H8" s="82">
        <v>23.36</v>
      </c>
      <c r="I8" s="83">
        <f>E8*H8</f>
        <v>78575.893751042677</v>
      </c>
      <c r="J8" s="44"/>
      <c r="K8" s="61"/>
      <c r="L8" s="25"/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62"/>
    </row>
    <row r="9" spans="1:30" ht="21" x14ac:dyDescent="0.35">
      <c r="A9" s="23"/>
      <c r="B9" s="70"/>
      <c r="C9" s="24"/>
      <c r="D9" s="81"/>
      <c r="E9" s="82"/>
      <c r="F9" s="82"/>
      <c r="G9" s="82"/>
      <c r="H9" s="82"/>
      <c r="I9" s="83"/>
      <c r="J9" s="44"/>
      <c r="K9" s="61"/>
      <c r="L9" s="25"/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62"/>
    </row>
    <row r="10" spans="1:30" ht="69.75" x14ac:dyDescent="0.35">
      <c r="A10" s="23">
        <v>5</v>
      </c>
      <c r="B10" s="70" t="s">
        <v>43</v>
      </c>
      <c r="C10" s="69" t="s">
        <v>70</v>
      </c>
      <c r="D10" s="81" t="s">
        <v>40</v>
      </c>
      <c r="E10" s="82">
        <f>'земляные работы'!D18/1000</f>
        <v>188.75838750000005</v>
      </c>
      <c r="F10" s="82">
        <f>12.3+35.73</f>
        <v>48.03</v>
      </c>
      <c r="G10" s="82">
        <f>E10*F10</f>
        <v>9066.0653516250022</v>
      </c>
      <c r="H10" s="82">
        <f>27.26+8.47</f>
        <v>35.730000000000004</v>
      </c>
      <c r="I10" s="83">
        <f>E10*H10</f>
        <v>6744.3371853750023</v>
      </c>
      <c r="J10" s="44"/>
      <c r="K10" s="61"/>
      <c r="L10" s="25"/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2"/>
    </row>
    <row r="11" spans="1:30" ht="21" x14ac:dyDescent="0.35">
      <c r="A11" s="23"/>
      <c r="B11" s="70"/>
      <c r="C11" s="24"/>
      <c r="D11" s="81"/>
      <c r="E11" s="84"/>
      <c r="F11" s="82"/>
      <c r="G11" s="82"/>
      <c r="H11" s="82"/>
      <c r="I11" s="83"/>
      <c r="J11" s="44"/>
      <c r="K11" s="61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62"/>
    </row>
    <row r="12" spans="1:30" ht="52.5" x14ac:dyDescent="0.35">
      <c r="A12" s="23">
        <v>6</v>
      </c>
      <c r="B12" s="70" t="s">
        <v>44</v>
      </c>
      <c r="C12" s="69" t="s">
        <v>73</v>
      </c>
      <c r="D12" s="81" t="s">
        <v>83</v>
      </c>
      <c r="E12" s="82">
        <f>'земляные работы'!D18/100</f>
        <v>1887.5838750000005</v>
      </c>
      <c r="F12" s="82">
        <v>137.22999999999999</v>
      </c>
      <c r="G12" s="82">
        <f>E12*F12</f>
        <v>259033.13516625005</v>
      </c>
      <c r="H12" s="82"/>
      <c r="I12" s="83"/>
      <c r="J12" s="44"/>
      <c r="K12" s="61"/>
      <c r="L12" s="25"/>
      <c r="M12" s="25"/>
      <c r="N12" s="25"/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62"/>
    </row>
    <row r="13" spans="1:30" ht="21" x14ac:dyDescent="0.35">
      <c r="A13" s="23"/>
      <c r="B13" s="70"/>
      <c r="C13" s="24"/>
      <c r="D13" s="81"/>
      <c r="E13" s="82"/>
      <c r="F13" s="82"/>
      <c r="G13" s="82"/>
      <c r="H13" s="82"/>
      <c r="I13" s="83"/>
      <c r="J13" s="44"/>
      <c r="K13" s="61"/>
      <c r="L13" s="25"/>
      <c r="M13" s="25"/>
      <c r="N13" s="25"/>
      <c r="O13" s="2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62"/>
    </row>
    <row r="14" spans="1:30" ht="35.25" x14ac:dyDescent="0.35">
      <c r="A14" s="23">
        <v>7</v>
      </c>
      <c r="B14" s="70" t="s">
        <v>77</v>
      </c>
      <c r="C14" s="50" t="s">
        <v>78</v>
      </c>
      <c r="D14" s="81" t="s">
        <v>84</v>
      </c>
      <c r="E14" s="82">
        <f>'земляные работы'!D18</f>
        <v>188758.38750000004</v>
      </c>
      <c r="F14" s="82">
        <f>3.41+0.22</f>
        <v>3.6300000000000003</v>
      </c>
      <c r="G14" s="82">
        <f>E14*F14</f>
        <v>685192.94662500022</v>
      </c>
      <c r="H14" s="82">
        <f>0.44</f>
        <v>0.44</v>
      </c>
      <c r="I14" s="83">
        <f>E14*H14</f>
        <v>83053.690500000012</v>
      </c>
      <c r="J14" s="44"/>
      <c r="K14" s="61"/>
      <c r="L14" s="25"/>
      <c r="M14" s="63"/>
      <c r="N14" s="25"/>
      <c r="O14" s="2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62"/>
    </row>
    <row r="15" spans="1:30" ht="21" x14ac:dyDescent="0.35">
      <c r="A15" s="23"/>
      <c r="B15" s="70"/>
      <c r="C15" s="28"/>
      <c r="D15" s="81"/>
      <c r="E15" s="82"/>
      <c r="F15" s="82"/>
      <c r="G15" s="82"/>
      <c r="H15" s="82"/>
      <c r="I15" s="83"/>
      <c r="J15" s="44"/>
      <c r="K15" s="61"/>
      <c r="L15" s="25"/>
      <c r="M15" s="25"/>
      <c r="N15" s="25"/>
      <c r="O15" s="25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62"/>
    </row>
    <row r="16" spans="1:30" ht="72" customHeight="1" x14ac:dyDescent="0.35">
      <c r="A16" s="23">
        <v>8</v>
      </c>
      <c r="B16" s="70" t="s">
        <v>53</v>
      </c>
      <c r="C16" s="51" t="s">
        <v>56</v>
      </c>
      <c r="D16" s="81" t="s">
        <v>85</v>
      </c>
      <c r="E16" s="82">
        <f>SUM(исходники!B3:B5)/1000</f>
        <v>0.21784999999999999</v>
      </c>
      <c r="F16" s="82">
        <v>477.25</v>
      </c>
      <c r="G16" s="82">
        <f>E16*F16</f>
        <v>103.96891249999999</v>
      </c>
      <c r="H16" s="82">
        <v>117.27</v>
      </c>
      <c r="I16" s="83">
        <f>E16*H16</f>
        <v>25.547269499999999</v>
      </c>
      <c r="J16" s="44"/>
      <c r="K16" s="61"/>
      <c r="L16" s="25"/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62"/>
    </row>
    <row r="17" spans="1:30" ht="26.25" customHeight="1" x14ac:dyDescent="0.35">
      <c r="A17" s="23"/>
      <c r="B17" s="70"/>
      <c r="C17" s="51"/>
      <c r="D17" s="81"/>
      <c r="E17" s="82"/>
      <c r="F17" s="82"/>
      <c r="G17" s="82"/>
      <c r="H17" s="82"/>
      <c r="I17" s="83"/>
      <c r="J17" s="44"/>
      <c r="K17" s="61"/>
      <c r="L17" s="25"/>
      <c r="M17" s="25"/>
      <c r="N17" s="25"/>
      <c r="O17" s="2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62"/>
    </row>
    <row r="18" spans="1:30" ht="72" customHeight="1" x14ac:dyDescent="0.35">
      <c r="A18" s="23">
        <v>8</v>
      </c>
      <c r="B18" s="70" t="s">
        <v>57</v>
      </c>
      <c r="C18" s="69" t="s">
        <v>58</v>
      </c>
      <c r="D18" s="81" t="s">
        <v>85</v>
      </c>
      <c r="E18" s="82">
        <f>исходники!B6/1000</f>
        <v>0.62379999999999991</v>
      </c>
      <c r="F18" s="82">
        <v>483</v>
      </c>
      <c r="G18" s="82">
        <f>E18*F18</f>
        <v>301.29539999999997</v>
      </c>
      <c r="H18" s="82">
        <v>117.31</v>
      </c>
      <c r="I18" s="83">
        <f>E18*H18</f>
        <v>73.177977999999996</v>
      </c>
      <c r="J18" s="44"/>
      <c r="K18" s="61"/>
      <c r="L18" s="25"/>
      <c r="M18" s="25"/>
      <c r="N18" s="25"/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62"/>
    </row>
    <row r="19" spans="1:30" ht="21" x14ac:dyDescent="0.35">
      <c r="A19" s="23"/>
      <c r="B19" s="70"/>
      <c r="C19" s="28"/>
      <c r="D19" s="81"/>
      <c r="E19" s="82"/>
      <c r="F19" s="82"/>
      <c r="G19" s="82"/>
      <c r="H19" s="82"/>
      <c r="I19" s="83"/>
      <c r="J19" s="44"/>
      <c r="K19" s="61"/>
      <c r="L19" s="25"/>
      <c r="M19" s="25"/>
      <c r="N19" s="25"/>
      <c r="O19" s="2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62"/>
    </row>
    <row r="20" spans="1:30" ht="69.75" x14ac:dyDescent="0.35">
      <c r="A20" s="23">
        <v>8</v>
      </c>
      <c r="B20" s="70" t="s">
        <v>60</v>
      </c>
      <c r="C20" s="69" t="s">
        <v>59</v>
      </c>
      <c r="D20" s="81" t="s">
        <v>85</v>
      </c>
      <c r="E20" s="82">
        <f>исходники!B7/1000</f>
        <v>0.1154</v>
      </c>
      <c r="F20" s="82">
        <v>494.48</v>
      </c>
      <c r="G20" s="82">
        <f>E20*F20</f>
        <v>57.062992000000001</v>
      </c>
      <c r="H20" s="82">
        <v>117.38</v>
      </c>
      <c r="I20" s="83">
        <f>E20*H20</f>
        <v>13.545652</v>
      </c>
      <c r="J20" s="44"/>
      <c r="K20" s="61"/>
      <c r="L20" s="25"/>
      <c r="M20" s="25"/>
      <c r="N20" s="25"/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62"/>
    </row>
    <row r="21" spans="1:30" ht="21" x14ac:dyDescent="0.35">
      <c r="A21" s="23"/>
      <c r="B21" s="70"/>
      <c r="C21" s="28"/>
      <c r="D21" s="81"/>
      <c r="E21" s="82"/>
      <c r="F21" s="82"/>
      <c r="G21" s="82"/>
      <c r="H21" s="82"/>
      <c r="I21" s="83"/>
      <c r="J21" s="44"/>
      <c r="K21" s="61"/>
      <c r="L21" s="25"/>
      <c r="M21" s="25"/>
      <c r="N21" s="25"/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62"/>
    </row>
    <row r="22" spans="1:30" ht="69.75" x14ac:dyDescent="0.35">
      <c r="A22" s="23">
        <v>8</v>
      </c>
      <c r="B22" s="70" t="s">
        <v>55</v>
      </c>
      <c r="C22" s="69" t="s">
        <v>54</v>
      </c>
      <c r="D22" s="81" t="s">
        <v>85</v>
      </c>
      <c r="E22" s="82">
        <f>исходники!B8/1000</f>
        <v>2.3929999999999998</v>
      </c>
      <c r="F22" s="82">
        <v>568.05999999999995</v>
      </c>
      <c r="G22" s="82">
        <f>E22*F22</f>
        <v>1359.3675799999999</v>
      </c>
      <c r="H22" s="82">
        <v>117.92</v>
      </c>
      <c r="I22" s="83">
        <f>E22*H22</f>
        <v>282.18255999999997</v>
      </c>
      <c r="J22" s="44"/>
      <c r="K22" s="61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62"/>
    </row>
    <row r="23" spans="1:30" ht="21" x14ac:dyDescent="0.35">
      <c r="A23" s="23"/>
      <c r="B23" s="70"/>
      <c r="C23" s="28"/>
      <c r="D23" s="81"/>
      <c r="E23" s="82"/>
      <c r="F23" s="82"/>
      <c r="G23" s="82"/>
      <c r="H23" s="82"/>
      <c r="I23" s="83"/>
      <c r="J23" s="44"/>
      <c r="K23" s="61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62"/>
    </row>
    <row r="24" spans="1:30" ht="69.75" x14ac:dyDescent="0.35">
      <c r="A24" s="23">
        <v>8</v>
      </c>
      <c r="B24" s="70" t="s">
        <v>62</v>
      </c>
      <c r="C24" s="69" t="s">
        <v>61</v>
      </c>
      <c r="D24" s="81" t="s">
        <v>85</v>
      </c>
      <c r="E24" s="82">
        <f>исходники!B9/1000</f>
        <v>10.584</v>
      </c>
      <c r="F24" s="82">
        <v>1020.05</v>
      </c>
      <c r="G24" s="82">
        <f>E24*F24</f>
        <v>10796.209199999999</v>
      </c>
      <c r="H24" s="82">
        <v>223.85</v>
      </c>
      <c r="I24" s="83">
        <f>E24*H24</f>
        <v>2369.2284</v>
      </c>
      <c r="J24" s="44"/>
      <c r="K24" s="61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62"/>
    </row>
    <row r="25" spans="1:30" ht="21" x14ac:dyDescent="0.35">
      <c r="A25" s="23"/>
      <c r="B25" s="70"/>
      <c r="C25" s="28"/>
      <c r="D25" s="81"/>
      <c r="E25" s="82"/>
      <c r="F25" s="82"/>
      <c r="G25" s="82"/>
      <c r="H25" s="82"/>
      <c r="I25" s="83"/>
      <c r="J25" s="44"/>
      <c r="K25" s="61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62"/>
    </row>
    <row r="26" spans="1:30" ht="21" x14ac:dyDescent="0.35">
      <c r="A26" s="23">
        <v>11</v>
      </c>
      <c r="B26" s="71" t="s">
        <v>46</v>
      </c>
      <c r="C26" s="52" t="s">
        <v>47</v>
      </c>
      <c r="D26" s="85" t="s">
        <v>45</v>
      </c>
      <c r="E26" s="86">
        <v>10.199999999999999</v>
      </c>
      <c r="F26" s="86">
        <v>5.99</v>
      </c>
      <c r="G26" s="86">
        <f>F26*E26</f>
        <v>61.097999999999999</v>
      </c>
      <c r="H26" s="86"/>
      <c r="I26" s="87"/>
      <c r="J26" s="44"/>
      <c r="K26" s="61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62"/>
    </row>
    <row r="27" spans="1:30" ht="21" x14ac:dyDescent="0.35">
      <c r="A27" s="23"/>
      <c r="B27" s="71"/>
      <c r="C27" s="52"/>
      <c r="D27" s="85"/>
      <c r="E27" s="86"/>
      <c r="F27" s="86"/>
      <c r="G27" s="86"/>
      <c r="H27" s="86"/>
      <c r="I27" s="87"/>
      <c r="J27" s="44"/>
      <c r="K27" s="61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62"/>
    </row>
    <row r="28" spans="1:30" s="30" customFormat="1" ht="69.75" x14ac:dyDescent="0.35">
      <c r="A28" s="27">
        <v>9</v>
      </c>
      <c r="B28" s="72" t="s">
        <v>81</v>
      </c>
      <c r="C28" s="69" t="s">
        <v>67</v>
      </c>
      <c r="D28" s="88" t="s">
        <v>85</v>
      </c>
      <c r="E28" s="89">
        <f>SUM(исходники!B3:B5)/1000</f>
        <v>0.21784999999999999</v>
      </c>
      <c r="F28" s="89">
        <v>128</v>
      </c>
      <c r="G28" s="89">
        <f>F28*E28</f>
        <v>27.884799999999998</v>
      </c>
      <c r="H28" s="89">
        <v>40.26</v>
      </c>
      <c r="I28" s="90">
        <f>H28*E28</f>
        <v>8.7706409999999995</v>
      </c>
      <c r="J28" s="45"/>
      <c r="K28" s="61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62"/>
    </row>
    <row r="29" spans="1:30" s="30" customFormat="1" ht="21" x14ac:dyDescent="0.35">
      <c r="A29" s="27"/>
      <c r="B29" s="72"/>
      <c r="C29" s="53"/>
      <c r="D29" s="88"/>
      <c r="E29" s="89"/>
      <c r="F29" s="89"/>
      <c r="G29" s="89"/>
      <c r="H29" s="89"/>
      <c r="I29" s="90"/>
      <c r="J29" s="45"/>
      <c r="K29" s="61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62"/>
    </row>
    <row r="30" spans="1:30" s="30" customFormat="1" ht="69.75" x14ac:dyDescent="0.35">
      <c r="A30" s="27">
        <v>9</v>
      </c>
      <c r="B30" s="72" t="s">
        <v>80</v>
      </c>
      <c r="C30" s="53" t="s">
        <v>66</v>
      </c>
      <c r="D30" s="88" t="s">
        <v>85</v>
      </c>
      <c r="E30" s="89">
        <f>SUM(исходники!B6:B8)/1000</f>
        <v>3.1321999999999997</v>
      </c>
      <c r="F30" s="89">
        <v>129</v>
      </c>
      <c r="G30" s="89">
        <f>F30*E30</f>
        <v>404.05379999999997</v>
      </c>
      <c r="H30" s="89">
        <v>42.34</v>
      </c>
      <c r="I30" s="90">
        <f>H30*E30</f>
        <v>132.61734799999999</v>
      </c>
      <c r="J30" s="45"/>
      <c r="K30" s="61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62"/>
    </row>
    <row r="31" spans="1:30" s="30" customFormat="1" ht="21" x14ac:dyDescent="0.35">
      <c r="A31" s="27"/>
      <c r="B31" s="72"/>
      <c r="C31" s="53"/>
      <c r="D31" s="88"/>
      <c r="E31" s="89"/>
      <c r="F31" s="89"/>
      <c r="G31" s="89"/>
      <c r="H31" s="89"/>
      <c r="I31" s="90"/>
      <c r="J31" s="45"/>
      <c r="K31" s="61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62"/>
    </row>
    <row r="32" spans="1:30" s="30" customFormat="1" ht="69.75" x14ac:dyDescent="0.35">
      <c r="A32" s="27">
        <v>9</v>
      </c>
      <c r="B32" s="72" t="s">
        <v>79</v>
      </c>
      <c r="C32" s="69" t="s">
        <v>68</v>
      </c>
      <c r="D32" s="88" t="s">
        <v>85</v>
      </c>
      <c r="E32" s="89">
        <f>исходники!B9/1000</f>
        <v>10.584</v>
      </c>
      <c r="F32" s="89">
        <v>216</v>
      </c>
      <c r="G32" s="89">
        <f>F32*E32</f>
        <v>2286.1439999999998</v>
      </c>
      <c r="H32" s="89">
        <v>127.32</v>
      </c>
      <c r="I32" s="90">
        <f>H32*E32</f>
        <v>1347.5548799999999</v>
      </c>
      <c r="J32" s="45"/>
      <c r="K32" s="61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62"/>
    </row>
    <row r="33" spans="1:30" ht="21" x14ac:dyDescent="0.35">
      <c r="A33" s="23"/>
      <c r="B33" s="72"/>
      <c r="C33" s="28"/>
      <c r="D33" s="88"/>
      <c r="E33" s="89"/>
      <c r="F33" s="89"/>
      <c r="G33" s="89"/>
      <c r="H33" s="89"/>
      <c r="I33" s="90"/>
      <c r="J33" s="44"/>
      <c r="K33" s="61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62"/>
    </row>
    <row r="34" spans="1:30" ht="52.5" x14ac:dyDescent="0.35">
      <c r="A34" s="23">
        <v>10</v>
      </c>
      <c r="B34" s="72" t="s">
        <v>48</v>
      </c>
      <c r="C34" s="53" t="s">
        <v>63</v>
      </c>
      <c r="D34" s="88" t="s">
        <v>85</v>
      </c>
      <c r="E34" s="89">
        <f>SUM(исходники!C3:C8)/1000</f>
        <v>0.41360000000000002</v>
      </c>
      <c r="F34" s="89">
        <v>135</v>
      </c>
      <c r="G34" s="89">
        <f>E34*F34</f>
        <v>55.836000000000006</v>
      </c>
      <c r="H34" s="89">
        <v>16</v>
      </c>
      <c r="I34" s="90">
        <f>E34*H34</f>
        <v>6.6176000000000004</v>
      </c>
      <c r="J34" s="44"/>
      <c r="K34" s="61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62"/>
    </row>
    <row r="35" spans="1:30" ht="21" x14ac:dyDescent="0.35">
      <c r="A35" s="23"/>
      <c r="B35" s="72"/>
      <c r="C35" s="53"/>
      <c r="D35" s="88"/>
      <c r="E35" s="89"/>
      <c r="F35" s="89"/>
      <c r="G35" s="89"/>
      <c r="H35" s="89"/>
      <c r="I35" s="90"/>
      <c r="J35" s="44"/>
      <c r="K35" s="61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62"/>
    </row>
    <row r="36" spans="1:30" ht="52.5" x14ac:dyDescent="0.35">
      <c r="A36" s="23">
        <v>10</v>
      </c>
      <c r="B36" s="72" t="s">
        <v>65</v>
      </c>
      <c r="C36" s="69" t="s">
        <v>64</v>
      </c>
      <c r="D36" s="88" t="s">
        <v>85</v>
      </c>
      <c r="E36" s="89">
        <f>исходники!B9/1000</f>
        <v>10.584</v>
      </c>
      <c r="F36" s="89">
        <v>180</v>
      </c>
      <c r="G36" s="89">
        <f>E36*F36</f>
        <v>1905.12</v>
      </c>
      <c r="H36" s="89">
        <v>67</v>
      </c>
      <c r="I36" s="90">
        <f>E36*H36</f>
        <v>709.12799999999993</v>
      </c>
      <c r="J36" s="44"/>
      <c r="K36" s="61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62"/>
    </row>
    <row r="37" spans="1:30" ht="21" x14ac:dyDescent="0.35">
      <c r="A37" s="21"/>
      <c r="B37" s="38"/>
      <c r="C37" s="29"/>
      <c r="D37" s="88"/>
      <c r="E37" s="89"/>
      <c r="F37" s="89"/>
      <c r="G37" s="89"/>
      <c r="H37" s="89"/>
      <c r="I37" s="90"/>
      <c r="J37" s="44"/>
      <c r="K37" s="61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62"/>
    </row>
    <row r="38" spans="1:30" ht="69.75" x14ac:dyDescent="0.35">
      <c r="A38" s="21">
        <v>13</v>
      </c>
      <c r="B38" s="38" t="s">
        <v>49</v>
      </c>
      <c r="C38" s="69" t="s">
        <v>76</v>
      </c>
      <c r="D38" s="88" t="s">
        <v>40</v>
      </c>
      <c r="E38" s="89">
        <f>'земляные работы'!H18/1000</f>
        <v>3553.2916095319051</v>
      </c>
      <c r="F38" s="89">
        <f>H38</f>
        <v>8.0299999999999994</v>
      </c>
      <c r="G38" s="89">
        <f>E38*F38</f>
        <v>28532.931624541197</v>
      </c>
      <c r="H38" s="89">
        <v>8.0299999999999994</v>
      </c>
      <c r="I38" s="90">
        <f>E38*H38</f>
        <v>28532.931624541197</v>
      </c>
      <c r="J38" s="44"/>
      <c r="K38" s="61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62"/>
    </row>
    <row r="39" spans="1:30" ht="21" x14ac:dyDescent="0.35">
      <c r="A39" s="21"/>
      <c r="B39" s="38"/>
      <c r="C39" s="29"/>
      <c r="D39" s="88"/>
      <c r="E39" s="89"/>
      <c r="F39" s="89"/>
      <c r="G39" s="89"/>
      <c r="H39" s="89"/>
      <c r="I39" s="90"/>
      <c r="J39" s="44"/>
      <c r="K39" s="61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62"/>
    </row>
    <row r="40" spans="1:30" ht="35.25" x14ac:dyDescent="0.35">
      <c r="A40" s="21">
        <v>14</v>
      </c>
      <c r="B40" s="38" t="s">
        <v>50</v>
      </c>
      <c r="C40" s="69" t="s">
        <v>74</v>
      </c>
      <c r="D40" s="88" t="s">
        <v>83</v>
      </c>
      <c r="E40" s="89">
        <f>'земляные работы'!I18/100</f>
        <v>1870.1534787010037</v>
      </c>
      <c r="F40" s="89">
        <v>102.91</v>
      </c>
      <c r="G40" s="89">
        <f>E40*F40</f>
        <v>192457.49449312029</v>
      </c>
      <c r="H40" s="89"/>
      <c r="I40" s="90"/>
      <c r="J40" s="44"/>
      <c r="K40" s="61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62"/>
    </row>
    <row r="41" spans="1:30" ht="21" x14ac:dyDescent="0.35">
      <c r="A41" s="21"/>
      <c r="B41" s="38"/>
      <c r="C41" s="29"/>
      <c r="D41" s="88"/>
      <c r="E41" s="89"/>
      <c r="F41" s="89"/>
      <c r="G41" s="89"/>
      <c r="H41" s="89"/>
      <c r="I41" s="90"/>
      <c r="J41" s="44"/>
      <c r="K41" s="61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62"/>
    </row>
    <row r="42" spans="1:30" ht="36" thickBot="1" x14ac:dyDescent="0.4">
      <c r="A42" s="48">
        <v>15</v>
      </c>
      <c r="B42" s="73" t="s">
        <v>51</v>
      </c>
      <c r="C42" s="74" t="s">
        <v>75</v>
      </c>
      <c r="D42" s="91" t="s">
        <v>83</v>
      </c>
      <c r="E42" s="92">
        <f>'земляные работы'!J18/100</f>
        <v>37403.069574020054</v>
      </c>
      <c r="F42" s="92">
        <v>12.53</v>
      </c>
      <c r="G42" s="92">
        <f>E42*F42</f>
        <v>468660.46176247124</v>
      </c>
      <c r="H42" s="92">
        <v>12.18</v>
      </c>
      <c r="I42" s="93">
        <f>E42*H42</f>
        <v>455569.38741156424</v>
      </c>
      <c r="J42" s="44"/>
      <c r="K42" s="64"/>
      <c r="L42" s="65"/>
      <c r="M42" s="65"/>
      <c r="N42" s="65"/>
      <c r="O42" s="65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7"/>
    </row>
  </sheetData>
  <mergeCells count="7">
    <mergeCell ref="K1:AD1"/>
    <mergeCell ref="B1:B2"/>
    <mergeCell ref="C1:C2"/>
    <mergeCell ref="D1:D2"/>
    <mergeCell ref="E1:E2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исходники</vt:lpstr>
      <vt:lpstr>земляные работы</vt:lpstr>
      <vt:lpstr>объемы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2021-05-22T11:10:21Z</dcterms:modified>
</cp:coreProperties>
</file>