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A949BA47-406B-4E8A-A090-C77C115ED2D4}" xr6:coauthVersionLast="46" xr6:coauthVersionMax="46" xr10:uidLastSave="{00000000-0000-0000-0000-000000000000}"/>
  <bookViews>
    <workbookView xWindow="22932" yWindow="-108" windowWidth="23256" windowHeight="12576" firstSheet="6" activeTab="10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  <sheet name="ЧасовыеРасходы" sheetId="8" r:id="rId8"/>
    <sheet name="КольцевойРасчет" sheetId="9" r:id="rId9"/>
    <sheet name="гидрРасчвнутр" sheetId="10" r:id="rId10"/>
    <sheet name="гидрРасчКварт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1" l="1"/>
  <c r="L7" i="11"/>
  <c r="L8" i="11"/>
  <c r="L9" i="11"/>
  <c r="L10" i="11"/>
  <c r="L12" i="11"/>
  <c r="L13" i="11"/>
  <c r="L14" i="11"/>
  <c r="L15" i="11"/>
  <c r="L16" i="11"/>
  <c r="L17" i="11"/>
  <c r="L18" i="11"/>
  <c r="L19" i="11"/>
  <c r="L5" i="11"/>
  <c r="D26" i="10"/>
  <c r="D5" i="10"/>
  <c r="B18" i="8"/>
  <c r="B16" i="8"/>
  <c r="K4" i="8"/>
  <c r="K5" i="8"/>
  <c r="C10" i="8"/>
  <c r="I3" i="8"/>
  <c r="K9" i="8"/>
  <c r="I8" i="8"/>
  <c r="M24" i="7"/>
  <c r="M22" i="7"/>
  <c r="M18" i="5"/>
  <c r="B50" i="6"/>
  <c r="B47" i="6"/>
  <c r="B46" i="6"/>
  <c r="B45" i="6"/>
  <c r="B44" i="6"/>
  <c r="B43" i="6"/>
  <c r="F45" i="6"/>
  <c r="F44" i="6"/>
  <c r="F47" i="6"/>
  <c r="F46" i="6"/>
  <c r="B42" i="6"/>
  <c r="G11" i="7"/>
  <c r="B21" i="6"/>
  <c r="B17" i="6"/>
  <c r="B20" i="6"/>
  <c r="B19" i="6"/>
  <c r="D19" i="6"/>
  <c r="D16" i="6"/>
  <c r="B16" i="6"/>
  <c r="B7" i="6"/>
  <c r="B6" i="6"/>
  <c r="F9" i="6"/>
  <c r="B3" i="6"/>
  <c r="R33" i="2"/>
  <c r="K33" i="2"/>
  <c r="B1" i="4"/>
  <c r="B34" i="1"/>
  <c r="B32" i="1"/>
  <c r="B28" i="1"/>
  <c r="B24" i="1"/>
  <c r="B22" i="1"/>
  <c r="B17" i="1"/>
  <c r="B18" i="1"/>
  <c r="B13" i="1"/>
  <c r="H13" i="11"/>
  <c r="H14" i="11"/>
  <c r="H15" i="11"/>
  <c r="H16" i="11"/>
  <c r="H17" i="11"/>
  <c r="H18" i="11"/>
  <c r="H19" i="11"/>
  <c r="H12" i="11"/>
  <c r="H6" i="11"/>
  <c r="H7" i="11"/>
  <c r="H8" i="11"/>
  <c r="I8" i="11" s="1"/>
  <c r="H9" i="11"/>
  <c r="I9" i="11" s="1"/>
  <c r="H10" i="11"/>
  <c r="H5" i="11"/>
  <c r="D14" i="10"/>
  <c r="D6" i="10"/>
  <c r="B15" i="10"/>
  <c r="D15" i="10" s="1"/>
  <c r="E5" i="11" s="1"/>
  <c r="E6" i="11" s="1"/>
  <c r="E10" i="11" s="1"/>
  <c r="C19" i="11"/>
  <c r="D19" i="11" s="1"/>
  <c r="C18" i="11"/>
  <c r="D18" i="11" s="1"/>
  <c r="C14" i="11"/>
  <c r="D14" i="11" s="1"/>
  <c r="C13" i="11"/>
  <c r="D13" i="11" s="1"/>
  <c r="C6" i="11"/>
  <c r="D6" i="11" s="1"/>
  <c r="C7" i="11"/>
  <c r="D7" i="11" s="1"/>
  <c r="C8" i="11"/>
  <c r="D8" i="11" s="1"/>
  <c r="C9" i="11"/>
  <c r="D9" i="11" s="1"/>
  <c r="C10" i="11"/>
  <c r="D10" i="11" s="1"/>
  <c r="I5" i="10"/>
  <c r="J5" i="10" s="1"/>
  <c r="C12" i="11"/>
  <c r="D12" i="11" s="1"/>
  <c r="C15" i="11"/>
  <c r="D15" i="11" s="1"/>
  <c r="C16" i="11"/>
  <c r="D16" i="11" s="1"/>
  <c r="C17" i="11"/>
  <c r="D17" i="11" s="1"/>
  <c r="C5" i="11"/>
  <c r="D5" i="11" s="1"/>
  <c r="N14" i="10"/>
  <c r="N37" i="10"/>
  <c r="N26" i="10"/>
  <c r="N25" i="10"/>
  <c r="N15" i="10"/>
  <c r="N30" i="10"/>
  <c r="N19" i="10"/>
  <c r="N36" i="10"/>
  <c r="N35" i="10"/>
  <c r="N34" i="10"/>
  <c r="N33" i="10"/>
  <c r="N32" i="10"/>
  <c r="N31" i="10"/>
  <c r="N29" i="10"/>
  <c r="N24" i="10"/>
  <c r="N23" i="10"/>
  <c r="N22" i="10"/>
  <c r="N21" i="10"/>
  <c r="N20" i="10"/>
  <c r="N18" i="10"/>
  <c r="N6" i="10"/>
  <c r="N8" i="10"/>
  <c r="N9" i="10"/>
  <c r="N10" i="10"/>
  <c r="N11" i="10"/>
  <c r="N12" i="10"/>
  <c r="N13" i="10"/>
  <c r="N7" i="10"/>
  <c r="L5" i="10"/>
  <c r="L37" i="10"/>
  <c r="L29" i="10"/>
  <c r="L30" i="10"/>
  <c r="L31" i="10"/>
  <c r="L32" i="10"/>
  <c r="L33" i="10"/>
  <c r="L34" i="10"/>
  <c r="L35" i="10"/>
  <c r="L36" i="10"/>
  <c r="L28" i="10"/>
  <c r="L17" i="10"/>
  <c r="L18" i="10"/>
  <c r="L19" i="10"/>
  <c r="L20" i="10"/>
  <c r="L21" i="10"/>
  <c r="L22" i="10"/>
  <c r="L23" i="10"/>
  <c r="L24" i="10"/>
  <c r="L25" i="10"/>
  <c r="L26" i="10"/>
  <c r="L6" i="10"/>
  <c r="L7" i="10"/>
  <c r="L8" i="10"/>
  <c r="L9" i="10"/>
  <c r="L10" i="10"/>
  <c r="L11" i="10"/>
  <c r="L12" i="10"/>
  <c r="L13" i="10"/>
  <c r="L14" i="10"/>
  <c r="L15" i="10"/>
  <c r="I26" i="10"/>
  <c r="J26" i="10" s="1"/>
  <c r="I25" i="10"/>
  <c r="J25" i="10" s="1"/>
  <c r="D25" i="10"/>
  <c r="I24" i="10"/>
  <c r="J24" i="10" s="1"/>
  <c r="D24" i="10"/>
  <c r="I23" i="10"/>
  <c r="J23" i="10" s="1"/>
  <c r="D23" i="10"/>
  <c r="I22" i="10"/>
  <c r="J22" i="10" s="1"/>
  <c r="D22" i="10"/>
  <c r="I21" i="10"/>
  <c r="J21" i="10" s="1"/>
  <c r="D21" i="10"/>
  <c r="I20" i="10"/>
  <c r="J20" i="10" s="1"/>
  <c r="D20" i="10"/>
  <c r="I19" i="10"/>
  <c r="J19" i="10" s="1"/>
  <c r="D19" i="10"/>
  <c r="I18" i="10"/>
  <c r="J18" i="10" s="1"/>
  <c r="M18" i="10" s="1"/>
  <c r="O18" i="10" s="1"/>
  <c r="D18" i="10"/>
  <c r="I17" i="10"/>
  <c r="J17" i="10" s="1"/>
  <c r="D17" i="10"/>
  <c r="I37" i="10"/>
  <c r="J37" i="10" s="1"/>
  <c r="D37" i="10"/>
  <c r="I36" i="10"/>
  <c r="J36" i="10" s="1"/>
  <c r="D36" i="10"/>
  <c r="I35" i="10"/>
  <c r="J35" i="10" s="1"/>
  <c r="D35" i="10"/>
  <c r="I34" i="10"/>
  <c r="J34" i="10" s="1"/>
  <c r="D34" i="10"/>
  <c r="I33" i="10"/>
  <c r="J33" i="10" s="1"/>
  <c r="D33" i="10"/>
  <c r="I32" i="10"/>
  <c r="J32" i="10" s="1"/>
  <c r="D32" i="10"/>
  <c r="I31" i="10"/>
  <c r="J31" i="10" s="1"/>
  <c r="D31" i="10"/>
  <c r="I30" i="10"/>
  <c r="J30" i="10" s="1"/>
  <c r="D30" i="10"/>
  <c r="I29" i="10"/>
  <c r="J29" i="10" s="1"/>
  <c r="D29" i="10"/>
  <c r="I28" i="10"/>
  <c r="J28" i="10" s="1"/>
  <c r="D28" i="10"/>
  <c r="I15" i="10"/>
  <c r="J15" i="10" s="1"/>
  <c r="I14" i="10"/>
  <c r="J14" i="10" s="1"/>
  <c r="I13" i="10"/>
  <c r="J13" i="10" s="1"/>
  <c r="D13" i="10"/>
  <c r="I12" i="10"/>
  <c r="J12" i="10" s="1"/>
  <c r="D12" i="10"/>
  <c r="I11" i="10"/>
  <c r="J11" i="10" s="1"/>
  <c r="D11" i="10"/>
  <c r="I10" i="10"/>
  <c r="J10" i="10" s="1"/>
  <c r="D10" i="10"/>
  <c r="I9" i="10"/>
  <c r="J9" i="10" s="1"/>
  <c r="D9" i="10"/>
  <c r="I8" i="10"/>
  <c r="J8" i="10" s="1"/>
  <c r="D8" i="10"/>
  <c r="I7" i="10"/>
  <c r="J7" i="10" s="1"/>
  <c r="D7" i="10"/>
  <c r="I6" i="10"/>
  <c r="J6" i="10" s="1"/>
  <c r="M6" i="10" s="1"/>
  <c r="I18" i="11" l="1"/>
  <c r="E12" i="11"/>
  <c r="E13" i="11" s="1"/>
  <c r="E15" i="11" s="1"/>
  <c r="I14" i="11"/>
  <c r="I6" i="11"/>
  <c r="I19" i="11"/>
  <c r="I13" i="11"/>
  <c r="I12" i="11"/>
  <c r="I5" i="11"/>
  <c r="J5" i="11" s="1"/>
  <c r="J6" i="11" s="1"/>
  <c r="J7" i="11" s="1"/>
  <c r="E7" i="11"/>
  <c r="E8" i="11"/>
  <c r="E9" i="11"/>
  <c r="I7" i="11"/>
  <c r="I10" i="11"/>
  <c r="I15" i="11"/>
  <c r="I17" i="11"/>
  <c r="I16" i="11"/>
  <c r="O6" i="10"/>
  <c r="M31" i="10"/>
  <c r="O31" i="10" s="1"/>
  <c r="M19" i="10"/>
  <c r="O19" i="10" s="1"/>
  <c r="M21" i="10"/>
  <c r="O21" i="10" s="1"/>
  <c r="M23" i="10"/>
  <c r="O23" i="10" s="1"/>
  <c r="M30" i="10"/>
  <c r="O30" i="10" s="1"/>
  <c r="M25" i="10"/>
  <c r="O25" i="10" s="1"/>
  <c r="M17" i="10"/>
  <c r="O17" i="10" s="1"/>
  <c r="P17" i="10" s="1"/>
  <c r="P18" i="10" s="1"/>
  <c r="P19" i="10" s="1"/>
  <c r="M20" i="10"/>
  <c r="O20" i="10" s="1"/>
  <c r="M22" i="10"/>
  <c r="O22" i="10" s="1"/>
  <c r="M24" i="10"/>
  <c r="O24" i="10" s="1"/>
  <c r="M26" i="10"/>
  <c r="O26" i="10" s="1"/>
  <c r="M28" i="10"/>
  <c r="O28" i="10" s="1"/>
  <c r="P28" i="10" s="1"/>
  <c r="M32" i="10"/>
  <c r="O32" i="10" s="1"/>
  <c r="M34" i="10"/>
  <c r="O34" i="10" s="1"/>
  <c r="M36" i="10"/>
  <c r="O36" i="10" s="1"/>
  <c r="M29" i="10"/>
  <c r="O29" i="10" s="1"/>
  <c r="M33" i="10"/>
  <c r="O33" i="10" s="1"/>
  <c r="M35" i="10"/>
  <c r="O35" i="10" s="1"/>
  <c r="M37" i="10"/>
  <c r="O37" i="10" s="1"/>
  <c r="M15" i="10"/>
  <c r="O15" i="10" s="1"/>
  <c r="M9" i="10"/>
  <c r="O9" i="10" s="1"/>
  <c r="M5" i="10"/>
  <c r="M7" i="10"/>
  <c r="O7" i="10" s="1"/>
  <c r="M13" i="10"/>
  <c r="O13" i="10" s="1"/>
  <c r="M11" i="10"/>
  <c r="O11" i="10" s="1"/>
  <c r="M8" i="10"/>
  <c r="O8" i="10" s="1"/>
  <c r="M10" i="10"/>
  <c r="O10" i="10" s="1"/>
  <c r="M12" i="10"/>
  <c r="O12" i="10" s="1"/>
  <c r="M14" i="10"/>
  <c r="O14" i="10" s="1"/>
  <c r="E16" i="11" l="1"/>
  <c r="E19" i="11"/>
  <c r="E17" i="11"/>
  <c r="E14" i="11"/>
  <c r="E18" i="11"/>
  <c r="J8" i="11"/>
  <c r="J9" i="11" s="1"/>
  <c r="J10" i="11" s="1"/>
  <c r="J12" i="11"/>
  <c r="O5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20" i="10"/>
  <c r="P21" i="10" s="1"/>
  <c r="P22" i="10" s="1"/>
  <c r="P23" i="10" s="1"/>
  <c r="P24" i="10" s="1"/>
  <c r="P25" i="10" s="1"/>
  <c r="P26" i="10" s="1"/>
  <c r="P29" i="10"/>
  <c r="P30" i="10" s="1"/>
  <c r="P31" i="10" s="1"/>
  <c r="P32" i="10" s="1"/>
  <c r="P33" i="10" s="1"/>
  <c r="P34" i="10" s="1"/>
  <c r="P35" i="10" s="1"/>
  <c r="P36" i="10" s="1"/>
  <c r="P37" i="10" s="1"/>
  <c r="J13" i="11" l="1"/>
  <c r="J14" i="11" s="1"/>
  <c r="J15" i="11" s="1"/>
  <c r="J16" i="11" s="1"/>
  <c r="J17" i="11" s="1"/>
  <c r="J18" i="11" s="1"/>
  <c r="J19" i="11" s="1"/>
  <c r="I42" i="9"/>
  <c r="I41" i="9"/>
  <c r="M41" i="9"/>
  <c r="M42" i="9"/>
  <c r="M43" i="9"/>
  <c r="M44" i="9"/>
  <c r="M45" i="9"/>
  <c r="M46" i="9"/>
  <c r="M40" i="9"/>
  <c r="M34" i="9"/>
  <c r="M35" i="9"/>
  <c r="M36" i="9"/>
  <c r="M37" i="9"/>
  <c r="M38" i="9"/>
  <c r="M33" i="9"/>
  <c r="M27" i="9"/>
  <c r="M28" i="9"/>
  <c r="M29" i="9"/>
  <c r="M30" i="9"/>
  <c r="M26" i="9"/>
  <c r="M16" i="9"/>
  <c r="M17" i="9"/>
  <c r="M18" i="9"/>
  <c r="M19" i="9"/>
  <c r="M20" i="9"/>
  <c r="M21" i="9"/>
  <c r="M22" i="9"/>
  <c r="M23" i="9"/>
  <c r="M15" i="9"/>
  <c r="H11" i="9"/>
  <c r="M5" i="9"/>
  <c r="M6" i="9"/>
  <c r="M7" i="9"/>
  <c r="M8" i="9"/>
  <c r="M9" i="9"/>
  <c r="M10" i="9"/>
  <c r="M11" i="9"/>
  <c r="M12" i="9"/>
  <c r="M13" i="9"/>
  <c r="H5" i="9"/>
  <c r="C46" i="9"/>
  <c r="H46" i="9" s="1"/>
  <c r="C45" i="9"/>
  <c r="H45" i="9" s="1"/>
  <c r="C44" i="9"/>
  <c r="H44" i="9" s="1"/>
  <c r="C43" i="9"/>
  <c r="H43" i="9" s="1"/>
  <c r="C42" i="9"/>
  <c r="H42" i="9" s="1"/>
  <c r="C41" i="9"/>
  <c r="H41" i="9" s="1"/>
  <c r="C40" i="9"/>
  <c r="H40" i="9" s="1"/>
  <c r="C37" i="9"/>
  <c r="H37" i="9" s="1"/>
  <c r="C38" i="9"/>
  <c r="H38" i="9" s="1"/>
  <c r="C36" i="9"/>
  <c r="H36" i="9" s="1"/>
  <c r="C35" i="9"/>
  <c r="H35" i="9" s="1"/>
  <c r="C34" i="9"/>
  <c r="H34" i="9" s="1"/>
  <c r="C33" i="9"/>
  <c r="H33" i="9" s="1"/>
  <c r="J33" i="9" s="1"/>
  <c r="I34" i="9" s="1"/>
  <c r="C30" i="9"/>
  <c r="H30" i="9" s="1"/>
  <c r="C29" i="9"/>
  <c r="H29" i="9" s="1"/>
  <c r="C28" i="9"/>
  <c r="H28" i="9" s="1"/>
  <c r="C27" i="9"/>
  <c r="H27" i="9" s="1"/>
  <c r="C26" i="9"/>
  <c r="H26" i="9" s="1"/>
  <c r="J26" i="9" s="1"/>
  <c r="I27" i="9" s="1"/>
  <c r="B19" i="8"/>
  <c r="C21" i="9"/>
  <c r="H21" i="9" s="1"/>
  <c r="C22" i="9"/>
  <c r="H22" i="9" s="1"/>
  <c r="C23" i="9"/>
  <c r="H23" i="9" s="1"/>
  <c r="C11" i="9"/>
  <c r="C12" i="9"/>
  <c r="C13" i="9"/>
  <c r="C20" i="9"/>
  <c r="H20" i="9" s="1"/>
  <c r="C19" i="9"/>
  <c r="H19" i="9" s="1"/>
  <c r="C18" i="9"/>
  <c r="H18" i="9" s="1"/>
  <c r="C17" i="9"/>
  <c r="H17" i="9" s="1"/>
  <c r="C16" i="9"/>
  <c r="H16" i="9" s="1"/>
  <c r="C15" i="9"/>
  <c r="H15" i="9" s="1"/>
  <c r="J15" i="9" s="1"/>
  <c r="I16" i="9" s="1"/>
  <c r="C6" i="9"/>
  <c r="H6" i="9" s="1"/>
  <c r="C7" i="9"/>
  <c r="H7" i="9" s="1"/>
  <c r="C8" i="9"/>
  <c r="H8" i="9" s="1"/>
  <c r="C9" i="9"/>
  <c r="H9" i="9" s="1"/>
  <c r="C10" i="9"/>
  <c r="C5" i="9"/>
  <c r="E4" i="8"/>
  <c r="E3" i="8"/>
  <c r="C4" i="8"/>
  <c r="C3" i="8"/>
  <c r="B49" i="6"/>
  <c r="B48" i="6"/>
  <c r="C9" i="8"/>
  <c r="I18" i="7"/>
  <c r="I17" i="7"/>
  <c r="I16" i="7"/>
  <c r="G18" i="7"/>
  <c r="G17" i="7"/>
  <c r="H17" i="7" s="1"/>
  <c r="J17" i="7" s="1"/>
  <c r="G16" i="7"/>
  <c r="H16" i="7"/>
  <c r="J16" i="7" s="1"/>
  <c r="E17" i="7"/>
  <c r="E16" i="7"/>
  <c r="B14" i="6"/>
  <c r="A14" i="6"/>
  <c r="G12" i="7"/>
  <c r="H12" i="7" s="1"/>
  <c r="J12" i="7" s="1"/>
  <c r="I12" i="7"/>
  <c r="G13" i="7"/>
  <c r="H13" i="7"/>
  <c r="I13" i="7"/>
  <c r="J13" i="7"/>
  <c r="H11" i="7"/>
  <c r="I11" i="7"/>
  <c r="E12" i="7"/>
  <c r="E13" i="7"/>
  <c r="E11" i="7"/>
  <c r="B33" i="6"/>
  <c r="B32" i="6"/>
  <c r="B31" i="6"/>
  <c r="B22" i="6"/>
  <c r="J8" i="7"/>
  <c r="C7" i="6"/>
  <c r="C6" i="6"/>
  <c r="E7" i="7"/>
  <c r="H7" i="7" s="1"/>
  <c r="J7" i="7" s="1"/>
  <c r="J9" i="7" s="1"/>
  <c r="C5" i="8" s="1"/>
  <c r="H6" i="7"/>
  <c r="G6" i="7"/>
  <c r="I7" i="7"/>
  <c r="I6" i="7"/>
  <c r="J6" i="7"/>
  <c r="G7" i="7"/>
  <c r="I5" i="7"/>
  <c r="J5" i="7" s="1"/>
  <c r="H5" i="7"/>
  <c r="G5" i="7"/>
  <c r="E6" i="7"/>
  <c r="E5" i="7"/>
  <c r="B18" i="6"/>
  <c r="H8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26" i="1"/>
  <c r="B20" i="1"/>
  <c r="E17" i="1"/>
  <c r="B15" i="1"/>
  <c r="E8" i="1"/>
  <c r="E7" i="1"/>
  <c r="E6" i="1"/>
  <c r="E5" i="1"/>
  <c r="E4" i="1"/>
  <c r="E3" i="1"/>
  <c r="E2" i="1"/>
  <c r="B9" i="1"/>
  <c r="E9" i="8" l="1"/>
  <c r="C8" i="7"/>
  <c r="E5" i="8"/>
  <c r="H10" i="9"/>
  <c r="H13" i="9"/>
  <c r="J5" i="9"/>
  <c r="I6" i="9" s="1"/>
  <c r="J6" i="9" s="1"/>
  <c r="I7" i="9" s="1"/>
  <c r="J7" i="9" s="1"/>
  <c r="J34" i="9"/>
  <c r="I35" i="9" s="1"/>
  <c r="J35" i="9" s="1"/>
  <c r="J27" i="9"/>
  <c r="J16" i="9"/>
  <c r="C8" i="8"/>
  <c r="B23" i="6"/>
  <c r="E18" i="7" s="1"/>
  <c r="H18" i="7" s="1"/>
  <c r="J18" i="7" s="1"/>
  <c r="J19" i="7" s="1"/>
  <c r="C7" i="8" s="1"/>
  <c r="J11" i="7"/>
  <c r="J14" i="7" s="1"/>
  <c r="C6" i="8" s="1"/>
  <c r="J14" i="5"/>
  <c r="J12" i="5"/>
  <c r="J15" i="5" s="1"/>
  <c r="I29" i="2"/>
  <c r="P29" i="2"/>
  <c r="B30" i="1"/>
  <c r="E8" i="8" l="1"/>
  <c r="I6" i="8"/>
  <c r="I11" i="8" s="1"/>
  <c r="E6" i="8"/>
  <c r="K7" i="8"/>
  <c r="K11" i="8" s="1"/>
  <c r="E7" i="8"/>
  <c r="E10" i="8" s="1"/>
  <c r="I28" i="9"/>
  <c r="J28" i="9" s="1"/>
  <c r="J40" i="9"/>
  <c r="I36" i="9"/>
  <c r="J36" i="9" s="1"/>
  <c r="I17" i="9"/>
  <c r="J17" i="9" s="1"/>
  <c r="I18" i="9" s="1"/>
  <c r="J18" i="9" s="1"/>
  <c r="I8" i="9"/>
  <c r="J8" i="9" s="1"/>
  <c r="I37" i="9" l="1"/>
  <c r="J37" i="9" s="1"/>
  <c r="I29" i="9"/>
  <c r="J29" i="9" s="1"/>
  <c r="I30" i="9" s="1"/>
  <c r="J30" i="9" s="1"/>
  <c r="J41" i="9"/>
  <c r="I38" i="9"/>
  <c r="J38" i="9" s="1"/>
  <c r="I19" i="9"/>
  <c r="J19" i="9" s="1"/>
  <c r="I9" i="9"/>
  <c r="J9" i="9" s="1"/>
  <c r="J42" i="9" l="1"/>
  <c r="I20" i="9"/>
  <c r="J20" i="9" s="1"/>
  <c r="I21" i="9" s="1"/>
  <c r="J21" i="9" s="1"/>
  <c r="I22" i="9" s="1"/>
  <c r="J22" i="9" s="1"/>
  <c r="I23" i="9" s="1"/>
  <c r="J23" i="9" s="1"/>
  <c r="I10" i="9"/>
  <c r="J10" i="9" s="1"/>
  <c r="I11" i="9" s="1"/>
  <c r="J11" i="9" s="1"/>
  <c r="I12" i="9" s="1"/>
  <c r="J12" i="9" s="1"/>
  <c r="I13" i="9" s="1"/>
  <c r="J13" i="9" s="1"/>
  <c r="I43" i="9" l="1"/>
  <c r="J43" i="9" s="1"/>
  <c r="I44" i="9" s="1"/>
  <c r="J44" i="9" s="1"/>
  <c r="I45" i="9" l="1"/>
  <c r="J45" i="9" s="1"/>
  <c r="J46" i="9" l="1"/>
  <c r="I46" i="9"/>
</calcChain>
</file>

<file path=xl/sharedStrings.xml><?xml version="1.0" encoding="utf-8"?>
<sst xmlns="http://schemas.openxmlformats.org/spreadsheetml/2006/main" count="320" uniqueCount="224">
  <si>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</si>
  <si>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</si>
  <si>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</si>
  <si>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</si>
  <si>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</si>
  <si>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</si>
  <si>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</si>
  <si>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</si>
  <si>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</si>
  <si>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</si>
  <si>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</si>
  <si>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</si>
  <si>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</si>
  <si>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</si>
  <si>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</si>
  <si>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</si>
  <si>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</si>
  <si>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</si>
  <si>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</si>
  <si>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</si>
  <si>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</si>
  <si>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</si>
  <si>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</si>
  <si>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</si>
  <si>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</si>
  <si>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</si>
  <si>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</si>
  <si>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</si>
  <si>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</si>
  <si>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</si>
  <si>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</si>
  <si>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</si>
  <si>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</si>
  <si>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</si>
  <si>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</si>
  <si>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</si>
  <si>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</si>
  <si>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</si>
  <si>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</si>
  <si>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</si>
  <si>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</si>
  <si>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</si>
  <si>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</si>
  <si>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</si>
  <si>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</si>
  <si>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</si>
  <si>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</si>
  <si>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</si>
  <si>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</si>
  <si>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</si>
  <si>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</si>
  <si>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</si>
  <si>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</si>
  <si>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</si>
  <si>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</si>
  <si>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</si>
  <si>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</si>
  <si>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</si>
  <si>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</si>
  <si>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</si>
  <si>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</si>
  <si>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</si>
  <si>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</si>
  <si>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</si>
  <si>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</si>
  <si>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</si>
  <si>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</si>
  <si>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</si>
  <si>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</si>
  <si>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</si>
  <si>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</si>
  <si>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</si>
  <si>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</si>
  <si>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</si>
  <si>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</si>
  <si>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</si>
  <si>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</si>
  <si>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</si>
  <si>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</si>
  <si>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</si>
  <si>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</si>
  <si>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</si>
  <si>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</si>
  <si>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</si>
  <si>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</si>
  <si>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</si>
  <si>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</si>
  <si>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</si>
  <si>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</si>
  <si>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</si>
  <si>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</si>
  <si>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</si>
  <si>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</si>
  <si>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</si>
  <si>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</si>
  <si>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</si>
  <si>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</si>
  <si>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</si>
  <si>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</si>
  <si>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</si>
  <si>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</si>
  <si>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</si>
  <si>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</si>
  <si>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</si>
  <si>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</si>
  <si>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</si>
  <si>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</si>
  <si>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</si>
  <si>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</si>
  <si>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</si>
  <si>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</si>
  <si>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</si>
  <si>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</si>
  <si>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</si>
  <si>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</si>
  <si>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</si>
  <si>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</si>
  <si>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</si>
  <si>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</si>
  <si>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</si>
  <si>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</si>
  <si>
    <t>Наименование потребителя</t>
  </si>
  <si>
    <t>Часовой расход, м3 /ч</t>
  </si>
  <si>
    <t>Часовой расход при аварии, м3 /ч</t>
  </si>
  <si>
    <t>Коэффициент обеспеченности при аварии</t>
  </si>
  <si>
    <t>№</t>
  </si>
  <si>
    <t>ГРП-1</t>
  </si>
  <si>
    <t>ГРП-2</t>
  </si>
  <si>
    <t>Больница</t>
  </si>
  <si>
    <t>Хлебозавод</t>
  </si>
  <si>
    <t>БПК</t>
  </si>
  <si>
    <t>РК №1</t>
  </si>
  <si>
    <t>РК №2</t>
  </si>
  <si>
    <t>QвРК2 =</t>
  </si>
  <si>
    <t>QгвРК2 =</t>
  </si>
  <si>
    <t xml:space="preserve">VРК2 = </t>
  </si>
  <si>
    <t>Сумма</t>
  </si>
  <si>
    <t>ГРП1</t>
  </si>
  <si>
    <t>ГРП2</t>
  </si>
  <si>
    <t>потери давления</t>
  </si>
  <si>
    <t>Vрэкв =</t>
  </si>
  <si>
    <t>Среднеквадратичный перепад давления</t>
  </si>
  <si>
    <t>А=</t>
  </si>
  <si>
    <t>Рн =</t>
  </si>
  <si>
    <t>Рк =</t>
  </si>
  <si>
    <t>Общая протяженность газопроdjljd</t>
  </si>
  <si>
    <t>∑L =</t>
  </si>
  <si>
    <t>МПа/км</t>
  </si>
  <si>
    <t>Па/м</t>
  </si>
  <si>
    <t>м</t>
  </si>
  <si>
    <t>№ участка</t>
  </si>
  <si>
    <t>расчетная Lp=1.1L</t>
  </si>
  <si>
    <t>Расчетный расход газа на участке Vp, м3/ч</t>
  </si>
  <si>
    <t>Диаметр газопровода Dн×δ, мм</t>
  </si>
  <si>
    <t>Среднеквадратичное падение давления А, МПа2 /км</t>
  </si>
  <si>
    <t>Фактическое среднеквадратичное паде-ние давления Аф, МПа2/км</t>
  </si>
  <si>
    <t>Среднеквадратичные потери давления Аф×Lp, МПа2</t>
  </si>
  <si>
    <t>в начале участка Рн</t>
  </si>
  <si>
    <t>в конце участка Рк</t>
  </si>
  <si>
    <t>Давление газа, Мпа</t>
  </si>
  <si>
    <t>Аварийный режим 1</t>
  </si>
  <si>
    <t>ГРС-1</t>
  </si>
  <si>
    <t>1-2</t>
  </si>
  <si>
    <t>2-3</t>
  </si>
  <si>
    <t>3-4</t>
  </si>
  <si>
    <t>4-5</t>
  </si>
  <si>
    <t>5-6</t>
  </si>
  <si>
    <t>6-7</t>
  </si>
  <si>
    <t>7-8</t>
  </si>
  <si>
    <t>Длина участка, км</t>
  </si>
  <si>
    <t>по плану, км</t>
  </si>
  <si>
    <t>Аварийный режим 2</t>
  </si>
  <si>
    <t>8-ГРП2</t>
  </si>
  <si>
    <t>1-8</t>
  </si>
  <si>
    <t>8-7</t>
  </si>
  <si>
    <t>7-6</t>
  </si>
  <si>
    <t>6-5</t>
  </si>
  <si>
    <t>5-4</t>
  </si>
  <si>
    <t>4-3</t>
  </si>
  <si>
    <t>3-2</t>
  </si>
  <si>
    <t>2-ГРП1</t>
  </si>
  <si>
    <t>Полукольцо ГРС-1-2-3-4-РК1</t>
  </si>
  <si>
    <t>4-РК1</t>
  </si>
  <si>
    <t>Нормальный режим</t>
  </si>
  <si>
    <t>Полукольцо ГРС-1-8-7-6-5-РК2</t>
  </si>
  <si>
    <t>5-РК2</t>
  </si>
  <si>
    <t>Расчет ответвлений</t>
  </si>
  <si>
    <t>3-ХЗ</t>
  </si>
  <si>
    <t>6-Б</t>
  </si>
  <si>
    <t>7-БПК</t>
  </si>
  <si>
    <t>325x8</t>
  </si>
  <si>
    <t>108x4</t>
  </si>
  <si>
    <t>76x3</t>
  </si>
  <si>
    <r>
      <t>Vном,м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</si>
  <si>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Ко</t>
  </si>
  <si>
    <r>
      <t>Vp, 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</si>
  <si>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L,</t>
  </si>
  <si>
    <t>Dу,мм</t>
  </si>
  <si>
    <t>Sz</t>
  </si>
  <si>
    <t>Lэ',</t>
  </si>
  <si>
    <r>
      <t>L'=</t>
    </r>
    <r>
      <rPr>
        <sz val="12"/>
        <color rgb="FF000000"/>
        <rFont val="GreekC"/>
      </rPr>
      <t>SS</t>
    </r>
    <r>
      <rPr>
        <sz val="12"/>
        <color rgb="FF000000"/>
        <rFont val="Times New Roman"/>
        <family val="1"/>
      </rPr>
      <t>·Lэ',м</t>
    </r>
  </si>
  <si>
    <t>Lp=L+Lэ,м</t>
  </si>
  <si>
    <t>R,</t>
  </si>
  <si>
    <r>
      <t>Rф=R·(p</t>
    </r>
    <r>
      <rPr>
        <vertAlign val="subscript"/>
        <sz val="6.6"/>
        <color rgb="FF000000"/>
        <rFont val="Times New Roman"/>
        <family val="1"/>
      </rPr>
      <t>о</t>
    </r>
    <r>
      <rPr>
        <sz val="12"/>
        <color rgb="FF000000"/>
        <rFont val="Times New Roman"/>
        <family val="1"/>
      </rPr>
      <t>/p</t>
    </r>
    <r>
      <rPr>
        <vertAlign val="subscript"/>
        <sz val="6.6"/>
        <color rgb="FF000000"/>
        <rFont val="Times New Roman"/>
        <family val="1"/>
      </rPr>
      <t>ост</t>
    </r>
    <r>
      <rPr>
        <sz val="12"/>
        <color rgb="FF000000"/>
        <rFont val="Times New Roman"/>
        <family val="1"/>
      </rPr>
      <t>),</t>
    </r>
  </si>
  <si>
    <t>RфLp, Па</t>
  </si>
  <si>
    <t>Pд,</t>
  </si>
  <si>
    <t>Па</t>
  </si>
  <si>
    <t>RфLp+Pд, Па</t>
  </si>
  <si>
    <r>
      <t>S</t>
    </r>
    <r>
      <rPr>
        <sz val="12"/>
        <color rgb="FF000000"/>
        <rFont val="Times New Roman"/>
        <family val="1"/>
      </rPr>
      <t>(RLp+Pд),Па</t>
    </r>
  </si>
  <si>
    <t>Стояк 1</t>
  </si>
  <si>
    <t>Стояк 3</t>
  </si>
  <si>
    <t>Стояк 2</t>
  </si>
  <si>
    <t>L, м</t>
  </si>
  <si>
    <t>Lэ, м</t>
  </si>
  <si>
    <t>Lp, м</t>
  </si>
  <si>
    <r>
      <t>Vр,м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</si>
  <si>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D, мм</t>
  </si>
  <si>
    <t>R</t>
  </si>
  <si>
    <t> Па/м</t>
  </si>
  <si>
    <r>
      <t>R</t>
    </r>
    <r>
      <rPr>
        <vertAlign val="subscript"/>
        <sz val="6.6"/>
        <color rgb="FF000000"/>
        <rFont val="Times New Roman"/>
        <family val="1"/>
      </rPr>
      <t>ф,</t>
    </r>
    <r>
      <rPr>
        <sz val="12"/>
        <color rgb="FF000000"/>
        <rFont val="Times New Roman"/>
        <family val="1"/>
      </rPr>
      <t xml:space="preserve"> Па/м.</t>
    </r>
  </si>
  <si>
    <r>
      <t>R</t>
    </r>
    <r>
      <rPr>
        <vertAlign val="subscript"/>
        <sz val="6.6"/>
        <color rgb="FF000000"/>
        <rFont val="Times New Roman"/>
        <family val="1"/>
      </rPr>
      <t>ф</t>
    </r>
    <r>
      <rPr>
        <sz val="12"/>
        <color rgb="FF000000"/>
        <rFont val="Times New Roman"/>
        <family val="1"/>
      </rPr>
      <t>·L</t>
    </r>
    <r>
      <rPr>
        <vertAlign val="subscript"/>
        <sz val="6.6"/>
        <color rgb="FF000000"/>
        <rFont val="Times New Roman"/>
        <family val="1"/>
      </rPr>
      <t>р</t>
    </r>
    <r>
      <rPr>
        <sz val="12"/>
        <color rgb="FF000000"/>
        <rFont val="Times New Roman"/>
        <family val="1"/>
      </rPr>
      <t xml:space="preserve"> Па</t>
    </r>
  </si>
  <si>
    <r>
      <t>S</t>
    </r>
    <r>
      <rPr>
        <sz val="12"/>
        <color rgb="FF000000"/>
        <rFont val="Times New Roman"/>
        <family val="1"/>
      </rPr>
      <t>R</t>
    </r>
    <r>
      <rPr>
        <vertAlign val="subscript"/>
        <sz val="6.6"/>
        <color rgb="FF000000"/>
        <rFont val="Times New Roman"/>
        <family val="1"/>
      </rPr>
      <t>ф</t>
    </r>
    <r>
      <rPr>
        <sz val="12"/>
        <color rgb="FF000000"/>
        <rFont val="Times New Roman"/>
        <family val="1"/>
      </rPr>
      <t>·L</t>
    </r>
    <r>
      <rPr>
        <vertAlign val="subscript"/>
        <sz val="6.6"/>
        <color rgb="FF000000"/>
        <rFont val="Times New Roman"/>
        <family val="1"/>
      </rPr>
      <t>р ,</t>
    </r>
    <r>
      <rPr>
        <sz val="12"/>
        <color rgb="FF000000"/>
        <rFont val="Times New Roman"/>
        <family val="1"/>
      </rPr>
      <t xml:space="preserve"> Па</t>
    </r>
  </si>
  <si>
    <t>Основная магистраль</t>
  </si>
  <si>
    <t>Ответвления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</si>
</sst>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6.6"/>
      <color rgb="FF000000"/>
      <name val="Times New Roman"/>
      <family val="1"/>
    </font>
    <font>
      <sz val="12"/>
      <color rgb="FF000000"/>
      <name val="GreekC"/>
    </font>
    <font>
      <vertAlign val="subscript"/>
      <sz val="6.6"/>
      <color rgb="FF000000"/>
      <name val="Times New Roman"/>
      <family val="1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29" xfId="0" applyFill="1" applyBorder="1"/>
    <xf numFmtId="0" fontId="0" fillId="4" borderId="29" xfId="0" applyFill="1" applyBorder="1"/>
    <xf numFmtId="0" fontId="0" fillId="3" borderId="35" xfId="0" applyFill="1" applyBorder="1"/>
    <xf numFmtId="0" fontId="0" fillId="3" borderId="36" xfId="0" applyFill="1" applyBorder="1"/>
    <xf numFmtId="0" fontId="0" fillId="4" borderId="36" xfId="0" applyFill="1" applyBorder="1"/>
    <xf numFmtId="0" fontId="0" fillId="4" borderId="35" xfId="0" applyFill="1" applyBorder="1"/>
    <xf numFmtId="0" fontId="0" fillId="3" borderId="37" xfId="0" applyFill="1" applyBorder="1"/>
    <xf numFmtId="0" fontId="0" fillId="4" borderId="37" xfId="0" applyFill="1" applyBorder="1"/>
    <xf numFmtId="0" fontId="0" fillId="0" borderId="1" xfId="0" applyBorder="1" applyAlignment="1">
      <alignment textRotation="90" wrapText="1"/>
    </xf>
    <xf numFmtId="16" fontId="0" fillId="0" borderId="1" xfId="0" quotePrefix="1" applyNumberFormat="1" applyBorder="1"/>
    <xf numFmtId="0" fontId="0" fillId="0" borderId="1" xfId="0" quotePrefix="1" applyBorder="1"/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right" wrapText="1"/>
    </xf>
    <xf numFmtId="0" fontId="9" fillId="0" borderId="1" xfId="0" applyFont="1" applyBorder="1"/>
    <xf numFmtId="2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1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2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15" sqref="B1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9F77-DF6D-4F34-8291-372EBA06CCA4}">
  <dimension ref="A1:P37"/>
  <sheetViews>
    <sheetView topLeftCell="A13" workbookViewId="0">
      <selection activeCell="B14" sqref="B14"/>
    </sheetView>
  </sheetViews>
  <sheetFormatPr defaultRowHeight="15" x14ac:dyDescent="0.25"/>
  <cols>
    <col min="4" max="4" width="11.5703125" customWidth="1"/>
    <col min="12" max="13" width="11.85546875" bestFit="1" customWidth="1"/>
    <col min="14" max="14" width="12.5703125" bestFit="1" customWidth="1"/>
    <col min="15" max="15" width="11.85546875" bestFit="1" customWidth="1"/>
    <col min="16" max="16" width="13" bestFit="1" customWidth="1"/>
  </cols>
  <sheetData>
    <row r="1" spans="1:16" ht="37.5" customHeight="1" x14ac:dyDescent="0.25">
      <c r="A1" s="107" t="s">
        <v>150</v>
      </c>
      <c r="B1" s="107" t="s">
        <v>193</v>
      </c>
      <c r="C1" s="107" t="s">
        <v>194</v>
      </c>
      <c r="D1" s="107" t="s">
        <v>195</v>
      </c>
      <c r="E1" s="62" t="s">
        <v>196</v>
      </c>
      <c r="F1" s="107" t="s">
        <v>197</v>
      </c>
      <c r="G1" s="109" t="s">
        <v>198</v>
      </c>
      <c r="H1" s="62" t="s">
        <v>199</v>
      </c>
      <c r="I1" s="107" t="s">
        <v>200</v>
      </c>
      <c r="J1" s="107" t="s">
        <v>201</v>
      </c>
      <c r="K1" s="62" t="s">
        <v>202</v>
      </c>
      <c r="L1" s="62" t="s">
        <v>203</v>
      </c>
      <c r="M1" s="107" t="s">
        <v>204</v>
      </c>
      <c r="N1" s="62" t="s">
        <v>205</v>
      </c>
      <c r="O1" s="107" t="s">
        <v>207</v>
      </c>
      <c r="P1" s="109" t="s">
        <v>208</v>
      </c>
    </row>
    <row r="2" spans="1:16" ht="37.5" customHeight="1" x14ac:dyDescent="0.25">
      <c r="A2" s="108"/>
      <c r="B2" s="108"/>
      <c r="C2" s="108"/>
      <c r="D2" s="108"/>
      <c r="E2" s="63" t="s">
        <v>149</v>
      </c>
      <c r="F2" s="108"/>
      <c r="G2" s="110"/>
      <c r="H2" s="63" t="s">
        <v>149</v>
      </c>
      <c r="I2" s="108"/>
      <c r="J2" s="108"/>
      <c r="K2" s="63" t="s">
        <v>148</v>
      </c>
      <c r="L2" s="63" t="s">
        <v>148</v>
      </c>
      <c r="M2" s="108"/>
      <c r="N2" s="63" t="s">
        <v>206</v>
      </c>
      <c r="O2" s="108"/>
      <c r="P2" s="110"/>
    </row>
    <row r="3" spans="1:16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</row>
    <row r="4" spans="1:16" s="65" customFormat="1" x14ac:dyDescent="0.25">
      <c r="A4" s="82" t="s">
        <v>209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4"/>
    </row>
    <row r="5" spans="1:16" s="65" customFormat="1" x14ac:dyDescent="0.25">
      <c r="A5" s="4">
        <v>1</v>
      </c>
      <c r="B5" s="4">
        <v>1.1200000000000001</v>
      </c>
      <c r="C5" s="4">
        <v>1</v>
      </c>
      <c r="D5" s="4">
        <f>B5*C5</f>
        <v>1.1200000000000001</v>
      </c>
      <c r="E5" s="4">
        <v>5.5</v>
      </c>
      <c r="F5" s="4">
        <v>15</v>
      </c>
      <c r="G5" s="4">
        <v>9.5</v>
      </c>
      <c r="H5" s="4">
        <v>0.4</v>
      </c>
      <c r="I5" s="4">
        <f>G5*H5</f>
        <v>3.8000000000000003</v>
      </c>
      <c r="J5" s="4">
        <f>E5+I5</f>
        <v>9.3000000000000007</v>
      </c>
      <c r="K5" s="4">
        <v>2.16</v>
      </c>
      <c r="L5" s="68">
        <f>K5*gazProperties!$B$13/0.73</f>
        <v>2.1699929457452818</v>
      </c>
      <c r="M5" s="68">
        <f>L5*J5</f>
        <v>20.180934395431123</v>
      </c>
      <c r="N5" s="68">
        <v>6.06</v>
      </c>
      <c r="O5" s="68">
        <f>M5+N5</f>
        <v>26.240934395431122</v>
      </c>
      <c r="P5" s="68">
        <f>O5+100</f>
        <v>126.24093439543113</v>
      </c>
    </row>
    <row r="6" spans="1:16" s="65" customFormat="1" x14ac:dyDescent="0.25">
      <c r="A6" s="4">
        <v>2</v>
      </c>
      <c r="B6" s="4">
        <v>2.2400000000000002</v>
      </c>
      <c r="C6" s="4">
        <v>0.65</v>
      </c>
      <c r="D6" s="68">
        <f>B6*C6</f>
        <v>1.4560000000000002</v>
      </c>
      <c r="E6" s="4">
        <v>2.8</v>
      </c>
      <c r="F6" s="4">
        <v>15</v>
      </c>
      <c r="G6" s="4">
        <v>2</v>
      </c>
      <c r="H6" s="4">
        <v>0.41</v>
      </c>
      <c r="I6" s="4">
        <f>G6*H6</f>
        <v>0.82</v>
      </c>
      <c r="J6" s="4">
        <f t="shared" ref="J6:J8" si="0">E6+I6</f>
        <v>3.6199999999999997</v>
      </c>
      <c r="K6" s="4">
        <v>3.26</v>
      </c>
      <c r="L6" s="68">
        <f>K6*gazProperties!$B$13/0.73</f>
        <v>3.2750819458933411</v>
      </c>
      <c r="M6" s="68">
        <f>L6*J6</f>
        <v>11.855796644133894</v>
      </c>
      <c r="N6" s="68">
        <f>9.81*2.8*(1.293-gazProperties!$B$13)</f>
        <v>15.371717819155592</v>
      </c>
      <c r="O6" s="68">
        <f>M6+N6</f>
        <v>27.227514463289488</v>
      </c>
      <c r="P6" s="68">
        <f>P5+O6</f>
        <v>153.46844885872062</v>
      </c>
    </row>
    <row r="7" spans="1:16" s="65" customFormat="1" x14ac:dyDescent="0.25">
      <c r="A7" s="4">
        <v>3</v>
      </c>
      <c r="B7" s="4">
        <v>3.36</v>
      </c>
      <c r="C7" s="4">
        <v>0.45</v>
      </c>
      <c r="D7" s="68">
        <f t="shared" ref="D7:D13" si="1">B7*C7</f>
        <v>1.512</v>
      </c>
      <c r="E7" s="4">
        <v>2.8</v>
      </c>
      <c r="F7" s="4">
        <v>15</v>
      </c>
      <c r="G7" s="4">
        <v>2</v>
      </c>
      <c r="H7" s="4">
        <v>0.41</v>
      </c>
      <c r="I7" s="4">
        <f t="shared" ref="I7:I8" si="2">G7*H7</f>
        <v>0.82</v>
      </c>
      <c r="J7" s="4">
        <f t="shared" si="0"/>
        <v>3.6199999999999997</v>
      </c>
      <c r="K7" s="4">
        <v>3.26</v>
      </c>
      <c r="L7" s="68">
        <f>K7*gazProperties!$B$13/0.73</f>
        <v>3.2750819458933411</v>
      </c>
      <c r="M7" s="68">
        <f t="shared" ref="M7:M15" si="3">L7*J7</f>
        <v>11.855796644133894</v>
      </c>
      <c r="N7" s="68">
        <f>-9.81*2.8*(1.293-gazProperties!$B$13)</f>
        <v>-15.371717819155592</v>
      </c>
      <c r="O7" s="68">
        <f t="shared" ref="O7:O14" si="4">M7+N7</f>
        <v>-3.5159211750216972</v>
      </c>
      <c r="P7" s="68">
        <f t="shared" ref="P7:P14" si="5">P6+O7</f>
        <v>149.95252768369892</v>
      </c>
    </row>
    <row r="8" spans="1:16" s="65" customFormat="1" x14ac:dyDescent="0.25">
      <c r="A8" s="4">
        <v>4</v>
      </c>
      <c r="B8" s="4">
        <v>4.4800000000000004</v>
      </c>
      <c r="C8" s="4">
        <v>0.35</v>
      </c>
      <c r="D8" s="68">
        <f t="shared" si="1"/>
        <v>1.5680000000000001</v>
      </c>
      <c r="E8" s="4">
        <v>2.8</v>
      </c>
      <c r="F8" s="4">
        <v>15</v>
      </c>
      <c r="G8" s="4">
        <v>2</v>
      </c>
      <c r="H8" s="4">
        <v>0.42</v>
      </c>
      <c r="I8" s="4">
        <f t="shared" si="2"/>
        <v>0.84</v>
      </c>
      <c r="J8" s="4">
        <f t="shared" si="0"/>
        <v>3.6399999999999997</v>
      </c>
      <c r="K8" s="4">
        <v>3.26</v>
      </c>
      <c r="L8" s="68">
        <f>K8*gazProperties!$B$13/0.73</f>
        <v>3.2750819458933411</v>
      </c>
      <c r="M8" s="68">
        <f t="shared" si="3"/>
        <v>11.92129828305176</v>
      </c>
      <c r="N8" s="68">
        <f>-9.81*2.8*(1.293-gazProperties!$B$13)</f>
        <v>-15.371717819155592</v>
      </c>
      <c r="O8" s="68">
        <f t="shared" si="4"/>
        <v>-3.4504195361038317</v>
      </c>
      <c r="P8" s="68">
        <f t="shared" si="5"/>
        <v>146.5021081475951</v>
      </c>
    </row>
    <row r="9" spans="1:16" s="65" customFormat="1" x14ac:dyDescent="0.25">
      <c r="A9" s="4">
        <v>5</v>
      </c>
      <c r="B9" s="4">
        <v>5.6</v>
      </c>
      <c r="C9" s="4">
        <v>0.28999999999999998</v>
      </c>
      <c r="D9" s="68">
        <f t="shared" si="1"/>
        <v>1.6239999999999999</v>
      </c>
      <c r="E9" s="4">
        <v>2.8</v>
      </c>
      <c r="F9" s="4">
        <v>15</v>
      </c>
      <c r="G9" s="4">
        <v>2</v>
      </c>
      <c r="H9" s="4">
        <v>0.42</v>
      </c>
      <c r="I9" s="4">
        <f>G9*H9</f>
        <v>0.84</v>
      </c>
      <c r="J9" s="4">
        <f>E9+I9</f>
        <v>3.6399999999999997</v>
      </c>
      <c r="K9" s="4">
        <v>3.97</v>
      </c>
      <c r="L9" s="68">
        <f>K9*gazProperties!$B$13/0.73</f>
        <v>3.9883666641707261</v>
      </c>
      <c r="M9" s="68">
        <f t="shared" si="3"/>
        <v>14.517654657581442</v>
      </c>
      <c r="N9" s="68">
        <f>-9.81*2.8*(1.293-gazProperties!$B$13)</f>
        <v>-15.371717819155592</v>
      </c>
      <c r="O9" s="68">
        <f t="shared" si="4"/>
        <v>-0.85406316157414963</v>
      </c>
      <c r="P9" s="68">
        <f t="shared" si="5"/>
        <v>145.64804498602095</v>
      </c>
    </row>
    <row r="10" spans="1:16" s="65" customFormat="1" x14ac:dyDescent="0.25">
      <c r="A10" s="4">
        <v>6</v>
      </c>
      <c r="B10" s="4">
        <v>6.72</v>
      </c>
      <c r="C10" s="4">
        <v>0.28000000000000003</v>
      </c>
      <c r="D10" s="68">
        <f t="shared" si="1"/>
        <v>1.8816000000000002</v>
      </c>
      <c r="E10" s="4">
        <v>2.8</v>
      </c>
      <c r="F10" s="4">
        <v>15</v>
      </c>
      <c r="G10" s="4">
        <v>2</v>
      </c>
      <c r="H10" s="4">
        <v>0.43</v>
      </c>
      <c r="I10" s="4">
        <f t="shared" ref="I10:I15" si="6">G10*H10</f>
        <v>0.86</v>
      </c>
      <c r="J10" s="4">
        <f t="shared" ref="J10:J15" si="7">E10+I10</f>
        <v>3.6599999999999997</v>
      </c>
      <c r="K10" s="4">
        <v>5.66</v>
      </c>
      <c r="L10" s="68">
        <f>K10*gazProperties!$B$13/0.73</f>
        <v>5.6861852189436544</v>
      </c>
      <c r="M10" s="68">
        <f t="shared" si="3"/>
        <v>20.811437901333772</v>
      </c>
      <c r="N10" s="68">
        <f>-9.81*2.8*(1.293-gazProperties!$B$13)</f>
        <v>-15.371717819155592</v>
      </c>
      <c r="O10" s="68">
        <f t="shared" si="4"/>
        <v>5.4397200821781801</v>
      </c>
      <c r="P10" s="68">
        <f t="shared" si="5"/>
        <v>151.08776506819913</v>
      </c>
    </row>
    <row r="11" spans="1:16" s="65" customFormat="1" x14ac:dyDescent="0.25">
      <c r="A11" s="4">
        <v>7</v>
      </c>
      <c r="B11" s="4">
        <v>7.84</v>
      </c>
      <c r="C11" s="4">
        <v>0.27400000000000002</v>
      </c>
      <c r="D11" s="68">
        <f t="shared" si="1"/>
        <v>2.1481600000000003</v>
      </c>
      <c r="E11" s="4">
        <v>2.8</v>
      </c>
      <c r="F11" s="4">
        <v>15</v>
      </c>
      <c r="G11" s="4">
        <v>2</v>
      </c>
      <c r="H11" s="4">
        <v>0.43</v>
      </c>
      <c r="I11" s="4">
        <f t="shared" si="6"/>
        <v>0.86</v>
      </c>
      <c r="J11" s="4">
        <f t="shared" si="7"/>
        <v>3.6599999999999997</v>
      </c>
      <c r="K11" s="4">
        <v>7.78</v>
      </c>
      <c r="L11" s="68">
        <f>K11*gazProperties!$B$13/0.73</f>
        <v>7.8159931101380984</v>
      </c>
      <c r="M11" s="68">
        <f t="shared" si="3"/>
        <v>28.606534783105438</v>
      </c>
      <c r="N11" s="68">
        <f>-9.81*2.8*(1.293-gazProperties!$B$13)</f>
        <v>-15.371717819155592</v>
      </c>
      <c r="O11" s="68">
        <f t="shared" si="4"/>
        <v>13.234816963949847</v>
      </c>
      <c r="P11" s="68">
        <f t="shared" si="5"/>
        <v>164.32258203214897</v>
      </c>
    </row>
    <row r="12" spans="1:16" s="65" customFormat="1" x14ac:dyDescent="0.25">
      <c r="A12" s="4">
        <v>8</v>
      </c>
      <c r="B12" s="4">
        <v>8.9600000000000009</v>
      </c>
      <c r="C12" s="4">
        <v>0.26500000000000001</v>
      </c>
      <c r="D12" s="68">
        <f t="shared" si="1"/>
        <v>2.3744000000000005</v>
      </c>
      <c r="E12" s="4">
        <v>2.8</v>
      </c>
      <c r="F12" s="4">
        <v>15</v>
      </c>
      <c r="G12" s="4">
        <v>2</v>
      </c>
      <c r="H12" s="4">
        <v>0.44</v>
      </c>
      <c r="I12" s="4">
        <f t="shared" si="6"/>
        <v>0.88</v>
      </c>
      <c r="J12" s="4">
        <f t="shared" si="7"/>
        <v>3.6799999999999997</v>
      </c>
      <c r="K12" s="4">
        <v>10.3</v>
      </c>
      <c r="L12" s="68">
        <f>K12*gazProperties!$B$13/0.73</f>
        <v>10.347651546840927</v>
      </c>
      <c r="M12" s="68">
        <f t="shared" si="3"/>
        <v>38.079357692374607</v>
      </c>
      <c r="N12" s="68">
        <f>-9.81*2.8*(1.293-gazProperties!$B$13)</f>
        <v>-15.371717819155592</v>
      </c>
      <c r="O12" s="68">
        <f t="shared" si="4"/>
        <v>22.707639873219016</v>
      </c>
      <c r="P12" s="68">
        <f t="shared" si="5"/>
        <v>187.03022190536799</v>
      </c>
    </row>
    <row r="13" spans="1:16" s="65" customFormat="1" x14ac:dyDescent="0.25">
      <c r="A13" s="4">
        <v>9</v>
      </c>
      <c r="B13" s="4">
        <v>10.08</v>
      </c>
      <c r="C13" s="4">
        <v>0.25800000000000001</v>
      </c>
      <c r="D13" s="68">
        <f t="shared" si="1"/>
        <v>2.6006400000000003</v>
      </c>
      <c r="E13" s="4">
        <v>2.8</v>
      </c>
      <c r="F13" s="4">
        <v>15</v>
      </c>
      <c r="G13" s="4">
        <v>2</v>
      </c>
      <c r="H13" s="4">
        <v>0.44</v>
      </c>
      <c r="I13" s="4">
        <f t="shared" si="6"/>
        <v>0.88</v>
      </c>
      <c r="J13" s="4">
        <f t="shared" si="7"/>
        <v>3.6799999999999997</v>
      </c>
      <c r="K13" s="4">
        <v>12</v>
      </c>
      <c r="L13" s="68">
        <f>K13*gazProperties!$B$13/0.73</f>
        <v>12.055516365251565</v>
      </c>
      <c r="M13" s="68">
        <f t="shared" si="3"/>
        <v>44.364300224125756</v>
      </c>
      <c r="N13" s="68">
        <f>-9.81*2.8*(1.293-gazProperties!$B$13)</f>
        <v>-15.371717819155592</v>
      </c>
      <c r="O13" s="68">
        <f t="shared" si="4"/>
        <v>28.992582404970165</v>
      </c>
      <c r="P13" s="68">
        <f t="shared" si="5"/>
        <v>216.02280431033816</v>
      </c>
    </row>
    <row r="14" spans="1:16" s="65" customFormat="1" x14ac:dyDescent="0.25">
      <c r="A14" s="4">
        <v>10</v>
      </c>
      <c r="B14" s="4">
        <v>11.2</v>
      </c>
      <c r="C14" s="4">
        <v>0.254</v>
      </c>
      <c r="D14" s="68">
        <f>B14*C14</f>
        <v>2.8447999999999998</v>
      </c>
      <c r="E14" s="4">
        <v>9.1999999999999993</v>
      </c>
      <c r="F14" s="4">
        <v>15</v>
      </c>
      <c r="G14" s="4">
        <v>8.5</v>
      </c>
      <c r="H14" s="4">
        <v>0.6</v>
      </c>
      <c r="I14" s="4">
        <f t="shared" si="6"/>
        <v>5.0999999999999996</v>
      </c>
      <c r="J14" s="4">
        <f t="shared" si="7"/>
        <v>14.299999999999999</v>
      </c>
      <c r="K14" s="4">
        <v>3.25</v>
      </c>
      <c r="L14" s="68">
        <f>K14*gazProperties!$B$13/0.73</f>
        <v>3.2650356822556321</v>
      </c>
      <c r="M14" s="68">
        <f t="shared" si="3"/>
        <v>46.690010256255533</v>
      </c>
      <c r="N14" s="68">
        <f>-9.81*0*(1.293-gazProperties!$B$13)</f>
        <v>0</v>
      </c>
      <c r="O14" s="68">
        <f t="shared" si="4"/>
        <v>46.690010256255533</v>
      </c>
      <c r="P14" s="68">
        <f t="shared" si="5"/>
        <v>262.71281456659369</v>
      </c>
    </row>
    <row r="15" spans="1:16" s="65" customFormat="1" x14ac:dyDescent="0.25">
      <c r="A15" s="4">
        <v>11</v>
      </c>
      <c r="B15" s="66">
        <f>B14*3</f>
        <v>33.599999999999994</v>
      </c>
      <c r="C15" s="71">
        <v>0.23100000000000001</v>
      </c>
      <c r="D15" s="68">
        <f>B15*C15</f>
        <v>7.7615999999999987</v>
      </c>
      <c r="E15" s="69">
        <v>9.6</v>
      </c>
      <c r="F15" s="69">
        <v>25</v>
      </c>
      <c r="G15" s="70">
        <v>5.2</v>
      </c>
      <c r="H15" s="68">
        <v>0.65</v>
      </c>
      <c r="I15" s="68">
        <f t="shared" si="6"/>
        <v>3.3800000000000003</v>
      </c>
      <c r="J15" s="68">
        <f t="shared" si="7"/>
        <v>12.98</v>
      </c>
      <c r="K15" s="68">
        <v>9.82</v>
      </c>
      <c r="L15" s="68">
        <f>K15*gazProperties!$B$13/0.73</f>
        <v>9.8654308922308633</v>
      </c>
      <c r="M15" s="68">
        <f t="shared" si="3"/>
        <v>128.0532929811566</v>
      </c>
      <c r="N15" s="68">
        <f>-9.81*3*(1.293-gazProperties!$B$13)</f>
        <v>-16.469697663380991</v>
      </c>
      <c r="O15" s="68">
        <f>M15+N15</f>
        <v>111.5835953177756</v>
      </c>
      <c r="P15" s="68">
        <f>P14+O15</f>
        <v>374.29640988436927</v>
      </c>
    </row>
    <row r="16" spans="1:16" x14ac:dyDescent="0.25">
      <c r="A16" s="82" t="s">
        <v>211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4"/>
    </row>
    <row r="17" spans="1:16" x14ac:dyDescent="0.25">
      <c r="A17" s="4">
        <v>12</v>
      </c>
      <c r="B17" s="4">
        <v>1.1200000000000001</v>
      </c>
      <c r="C17" s="4">
        <v>1</v>
      </c>
      <c r="D17" s="4">
        <f>B17*C17</f>
        <v>1.1200000000000001</v>
      </c>
      <c r="E17" s="4">
        <v>5.5</v>
      </c>
      <c r="F17" s="4">
        <v>15</v>
      </c>
      <c r="G17" s="4">
        <v>9.5</v>
      </c>
      <c r="H17" s="4">
        <v>0.4</v>
      </c>
      <c r="I17" s="4">
        <f>G17*H17</f>
        <v>3.8000000000000003</v>
      </c>
      <c r="J17" s="4">
        <f>E17+I17</f>
        <v>9.3000000000000007</v>
      </c>
      <c r="K17" s="4">
        <v>2.16</v>
      </c>
      <c r="L17" s="68">
        <f>K17*gazProperties!$B$13/0.73</f>
        <v>2.1699929457452818</v>
      </c>
      <c r="M17" s="68">
        <f>L17*J17</f>
        <v>20.180934395431123</v>
      </c>
      <c r="N17" s="68">
        <v>6.06</v>
      </c>
      <c r="O17" s="68">
        <f>M17+N17</f>
        <v>26.240934395431122</v>
      </c>
      <c r="P17" s="68">
        <f>O17+100</f>
        <v>126.24093439543113</v>
      </c>
    </row>
    <row r="18" spans="1:16" x14ac:dyDescent="0.25">
      <c r="A18" s="4">
        <v>13</v>
      </c>
      <c r="B18" s="4">
        <v>2.2400000000000002</v>
      </c>
      <c r="C18" s="4">
        <v>0.65</v>
      </c>
      <c r="D18" s="68">
        <f t="shared" ref="D18:D26" si="8">B18*C18</f>
        <v>1.4560000000000002</v>
      </c>
      <c r="E18" s="4">
        <v>2.8</v>
      </c>
      <c r="F18" s="4">
        <v>15</v>
      </c>
      <c r="G18" s="4">
        <v>2</v>
      </c>
      <c r="H18" s="4">
        <v>0.41</v>
      </c>
      <c r="I18" s="4">
        <f>G18*H18</f>
        <v>0.82</v>
      </c>
      <c r="J18" s="4">
        <f t="shared" ref="J18:J20" si="9">E18+I18</f>
        <v>3.6199999999999997</v>
      </c>
      <c r="K18" s="4">
        <v>3.26</v>
      </c>
      <c r="L18" s="68">
        <f>K18*gazProperties!$B$13/0.73</f>
        <v>3.2750819458933411</v>
      </c>
      <c r="M18" s="68">
        <f>L18*J18</f>
        <v>11.855796644133894</v>
      </c>
      <c r="N18" s="68">
        <f>9.81*2.8*(1.293-gazProperties!$B$13)</f>
        <v>15.371717819155592</v>
      </c>
      <c r="O18" s="68">
        <f>M18+N18</f>
        <v>27.227514463289488</v>
      </c>
      <c r="P18" s="68">
        <f>P17+O18</f>
        <v>153.46844885872062</v>
      </c>
    </row>
    <row r="19" spans="1:16" x14ac:dyDescent="0.25">
      <c r="A19" s="4">
        <v>14</v>
      </c>
      <c r="B19" s="4">
        <v>3.36</v>
      </c>
      <c r="C19" s="4">
        <v>0.45</v>
      </c>
      <c r="D19" s="68">
        <f t="shared" si="8"/>
        <v>1.512</v>
      </c>
      <c r="E19" s="4">
        <v>2.8</v>
      </c>
      <c r="F19" s="4">
        <v>15</v>
      </c>
      <c r="G19" s="4">
        <v>2</v>
      </c>
      <c r="H19" s="4">
        <v>0.41</v>
      </c>
      <c r="I19" s="4">
        <f t="shared" ref="I19:I20" si="10">G19*H19</f>
        <v>0.82</v>
      </c>
      <c r="J19" s="4">
        <f t="shared" si="9"/>
        <v>3.6199999999999997</v>
      </c>
      <c r="K19" s="4">
        <v>3.26</v>
      </c>
      <c r="L19" s="68">
        <f>K19*gazProperties!$B$13/0.73</f>
        <v>3.2750819458933411</v>
      </c>
      <c r="M19" s="68">
        <f t="shared" ref="M19:M26" si="11">L19*J19</f>
        <v>11.855796644133894</v>
      </c>
      <c r="N19" s="68">
        <f>9.81*2.8*(1.293-gazProperties!$B$13)</f>
        <v>15.371717819155592</v>
      </c>
      <c r="O19" s="68">
        <f t="shared" ref="O19:O26" si="12">M19+N19</f>
        <v>27.227514463289488</v>
      </c>
      <c r="P19" s="68">
        <f t="shared" ref="P19:P26" si="13">P18+O19</f>
        <v>180.6959633220101</v>
      </c>
    </row>
    <row r="20" spans="1:16" x14ac:dyDescent="0.25">
      <c r="A20" s="4">
        <v>15</v>
      </c>
      <c r="B20" s="4">
        <v>4.4800000000000004</v>
      </c>
      <c r="C20" s="4">
        <v>0.35</v>
      </c>
      <c r="D20" s="68">
        <f t="shared" si="8"/>
        <v>1.5680000000000001</v>
      </c>
      <c r="E20" s="4">
        <v>2.8</v>
      </c>
      <c r="F20" s="4">
        <v>15</v>
      </c>
      <c r="G20" s="4">
        <v>2</v>
      </c>
      <c r="H20" s="4">
        <v>0.42</v>
      </c>
      <c r="I20" s="4">
        <f t="shared" si="10"/>
        <v>0.84</v>
      </c>
      <c r="J20" s="4">
        <f t="shared" si="9"/>
        <v>3.6399999999999997</v>
      </c>
      <c r="K20" s="4">
        <v>3.26</v>
      </c>
      <c r="L20" s="68">
        <f>K20*gazProperties!$B$13/0.73</f>
        <v>3.2750819458933411</v>
      </c>
      <c r="M20" s="68">
        <f t="shared" si="11"/>
        <v>11.92129828305176</v>
      </c>
      <c r="N20" s="68">
        <f>-9.81*2.8*(1.293-gazProperties!$B$13)</f>
        <v>-15.371717819155592</v>
      </c>
      <c r="O20" s="68">
        <f t="shared" si="12"/>
        <v>-3.4504195361038317</v>
      </c>
      <c r="P20" s="68">
        <f t="shared" si="13"/>
        <v>177.24554378590628</v>
      </c>
    </row>
    <row r="21" spans="1:16" x14ac:dyDescent="0.25">
      <c r="A21" s="4">
        <v>16</v>
      </c>
      <c r="B21" s="4">
        <v>5.6</v>
      </c>
      <c r="C21" s="4">
        <v>0.28999999999999998</v>
      </c>
      <c r="D21" s="68">
        <f t="shared" si="8"/>
        <v>1.6239999999999999</v>
      </c>
      <c r="E21" s="4">
        <v>2.8</v>
      </c>
      <c r="F21" s="4">
        <v>15</v>
      </c>
      <c r="G21" s="4">
        <v>2</v>
      </c>
      <c r="H21" s="4">
        <v>0.42</v>
      </c>
      <c r="I21" s="4">
        <f>G21*H21</f>
        <v>0.84</v>
      </c>
      <c r="J21" s="4">
        <f>E21+I21</f>
        <v>3.6399999999999997</v>
      </c>
      <c r="K21" s="4">
        <v>3.97</v>
      </c>
      <c r="L21" s="68">
        <f>K21*gazProperties!$B$13/0.73</f>
        <v>3.9883666641707261</v>
      </c>
      <c r="M21" s="68">
        <f t="shared" si="11"/>
        <v>14.517654657581442</v>
      </c>
      <c r="N21" s="68">
        <f>-9.81*2.8*(1.293-gazProperties!$B$13)</f>
        <v>-15.371717819155592</v>
      </c>
      <c r="O21" s="68">
        <f t="shared" si="12"/>
        <v>-0.85406316157414963</v>
      </c>
      <c r="P21" s="68">
        <f t="shared" si="13"/>
        <v>176.39148062433213</v>
      </c>
    </row>
    <row r="22" spans="1:16" x14ac:dyDescent="0.25">
      <c r="A22" s="4">
        <v>17</v>
      </c>
      <c r="B22" s="4">
        <v>6.72</v>
      </c>
      <c r="C22" s="4">
        <v>0.28000000000000003</v>
      </c>
      <c r="D22" s="68">
        <f t="shared" si="8"/>
        <v>1.8816000000000002</v>
      </c>
      <c r="E22" s="4">
        <v>2.8</v>
      </c>
      <c r="F22" s="4">
        <v>15</v>
      </c>
      <c r="G22" s="4">
        <v>2</v>
      </c>
      <c r="H22" s="4">
        <v>0.43</v>
      </c>
      <c r="I22" s="4">
        <f t="shared" ref="I22:I26" si="14">G22*H22</f>
        <v>0.86</v>
      </c>
      <c r="J22" s="4">
        <f t="shared" ref="J22:J26" si="15">E22+I22</f>
        <v>3.6599999999999997</v>
      </c>
      <c r="K22" s="4">
        <v>5.66</v>
      </c>
      <c r="L22" s="68">
        <f>K22*gazProperties!$B$13/0.73</f>
        <v>5.6861852189436544</v>
      </c>
      <c r="M22" s="68">
        <f t="shared" si="11"/>
        <v>20.811437901333772</v>
      </c>
      <c r="N22" s="68">
        <f>-9.81*2.8*(1.293-gazProperties!$B$13)</f>
        <v>-15.371717819155592</v>
      </c>
      <c r="O22" s="68">
        <f t="shared" si="12"/>
        <v>5.4397200821781801</v>
      </c>
      <c r="P22" s="68">
        <f t="shared" si="13"/>
        <v>181.83120070651032</v>
      </c>
    </row>
    <row r="23" spans="1:16" x14ac:dyDescent="0.25">
      <c r="A23" s="4">
        <v>18</v>
      </c>
      <c r="B23" s="4">
        <v>7.84</v>
      </c>
      <c r="C23" s="4">
        <v>0.27400000000000002</v>
      </c>
      <c r="D23" s="68">
        <f t="shared" si="8"/>
        <v>2.1481600000000003</v>
      </c>
      <c r="E23" s="4">
        <v>2.8</v>
      </c>
      <c r="F23" s="4">
        <v>15</v>
      </c>
      <c r="G23" s="4">
        <v>2</v>
      </c>
      <c r="H23" s="4">
        <v>0.43</v>
      </c>
      <c r="I23" s="4">
        <f t="shared" si="14"/>
        <v>0.86</v>
      </c>
      <c r="J23" s="4">
        <f t="shared" si="15"/>
        <v>3.6599999999999997</v>
      </c>
      <c r="K23" s="4">
        <v>7.78</v>
      </c>
      <c r="L23" s="68">
        <f>K23*gazProperties!$B$13/0.73</f>
        <v>7.8159931101380984</v>
      </c>
      <c r="M23" s="68">
        <f t="shared" si="11"/>
        <v>28.606534783105438</v>
      </c>
      <c r="N23" s="68">
        <f>-9.81*2.8*(1.293-gazProperties!$B$13)</f>
        <v>-15.371717819155592</v>
      </c>
      <c r="O23" s="68">
        <f t="shared" si="12"/>
        <v>13.234816963949847</v>
      </c>
      <c r="P23" s="68">
        <f t="shared" si="13"/>
        <v>195.06601767046016</v>
      </c>
    </row>
    <row r="24" spans="1:16" x14ac:dyDescent="0.25">
      <c r="A24" s="4">
        <v>19</v>
      </c>
      <c r="B24" s="4">
        <v>8.9600000000000009</v>
      </c>
      <c r="C24" s="4">
        <v>0.26500000000000001</v>
      </c>
      <c r="D24" s="68">
        <f t="shared" si="8"/>
        <v>2.3744000000000005</v>
      </c>
      <c r="E24" s="4">
        <v>2.8</v>
      </c>
      <c r="F24" s="4">
        <v>15</v>
      </c>
      <c r="G24" s="4">
        <v>2</v>
      </c>
      <c r="H24" s="4">
        <v>0.44</v>
      </c>
      <c r="I24" s="4">
        <f t="shared" si="14"/>
        <v>0.88</v>
      </c>
      <c r="J24" s="4">
        <f t="shared" si="15"/>
        <v>3.6799999999999997</v>
      </c>
      <c r="K24" s="4">
        <v>10.3</v>
      </c>
      <c r="L24" s="68">
        <f>K24*gazProperties!$B$13/0.73</f>
        <v>10.347651546840927</v>
      </c>
      <c r="M24" s="68">
        <f t="shared" si="11"/>
        <v>38.079357692374607</v>
      </c>
      <c r="N24" s="68">
        <f>-9.81*2.8*(1.293-gazProperties!$B$13)</f>
        <v>-15.371717819155592</v>
      </c>
      <c r="O24" s="68">
        <f t="shared" si="12"/>
        <v>22.707639873219016</v>
      </c>
      <c r="P24" s="68">
        <f t="shared" si="13"/>
        <v>217.77365754367918</v>
      </c>
    </row>
    <row r="25" spans="1:16" x14ac:dyDescent="0.25">
      <c r="A25" s="4">
        <v>20</v>
      </c>
      <c r="B25" s="4">
        <v>10.08</v>
      </c>
      <c r="C25" s="4">
        <v>0.25800000000000001</v>
      </c>
      <c r="D25" s="68">
        <f t="shared" si="8"/>
        <v>2.6006400000000003</v>
      </c>
      <c r="E25" s="4">
        <v>2.8</v>
      </c>
      <c r="F25" s="4">
        <v>15</v>
      </c>
      <c r="G25" s="4">
        <v>2</v>
      </c>
      <c r="H25" s="4">
        <v>0.44</v>
      </c>
      <c r="I25" s="4">
        <f t="shared" si="14"/>
        <v>0.88</v>
      </c>
      <c r="J25" s="4">
        <f t="shared" si="15"/>
        <v>3.6799999999999997</v>
      </c>
      <c r="K25" s="4">
        <v>12</v>
      </c>
      <c r="L25" s="68">
        <f>K25*gazProperties!$B$13/0.73</f>
        <v>12.055516365251565</v>
      </c>
      <c r="M25" s="68">
        <f t="shared" si="11"/>
        <v>44.364300224125756</v>
      </c>
      <c r="N25" s="68">
        <f>-9.81*2.8*(1.293-gazProperties!$B$13)</f>
        <v>-15.371717819155592</v>
      </c>
      <c r="O25" s="68">
        <f t="shared" si="12"/>
        <v>28.992582404970165</v>
      </c>
      <c r="P25" s="68">
        <f t="shared" si="13"/>
        <v>246.76623994864934</v>
      </c>
    </row>
    <row r="26" spans="1:16" x14ac:dyDescent="0.25">
      <c r="A26" s="4">
        <v>21</v>
      </c>
      <c r="B26" s="4">
        <v>11.2</v>
      </c>
      <c r="C26" s="4">
        <v>0.254</v>
      </c>
      <c r="D26" s="68">
        <f>B26*C26</f>
        <v>2.8447999999999998</v>
      </c>
      <c r="E26" s="4">
        <v>7.4</v>
      </c>
      <c r="F26" s="4">
        <v>15</v>
      </c>
      <c r="G26" s="4">
        <v>8.5</v>
      </c>
      <c r="H26" s="4">
        <v>0.6</v>
      </c>
      <c r="I26" s="4">
        <f t="shared" si="14"/>
        <v>5.0999999999999996</v>
      </c>
      <c r="J26" s="4">
        <f t="shared" si="15"/>
        <v>12.5</v>
      </c>
      <c r="K26" s="4">
        <v>3.25</v>
      </c>
      <c r="L26" s="68">
        <f>K26*gazProperties!$B$13/0.73</f>
        <v>3.2650356822556321</v>
      </c>
      <c r="M26" s="68">
        <f t="shared" si="11"/>
        <v>40.812946028195398</v>
      </c>
      <c r="N26" s="68">
        <f>-9.81*0.6*(1.293-gazProperties!$B$13)</f>
        <v>-3.2939395326761982</v>
      </c>
      <c r="O26" s="68">
        <f t="shared" si="12"/>
        <v>37.5190064955192</v>
      </c>
      <c r="P26" s="68">
        <f t="shared" si="13"/>
        <v>284.28524644416854</v>
      </c>
    </row>
    <row r="27" spans="1:16" x14ac:dyDescent="0.25">
      <c r="A27" s="104" t="s">
        <v>210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6"/>
    </row>
    <row r="28" spans="1:16" x14ac:dyDescent="0.25">
      <c r="A28" s="4">
        <v>22</v>
      </c>
      <c r="B28" s="4">
        <v>1.1200000000000001</v>
      </c>
      <c r="C28" s="67">
        <v>1</v>
      </c>
      <c r="D28" s="68">
        <f>B28*C28</f>
        <v>1.1200000000000001</v>
      </c>
      <c r="E28" s="69">
        <v>5.5</v>
      </c>
      <c r="F28" s="69">
        <v>15</v>
      </c>
      <c r="G28" s="70">
        <v>9.5</v>
      </c>
      <c r="H28" s="68">
        <v>0.4</v>
      </c>
      <c r="I28" s="68">
        <f>G28*H28</f>
        <v>3.8000000000000003</v>
      </c>
      <c r="J28" s="68">
        <f>E28+I28</f>
        <v>9.3000000000000007</v>
      </c>
      <c r="K28" s="68">
        <v>2.16</v>
      </c>
      <c r="L28" s="68">
        <f>K28*gazProperties!$B$13/0.73</f>
        <v>2.1699929457452818</v>
      </c>
      <c r="M28" s="68">
        <f>L28*J28</f>
        <v>20.180934395431123</v>
      </c>
      <c r="N28" s="68">
        <v>6.06</v>
      </c>
      <c r="O28" s="68">
        <f>M28+N28</f>
        <v>26.240934395431122</v>
      </c>
      <c r="P28" s="68">
        <f>O28+100</f>
        <v>126.24093439543113</v>
      </c>
    </row>
    <row r="29" spans="1:16" x14ac:dyDescent="0.25">
      <c r="A29" s="4">
        <v>23</v>
      </c>
      <c r="B29" s="4">
        <v>2.2400000000000002</v>
      </c>
      <c r="C29" s="67">
        <v>0.65</v>
      </c>
      <c r="D29" s="68">
        <f t="shared" ref="D29:D37" si="16">B29*C29</f>
        <v>1.4560000000000002</v>
      </c>
      <c r="E29" s="69">
        <v>2.8</v>
      </c>
      <c r="F29" s="69">
        <v>15</v>
      </c>
      <c r="G29" s="70">
        <v>2</v>
      </c>
      <c r="H29" s="68">
        <v>0.41</v>
      </c>
      <c r="I29" s="68">
        <f>G29*H29</f>
        <v>0.82</v>
      </c>
      <c r="J29" s="68">
        <f t="shared" ref="J29:J31" si="17">E29+I29</f>
        <v>3.6199999999999997</v>
      </c>
      <c r="K29" s="68">
        <v>3.26</v>
      </c>
      <c r="L29" s="68">
        <f>K29*gazProperties!$B$13/0.73</f>
        <v>3.2750819458933411</v>
      </c>
      <c r="M29" s="68">
        <f>L29*J29</f>
        <v>11.855796644133894</v>
      </c>
      <c r="N29" s="68">
        <f>9.81*2.8*(1.293-gazProperties!$B$13)</f>
        <v>15.371717819155592</v>
      </c>
      <c r="O29" s="68">
        <f>M29+N29</f>
        <v>27.227514463289488</v>
      </c>
      <c r="P29" s="68">
        <f>P28+O29</f>
        <v>153.46844885872062</v>
      </c>
    </row>
    <row r="30" spans="1:16" x14ac:dyDescent="0.25">
      <c r="A30" s="4">
        <v>24</v>
      </c>
      <c r="B30" s="4">
        <v>3.36</v>
      </c>
      <c r="C30" s="67">
        <v>0.45</v>
      </c>
      <c r="D30" s="68">
        <f t="shared" si="16"/>
        <v>1.512</v>
      </c>
      <c r="E30" s="69">
        <v>2.8</v>
      </c>
      <c r="F30" s="69">
        <v>15</v>
      </c>
      <c r="G30" s="70">
        <v>2</v>
      </c>
      <c r="H30" s="68">
        <v>0.41</v>
      </c>
      <c r="I30" s="68">
        <f t="shared" ref="I30:I31" si="18">G30*H30</f>
        <v>0.82</v>
      </c>
      <c r="J30" s="68">
        <f t="shared" si="17"/>
        <v>3.6199999999999997</v>
      </c>
      <c r="K30" s="68">
        <v>3.26</v>
      </c>
      <c r="L30" s="68">
        <f>K30*gazProperties!$B$13/0.73</f>
        <v>3.2750819458933411</v>
      </c>
      <c r="M30" s="68">
        <f t="shared" ref="M30:M37" si="19">L30*J30</f>
        <v>11.855796644133894</v>
      </c>
      <c r="N30" s="68">
        <f>9.81*2.8*(1.293-gazProperties!$B$13)</f>
        <v>15.371717819155592</v>
      </c>
      <c r="O30" s="68">
        <f t="shared" ref="O30:O37" si="20">M30+N30</f>
        <v>27.227514463289488</v>
      </c>
      <c r="P30" s="68">
        <f t="shared" ref="P30:P37" si="21">P29+O30</f>
        <v>180.6959633220101</v>
      </c>
    </row>
    <row r="31" spans="1:16" x14ac:dyDescent="0.25">
      <c r="A31" s="4">
        <v>25</v>
      </c>
      <c r="B31" s="4">
        <v>4.4800000000000004</v>
      </c>
      <c r="C31" s="67">
        <v>0.35</v>
      </c>
      <c r="D31" s="68">
        <f t="shared" si="16"/>
        <v>1.5680000000000001</v>
      </c>
      <c r="E31" s="69">
        <v>2.8</v>
      </c>
      <c r="F31" s="69">
        <v>15</v>
      </c>
      <c r="G31" s="70">
        <v>2</v>
      </c>
      <c r="H31" s="68">
        <v>0.42</v>
      </c>
      <c r="I31" s="68">
        <f t="shared" si="18"/>
        <v>0.84</v>
      </c>
      <c r="J31" s="68">
        <f t="shared" si="17"/>
        <v>3.6399999999999997</v>
      </c>
      <c r="K31" s="68">
        <v>3.26</v>
      </c>
      <c r="L31" s="68">
        <f>K31*gazProperties!$B$13/0.73</f>
        <v>3.2750819458933411</v>
      </c>
      <c r="M31" s="68">
        <f t="shared" si="19"/>
        <v>11.92129828305176</v>
      </c>
      <c r="N31" s="68">
        <f>-9.81*2.8*(1.293-gazProperties!$B$13)</f>
        <v>-15.371717819155592</v>
      </c>
      <c r="O31" s="68">
        <f t="shared" si="20"/>
        <v>-3.4504195361038317</v>
      </c>
      <c r="P31" s="68">
        <f t="shared" si="21"/>
        <v>177.24554378590628</v>
      </c>
    </row>
    <row r="32" spans="1:16" x14ac:dyDescent="0.25">
      <c r="A32" s="4">
        <v>26</v>
      </c>
      <c r="B32" s="4">
        <v>5.6</v>
      </c>
      <c r="C32" s="67">
        <v>0.28999999999999998</v>
      </c>
      <c r="D32" s="68">
        <f t="shared" si="16"/>
        <v>1.6239999999999999</v>
      </c>
      <c r="E32" s="69">
        <v>2.8</v>
      </c>
      <c r="F32" s="69">
        <v>15</v>
      </c>
      <c r="G32" s="70">
        <v>2</v>
      </c>
      <c r="H32" s="68">
        <v>0.42</v>
      </c>
      <c r="I32" s="68">
        <f>G32*H32</f>
        <v>0.84</v>
      </c>
      <c r="J32" s="68">
        <f>E32+I32</f>
        <v>3.6399999999999997</v>
      </c>
      <c r="K32" s="68">
        <v>3.97</v>
      </c>
      <c r="L32" s="68">
        <f>K32*gazProperties!$B$13/0.73</f>
        <v>3.9883666641707261</v>
      </c>
      <c r="M32" s="68">
        <f t="shared" si="19"/>
        <v>14.517654657581442</v>
      </c>
      <c r="N32" s="68">
        <f>-9.81*2.8*(1.293-gazProperties!$B$13)</f>
        <v>-15.371717819155592</v>
      </c>
      <c r="O32" s="68">
        <f t="shared" si="20"/>
        <v>-0.85406316157414963</v>
      </c>
      <c r="P32" s="68">
        <f t="shared" si="21"/>
        <v>176.39148062433213</v>
      </c>
    </row>
    <row r="33" spans="1:16" x14ac:dyDescent="0.25">
      <c r="A33" s="4">
        <v>27</v>
      </c>
      <c r="B33" s="4">
        <v>6.72</v>
      </c>
      <c r="C33" s="67">
        <v>0.28000000000000003</v>
      </c>
      <c r="D33" s="68">
        <f t="shared" si="16"/>
        <v>1.8816000000000002</v>
      </c>
      <c r="E33" s="69">
        <v>2.8</v>
      </c>
      <c r="F33" s="69">
        <v>15</v>
      </c>
      <c r="G33" s="70">
        <v>2</v>
      </c>
      <c r="H33" s="68">
        <v>0.43</v>
      </c>
      <c r="I33" s="68">
        <f t="shared" ref="I33:I37" si="22">G33*H33</f>
        <v>0.86</v>
      </c>
      <c r="J33" s="68">
        <f t="shared" ref="J33:J37" si="23">E33+I33</f>
        <v>3.6599999999999997</v>
      </c>
      <c r="K33" s="68">
        <v>5.66</v>
      </c>
      <c r="L33" s="68">
        <f>K33*gazProperties!$B$13/0.73</f>
        <v>5.6861852189436544</v>
      </c>
      <c r="M33" s="68">
        <f t="shared" si="19"/>
        <v>20.811437901333772</v>
      </c>
      <c r="N33" s="68">
        <f>-9.81*2.8*(1.293-gazProperties!$B$13)</f>
        <v>-15.371717819155592</v>
      </c>
      <c r="O33" s="68">
        <f t="shared" si="20"/>
        <v>5.4397200821781801</v>
      </c>
      <c r="P33" s="68">
        <f t="shared" si="21"/>
        <v>181.83120070651032</v>
      </c>
    </row>
    <row r="34" spans="1:16" x14ac:dyDescent="0.25">
      <c r="A34" s="4">
        <v>28</v>
      </c>
      <c r="B34" s="4">
        <v>7.84</v>
      </c>
      <c r="C34" s="67">
        <v>0.27400000000000002</v>
      </c>
      <c r="D34" s="68">
        <f t="shared" si="16"/>
        <v>2.1481600000000003</v>
      </c>
      <c r="E34" s="69">
        <v>2.8</v>
      </c>
      <c r="F34" s="69">
        <v>15</v>
      </c>
      <c r="G34" s="70">
        <v>2</v>
      </c>
      <c r="H34" s="68">
        <v>0.43</v>
      </c>
      <c r="I34" s="68">
        <f t="shared" si="22"/>
        <v>0.86</v>
      </c>
      <c r="J34" s="68">
        <f t="shared" si="23"/>
        <v>3.6599999999999997</v>
      </c>
      <c r="K34" s="68">
        <v>7.78</v>
      </c>
      <c r="L34" s="68">
        <f>K34*gazProperties!$B$13/0.73</f>
        <v>7.8159931101380984</v>
      </c>
      <c r="M34" s="68">
        <f t="shared" si="19"/>
        <v>28.606534783105438</v>
      </c>
      <c r="N34" s="68">
        <f>-9.81*2.8*(1.293-gazProperties!$B$13)</f>
        <v>-15.371717819155592</v>
      </c>
      <c r="O34" s="68">
        <f t="shared" si="20"/>
        <v>13.234816963949847</v>
      </c>
      <c r="P34" s="68">
        <f t="shared" si="21"/>
        <v>195.06601767046016</v>
      </c>
    </row>
    <row r="35" spans="1:16" x14ac:dyDescent="0.25">
      <c r="A35" s="4">
        <v>29</v>
      </c>
      <c r="B35" s="4">
        <v>8.9600000000000009</v>
      </c>
      <c r="C35" s="67">
        <v>0.26500000000000001</v>
      </c>
      <c r="D35" s="68">
        <f t="shared" si="16"/>
        <v>2.3744000000000005</v>
      </c>
      <c r="E35" s="69">
        <v>2.8</v>
      </c>
      <c r="F35" s="69">
        <v>15</v>
      </c>
      <c r="G35" s="70">
        <v>2</v>
      </c>
      <c r="H35" s="68">
        <v>0.44</v>
      </c>
      <c r="I35" s="68">
        <f t="shared" si="22"/>
        <v>0.88</v>
      </c>
      <c r="J35" s="68">
        <f t="shared" si="23"/>
        <v>3.6799999999999997</v>
      </c>
      <c r="K35" s="68">
        <v>10.3</v>
      </c>
      <c r="L35" s="68">
        <f>K35*gazProperties!$B$13/0.73</f>
        <v>10.347651546840927</v>
      </c>
      <c r="M35" s="68">
        <f t="shared" si="19"/>
        <v>38.079357692374607</v>
      </c>
      <c r="N35" s="68">
        <f>-9.81*2.8*(1.293-gazProperties!$B$13)</f>
        <v>-15.371717819155592</v>
      </c>
      <c r="O35" s="68">
        <f t="shared" si="20"/>
        <v>22.707639873219016</v>
      </c>
      <c r="P35" s="68">
        <f t="shared" si="21"/>
        <v>217.77365754367918</v>
      </c>
    </row>
    <row r="36" spans="1:16" x14ac:dyDescent="0.25">
      <c r="A36" s="4">
        <v>30</v>
      </c>
      <c r="B36" s="4">
        <v>10.08</v>
      </c>
      <c r="C36" s="67">
        <v>0.25800000000000001</v>
      </c>
      <c r="D36" s="68">
        <f t="shared" si="16"/>
        <v>2.6006400000000003</v>
      </c>
      <c r="E36" s="69">
        <v>2.8</v>
      </c>
      <c r="F36" s="69">
        <v>15</v>
      </c>
      <c r="G36" s="70">
        <v>2</v>
      </c>
      <c r="H36" s="68">
        <v>0.44</v>
      </c>
      <c r="I36" s="68">
        <f t="shared" si="22"/>
        <v>0.88</v>
      </c>
      <c r="J36" s="68">
        <f t="shared" si="23"/>
        <v>3.6799999999999997</v>
      </c>
      <c r="K36" s="68">
        <v>12</v>
      </c>
      <c r="L36" s="68">
        <f>K36*gazProperties!$B$13/0.73</f>
        <v>12.055516365251565</v>
      </c>
      <c r="M36" s="68">
        <f t="shared" si="19"/>
        <v>44.364300224125756</v>
      </c>
      <c r="N36" s="68">
        <f>-9.81*2.8*(1.293-gazProperties!$B$13)</f>
        <v>-15.371717819155592</v>
      </c>
      <c r="O36" s="68">
        <f t="shared" si="20"/>
        <v>28.992582404970165</v>
      </c>
      <c r="P36" s="68">
        <f t="shared" si="21"/>
        <v>246.76623994864934</v>
      </c>
    </row>
    <row r="37" spans="1:16" x14ac:dyDescent="0.25">
      <c r="A37" s="4">
        <v>31</v>
      </c>
      <c r="B37" s="4">
        <v>11.2</v>
      </c>
      <c r="C37" s="67">
        <v>0.254</v>
      </c>
      <c r="D37" s="68">
        <f t="shared" si="16"/>
        <v>2.8447999999999998</v>
      </c>
      <c r="E37" s="69">
        <v>10.1</v>
      </c>
      <c r="F37" s="69">
        <v>15</v>
      </c>
      <c r="G37" s="70">
        <v>8.5</v>
      </c>
      <c r="H37" s="68">
        <v>0.6</v>
      </c>
      <c r="I37" s="68">
        <f t="shared" si="22"/>
        <v>5.0999999999999996</v>
      </c>
      <c r="J37" s="68">
        <f t="shared" si="23"/>
        <v>15.2</v>
      </c>
      <c r="K37" s="68">
        <v>3.25</v>
      </c>
      <c r="L37" s="68">
        <f>K37*gazProperties!$B$13/0.73</f>
        <v>3.2650356822556321</v>
      </c>
      <c r="M37" s="68">
        <f t="shared" si="19"/>
        <v>49.628542370285608</v>
      </c>
      <c r="N37" s="68">
        <f>-9.81*0*(1.293-gazProperties!$B$13)</f>
        <v>0</v>
      </c>
      <c r="O37" s="68">
        <f t="shared" si="20"/>
        <v>49.628542370285608</v>
      </c>
      <c r="P37" s="68">
        <f t="shared" si="21"/>
        <v>296.39478231893497</v>
      </c>
    </row>
  </sheetData>
  <mergeCells count="14">
    <mergeCell ref="A27:P27"/>
    <mergeCell ref="I1:I2"/>
    <mergeCell ref="J1:J2"/>
    <mergeCell ref="M1:M2"/>
    <mergeCell ref="O1:O2"/>
    <mergeCell ref="P1:P2"/>
    <mergeCell ref="A16:P16"/>
    <mergeCell ref="A4:P4"/>
    <mergeCell ref="A1:A2"/>
    <mergeCell ref="B1:B2"/>
    <mergeCell ref="C1:C2"/>
    <mergeCell ref="D1:D2"/>
    <mergeCell ref="F1:F2"/>
    <mergeCell ref="G1:G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E0B6-A4DD-4F3A-9541-7B68E6FF789C}">
  <dimension ref="A1:L21"/>
  <sheetViews>
    <sheetView tabSelected="1" workbookViewId="0">
      <selection activeCell="F21" sqref="F21"/>
    </sheetView>
  </sheetViews>
  <sheetFormatPr defaultRowHeight="15" x14ac:dyDescent="0.25"/>
  <cols>
    <col min="1" max="1" width="12.7109375" customWidth="1"/>
    <col min="8" max="8" width="9.28515625" bestFit="1" customWidth="1"/>
    <col min="9" max="9" width="9.85546875" bestFit="1" customWidth="1"/>
    <col min="10" max="10" width="11" bestFit="1" customWidth="1"/>
  </cols>
  <sheetData>
    <row r="1" spans="1:12" ht="18.75" customHeight="1" x14ac:dyDescent="0.25">
      <c r="A1" s="107" t="s">
        <v>150</v>
      </c>
      <c r="B1" s="107" t="s">
        <v>212</v>
      </c>
      <c r="C1" s="107" t="s">
        <v>213</v>
      </c>
      <c r="D1" s="107" t="s">
        <v>214</v>
      </c>
      <c r="E1" s="107" t="s">
        <v>215</v>
      </c>
      <c r="F1" s="107" t="s">
        <v>216</v>
      </c>
      <c r="G1" s="64" t="s">
        <v>217</v>
      </c>
      <c r="H1" s="107" t="s">
        <v>219</v>
      </c>
      <c r="I1" s="107" t="s">
        <v>220</v>
      </c>
      <c r="J1" s="109" t="s">
        <v>221</v>
      </c>
    </row>
    <row r="2" spans="1:12" ht="15.75" x14ac:dyDescent="0.25">
      <c r="A2" s="111"/>
      <c r="B2" s="111"/>
      <c r="C2" s="111"/>
      <c r="D2" s="111"/>
      <c r="E2" s="111"/>
      <c r="F2" s="111"/>
      <c r="G2" s="63" t="s">
        <v>218</v>
      </c>
      <c r="H2" s="111"/>
      <c r="I2" s="111"/>
      <c r="J2" s="112"/>
    </row>
    <row r="3" spans="1:12" x14ac:dyDescent="0.25">
      <c r="A3">
        <v>1</v>
      </c>
      <c r="B3">
        <v>2</v>
      </c>
      <c r="C3" s="65">
        <v>3</v>
      </c>
      <c r="D3" s="65">
        <v>4</v>
      </c>
      <c r="E3" s="65">
        <v>5</v>
      </c>
      <c r="F3" s="65">
        <v>6</v>
      </c>
      <c r="G3" s="65">
        <v>7</v>
      </c>
      <c r="H3" s="65">
        <v>8</v>
      </c>
      <c r="I3" s="65">
        <v>9</v>
      </c>
      <c r="J3" s="65">
        <v>10</v>
      </c>
    </row>
    <row r="4" spans="1:12" x14ac:dyDescent="0.25">
      <c r="A4" s="82" t="s">
        <v>222</v>
      </c>
      <c r="B4" s="83"/>
      <c r="C4" s="83"/>
      <c r="D4" s="83"/>
      <c r="E4" s="83"/>
      <c r="F4" s="83"/>
      <c r="G4" s="83"/>
      <c r="H4" s="83"/>
      <c r="I4" s="83"/>
      <c r="J4" s="84"/>
    </row>
    <row r="5" spans="1:12" x14ac:dyDescent="0.25">
      <c r="A5" s="4">
        <v>1</v>
      </c>
      <c r="B5" s="4">
        <v>20.2</v>
      </c>
      <c r="C5" s="4">
        <f>0.1*B5</f>
        <v>2.02</v>
      </c>
      <c r="D5" s="4">
        <f>C5+B5</f>
        <v>22.22</v>
      </c>
      <c r="E5" s="68">
        <f>гидрРасчвнутр!D15</f>
        <v>7.7615999999999987</v>
      </c>
      <c r="F5" s="4">
        <v>32</v>
      </c>
      <c r="G5" s="4">
        <v>1.49</v>
      </c>
      <c r="H5" s="68">
        <f>G5*gazProperties!$B$13/0.73</f>
        <v>1.4968932820187359</v>
      </c>
      <c r="I5" s="68">
        <f>H5*D5</f>
        <v>33.260968726456312</v>
      </c>
      <c r="J5" s="68">
        <f>I5</f>
        <v>33.260968726456312</v>
      </c>
      <c r="L5">
        <f>B5/2</f>
        <v>10.1</v>
      </c>
    </row>
    <row r="6" spans="1:12" s="65" customFormat="1" x14ac:dyDescent="0.25">
      <c r="A6" s="4">
        <v>2</v>
      </c>
      <c r="B6" s="4">
        <v>61.2</v>
      </c>
      <c r="C6" s="4">
        <f>0.1*B6</f>
        <v>6.120000000000001</v>
      </c>
      <c r="D6" s="4">
        <f>C6+B6</f>
        <v>67.320000000000007</v>
      </c>
      <c r="E6" s="68">
        <f>E5*2</f>
        <v>15.523199999999997</v>
      </c>
      <c r="F6" s="4">
        <v>40</v>
      </c>
      <c r="G6" s="4">
        <v>3.34</v>
      </c>
      <c r="H6" s="68">
        <f>G6*gazProperties!$B$13/0.73</f>
        <v>3.3554520549950189</v>
      </c>
      <c r="I6" s="68">
        <f>H6*D6</f>
        <v>225.8890323422647</v>
      </c>
      <c r="J6" s="68">
        <f>I6+J5</f>
        <v>259.150001068721</v>
      </c>
      <c r="L6" s="65">
        <f t="shared" ref="L6:L19" si="0">B6/2</f>
        <v>30.6</v>
      </c>
    </row>
    <row r="7" spans="1:12" x14ac:dyDescent="0.25">
      <c r="A7" s="4">
        <v>3</v>
      </c>
      <c r="B7" s="4">
        <v>30.2</v>
      </c>
      <c r="C7" s="4">
        <f>0.1*B7</f>
        <v>3.02</v>
      </c>
      <c r="D7" s="4">
        <f>C7+B7</f>
        <v>33.22</v>
      </c>
      <c r="E7" s="68">
        <f>E6*2</f>
        <v>31.046399999999995</v>
      </c>
      <c r="F7" s="4">
        <v>50</v>
      </c>
      <c r="G7" s="4">
        <v>2.79</v>
      </c>
      <c r="H7" s="68">
        <f>G7*gazProperties!$B$13/0.73</f>
        <v>2.8029075549209885</v>
      </c>
      <c r="I7" s="68">
        <f>H7*D7</f>
        <v>93.11258897447523</v>
      </c>
      <c r="J7" s="68">
        <f>J6+I7</f>
        <v>352.26259004319621</v>
      </c>
      <c r="L7" s="65">
        <f t="shared" si="0"/>
        <v>15.1</v>
      </c>
    </row>
    <row r="8" spans="1:12" x14ac:dyDescent="0.25">
      <c r="A8" s="4">
        <v>4</v>
      </c>
      <c r="B8" s="4">
        <v>30.8</v>
      </c>
      <c r="C8" s="4">
        <f t="shared" ref="C8:C17" si="1">0.1*B8</f>
        <v>3.08</v>
      </c>
      <c r="D8" s="4">
        <f t="shared" ref="D8:D17" si="2">C8+B8</f>
        <v>33.880000000000003</v>
      </c>
      <c r="E8" s="68">
        <f>E6*3</f>
        <v>46.569599999999994</v>
      </c>
      <c r="F8" s="4">
        <v>70</v>
      </c>
      <c r="G8" s="4">
        <v>2.12</v>
      </c>
      <c r="H8" s="68">
        <f>G8*gazProperties!$B$13/0.73</f>
        <v>2.1298078911944431</v>
      </c>
      <c r="I8" s="68">
        <f t="shared" ref="I8:I17" si="3">H8*D8</f>
        <v>72.157891353667736</v>
      </c>
      <c r="J8" s="68">
        <f t="shared" ref="J8:J16" si="4">J7+I8</f>
        <v>424.42048139686392</v>
      </c>
      <c r="L8" s="65">
        <f t="shared" si="0"/>
        <v>15.4</v>
      </c>
    </row>
    <row r="9" spans="1:12" x14ac:dyDescent="0.25">
      <c r="A9" s="4">
        <v>5</v>
      </c>
      <c r="B9" s="4">
        <v>155.6</v>
      </c>
      <c r="C9" s="4">
        <f t="shared" si="1"/>
        <v>15.56</v>
      </c>
      <c r="D9" s="4">
        <f t="shared" si="2"/>
        <v>171.16</v>
      </c>
      <c r="E9" s="68">
        <f>E6*4</f>
        <v>62.09279999999999</v>
      </c>
      <c r="F9" s="4">
        <v>80</v>
      </c>
      <c r="G9" s="4">
        <v>1.49</v>
      </c>
      <c r="H9" s="68">
        <f>G9*gazProperties!$B$13/0.73</f>
        <v>1.4968932820187359</v>
      </c>
      <c r="I9" s="68">
        <f>H9*D9</f>
        <v>256.20825415032687</v>
      </c>
      <c r="J9" s="68">
        <f>J8+I9</f>
        <v>680.62873554719079</v>
      </c>
      <c r="L9" s="65">
        <f t="shared" si="0"/>
        <v>77.8</v>
      </c>
    </row>
    <row r="10" spans="1:12" x14ac:dyDescent="0.25">
      <c r="A10" s="4">
        <v>6</v>
      </c>
      <c r="B10" s="4">
        <v>72.28</v>
      </c>
      <c r="C10" s="68">
        <f t="shared" si="1"/>
        <v>7.2280000000000006</v>
      </c>
      <c r="D10" s="68">
        <f t="shared" si="2"/>
        <v>79.507999999999996</v>
      </c>
      <c r="E10" s="68">
        <f>E6*10</f>
        <v>155.23199999999997</v>
      </c>
      <c r="F10" s="4">
        <v>100</v>
      </c>
      <c r="G10" s="4">
        <v>3.16</v>
      </c>
      <c r="H10" s="68">
        <f>G10*gazProperties!$B$13/0.73</f>
        <v>3.1746193095162458</v>
      </c>
      <c r="I10" s="68">
        <f t="shared" si="3"/>
        <v>252.40763206101767</v>
      </c>
      <c r="J10" s="68">
        <f>J9+I10</f>
        <v>933.03636760820848</v>
      </c>
      <c r="L10" s="65">
        <f t="shared" si="0"/>
        <v>36.14</v>
      </c>
    </row>
    <row r="11" spans="1:12" x14ac:dyDescent="0.25">
      <c r="A11" s="82" t="s">
        <v>223</v>
      </c>
      <c r="B11" s="83"/>
      <c r="C11" s="83"/>
      <c r="D11" s="83"/>
      <c r="E11" s="83"/>
      <c r="F11" s="83"/>
      <c r="G11" s="83"/>
      <c r="H11" s="83"/>
      <c r="I11" s="83"/>
      <c r="J11" s="84"/>
      <c r="L11" s="65"/>
    </row>
    <row r="12" spans="1:12" x14ac:dyDescent="0.25">
      <c r="A12" s="4">
        <v>7</v>
      </c>
      <c r="B12" s="4">
        <v>22.4</v>
      </c>
      <c r="C12" s="4">
        <f t="shared" si="1"/>
        <v>2.2399999999999998</v>
      </c>
      <c r="D12" s="4">
        <f t="shared" si="2"/>
        <v>24.639999999999997</v>
      </c>
      <c r="E12" s="68">
        <f>гидрРасчвнутр!D15</f>
        <v>7.7615999999999987</v>
      </c>
      <c r="F12" s="4">
        <v>32</v>
      </c>
      <c r="G12" s="4">
        <v>1.49</v>
      </c>
      <c r="H12" s="68">
        <f>G12*gazProperties!$B$13/0.73</f>
        <v>1.4968932820187359</v>
      </c>
      <c r="I12" s="68">
        <f t="shared" si="3"/>
        <v>36.883450468941646</v>
      </c>
      <c r="J12" s="68">
        <f t="shared" si="4"/>
        <v>36.883450468941646</v>
      </c>
      <c r="L12" s="65">
        <f t="shared" si="0"/>
        <v>11.2</v>
      </c>
    </row>
    <row r="13" spans="1:12" s="65" customFormat="1" x14ac:dyDescent="0.25">
      <c r="A13" s="4">
        <v>8</v>
      </c>
      <c r="B13" s="4">
        <v>46.24</v>
      </c>
      <c r="C13" s="4">
        <f t="shared" ref="C13" si="5">0.1*B13</f>
        <v>4.6240000000000006</v>
      </c>
      <c r="D13" s="4">
        <f t="shared" ref="D13" si="6">C13+B13</f>
        <v>50.864000000000004</v>
      </c>
      <c r="E13" s="68">
        <f>E12*2</f>
        <v>15.523199999999997</v>
      </c>
      <c r="F13" s="4">
        <v>40</v>
      </c>
      <c r="G13" s="4">
        <v>3.34</v>
      </c>
      <c r="H13" s="68">
        <f>G13*gazProperties!$B$13/0.73</f>
        <v>3.3554520549950189</v>
      </c>
      <c r="I13" s="68">
        <f t="shared" ref="I13" si="7">H13*D13</f>
        <v>170.67171332526667</v>
      </c>
      <c r="J13" s="68">
        <f t="shared" ref="J13" si="8">J12+I13</f>
        <v>207.55516379420831</v>
      </c>
      <c r="L13" s="65">
        <f t="shared" si="0"/>
        <v>23.12</v>
      </c>
    </row>
    <row r="14" spans="1:12" s="65" customFormat="1" x14ac:dyDescent="0.25">
      <c r="A14" s="4">
        <v>9</v>
      </c>
      <c r="B14" s="4">
        <v>12.4</v>
      </c>
      <c r="C14" s="4">
        <f t="shared" ref="C14" si="9">0.1*B14</f>
        <v>1.2400000000000002</v>
      </c>
      <c r="D14" s="4">
        <f t="shared" ref="D14" si="10">C14+B14</f>
        <v>13.64</v>
      </c>
      <c r="E14" s="68">
        <f>E13+E12</f>
        <v>23.284799999999997</v>
      </c>
      <c r="F14" s="4">
        <v>50</v>
      </c>
      <c r="G14" s="4">
        <v>1.66</v>
      </c>
      <c r="H14" s="68">
        <f>G14*gazProperties!$B$13/0.73</f>
        <v>1.6676797638597998</v>
      </c>
      <c r="I14" s="68">
        <f t="shared" ref="I14" si="11">H14*D14</f>
        <v>22.747151979047668</v>
      </c>
      <c r="J14" s="68">
        <f t="shared" ref="J14" si="12">J13+I14</f>
        <v>230.30231577325597</v>
      </c>
      <c r="L14" s="65">
        <f t="shared" si="0"/>
        <v>6.2</v>
      </c>
    </row>
    <row r="15" spans="1:12" x14ac:dyDescent="0.25">
      <c r="A15" s="4">
        <v>9</v>
      </c>
      <c r="B15" s="4">
        <v>32.4</v>
      </c>
      <c r="C15" s="4">
        <f t="shared" si="1"/>
        <v>3.24</v>
      </c>
      <c r="D15" s="4">
        <f t="shared" si="2"/>
        <v>35.64</v>
      </c>
      <c r="E15" s="68">
        <f>E13*2</f>
        <v>31.046399999999995</v>
      </c>
      <c r="F15" s="4">
        <v>50</v>
      </c>
      <c r="G15" s="4">
        <v>2.79</v>
      </c>
      <c r="H15" s="68">
        <f>G15*gazProperties!$B$13/0.73</f>
        <v>2.8029075549209885</v>
      </c>
      <c r="I15" s="68">
        <f t="shared" si="3"/>
        <v>99.895625257384026</v>
      </c>
      <c r="J15" s="68">
        <f>J14+I15</f>
        <v>330.19794103063998</v>
      </c>
      <c r="L15" s="65">
        <f t="shared" si="0"/>
        <v>16.2</v>
      </c>
    </row>
    <row r="16" spans="1:12" x14ac:dyDescent="0.25">
      <c r="A16" s="4">
        <v>10</v>
      </c>
      <c r="B16" s="4">
        <v>27.4</v>
      </c>
      <c r="C16" s="4">
        <f t="shared" si="1"/>
        <v>2.74</v>
      </c>
      <c r="D16" s="4">
        <f t="shared" si="2"/>
        <v>30.14</v>
      </c>
      <c r="E16" s="68">
        <f>E13*3</f>
        <v>46.569599999999994</v>
      </c>
      <c r="F16" s="4">
        <v>70</v>
      </c>
      <c r="G16" s="4">
        <v>2.12</v>
      </c>
      <c r="H16" s="68">
        <f>G16*gazProperties!$B$13/0.73</f>
        <v>2.1298078911944431</v>
      </c>
      <c r="I16" s="68">
        <f t="shared" si="3"/>
        <v>64.192409840600519</v>
      </c>
      <c r="J16" s="68">
        <f t="shared" si="4"/>
        <v>394.39035087124051</v>
      </c>
      <c r="L16" s="65">
        <f t="shared" si="0"/>
        <v>13.7</v>
      </c>
    </row>
    <row r="17" spans="1:12" x14ac:dyDescent="0.25">
      <c r="A17" s="4">
        <v>11</v>
      </c>
      <c r="B17" s="4">
        <v>26.6</v>
      </c>
      <c r="C17" s="4">
        <f t="shared" si="1"/>
        <v>2.66</v>
      </c>
      <c r="D17" s="4">
        <f t="shared" si="2"/>
        <v>29.26</v>
      </c>
      <c r="E17" s="68">
        <f>E13*4</f>
        <v>62.09279999999999</v>
      </c>
      <c r="F17" s="4">
        <v>80</v>
      </c>
      <c r="G17" s="4">
        <v>1.49</v>
      </c>
      <c r="H17" s="68">
        <f>G17*gazProperties!$B$13/0.73</f>
        <v>1.4968932820187359</v>
      </c>
      <c r="I17" s="68">
        <f t="shared" si="3"/>
        <v>43.799097431868219</v>
      </c>
      <c r="J17" s="68">
        <f>J16+I17</f>
        <v>438.18944830310875</v>
      </c>
      <c r="L17" s="65">
        <f t="shared" si="0"/>
        <v>13.3</v>
      </c>
    </row>
    <row r="18" spans="1:12" x14ac:dyDescent="0.25">
      <c r="A18" s="4">
        <v>12</v>
      </c>
      <c r="B18" s="4">
        <v>26.6</v>
      </c>
      <c r="C18" s="4">
        <f t="shared" ref="C18:C19" si="13">0.1*B18</f>
        <v>2.66</v>
      </c>
      <c r="D18" s="4">
        <f t="shared" ref="D18:D19" si="14">C18+B18</f>
        <v>29.26</v>
      </c>
      <c r="E18" s="68">
        <f>E13*5</f>
        <v>77.615999999999985</v>
      </c>
      <c r="F18" s="4">
        <v>80</v>
      </c>
      <c r="G18" s="4">
        <v>2.2599999999999998</v>
      </c>
      <c r="H18" s="68">
        <f>G18*gazProperties!$B$13/0.73</f>
        <v>2.2704555821223775</v>
      </c>
      <c r="I18" s="68">
        <f t="shared" ref="I18:I19" si="15">H18*D18</f>
        <v>66.433530332900773</v>
      </c>
      <c r="J18" s="68">
        <f>J17+I18</f>
        <v>504.62297863600952</v>
      </c>
      <c r="L18" s="65">
        <f t="shared" si="0"/>
        <v>13.3</v>
      </c>
    </row>
    <row r="19" spans="1:12" x14ac:dyDescent="0.25">
      <c r="A19" s="4">
        <v>13</v>
      </c>
      <c r="B19" s="4">
        <v>62.2</v>
      </c>
      <c r="C19" s="4">
        <f t="shared" si="13"/>
        <v>6.2200000000000006</v>
      </c>
      <c r="D19" s="4">
        <f t="shared" si="14"/>
        <v>68.42</v>
      </c>
      <c r="E19" s="68">
        <f>E13*6</f>
        <v>93.139199999999988</v>
      </c>
      <c r="F19" s="4">
        <v>80</v>
      </c>
      <c r="G19" s="4">
        <v>2.4860000000000002</v>
      </c>
      <c r="H19" s="68">
        <f>G19*gazProperties!$B$13/0.73</f>
        <v>2.4975011403346157</v>
      </c>
      <c r="I19" s="68">
        <f t="shared" si="15"/>
        <v>170.87902802169441</v>
      </c>
      <c r="J19" s="68">
        <f>J18+I19</f>
        <v>675.50200665770399</v>
      </c>
      <c r="L19" s="65">
        <f t="shared" si="0"/>
        <v>31.1</v>
      </c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1">
    <mergeCell ref="A11:J11"/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3"/>
  <sheetViews>
    <sheetView topLeftCell="A7" workbookViewId="0">
      <selection activeCell="E29" sqref="E29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7.5703125" customWidth="1"/>
    <col min="20" max="20" width="6.7109375" customWidth="1"/>
    <col min="21" max="21" width="7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75">
        <v>5</v>
      </c>
      <c r="K2" s="75">
        <v>6</v>
      </c>
      <c r="L2" s="75">
        <v>7</v>
      </c>
      <c r="M2" s="75">
        <v>8</v>
      </c>
      <c r="N2" s="77">
        <v>9</v>
      </c>
      <c r="O2" s="11"/>
      <c r="P2" s="4"/>
      <c r="Q2" s="75">
        <v>5</v>
      </c>
      <c r="R2" s="75">
        <v>6</v>
      </c>
      <c r="S2" s="75">
        <v>7</v>
      </c>
      <c r="T2" s="75">
        <v>8</v>
      </c>
      <c r="U2" s="77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76"/>
      <c r="K3" s="76"/>
      <c r="L3" s="76"/>
      <c r="M3" s="76"/>
      <c r="N3" s="78"/>
      <c r="O3" s="11"/>
      <c r="P3" s="4"/>
      <c r="Q3" s="76"/>
      <c r="R3" s="76"/>
      <c r="S3" s="76"/>
      <c r="T3" s="76"/>
      <c r="U3" s="78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76"/>
      <c r="K4" s="76"/>
      <c r="L4" s="76"/>
      <c r="M4" s="76"/>
      <c r="N4" s="78"/>
      <c r="O4" s="11"/>
      <c r="P4" s="4"/>
      <c r="Q4" s="76"/>
      <c r="R4" s="76"/>
      <c r="S4" s="76"/>
      <c r="T4" s="76"/>
      <c r="U4" s="78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76"/>
      <c r="K5" s="76"/>
      <c r="L5" s="76"/>
      <c r="M5" s="76"/>
      <c r="N5" s="78"/>
      <c r="O5" s="11"/>
      <c r="P5" s="4"/>
      <c r="Q5" s="76"/>
      <c r="R5" s="76"/>
      <c r="S5" s="76"/>
      <c r="T5" s="76"/>
      <c r="U5" s="78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76"/>
      <c r="K6" s="76"/>
      <c r="L6" s="76"/>
      <c r="M6" s="76"/>
      <c r="N6" s="78"/>
      <c r="O6" s="11"/>
      <c r="P6" s="4"/>
      <c r="Q6" s="76"/>
      <c r="R6" s="76"/>
      <c r="S6" s="76"/>
      <c r="T6" s="76"/>
      <c r="U6" s="78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76"/>
      <c r="K7" s="76"/>
      <c r="L7" s="76"/>
      <c r="M7" s="76"/>
      <c r="N7" s="78"/>
      <c r="O7" s="25">
        <f>B7</f>
        <v>7</v>
      </c>
      <c r="P7" s="4">
        <f t="shared" ref="P7:P12" si="3">E7</f>
        <v>5824</v>
      </c>
      <c r="Q7" s="76"/>
      <c r="R7" s="76"/>
      <c r="S7" s="76"/>
      <c r="T7" s="76"/>
      <c r="U7" s="78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76"/>
      <c r="K8" s="76"/>
      <c r="L8" s="76"/>
      <c r="M8" s="76"/>
      <c r="N8" s="78"/>
      <c r="O8" s="25">
        <f t="shared" ref="O8:O12" si="4">B8</f>
        <v>8</v>
      </c>
      <c r="P8" s="4">
        <f t="shared" si="3"/>
        <v>2793</v>
      </c>
      <c r="Q8" s="76"/>
      <c r="R8" s="76"/>
      <c r="S8" s="76"/>
      <c r="T8" s="76"/>
      <c r="U8" s="78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76"/>
      <c r="K9" s="76"/>
      <c r="L9" s="76"/>
      <c r="M9" s="76"/>
      <c r="N9" s="78"/>
      <c r="O9" s="25">
        <f t="shared" si="4"/>
        <v>7</v>
      </c>
      <c r="P9" s="4">
        <f t="shared" si="3"/>
        <v>3476</v>
      </c>
      <c r="Q9" s="76"/>
      <c r="R9" s="76"/>
      <c r="S9" s="76"/>
      <c r="T9" s="76"/>
      <c r="U9" s="78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76"/>
      <c r="K10" s="76"/>
      <c r="L10" s="76"/>
      <c r="M10" s="76"/>
      <c r="N10" s="78"/>
      <c r="O10" s="25">
        <f t="shared" si="4"/>
        <v>5</v>
      </c>
      <c r="P10" s="4">
        <f t="shared" si="3"/>
        <v>1348</v>
      </c>
      <c r="Q10" s="76"/>
      <c r="R10" s="76"/>
      <c r="S10" s="76"/>
      <c r="T10" s="76"/>
      <c r="U10" s="78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76"/>
      <c r="K11" s="76"/>
      <c r="L11" s="76"/>
      <c r="M11" s="76"/>
      <c r="N11" s="78"/>
      <c r="O11" s="25">
        <f t="shared" si="4"/>
        <v>7</v>
      </c>
      <c r="P11" s="4">
        <f t="shared" si="3"/>
        <v>4547</v>
      </c>
      <c r="Q11" s="76"/>
      <c r="R11" s="76"/>
      <c r="S11" s="76"/>
      <c r="T11" s="76"/>
      <c r="U11" s="78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76"/>
      <c r="K12" s="76"/>
      <c r="L12" s="76"/>
      <c r="M12" s="76"/>
      <c r="N12" s="78"/>
      <c r="O12" s="25">
        <f t="shared" si="4"/>
        <v>6</v>
      </c>
      <c r="P12" s="4">
        <f t="shared" si="3"/>
        <v>2048</v>
      </c>
      <c r="Q12" s="76"/>
      <c r="R12" s="76"/>
      <c r="S12" s="76"/>
      <c r="T12" s="76"/>
      <c r="U12" s="78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76"/>
      <c r="K13" s="76"/>
      <c r="L13" s="76"/>
      <c r="M13" s="76"/>
      <c r="N13" s="78"/>
      <c r="O13" s="11"/>
      <c r="P13" s="4"/>
      <c r="Q13" s="76"/>
      <c r="R13" s="76"/>
      <c r="S13" s="76"/>
      <c r="T13" s="76"/>
      <c r="U13" s="78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76"/>
      <c r="K14" s="76"/>
      <c r="L14" s="76"/>
      <c r="M14" s="76"/>
      <c r="N14" s="78"/>
      <c r="O14" s="11"/>
      <c r="P14" s="4"/>
      <c r="Q14" s="76"/>
      <c r="R14" s="76"/>
      <c r="S14" s="76"/>
      <c r="T14" s="76"/>
      <c r="U14" s="78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76"/>
      <c r="K15" s="76"/>
      <c r="L15" s="76"/>
      <c r="M15" s="76"/>
      <c r="N15" s="78"/>
      <c r="O15" s="11"/>
      <c r="P15" s="4"/>
      <c r="Q15" s="76"/>
      <c r="R15" s="76"/>
      <c r="S15" s="76"/>
      <c r="T15" s="76"/>
      <c r="U15" s="78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76"/>
      <c r="K16" s="76"/>
      <c r="L16" s="76"/>
      <c r="M16" s="76"/>
      <c r="N16" s="78"/>
      <c r="O16" s="11"/>
      <c r="P16" s="4"/>
      <c r="Q16" s="76"/>
      <c r="R16" s="76"/>
      <c r="S16" s="76"/>
      <c r="T16" s="76"/>
      <c r="U16" s="78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76"/>
      <c r="K17" s="76"/>
      <c r="L17" s="76"/>
      <c r="M17" s="76"/>
      <c r="N17" s="78"/>
      <c r="O17" s="11"/>
      <c r="P17" s="4"/>
      <c r="Q17" s="76"/>
      <c r="R17" s="76"/>
      <c r="S17" s="76"/>
      <c r="T17" s="76"/>
      <c r="U17" s="78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76"/>
      <c r="K18" s="76"/>
      <c r="L18" s="76"/>
      <c r="M18" s="76"/>
      <c r="N18" s="78"/>
      <c r="O18" s="11"/>
      <c r="P18" s="4"/>
      <c r="Q18" s="76"/>
      <c r="R18" s="76"/>
      <c r="S18" s="76"/>
      <c r="T18" s="76"/>
      <c r="U18" s="78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76"/>
      <c r="K19" s="76"/>
      <c r="L19" s="76"/>
      <c r="M19" s="76"/>
      <c r="N19" s="78"/>
      <c r="O19" s="11"/>
      <c r="P19" s="4"/>
      <c r="Q19" s="76"/>
      <c r="R19" s="76"/>
      <c r="S19" s="76"/>
      <c r="T19" s="76"/>
      <c r="U19" s="78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76"/>
      <c r="K20" s="76"/>
      <c r="L20" s="76"/>
      <c r="M20" s="76"/>
      <c r="N20" s="78"/>
      <c r="O20" s="11"/>
      <c r="P20" s="4"/>
      <c r="Q20" s="76"/>
      <c r="R20" s="76"/>
      <c r="S20" s="76"/>
      <c r="T20" s="76"/>
      <c r="U20" s="78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76"/>
      <c r="K21" s="76"/>
      <c r="L21" s="76"/>
      <c r="M21" s="76"/>
      <c r="N21" s="78"/>
      <c r="O21" s="25">
        <f>B21</f>
        <v>5</v>
      </c>
      <c r="P21" s="4">
        <f>E21</f>
        <v>2156</v>
      </c>
      <c r="Q21" s="76"/>
      <c r="R21" s="76"/>
      <c r="S21" s="76"/>
      <c r="T21" s="76"/>
      <c r="U21" s="78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76"/>
      <c r="K22" s="76"/>
      <c r="L22" s="76"/>
      <c r="M22" s="76"/>
      <c r="N22" s="78"/>
      <c r="O22" s="25">
        <f t="shared" ref="O22:O25" si="6">B22</f>
        <v>8</v>
      </c>
      <c r="P22" s="4">
        <f>E22</f>
        <v>1645</v>
      </c>
      <c r="Q22" s="76"/>
      <c r="R22" s="76"/>
      <c r="S22" s="76"/>
      <c r="T22" s="76"/>
      <c r="U22" s="78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76"/>
      <c r="K23" s="76"/>
      <c r="L23" s="76"/>
      <c r="M23" s="76"/>
      <c r="N23" s="78"/>
      <c r="O23" s="25">
        <f t="shared" si="6"/>
        <v>6</v>
      </c>
      <c r="P23" s="4">
        <f>E23</f>
        <v>1551</v>
      </c>
      <c r="Q23" s="76"/>
      <c r="R23" s="76"/>
      <c r="S23" s="76"/>
      <c r="T23" s="76"/>
      <c r="U23" s="78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76"/>
      <c r="K24" s="76"/>
      <c r="L24" s="76"/>
      <c r="M24" s="76"/>
      <c r="N24" s="78"/>
      <c r="O24" s="25">
        <f t="shared" si="6"/>
        <v>7</v>
      </c>
      <c r="P24" s="4">
        <f>E24</f>
        <v>4816</v>
      </c>
      <c r="Q24" s="76"/>
      <c r="R24" s="76"/>
      <c r="S24" s="76"/>
      <c r="T24" s="76"/>
      <c r="U24" s="78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76"/>
      <c r="K25" s="76"/>
      <c r="L25" s="76"/>
      <c r="M25" s="76"/>
      <c r="N25" s="78"/>
      <c r="O25" s="25">
        <f t="shared" si="6"/>
        <v>9</v>
      </c>
      <c r="P25" s="4">
        <f>E25</f>
        <v>5057</v>
      </c>
      <c r="Q25" s="76"/>
      <c r="R25" s="76"/>
      <c r="S25" s="76"/>
      <c r="T25" s="76"/>
      <c r="U25" s="78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76"/>
      <c r="K26" s="76"/>
      <c r="L26" s="76"/>
      <c r="M26" s="76"/>
      <c r="N26" s="78"/>
      <c r="O26" s="11"/>
      <c r="P26" s="4"/>
      <c r="Q26" s="76"/>
      <c r="R26" s="76"/>
      <c r="S26" s="76"/>
      <c r="T26" s="76"/>
      <c r="U26" s="78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76"/>
      <c r="K27" s="76"/>
      <c r="L27" s="76"/>
      <c r="M27" s="76"/>
      <c r="N27" s="78"/>
      <c r="O27" s="11"/>
      <c r="P27" s="4"/>
      <c r="Q27" s="76"/>
      <c r="R27" s="76"/>
      <c r="S27" s="76"/>
      <c r="T27" s="76"/>
      <c r="U27" s="78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76"/>
      <c r="K28" s="76"/>
      <c r="L28" s="76"/>
      <c r="M28" s="76"/>
      <c r="N28" s="78"/>
      <c r="O28" s="17"/>
      <c r="P28" s="16"/>
      <c r="Q28" s="76"/>
      <c r="R28" s="76"/>
      <c r="S28" s="76"/>
      <c r="T28" s="76"/>
      <c r="U28" s="78"/>
    </row>
    <row r="29" spans="1:21" ht="15.75" thickBot="1" x14ac:dyDescent="0.3">
      <c r="C29">
        <f>SUM(C2:C28)</f>
        <v>234.82999999999996</v>
      </c>
      <c r="E29" s="38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25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  <row r="33" spans="11:18" x14ac:dyDescent="0.25">
      <c r="K33">
        <f>SUM(K30:N30)</f>
        <v>38239</v>
      </c>
      <c r="R33">
        <f>SUM(R30:U30)</f>
        <v>31757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3" sqref="B3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M22"/>
  <sheetViews>
    <sheetView topLeftCell="A7" zoomScale="85" zoomScaleNormal="85" workbookViewId="0">
      <selection activeCell="M19" sqref="M19"/>
    </sheetView>
  </sheetViews>
  <sheetFormatPr defaultRowHeight="15" x14ac:dyDescent="0.25"/>
  <cols>
    <col min="1" max="1" width="14.140625" customWidth="1"/>
    <col min="2" max="2" width="21.140625" customWidth="1"/>
    <col min="3" max="3" width="12.42578125" customWidth="1"/>
    <col min="4" max="4" width="17.5703125" customWidth="1"/>
    <col min="5" max="5" width="12.85546875" customWidth="1"/>
    <col min="8" max="8" width="14.28515625" customWidth="1"/>
    <col min="9" max="9" width="12.7109375" customWidth="1"/>
    <col min="10" max="10" width="9.28515625" customWidth="1"/>
    <col min="12" max="12" width="9.5703125" bestFit="1" customWidth="1"/>
    <col min="13" max="13" width="10" bestFit="1" customWidth="1"/>
  </cols>
  <sheetData>
    <row r="1" spans="1:12" ht="82.5" customHeight="1" x14ac:dyDescent="0.25">
      <c r="A1" s="85" t="s">
        <v>42</v>
      </c>
      <c r="B1" s="85" t="s">
        <v>43</v>
      </c>
      <c r="C1" s="85" t="s">
        <v>44</v>
      </c>
      <c r="D1" s="85" t="s">
        <v>45</v>
      </c>
      <c r="E1" s="85" t="s">
        <v>46</v>
      </c>
      <c r="F1" s="87" t="s">
        <v>47</v>
      </c>
      <c r="G1" s="88"/>
      <c r="H1" s="85" t="s">
        <v>50</v>
      </c>
      <c r="I1" s="85" t="s">
        <v>51</v>
      </c>
      <c r="J1" s="85" t="s">
        <v>52</v>
      </c>
    </row>
    <row r="2" spans="1:12" ht="78.75" customHeight="1" x14ac:dyDescent="0.25">
      <c r="A2" s="86"/>
      <c r="B2" s="86"/>
      <c r="C2" s="86"/>
      <c r="D2" s="86"/>
      <c r="E2" s="86"/>
      <c r="F2" s="29" t="s">
        <v>48</v>
      </c>
      <c r="G2" s="29" t="s">
        <v>49</v>
      </c>
      <c r="H2" s="86"/>
      <c r="I2" s="86"/>
      <c r="J2" s="86"/>
    </row>
    <row r="3" spans="1:12" ht="15.75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25">
      <c r="A4" s="79" t="s">
        <v>34</v>
      </c>
      <c r="B4" s="80"/>
      <c r="C4" s="80"/>
      <c r="D4" s="80"/>
      <c r="E4" s="80"/>
      <c r="F4" s="80"/>
      <c r="G4" s="80"/>
      <c r="H4" s="80"/>
      <c r="I4" s="80"/>
      <c r="J4" s="81"/>
    </row>
    <row r="5" spans="1:12" x14ac:dyDescent="0.25">
      <c r="A5" s="82" t="s">
        <v>53</v>
      </c>
      <c r="B5" s="83"/>
      <c r="C5" s="83"/>
      <c r="D5" s="83"/>
      <c r="E5" s="83"/>
      <c r="F5" s="83"/>
      <c r="G5" s="83"/>
      <c r="H5" s="83"/>
      <c r="I5" s="83"/>
      <c r="J5" s="84"/>
    </row>
    <row r="6" spans="1:12" ht="90" x14ac:dyDescent="0.25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25">
      <c r="A7" s="83" t="s">
        <v>56</v>
      </c>
      <c r="B7" s="83"/>
      <c r="C7" s="83"/>
      <c r="D7" s="83"/>
      <c r="E7" s="83"/>
      <c r="F7" s="83"/>
      <c r="G7" s="83"/>
      <c r="H7" s="83"/>
      <c r="I7" s="83"/>
      <c r="J7" s="84"/>
    </row>
    <row r="8" spans="1:12" ht="105" x14ac:dyDescent="0.25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.75" thickBot="1" x14ac:dyDescent="0.3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25">
      <c r="A10" s="79" t="s">
        <v>35</v>
      </c>
      <c r="B10" s="80"/>
      <c r="C10" s="80"/>
      <c r="D10" s="80"/>
      <c r="E10" s="80"/>
      <c r="F10" s="80"/>
      <c r="G10" s="80"/>
      <c r="H10" s="80"/>
      <c r="I10" s="80"/>
      <c r="J10" s="81"/>
    </row>
    <row r="11" spans="1:12" x14ac:dyDescent="0.25">
      <c r="A11" s="82" t="s">
        <v>53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2" ht="90" x14ac:dyDescent="0.25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25">
      <c r="A13" s="83" t="s">
        <v>56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2" ht="105" x14ac:dyDescent="0.25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.75" thickBot="1" x14ac:dyDescent="0.3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3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3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M18">
        <f>J15+J9</f>
        <v>3216.4412023033847</v>
      </c>
    </row>
    <row r="19" spans="1:13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3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3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3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opLeftCell="A25" workbookViewId="0">
      <selection activeCell="B51" sqref="B51"/>
    </sheetView>
  </sheetViews>
  <sheetFormatPr defaultRowHeight="15" x14ac:dyDescent="0.25"/>
  <cols>
    <col min="1" max="1" width="14.28515625" bestFit="1" customWidth="1"/>
    <col min="2" max="2" width="11.7109375" customWidth="1"/>
    <col min="3" max="3" width="13.28515625" bestFit="1" customWidth="1"/>
    <col min="5" max="5" width="16.5703125" bestFit="1" customWidth="1"/>
  </cols>
  <sheetData>
    <row r="1" spans="1:8" x14ac:dyDescent="0.25">
      <c r="A1" t="s">
        <v>61</v>
      </c>
      <c r="B1">
        <f>ROUNDUP(0.012*'расчетКол-ваЖит'!E29, 0)</f>
        <v>955</v>
      </c>
    </row>
    <row r="3" spans="1:8" x14ac:dyDescent="0.25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25">
      <c r="F5" t="s">
        <v>63</v>
      </c>
    </row>
    <row r="6" spans="1:8" x14ac:dyDescent="0.25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25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25">
      <c r="E8" s="39" t="s">
        <v>31</v>
      </c>
      <c r="F8" s="3">
        <v>0.8</v>
      </c>
      <c r="G8" s="39" t="s">
        <v>68</v>
      </c>
      <c r="H8" s="3">
        <f>1+0.6*(30+F6)/(H6-F6)</f>
        <v>1.1200000000000001</v>
      </c>
    </row>
    <row r="9" spans="1:8" x14ac:dyDescent="0.25">
      <c r="E9" s="39" t="s">
        <v>69</v>
      </c>
      <c r="F9">
        <f>B1*160</f>
        <v>152800</v>
      </c>
    </row>
    <row r="14" spans="1:8" x14ac:dyDescent="0.25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25">
      <c r="A16" t="s">
        <v>71</v>
      </c>
      <c r="B16">
        <f>ROUNDUP((75/1000)*0.5*'расчетКол-ваЖит'!E29,0)</f>
        <v>2983</v>
      </c>
      <c r="C16" t="s">
        <v>83</v>
      </c>
      <c r="D16">
        <f>'расчетКол-ваЖит'!E29</f>
        <v>79532</v>
      </c>
    </row>
    <row r="17" spans="1:4" x14ac:dyDescent="0.25">
      <c r="A17" t="s">
        <v>72</v>
      </c>
      <c r="B17">
        <f>ROUNDUP((0.01/1000)*(360*0.25*1*'расчетКол-ваЖит'!E29)*2,0)</f>
        <v>144</v>
      </c>
    </row>
    <row r="18" spans="1:4" x14ac:dyDescent="0.25">
      <c r="A18" t="s">
        <v>73</v>
      </c>
      <c r="B18">
        <f>ROUNDUP(0.125/1000*30*'расчетКол-ваЖит'!E29/1000*310,0)</f>
        <v>93</v>
      </c>
      <c r="C18" t="s">
        <v>78</v>
      </c>
    </row>
    <row r="19" spans="1:4" x14ac:dyDescent="0.25">
      <c r="A19" t="s">
        <v>74</v>
      </c>
      <c r="B19">
        <f>ROUNDUP(75/1000*(B14)/1000,0)</f>
        <v>16</v>
      </c>
      <c r="C19" t="s">
        <v>79</v>
      </c>
      <c r="D19">
        <f>75/1000*206</f>
        <v>15.45</v>
      </c>
    </row>
    <row r="20" spans="1:4" x14ac:dyDescent="0.25">
      <c r="A20" t="s">
        <v>75</v>
      </c>
      <c r="B20">
        <f>ROUNDUP(0.3*6*'расчетКол-ваЖит'!E29/1000,0)</f>
        <v>144</v>
      </c>
      <c r="C20" t="s">
        <v>80</v>
      </c>
    </row>
    <row r="21" spans="1:4" x14ac:dyDescent="0.25">
      <c r="A21" t="s">
        <v>76</v>
      </c>
      <c r="B21">
        <f>ROUNDUP(0.48*0.08*0.85*'расчетКол-ваЖит'!$E$29,0)</f>
        <v>2596</v>
      </c>
      <c r="C21" t="s">
        <v>81</v>
      </c>
    </row>
    <row r="22" spans="1:4" x14ac:dyDescent="0.25">
      <c r="A22" t="s">
        <v>77</v>
      </c>
      <c r="B22">
        <f>ROUNDUP(0.36*0.1*0.85*'расчетКол-ваЖит'!$E$29,0)</f>
        <v>2434</v>
      </c>
      <c r="C22" t="s">
        <v>82</v>
      </c>
    </row>
    <row r="23" spans="1:4" x14ac:dyDescent="0.25">
      <c r="A23" s="39" t="s">
        <v>58</v>
      </c>
      <c r="B23">
        <f>SUM(B16:B22)</f>
        <v>8410</v>
      </c>
    </row>
    <row r="30" spans="1:4" x14ac:dyDescent="0.25">
      <c r="A30" t="s">
        <v>96</v>
      </c>
    </row>
    <row r="31" spans="1:4" x14ac:dyDescent="0.25">
      <c r="A31" t="s">
        <v>99</v>
      </c>
      <c r="B31">
        <f>ROUNDUP(0.2*219*'расчетКол-ваЖит'!$E$29/1000,0)</f>
        <v>3484</v>
      </c>
    </row>
    <row r="32" spans="1:4" x14ac:dyDescent="0.25">
      <c r="A32" t="s">
        <v>98</v>
      </c>
      <c r="B32">
        <f>ROUNDUP(0.8*219*'расчетКол-ваЖит'!$E$29/1000,0)</f>
        <v>13935</v>
      </c>
    </row>
    <row r="33" spans="1:9" x14ac:dyDescent="0.25">
      <c r="A33" t="s">
        <v>97</v>
      </c>
      <c r="B33">
        <f>ROUNDUP(36.5*'расчетКол-ваЖит'!$E$29/1000,0)</f>
        <v>2903</v>
      </c>
    </row>
    <row r="40" spans="1:9" x14ac:dyDescent="0.25">
      <c r="A40" t="s">
        <v>109</v>
      </c>
    </row>
    <row r="42" spans="1:9" x14ac:dyDescent="0.25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25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25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25">
      <c r="A45" s="2" t="s">
        <v>120</v>
      </c>
      <c r="B45">
        <f>(3600*SUM(B42:B44))/($F$8*gazProperties!$B$15)</f>
        <v>13870.060832084442</v>
      </c>
      <c r="F45">
        <f>'расчетКол-ваЖит'!I29</f>
        <v>44271</v>
      </c>
    </row>
    <row r="46" spans="1:9" x14ac:dyDescent="0.25">
      <c r="A46" s="2"/>
      <c r="B46">
        <f>gazProperties!$B$15</f>
        <v>36021.945</v>
      </c>
      <c r="E46" t="s">
        <v>114</v>
      </c>
      <c r="F46">
        <f>18*'расчетКол-ваЖит'!P29</f>
        <v>634698</v>
      </c>
    </row>
    <row r="47" spans="1:9" x14ac:dyDescent="0.25">
      <c r="A47" s="2" t="s">
        <v>111</v>
      </c>
      <c r="B47">
        <f>F46*$F$42*(1+I42)*POWER(10,-3)</f>
        <v>67119.313500000004</v>
      </c>
      <c r="F47">
        <f>'расчетКол-ваЖит'!P29</f>
        <v>35261</v>
      </c>
    </row>
    <row r="48" spans="1:9" x14ac:dyDescent="0.25">
      <c r="A48" s="2" t="s">
        <v>133</v>
      </c>
      <c r="B48">
        <f>$I$42*$I$43*$F$42*F46*POWER(10,-3)</f>
        <v>8054.3176200000007</v>
      </c>
    </row>
    <row r="49" spans="1:2" x14ac:dyDescent="0.25">
      <c r="A49" s="2" t="s">
        <v>134</v>
      </c>
      <c r="B49">
        <f>$F$43*'расчетКол-ваЖит'!P29*POWER(10,-3)</f>
        <v>13258.136</v>
      </c>
    </row>
    <row r="50" spans="1:2" x14ac:dyDescent="0.25">
      <c r="A50" s="2" t="s">
        <v>135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M28"/>
  <sheetViews>
    <sheetView topLeftCell="A13" workbookViewId="0">
      <selection activeCell="M25" sqref="M25"/>
    </sheetView>
  </sheetViews>
  <sheetFormatPr defaultRowHeight="15" x14ac:dyDescent="0.25"/>
  <cols>
    <col min="2" max="2" width="21.42578125" customWidth="1"/>
    <col min="3" max="3" width="10.5703125" customWidth="1"/>
    <col min="13" max="13" width="12" bestFit="1" customWidth="1"/>
  </cols>
  <sheetData>
    <row r="1" spans="1:10" ht="42.75" customHeight="1" x14ac:dyDescent="0.25">
      <c r="A1" s="85" t="s">
        <v>42</v>
      </c>
      <c r="B1" s="85" t="s">
        <v>43</v>
      </c>
      <c r="C1" s="85" t="s">
        <v>44</v>
      </c>
      <c r="D1" s="85" t="s">
        <v>45</v>
      </c>
      <c r="E1" s="85" t="s">
        <v>46</v>
      </c>
      <c r="F1" s="87" t="s">
        <v>47</v>
      </c>
      <c r="G1" s="88"/>
      <c r="H1" s="85" t="s">
        <v>50</v>
      </c>
      <c r="I1" s="85" t="s">
        <v>51</v>
      </c>
      <c r="J1" s="85" t="s">
        <v>52</v>
      </c>
    </row>
    <row r="2" spans="1:10" ht="96.75" customHeight="1" x14ac:dyDescent="0.25">
      <c r="A2" s="86"/>
      <c r="B2" s="86"/>
      <c r="C2" s="86"/>
      <c r="D2" s="86"/>
      <c r="E2" s="86"/>
      <c r="F2" s="29" t="s">
        <v>48</v>
      </c>
      <c r="G2" s="29" t="s">
        <v>49</v>
      </c>
      <c r="H2" s="86"/>
      <c r="I2" s="86"/>
      <c r="J2" s="86"/>
    </row>
    <row r="3" spans="1:10" ht="15.75" customHeight="1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25">
      <c r="A4" s="79" t="s">
        <v>90</v>
      </c>
      <c r="B4" s="80"/>
      <c r="C4" s="80"/>
      <c r="D4" s="80"/>
      <c r="E4" s="80"/>
      <c r="F4" s="80"/>
      <c r="G4" s="80"/>
      <c r="H4" s="80"/>
      <c r="I4" s="80"/>
      <c r="J4" s="81"/>
    </row>
    <row r="5" spans="1:10" ht="33" customHeight="1" x14ac:dyDescent="0.25">
      <c r="A5" s="30">
        <v>1</v>
      </c>
      <c r="B5" s="40" t="s">
        <v>84</v>
      </c>
      <c r="C5" s="40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25">
      <c r="A6" s="30">
        <v>2</v>
      </c>
      <c r="B6" s="40" t="s">
        <v>85</v>
      </c>
      <c r="C6" s="40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25">
      <c r="A7" s="30">
        <v>3</v>
      </c>
      <c r="B7" s="40" t="s">
        <v>86</v>
      </c>
      <c r="C7" s="40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25">
      <c r="A8" s="30">
        <v>4</v>
      </c>
      <c r="B8" s="40" t="s">
        <v>87</v>
      </c>
      <c r="C8" s="91" t="str">
        <f>РасхСосредоточПотреб!C6&amp;"+"&amp;РасхСосредоточПотреб!C7</f>
        <v>376.27+229.06</v>
      </c>
      <c r="D8" s="92"/>
      <c r="E8" s="92"/>
      <c r="F8" s="92"/>
      <c r="G8" s="92"/>
      <c r="H8" s="92"/>
      <c r="I8" s="93"/>
      <c r="J8" s="30">
        <f>РасхСосредоточПотреб!B6+РасхСосредоточПотреб!B7</f>
        <v>605.33020079843004</v>
      </c>
    </row>
    <row r="9" spans="1:10" ht="15.75" customHeight="1" thickBot="1" x14ac:dyDescent="0.3">
      <c r="A9" s="89" t="s">
        <v>108</v>
      </c>
      <c r="B9" s="89"/>
      <c r="C9" s="89"/>
      <c r="D9" s="89"/>
      <c r="E9" s="89"/>
      <c r="F9" s="89"/>
      <c r="G9" s="89"/>
      <c r="H9" s="90"/>
      <c r="I9" s="41" t="s">
        <v>58</v>
      </c>
      <c r="J9" s="28">
        <f>SUM(J5:J8)</f>
        <v>870.57060066538452</v>
      </c>
    </row>
    <row r="10" spans="1:10" ht="15.75" customHeight="1" x14ac:dyDescent="0.25">
      <c r="A10" s="94" t="s">
        <v>91</v>
      </c>
      <c r="B10" s="95"/>
      <c r="C10" s="95"/>
      <c r="D10" s="95"/>
      <c r="E10" s="95"/>
      <c r="F10" s="95"/>
      <c r="G10" s="95"/>
      <c r="H10" s="95"/>
      <c r="I10" s="95"/>
      <c r="J10" s="96"/>
    </row>
    <row r="11" spans="1:10" ht="30" x14ac:dyDescent="0.25">
      <c r="A11" s="30">
        <v>1</v>
      </c>
      <c r="B11" s="40" t="s">
        <v>92</v>
      </c>
      <c r="C11" s="97" t="s">
        <v>95</v>
      </c>
      <c r="D11" s="93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5" x14ac:dyDescent="0.25">
      <c r="A12" s="30">
        <v>2</v>
      </c>
      <c r="B12" s="40" t="s">
        <v>93</v>
      </c>
      <c r="C12" s="97" t="s">
        <v>95</v>
      </c>
      <c r="D12" s="93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5" x14ac:dyDescent="0.25">
      <c r="A13" s="30">
        <v>3</v>
      </c>
      <c r="B13" s="40" t="s">
        <v>94</v>
      </c>
      <c r="C13" s="97" t="s">
        <v>95</v>
      </c>
      <c r="D13" s="93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.75" thickBot="1" x14ac:dyDescent="0.3">
      <c r="A14" s="89" t="s">
        <v>107</v>
      </c>
      <c r="B14" s="89"/>
      <c r="C14" s="89"/>
      <c r="D14" s="89"/>
      <c r="E14" s="89"/>
      <c r="F14" s="89"/>
      <c r="G14" s="89"/>
      <c r="H14" s="90"/>
      <c r="I14" s="42" t="s">
        <v>58</v>
      </c>
      <c r="J14" s="36">
        <f>SUM(J11:J13)</f>
        <v>495.78111342960517</v>
      </c>
    </row>
    <row r="15" spans="1:10" x14ac:dyDescent="0.25">
      <c r="A15" s="79" t="s">
        <v>100</v>
      </c>
      <c r="B15" s="80"/>
      <c r="C15" s="80"/>
      <c r="D15" s="80"/>
      <c r="E15" s="80"/>
      <c r="F15" s="80"/>
      <c r="G15" s="80"/>
      <c r="H15" s="80"/>
      <c r="I15" s="80"/>
      <c r="J15" s="81"/>
    </row>
    <row r="16" spans="1:10" ht="30" x14ac:dyDescent="0.25">
      <c r="A16" s="30">
        <v>1</v>
      </c>
      <c r="B16" s="40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3" ht="30" x14ac:dyDescent="0.25">
      <c r="A17" s="30">
        <v>2</v>
      </c>
      <c r="B17" s="40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3" ht="75" x14ac:dyDescent="0.25">
      <c r="A18" s="30">
        <v>3</v>
      </c>
      <c r="B18" s="40" t="s">
        <v>103</v>
      </c>
      <c r="C18" s="40" t="s">
        <v>89</v>
      </c>
      <c r="D18" s="30">
        <v>50</v>
      </c>
      <c r="E18" s="30">
        <f>РасхСосредоточПотреб!B23</f>
        <v>8410</v>
      </c>
      <c r="F18" s="30">
        <v>18000000</v>
      </c>
      <c r="G18" s="30">
        <f>F18/gazProperties!$B$15</f>
        <v>499.69539401606437</v>
      </c>
      <c r="H18" s="30">
        <f>E18*G18</f>
        <v>4202438.2636751011</v>
      </c>
      <c r="I18" s="30">
        <f>1/2900</f>
        <v>3.4482758620689653E-4</v>
      </c>
      <c r="J18" s="30">
        <f t="shared" si="6"/>
        <v>1449.1166426465866</v>
      </c>
    </row>
    <row r="19" spans="1:13" ht="15.75" thickBot="1" x14ac:dyDescent="0.3">
      <c r="A19" s="89" t="s">
        <v>106</v>
      </c>
      <c r="B19" s="89"/>
      <c r="C19" s="89"/>
      <c r="D19" s="89"/>
      <c r="E19" s="89"/>
      <c r="F19" s="89"/>
      <c r="G19" s="89"/>
      <c r="H19" s="90"/>
      <c r="I19" s="41" t="s">
        <v>58</v>
      </c>
      <c r="J19" s="28">
        <f>SUM(J16:J18)</f>
        <v>1640.4659252389988</v>
      </c>
    </row>
    <row r="20" spans="1:13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3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3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M22">
        <f>J19+J14+J9</f>
        <v>3006.8176393339886</v>
      </c>
    </row>
    <row r="23" spans="1:13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3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M24">
        <f>M22+РасхСосредоточПотреб!B50+РасхСосредоточПотреб!B45</f>
        <v>27924.115150059744</v>
      </c>
    </row>
    <row r="25" spans="1:13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3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3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3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</sheetData>
  <mergeCells count="19">
    <mergeCell ref="A15:J15"/>
    <mergeCell ref="A14:H14"/>
    <mergeCell ref="A19:H19"/>
    <mergeCell ref="C8:I8"/>
    <mergeCell ref="A9:H9"/>
    <mergeCell ref="A10:J10"/>
    <mergeCell ref="C11:D11"/>
    <mergeCell ref="C12:D12"/>
    <mergeCell ref="C13:D13"/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7C0-5E57-457A-81B6-0468CB5DE98C}">
  <dimension ref="A1:K22"/>
  <sheetViews>
    <sheetView workbookViewId="0">
      <selection activeCell="B19" sqref="B19"/>
    </sheetView>
  </sheetViews>
  <sheetFormatPr defaultRowHeight="15" x14ac:dyDescent="0.25"/>
  <cols>
    <col min="1" max="1" width="9.140625" customWidth="1"/>
    <col min="2" max="2" width="16.7109375" customWidth="1"/>
    <col min="3" max="3" width="13" customWidth="1"/>
    <col min="4" max="4" width="20.28515625" customWidth="1"/>
    <col min="5" max="5" width="11.85546875" customWidth="1"/>
    <col min="9" max="9" width="12" bestFit="1" customWidth="1"/>
    <col min="10" max="10" width="11" bestFit="1" customWidth="1"/>
    <col min="11" max="11" width="12" bestFit="1" customWidth="1"/>
  </cols>
  <sheetData>
    <row r="1" spans="1:11" ht="60.75" customHeight="1" x14ac:dyDescent="0.25">
      <c r="A1" s="44" t="s">
        <v>125</v>
      </c>
      <c r="B1" s="49" t="s">
        <v>121</v>
      </c>
      <c r="C1" s="49" t="s">
        <v>122</v>
      </c>
      <c r="D1" s="49" t="s">
        <v>124</v>
      </c>
      <c r="E1" s="50" t="s">
        <v>123</v>
      </c>
      <c r="I1" s="54" t="s">
        <v>137</v>
      </c>
      <c r="J1" s="43"/>
      <c r="K1" s="55" t="s">
        <v>138</v>
      </c>
    </row>
    <row r="2" spans="1:11" ht="15.75" thickBot="1" x14ac:dyDescent="0.3">
      <c r="A2" s="46">
        <v>1</v>
      </c>
      <c r="B2" s="45">
        <v>2</v>
      </c>
      <c r="C2" s="47">
        <v>3</v>
      </c>
      <c r="D2" s="45">
        <v>4</v>
      </c>
      <c r="E2" s="48">
        <v>5</v>
      </c>
      <c r="I2" s="53"/>
      <c r="J2" s="43"/>
      <c r="K2" s="56"/>
    </row>
    <row r="3" spans="1:11" x14ac:dyDescent="0.25">
      <c r="A3" s="5">
        <v>1</v>
      </c>
      <c r="B3" s="5" t="s">
        <v>126</v>
      </c>
      <c r="C3" s="5">
        <f>расходГазаПотребителями!J9</f>
        <v>1834.8767615750357</v>
      </c>
      <c r="D3" s="5">
        <v>0.8</v>
      </c>
      <c r="E3" s="74">
        <f>C3*D3</f>
        <v>1467.9014092600287</v>
      </c>
      <c r="I3" s="54">
        <f>C3</f>
        <v>1834.8767615750357</v>
      </c>
      <c r="K3" s="55"/>
    </row>
    <row r="4" spans="1:11" x14ac:dyDescent="0.25">
      <c r="A4" s="4">
        <v>2</v>
      </c>
      <c r="B4" s="5" t="s">
        <v>127</v>
      </c>
      <c r="C4" s="4">
        <f>расходГазаПотребителями!J15</f>
        <v>1381.5644407283489</v>
      </c>
      <c r="D4" s="4">
        <v>0.8</v>
      </c>
      <c r="E4" s="74">
        <f t="shared" ref="E4:E9" si="0">C4*D4</f>
        <v>1105.2515525826791</v>
      </c>
      <c r="I4" s="57"/>
      <c r="K4" s="58">
        <f>C4</f>
        <v>1381.5644407283489</v>
      </c>
    </row>
    <row r="5" spans="1:11" x14ac:dyDescent="0.25">
      <c r="A5" s="5">
        <v>3</v>
      </c>
      <c r="B5" s="4" t="s">
        <v>128</v>
      </c>
      <c r="C5" s="4">
        <f>РасчРасхСосредоточПотр!J9</f>
        <v>870.57060066538452</v>
      </c>
      <c r="D5" s="4">
        <v>0.85</v>
      </c>
      <c r="E5" s="74">
        <f t="shared" si="0"/>
        <v>739.98501056557677</v>
      </c>
      <c r="I5" s="57"/>
      <c r="K5" s="58">
        <f>C5</f>
        <v>870.57060066538452</v>
      </c>
    </row>
    <row r="6" spans="1:11" x14ac:dyDescent="0.25">
      <c r="A6" s="4">
        <v>4</v>
      </c>
      <c r="B6" s="4" t="s">
        <v>129</v>
      </c>
      <c r="C6" s="4">
        <f>РасчРасхСосредоточПотр!J14</f>
        <v>495.78111342960517</v>
      </c>
      <c r="D6" s="4">
        <v>0.7</v>
      </c>
      <c r="E6" s="74">
        <f t="shared" si="0"/>
        <v>347.04677940072361</v>
      </c>
      <c r="I6" s="57">
        <f>C6</f>
        <v>495.78111342960517</v>
      </c>
      <c r="K6" s="58"/>
    </row>
    <row r="7" spans="1:11" x14ac:dyDescent="0.25">
      <c r="A7" s="5">
        <v>5</v>
      </c>
      <c r="B7" s="4" t="s">
        <v>130</v>
      </c>
      <c r="C7" s="4">
        <f>РасчРасхСосредоточПотр!J19</f>
        <v>1640.4659252389988</v>
      </c>
      <c r="D7" s="4">
        <v>0.6</v>
      </c>
      <c r="E7" s="74">
        <f t="shared" si="0"/>
        <v>984.27955514339919</v>
      </c>
      <c r="I7" s="57"/>
      <c r="K7" s="58">
        <f>C7</f>
        <v>1640.4659252389988</v>
      </c>
    </row>
    <row r="8" spans="1:11" x14ac:dyDescent="0.25">
      <c r="A8" s="4">
        <v>6</v>
      </c>
      <c r="B8" s="4" t="s">
        <v>131</v>
      </c>
      <c r="C8" s="4">
        <f>РасхСосредоточПотреб!B45</f>
        <v>13870.060832084442</v>
      </c>
      <c r="D8" s="4">
        <v>0.75</v>
      </c>
      <c r="E8" s="74">
        <f t="shared" si="0"/>
        <v>10402.545624063332</v>
      </c>
      <c r="I8" s="57">
        <f>C8</f>
        <v>13870.060832084442</v>
      </c>
      <c r="K8" s="58"/>
    </row>
    <row r="9" spans="1:11" ht="17.25" customHeight="1" x14ac:dyDescent="0.25">
      <c r="A9" s="5">
        <v>7</v>
      </c>
      <c r="B9" s="4" t="s">
        <v>132</v>
      </c>
      <c r="C9" s="4">
        <f>РасхСосредоточПотреб!B50</f>
        <v>11047.236678641313</v>
      </c>
      <c r="D9" s="4">
        <v>0.75</v>
      </c>
      <c r="E9" s="74">
        <f t="shared" si="0"/>
        <v>8285.4275089809853</v>
      </c>
      <c r="I9" s="57"/>
      <c r="K9" s="58">
        <f>C9</f>
        <v>11047.236678641313</v>
      </c>
    </row>
    <row r="10" spans="1:11" ht="15.75" thickBot="1" x14ac:dyDescent="0.3">
      <c r="A10" s="98" t="s">
        <v>136</v>
      </c>
      <c r="B10" s="99"/>
      <c r="C10" s="4">
        <f>SUM(C3:C9)</f>
        <v>31140.556352363128</v>
      </c>
      <c r="D10" s="4"/>
      <c r="E10" s="68">
        <f>SUM(E3:E9)</f>
        <v>23332.437439996724</v>
      </c>
      <c r="I10" s="57"/>
      <c r="K10" s="58"/>
    </row>
    <row r="11" spans="1:11" ht="15.75" thickBot="1" x14ac:dyDescent="0.3">
      <c r="A11" s="4"/>
      <c r="B11" s="4"/>
      <c r="C11" s="4"/>
      <c r="D11" s="4"/>
      <c r="E11" s="4"/>
      <c r="I11" s="51">
        <f>SUM(I2:I8)</f>
        <v>16200.718707089083</v>
      </c>
      <c r="K11" s="52">
        <f>SUM(K2:K10)</f>
        <v>14939.837645274045</v>
      </c>
    </row>
    <row r="15" spans="1:11" x14ac:dyDescent="0.25">
      <c r="A15" t="s">
        <v>139</v>
      </c>
      <c r="E15" t="s">
        <v>143</v>
      </c>
      <c r="F15">
        <v>0.6</v>
      </c>
      <c r="H15" t="s">
        <v>145</v>
      </c>
    </row>
    <row r="16" spans="1:11" x14ac:dyDescent="0.25">
      <c r="A16" t="s">
        <v>140</v>
      </c>
      <c r="B16">
        <f>0.59*SUM(E10)</f>
        <v>13766.138089598066</v>
      </c>
      <c r="E16" t="s">
        <v>144</v>
      </c>
      <c r="F16">
        <v>0.25</v>
      </c>
      <c r="H16" t="s">
        <v>146</v>
      </c>
      <c r="I16">
        <v>11936</v>
      </c>
      <c r="J16" t="s">
        <v>149</v>
      </c>
    </row>
    <row r="17" spans="1:3" x14ac:dyDescent="0.25">
      <c r="A17" t="s">
        <v>141</v>
      </c>
    </row>
    <row r="18" spans="1:3" x14ac:dyDescent="0.25">
      <c r="A18" t="s">
        <v>142</v>
      </c>
      <c r="B18">
        <f>(POWER(F15,2)+POWER(F16,2))/(1.1*I16/1000)</f>
        <v>3.2179198147696805E-2</v>
      </c>
      <c r="C18" t="s">
        <v>147</v>
      </c>
    </row>
    <row r="19" spans="1:3" x14ac:dyDescent="0.25">
      <c r="B19">
        <f>B18*1000</f>
        <v>32.179198147696802</v>
      </c>
      <c r="C19" t="s">
        <v>148</v>
      </c>
    </row>
    <row r="22" spans="1:3" x14ac:dyDescent="0.25">
      <c r="B22">
        <v>273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6797-C0EB-4566-9FAB-3CEBA037D098}">
  <dimension ref="A1:M46"/>
  <sheetViews>
    <sheetView topLeftCell="A19" workbookViewId="0">
      <selection activeCell="E50" sqref="E50"/>
    </sheetView>
  </sheetViews>
  <sheetFormatPr defaultRowHeight="15" x14ac:dyDescent="0.25"/>
  <cols>
    <col min="8" max="8" width="9.85546875" bestFit="1" customWidth="1"/>
    <col min="10" max="10" width="9.85546875" bestFit="1" customWidth="1"/>
  </cols>
  <sheetData>
    <row r="1" spans="1:13" ht="43.5" customHeight="1" x14ac:dyDescent="0.25">
      <c r="A1" s="102" t="s">
        <v>150</v>
      </c>
      <c r="B1" s="100" t="s">
        <v>169</v>
      </c>
      <c r="C1" s="101"/>
      <c r="D1" s="102" t="s">
        <v>152</v>
      </c>
      <c r="E1" s="102" t="s">
        <v>153</v>
      </c>
      <c r="F1" s="102" t="s">
        <v>154</v>
      </c>
      <c r="G1" s="102" t="s">
        <v>155</v>
      </c>
      <c r="H1" s="102" t="s">
        <v>156</v>
      </c>
      <c r="I1" s="100" t="s">
        <v>159</v>
      </c>
      <c r="J1" s="101"/>
    </row>
    <row r="2" spans="1:13" ht="95.25" customHeight="1" x14ac:dyDescent="0.25">
      <c r="A2" s="103"/>
      <c r="B2" s="59" t="s">
        <v>170</v>
      </c>
      <c r="C2" s="59" t="s">
        <v>151</v>
      </c>
      <c r="D2" s="103"/>
      <c r="E2" s="103"/>
      <c r="F2" s="103"/>
      <c r="G2" s="103"/>
      <c r="H2" s="103"/>
      <c r="I2" s="59" t="s">
        <v>157</v>
      </c>
      <c r="J2" s="59" t="s">
        <v>158</v>
      </c>
    </row>
    <row r="3" spans="1:13" ht="17.25" customHeight="1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</row>
    <row r="4" spans="1:13" x14ac:dyDescent="0.25">
      <c r="A4" s="82" t="s">
        <v>160</v>
      </c>
      <c r="B4" s="83"/>
      <c r="C4" s="83"/>
      <c r="D4" s="83"/>
      <c r="E4" s="83"/>
      <c r="F4" s="83"/>
      <c r="G4" s="83"/>
      <c r="H4" s="83"/>
      <c r="I4" s="83"/>
      <c r="J4" s="84"/>
    </row>
    <row r="5" spans="1:13" x14ac:dyDescent="0.25">
      <c r="A5" s="4" t="s">
        <v>161</v>
      </c>
      <c r="B5" s="4">
        <v>0.5</v>
      </c>
      <c r="C5" s="4">
        <f>1.1*B5</f>
        <v>0.55000000000000004</v>
      </c>
      <c r="D5" s="4">
        <v>23334.09</v>
      </c>
      <c r="E5" s="4" t="s">
        <v>190</v>
      </c>
      <c r="F5" s="4">
        <v>3.5000000000000003E-2</v>
      </c>
      <c r="G5" s="4">
        <v>3.5999999999999997E-2</v>
      </c>
      <c r="H5" s="72">
        <f>C5*G5</f>
        <v>1.9800000000000002E-2</v>
      </c>
      <c r="I5" s="72">
        <v>0.6</v>
      </c>
      <c r="J5" s="73">
        <f>I5-H5</f>
        <v>0.58019999999999994</v>
      </c>
      <c r="M5">
        <f>D5*gazProperties!$B$13/0.73</f>
        <v>23442.041988604407</v>
      </c>
    </row>
    <row r="6" spans="1:13" x14ac:dyDescent="0.25">
      <c r="A6" s="60" t="s">
        <v>173</v>
      </c>
      <c r="B6" s="4">
        <v>0.95099999999999996</v>
      </c>
      <c r="C6" s="4">
        <f t="shared" ref="C6:C13" si="0">1.1*B6</f>
        <v>1.0461</v>
      </c>
      <c r="D6" s="4">
        <v>23334.09</v>
      </c>
      <c r="E6" s="4" t="s">
        <v>190</v>
      </c>
      <c r="F6" s="4">
        <v>3.5000000000000003E-2</v>
      </c>
      <c r="G6" s="4">
        <v>3.5999999999999997E-2</v>
      </c>
      <c r="H6" s="72">
        <f t="shared" ref="H6:H10" si="1">C6*G6</f>
        <v>3.7659600000000001E-2</v>
      </c>
      <c r="I6" s="72">
        <f>J5</f>
        <v>0.58019999999999994</v>
      </c>
      <c r="J6" s="73">
        <f t="shared" ref="J6:J10" si="2">I6-H6</f>
        <v>0.54254039999999992</v>
      </c>
      <c r="M6">
        <f>D6*gazProperties!$B$13/0.73</f>
        <v>23442.041988604407</v>
      </c>
    </row>
    <row r="7" spans="1:13" x14ac:dyDescent="0.25">
      <c r="A7" s="61" t="s">
        <v>174</v>
      </c>
      <c r="B7" s="4">
        <v>0.67200000000000004</v>
      </c>
      <c r="C7" s="4">
        <f t="shared" si="0"/>
        <v>0.73920000000000008</v>
      </c>
      <c r="D7" s="4">
        <v>22228.84</v>
      </c>
      <c r="E7" s="4" t="s">
        <v>190</v>
      </c>
      <c r="F7" s="4">
        <v>3.4000000000000002E-2</v>
      </c>
      <c r="G7" s="4">
        <v>3.5000000000000003E-2</v>
      </c>
      <c r="H7" s="72">
        <f t="shared" si="1"/>
        <v>2.5872000000000006E-2</v>
      </c>
      <c r="I7" s="72">
        <f t="shared" ref="I7:I13" si="3">J6</f>
        <v>0.54254039999999992</v>
      </c>
      <c r="J7" s="73">
        <f t="shared" si="2"/>
        <v>0.51666839999999992</v>
      </c>
      <c r="M7">
        <f>D7*gazProperties!$B$13/0.73</f>
        <v>22331.678700046548</v>
      </c>
    </row>
    <row r="8" spans="1:13" x14ac:dyDescent="0.25">
      <c r="A8" s="60" t="s">
        <v>175</v>
      </c>
      <c r="B8" s="4">
        <v>1.224</v>
      </c>
      <c r="C8" s="4">
        <f t="shared" si="0"/>
        <v>1.3464</v>
      </c>
      <c r="D8" s="4">
        <v>21242.91</v>
      </c>
      <c r="E8" s="4" t="s">
        <v>190</v>
      </c>
      <c r="F8" s="4">
        <v>3.3000000000000002E-2</v>
      </c>
      <c r="G8" s="4">
        <v>3.4000000000000002E-2</v>
      </c>
      <c r="H8" s="72">
        <f t="shared" si="1"/>
        <v>4.5777600000000002E-2</v>
      </c>
      <c r="I8" s="72">
        <f t="shared" si="3"/>
        <v>0.51666839999999992</v>
      </c>
      <c r="J8" s="73">
        <f t="shared" si="2"/>
        <v>0.47089079999999994</v>
      </c>
      <c r="M8">
        <f>D8*gazProperties!$B$13/0.73</f>
        <v>21341.187429213842</v>
      </c>
    </row>
    <row r="9" spans="1:13" x14ac:dyDescent="0.25">
      <c r="A9" s="61" t="s">
        <v>176</v>
      </c>
      <c r="B9" s="4">
        <v>1.42</v>
      </c>
      <c r="C9" s="4">
        <f t="shared" si="0"/>
        <v>1.5620000000000001</v>
      </c>
      <c r="D9" s="4">
        <v>20502.919999999998</v>
      </c>
      <c r="E9" s="4" t="s">
        <v>190</v>
      </c>
      <c r="F9" s="4">
        <v>3.2000000000000001E-2</v>
      </c>
      <c r="G9" s="4">
        <v>3.3000000000000002E-2</v>
      </c>
      <c r="H9" s="72">
        <f t="shared" si="1"/>
        <v>5.1546000000000002E-2</v>
      </c>
      <c r="I9" s="72">
        <f t="shared" si="3"/>
        <v>0.47089079999999994</v>
      </c>
      <c r="J9" s="73">
        <f t="shared" si="2"/>
        <v>0.41934479999999996</v>
      </c>
      <c r="M9">
        <f>D9*gazProperties!$B$13/0.73</f>
        <v>20597.773966286964</v>
      </c>
    </row>
    <row r="10" spans="1:13" x14ac:dyDescent="0.25">
      <c r="A10" s="60" t="s">
        <v>177</v>
      </c>
      <c r="B10" s="4">
        <v>1.379</v>
      </c>
      <c r="C10" s="4">
        <f t="shared" si="0"/>
        <v>1.5169000000000001</v>
      </c>
      <c r="D10" s="4">
        <v>12217.49</v>
      </c>
      <c r="E10" s="4" t="s">
        <v>190</v>
      </c>
      <c r="F10" s="4">
        <v>8.5000000000000006E-3</v>
      </c>
      <c r="G10" s="4">
        <v>8.6E-3</v>
      </c>
      <c r="H10" s="72">
        <f t="shared" si="1"/>
        <v>1.3045340000000001E-2</v>
      </c>
      <c r="I10" s="72">
        <f t="shared" si="3"/>
        <v>0.41934479999999996</v>
      </c>
      <c r="J10" s="73">
        <f t="shared" si="2"/>
        <v>0.40629945999999995</v>
      </c>
      <c r="M10">
        <f>D10*gazProperties!$B$13/0.73</f>
        <v>12274.01255310811</v>
      </c>
    </row>
    <row r="11" spans="1:13" x14ac:dyDescent="0.25">
      <c r="A11" s="60" t="s">
        <v>178</v>
      </c>
      <c r="B11" s="4">
        <v>2.0470000000000002</v>
      </c>
      <c r="C11" s="4">
        <f t="shared" si="0"/>
        <v>2.2517000000000005</v>
      </c>
      <c r="D11" s="4">
        <v>1814.95</v>
      </c>
      <c r="E11" s="4" t="s">
        <v>190</v>
      </c>
      <c r="F11" s="4">
        <v>2.4000000000000001E-4</v>
      </c>
      <c r="G11" s="4">
        <v>2.41E-4</v>
      </c>
      <c r="H11" s="72">
        <f t="shared" ref="H11:H13" si="4">C11*G11</f>
        <v>5.4265970000000015E-4</v>
      </c>
      <c r="I11" s="72">
        <f t="shared" si="3"/>
        <v>0.40629945999999995</v>
      </c>
      <c r="J11" s="73">
        <f t="shared" ref="J11:J13" si="5">I11-H11</f>
        <v>0.40575680029999994</v>
      </c>
      <c r="M11">
        <f>D11*gazProperties!$B$13/0.73</f>
        <v>1823.3466189261105</v>
      </c>
    </row>
    <row r="12" spans="1:13" x14ac:dyDescent="0.25">
      <c r="A12" s="60" t="s">
        <v>179</v>
      </c>
      <c r="B12" s="4">
        <v>1.3109999999999999</v>
      </c>
      <c r="C12" s="4">
        <f t="shared" si="0"/>
        <v>1.4421000000000002</v>
      </c>
      <c r="D12" s="4">
        <v>1467.9</v>
      </c>
      <c r="E12" s="4" t="s">
        <v>190</v>
      </c>
      <c r="F12" s="4">
        <v>2.2000000000000001E-4</v>
      </c>
      <c r="G12" s="4">
        <v>2.2599999999999999E-4</v>
      </c>
      <c r="H12" s="72">
        <v>2.4000000000000001E-4</v>
      </c>
      <c r="I12" s="72">
        <f t="shared" si="3"/>
        <v>0.40575680029999994</v>
      </c>
      <c r="J12" s="73">
        <f t="shared" si="5"/>
        <v>0.40551680029999992</v>
      </c>
      <c r="M12">
        <f>D12*gazProperties!$B$13/0.73</f>
        <v>1474.6910393793978</v>
      </c>
    </row>
    <row r="13" spans="1:13" x14ac:dyDescent="0.25">
      <c r="A13" s="60" t="s">
        <v>180</v>
      </c>
      <c r="B13" s="4">
        <v>1.032</v>
      </c>
      <c r="C13" s="4">
        <f t="shared" si="0"/>
        <v>1.1352000000000002</v>
      </c>
      <c r="D13" s="4">
        <v>1467.9</v>
      </c>
      <c r="E13" s="4" t="s">
        <v>191</v>
      </c>
      <c r="F13" s="4">
        <v>4.2000000000000003E-2</v>
      </c>
      <c r="G13" s="4">
        <v>4.2999999999999997E-2</v>
      </c>
      <c r="H13" s="72">
        <f t="shared" si="4"/>
        <v>4.8813600000000006E-2</v>
      </c>
      <c r="I13" s="72">
        <f t="shared" si="3"/>
        <v>0.40551680029999992</v>
      </c>
      <c r="J13" s="73">
        <f t="shared" si="5"/>
        <v>0.35670320029999991</v>
      </c>
      <c r="M13">
        <f>D13*gazProperties!$B$13/0.73</f>
        <v>1474.6910393793978</v>
      </c>
    </row>
    <row r="14" spans="1:13" x14ac:dyDescent="0.25">
      <c r="A14" s="82" t="s">
        <v>171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3" x14ac:dyDescent="0.25">
      <c r="A15" s="4" t="s">
        <v>161</v>
      </c>
      <c r="B15" s="4">
        <v>0.5</v>
      </c>
      <c r="C15" s="4">
        <f>1.1*B15</f>
        <v>0.55000000000000004</v>
      </c>
      <c r="D15" s="4">
        <v>23334.09</v>
      </c>
      <c r="E15" s="4" t="s">
        <v>190</v>
      </c>
      <c r="F15" s="4">
        <v>3.5000000000000003E-2</v>
      </c>
      <c r="G15" s="4">
        <v>3.5999999999999997E-2</v>
      </c>
      <c r="H15" s="72">
        <f>C15*G15</f>
        <v>1.9800000000000002E-2</v>
      </c>
      <c r="I15" s="73">
        <v>0.6</v>
      </c>
      <c r="J15" s="73">
        <f>I15-H15</f>
        <v>0.58019999999999994</v>
      </c>
      <c r="M15">
        <f>D15*gazProperties!$B$13/0.73</f>
        <v>23442.041988604407</v>
      </c>
    </row>
    <row r="16" spans="1:13" x14ac:dyDescent="0.25">
      <c r="A16" s="60" t="s">
        <v>162</v>
      </c>
      <c r="B16" s="4">
        <v>1.08</v>
      </c>
      <c r="C16" s="4">
        <f t="shared" ref="C16:C23" si="6">1.1*B16</f>
        <v>1.1880000000000002</v>
      </c>
      <c r="D16" s="4">
        <v>23334.09</v>
      </c>
      <c r="E16" s="4" t="s">
        <v>190</v>
      </c>
      <c r="F16" s="4">
        <v>3.5000000000000003E-2</v>
      </c>
      <c r="G16" s="4">
        <v>3.5999999999999997E-2</v>
      </c>
      <c r="H16" s="72">
        <f t="shared" ref="H16:H20" si="7">C16*G16</f>
        <v>4.2768E-2</v>
      </c>
      <c r="I16" s="73">
        <f>J15</f>
        <v>0.58019999999999994</v>
      </c>
      <c r="J16" s="73">
        <f t="shared" ref="J16:J20" si="8">I16-H16</f>
        <v>0.53743199999999991</v>
      </c>
      <c r="M16">
        <f>D16*gazProperties!$B$13/0.73</f>
        <v>23442.041988604407</v>
      </c>
    </row>
    <row r="17" spans="1:13" x14ac:dyDescent="0.25">
      <c r="A17" s="61" t="s">
        <v>163</v>
      </c>
      <c r="B17" s="4">
        <v>1.3109999999999999</v>
      </c>
      <c r="C17" s="4">
        <f t="shared" si="6"/>
        <v>1.4421000000000002</v>
      </c>
      <c r="D17" s="4">
        <v>21866.19</v>
      </c>
      <c r="E17" s="4" t="s">
        <v>190</v>
      </c>
      <c r="F17" s="4">
        <v>2.5999999999999999E-2</v>
      </c>
      <c r="G17" s="4">
        <v>2.7E-2</v>
      </c>
      <c r="H17" s="72">
        <f t="shared" si="7"/>
        <v>3.8936700000000005E-2</v>
      </c>
      <c r="I17" s="73">
        <f t="shared" ref="I17:I23" si="9">J16</f>
        <v>0.53743199999999991</v>
      </c>
      <c r="J17" s="73">
        <f t="shared" si="8"/>
        <v>0.49849529999999992</v>
      </c>
      <c r="M17">
        <f>D17*gazProperties!$B$13/0.73</f>
        <v>21967.350949225009</v>
      </c>
    </row>
    <row r="18" spans="1:13" x14ac:dyDescent="0.25">
      <c r="A18" s="60" t="s">
        <v>164</v>
      </c>
      <c r="B18" s="4">
        <v>2.0470000000000002</v>
      </c>
      <c r="C18" s="4">
        <f t="shared" si="6"/>
        <v>2.2517000000000005</v>
      </c>
      <c r="D18" s="4">
        <v>21519.14</v>
      </c>
      <c r="E18" s="4" t="s">
        <v>190</v>
      </c>
      <c r="F18" s="4">
        <v>2.5000000000000001E-2</v>
      </c>
      <c r="G18" s="4">
        <v>2.5999999999999999E-2</v>
      </c>
      <c r="H18" s="72">
        <f t="shared" si="7"/>
        <v>5.8544200000000012E-2</v>
      </c>
      <c r="I18" s="73">
        <f t="shared" si="9"/>
        <v>0.49849529999999992</v>
      </c>
      <c r="J18" s="73">
        <f t="shared" si="8"/>
        <v>0.43995109999999993</v>
      </c>
      <c r="M18">
        <f>D18*gazProperties!$B$13/0.73</f>
        <v>21618.695369678295</v>
      </c>
    </row>
    <row r="19" spans="1:13" x14ac:dyDescent="0.25">
      <c r="A19" s="61" t="s">
        <v>165</v>
      </c>
      <c r="B19" s="4">
        <v>1.379</v>
      </c>
      <c r="C19" s="4">
        <f t="shared" si="6"/>
        <v>1.5169000000000001</v>
      </c>
      <c r="D19" s="4">
        <v>11116.6</v>
      </c>
      <c r="E19" s="4" t="s">
        <v>190</v>
      </c>
      <c r="F19" s="4">
        <v>7.0000000000000001E-3</v>
      </c>
      <c r="G19" s="4">
        <v>7.1000000000000004E-3</v>
      </c>
      <c r="H19" s="72">
        <f t="shared" si="7"/>
        <v>1.0769990000000002E-2</v>
      </c>
      <c r="I19" s="73">
        <f t="shared" si="9"/>
        <v>0.43995109999999993</v>
      </c>
      <c r="J19" s="73">
        <f t="shared" si="8"/>
        <v>0.42918110999999992</v>
      </c>
      <c r="M19">
        <f>D19*gazProperties!$B$13/0.73</f>
        <v>11168.029435496295</v>
      </c>
    </row>
    <row r="20" spans="1:13" x14ac:dyDescent="0.25">
      <c r="A20" s="60" t="s">
        <v>166</v>
      </c>
      <c r="B20" s="4">
        <v>1.42</v>
      </c>
      <c r="C20" s="4">
        <f t="shared" si="6"/>
        <v>1.5620000000000001</v>
      </c>
      <c r="D20" s="4">
        <v>2831.17</v>
      </c>
      <c r="E20" s="4" t="s">
        <v>190</v>
      </c>
      <c r="F20" s="4">
        <v>4.8000000000000001E-4</v>
      </c>
      <c r="G20" s="4">
        <v>4.86E-4</v>
      </c>
      <c r="H20" s="72">
        <f t="shared" si="7"/>
        <v>7.5913200000000004E-4</v>
      </c>
      <c r="I20" s="73">
        <f t="shared" si="9"/>
        <v>0.42918110999999992</v>
      </c>
      <c r="J20" s="73">
        <f t="shared" si="8"/>
        <v>0.42842197799999993</v>
      </c>
      <c r="M20">
        <f>D20*gazProperties!$B$13/0.73</f>
        <v>2844.2680223174393</v>
      </c>
    </row>
    <row r="21" spans="1:13" x14ac:dyDescent="0.25">
      <c r="A21" s="60" t="s">
        <v>167</v>
      </c>
      <c r="B21" s="4">
        <v>1.224</v>
      </c>
      <c r="C21" s="4">
        <f t="shared" si="6"/>
        <v>1.3464</v>
      </c>
      <c r="D21" s="4">
        <v>2091.1799999999998</v>
      </c>
      <c r="E21" s="4" t="s">
        <v>190</v>
      </c>
      <c r="F21" s="4">
        <v>2.9E-4</v>
      </c>
      <c r="G21" s="4">
        <v>2.9399999999999999E-4</v>
      </c>
      <c r="H21" s="72">
        <f t="shared" ref="H21:H23" si="10">C21*G21</f>
        <v>3.9584160000000001E-4</v>
      </c>
      <c r="I21" s="73">
        <f t="shared" si="9"/>
        <v>0.42842197799999993</v>
      </c>
      <c r="J21" s="73">
        <f t="shared" ref="J21:J23" si="11">I21-H21</f>
        <v>0.42802613639999992</v>
      </c>
      <c r="M21">
        <f>D21*gazProperties!$B$13/0.73</f>
        <v>2100.8545593905637</v>
      </c>
    </row>
    <row r="22" spans="1:13" x14ac:dyDescent="0.25">
      <c r="A22" s="60" t="s">
        <v>168</v>
      </c>
      <c r="B22" s="4">
        <v>0.67200000000000004</v>
      </c>
      <c r="C22" s="4">
        <f t="shared" si="6"/>
        <v>0.73920000000000008</v>
      </c>
      <c r="D22" s="4">
        <v>1105.25</v>
      </c>
      <c r="E22" s="4" t="s">
        <v>190</v>
      </c>
      <c r="F22" s="4">
        <v>1.1E-4</v>
      </c>
      <c r="G22" s="4">
        <v>1.18E-4</v>
      </c>
      <c r="H22" s="72">
        <f t="shared" si="10"/>
        <v>8.7225600000000007E-5</v>
      </c>
      <c r="I22" s="73">
        <f t="shared" si="9"/>
        <v>0.42802613639999992</v>
      </c>
      <c r="J22" s="73">
        <f t="shared" si="11"/>
        <v>0.42793891079999991</v>
      </c>
      <c r="M22">
        <f>D22*gazProperties!$B$13/0.73</f>
        <v>1110.3632885578575</v>
      </c>
    </row>
    <row r="23" spans="1:13" x14ac:dyDescent="0.25">
      <c r="A23" s="60" t="s">
        <v>172</v>
      </c>
      <c r="B23" s="4">
        <v>0.56399999999999995</v>
      </c>
      <c r="C23" s="4">
        <f t="shared" si="6"/>
        <v>0.62039999999999995</v>
      </c>
      <c r="D23" s="4">
        <v>1105.25</v>
      </c>
      <c r="E23" s="4" t="s">
        <v>191</v>
      </c>
      <c r="F23" s="4">
        <v>2.1000000000000001E-2</v>
      </c>
      <c r="G23" s="4">
        <v>2.1999999999999999E-2</v>
      </c>
      <c r="H23" s="72">
        <f t="shared" si="10"/>
        <v>1.3648799999999997E-2</v>
      </c>
      <c r="I23" s="73">
        <f t="shared" si="9"/>
        <v>0.42793891079999991</v>
      </c>
      <c r="J23" s="73">
        <f t="shared" si="11"/>
        <v>0.41429011079999989</v>
      </c>
      <c r="M23">
        <f>D23*gazProperties!$B$13/0.73</f>
        <v>1110.3632885578575</v>
      </c>
    </row>
    <row r="24" spans="1:13" x14ac:dyDescent="0.25">
      <c r="A24" s="82" t="s">
        <v>183</v>
      </c>
      <c r="B24" s="83"/>
      <c r="C24" s="83"/>
      <c r="D24" s="83"/>
      <c r="E24" s="83"/>
      <c r="F24" s="83"/>
      <c r="G24" s="83"/>
      <c r="H24" s="83"/>
      <c r="I24" s="83"/>
      <c r="J24" s="84"/>
    </row>
    <row r="25" spans="1:13" x14ac:dyDescent="0.25">
      <c r="A25" s="82" t="s">
        <v>181</v>
      </c>
      <c r="B25" s="83"/>
      <c r="C25" s="83"/>
      <c r="D25" s="83"/>
      <c r="E25" s="83"/>
      <c r="F25" s="83"/>
      <c r="G25" s="83"/>
      <c r="H25" s="83"/>
      <c r="I25" s="83"/>
      <c r="J25" s="84"/>
    </row>
    <row r="26" spans="1:13" x14ac:dyDescent="0.25">
      <c r="A26" s="4" t="s">
        <v>161</v>
      </c>
      <c r="B26" s="4">
        <v>0.5</v>
      </c>
      <c r="C26" s="4">
        <f>1.1*B26</f>
        <v>0.55000000000000004</v>
      </c>
      <c r="D26" s="4">
        <v>31143.3</v>
      </c>
      <c r="E26" s="4" t="s">
        <v>190</v>
      </c>
      <c r="F26" s="4">
        <v>5.1999999999999998E-2</v>
      </c>
      <c r="G26" s="4">
        <v>5.2600000000000001E-2</v>
      </c>
      <c r="H26" s="72">
        <f>C26*G26</f>
        <v>2.8930000000000004E-2</v>
      </c>
      <c r="I26" s="73">
        <v>0.6</v>
      </c>
      <c r="J26" s="73">
        <f>I26-H26</f>
        <v>0.57106999999999997</v>
      </c>
      <c r="M26">
        <f>D26*gazProperties!$B$13/0.73</f>
        <v>31287.380234828255</v>
      </c>
    </row>
    <row r="27" spans="1:13" x14ac:dyDescent="0.25">
      <c r="A27" s="60" t="s">
        <v>162</v>
      </c>
      <c r="B27" s="4">
        <v>1.08</v>
      </c>
      <c r="C27" s="4">
        <f t="shared" ref="C27:C30" si="12">1.1*B27</f>
        <v>1.1880000000000002</v>
      </c>
      <c r="D27" s="4">
        <v>16200.71</v>
      </c>
      <c r="E27" s="4" t="s">
        <v>190</v>
      </c>
      <c r="F27" s="4">
        <v>1.6E-2</v>
      </c>
      <c r="G27" s="4">
        <v>1.67E-2</v>
      </c>
      <c r="H27" s="72">
        <f t="shared" ref="H27:H30" si="13">C27*G27</f>
        <v>1.9839600000000002E-2</v>
      </c>
      <c r="I27" s="73">
        <f>J26</f>
        <v>0.57106999999999997</v>
      </c>
      <c r="J27" s="73">
        <f t="shared" ref="J27:J30" si="14">I27-H27</f>
        <v>0.55123040000000001</v>
      </c>
      <c r="M27">
        <f>D27*gazProperties!$B$13/0.73</f>
        <v>16275.66037780789</v>
      </c>
    </row>
    <row r="28" spans="1:13" x14ac:dyDescent="0.25">
      <c r="A28" s="61" t="s">
        <v>163</v>
      </c>
      <c r="B28" s="4">
        <v>1.3109999999999999</v>
      </c>
      <c r="C28" s="4">
        <f t="shared" si="12"/>
        <v>1.4421000000000002</v>
      </c>
      <c r="D28" s="4">
        <v>14365.84</v>
      </c>
      <c r="E28" s="4" t="s">
        <v>190</v>
      </c>
      <c r="F28" s="4">
        <v>1.2999999999999999E-2</v>
      </c>
      <c r="G28" s="4">
        <v>0.02</v>
      </c>
      <c r="H28" s="72">
        <f t="shared" si="13"/>
        <v>2.8842000000000003E-2</v>
      </c>
      <c r="I28" s="73">
        <f t="shared" ref="I28:I30" si="15">J27</f>
        <v>0.55123040000000001</v>
      </c>
      <c r="J28" s="73">
        <f t="shared" si="14"/>
        <v>0.52238839999999997</v>
      </c>
      <c r="M28">
        <f>D28*gazProperties!$B$13/0.73</f>
        <v>14432.301601715462</v>
      </c>
    </row>
    <row r="29" spans="1:13" x14ac:dyDescent="0.25">
      <c r="A29" s="60" t="s">
        <v>164</v>
      </c>
      <c r="B29" s="4">
        <v>2.0470000000000002</v>
      </c>
      <c r="C29" s="4">
        <f t="shared" si="12"/>
        <v>2.2517000000000005</v>
      </c>
      <c r="D29" s="4">
        <v>13870.06</v>
      </c>
      <c r="E29" s="4" t="s">
        <v>190</v>
      </c>
      <c r="F29" s="4">
        <v>1.0999999999999999E-2</v>
      </c>
      <c r="G29" s="4">
        <v>1.2999999999999999E-2</v>
      </c>
      <c r="H29" s="72">
        <f t="shared" si="13"/>
        <v>2.9272100000000006E-2</v>
      </c>
      <c r="I29" s="73">
        <f t="shared" si="15"/>
        <v>0.52238839999999997</v>
      </c>
      <c r="J29" s="73">
        <f t="shared" si="14"/>
        <v>0.49311629999999995</v>
      </c>
      <c r="M29">
        <f>D29*gazProperties!$B$13/0.73</f>
        <v>13934.22794308509</v>
      </c>
    </row>
    <row r="30" spans="1:13" x14ac:dyDescent="0.25">
      <c r="A30" s="61" t="s">
        <v>182</v>
      </c>
      <c r="B30" s="4">
        <v>7.9000000000000001E-2</v>
      </c>
      <c r="C30" s="4">
        <f t="shared" si="12"/>
        <v>8.6900000000000005E-2</v>
      </c>
      <c r="D30" s="4">
        <v>13870.06</v>
      </c>
      <c r="E30" s="4" t="s">
        <v>191</v>
      </c>
      <c r="F30" s="4">
        <v>2.5999999999999999E-2</v>
      </c>
      <c r="G30" s="4">
        <v>2.7E-2</v>
      </c>
      <c r="H30" s="72">
        <f t="shared" si="13"/>
        <v>2.3462999999999999E-3</v>
      </c>
      <c r="I30" s="73">
        <f t="shared" si="15"/>
        <v>0.49311629999999995</v>
      </c>
      <c r="J30" s="73">
        <f t="shared" si="14"/>
        <v>0.49076999999999993</v>
      </c>
      <c r="M30">
        <f>D30*gazProperties!$B$13/0.73</f>
        <v>13934.22794308509</v>
      </c>
    </row>
    <row r="31" spans="1:13" x14ac:dyDescent="0.25">
      <c r="A31" s="82" t="s">
        <v>183</v>
      </c>
      <c r="B31" s="83"/>
      <c r="C31" s="83"/>
      <c r="D31" s="83"/>
      <c r="E31" s="83"/>
      <c r="F31" s="83"/>
      <c r="G31" s="83"/>
      <c r="H31" s="83"/>
      <c r="I31" s="83"/>
      <c r="J31" s="84"/>
    </row>
    <row r="32" spans="1:13" x14ac:dyDescent="0.25">
      <c r="A32" s="82" t="s">
        <v>184</v>
      </c>
      <c r="B32" s="83"/>
      <c r="C32" s="83"/>
      <c r="D32" s="83"/>
      <c r="E32" s="83"/>
      <c r="F32" s="83"/>
      <c r="G32" s="83"/>
      <c r="H32" s="83"/>
      <c r="I32" s="83"/>
      <c r="J32" s="84"/>
    </row>
    <row r="33" spans="1:13" x14ac:dyDescent="0.25">
      <c r="A33" s="4" t="s">
        <v>161</v>
      </c>
      <c r="B33" s="4">
        <v>0.5</v>
      </c>
      <c r="C33" s="4">
        <f>1.1*B33</f>
        <v>0.55000000000000004</v>
      </c>
      <c r="D33" s="4">
        <v>31143.3</v>
      </c>
      <c r="E33" s="4" t="s">
        <v>190</v>
      </c>
      <c r="F33" s="4">
        <v>5.1999999999999998E-2</v>
      </c>
      <c r="G33" s="4">
        <v>5.2999999999999999E-2</v>
      </c>
      <c r="H33" s="72">
        <f>C33*G33</f>
        <v>2.9150000000000002E-2</v>
      </c>
      <c r="I33" s="73">
        <v>0.6</v>
      </c>
      <c r="J33" s="73">
        <f>I33-H33</f>
        <v>0.57084999999999997</v>
      </c>
      <c r="M33">
        <f>D33*gazProperties!$B$13/0.73</f>
        <v>31287.380234828255</v>
      </c>
    </row>
    <row r="34" spans="1:13" x14ac:dyDescent="0.25">
      <c r="A34" s="60" t="s">
        <v>173</v>
      </c>
      <c r="B34" s="4">
        <v>0.95099999999999996</v>
      </c>
      <c r="C34" s="4">
        <f t="shared" ref="C34:C38" si="16">1.1*B34</f>
        <v>1.0461</v>
      </c>
      <c r="D34" s="4">
        <v>14942.59</v>
      </c>
      <c r="E34" s="4" t="s">
        <v>190</v>
      </c>
      <c r="F34" s="4">
        <v>1.2E-2</v>
      </c>
      <c r="G34" s="4">
        <v>1.2999999999999999E-2</v>
      </c>
      <c r="H34" s="72">
        <f t="shared" ref="H34:H38" si="17">C34*G34</f>
        <v>1.35993E-2</v>
      </c>
      <c r="I34" s="73">
        <f>J33</f>
        <v>0.57084999999999997</v>
      </c>
      <c r="J34" s="73">
        <f t="shared" ref="J34:J38" si="18">I34-H34</f>
        <v>0.55725069999999999</v>
      </c>
      <c r="M34">
        <f>D34*gazProperties!$B$13/0.73</f>
        <v>15011.719857020364</v>
      </c>
    </row>
    <row r="35" spans="1:13" x14ac:dyDescent="0.25">
      <c r="A35" s="61" t="s">
        <v>174</v>
      </c>
      <c r="B35" s="4">
        <v>0.67200000000000004</v>
      </c>
      <c r="C35" s="4">
        <f t="shared" si="16"/>
        <v>0.73920000000000008</v>
      </c>
      <c r="D35" s="4">
        <v>13561.03</v>
      </c>
      <c r="E35" s="4" t="s">
        <v>190</v>
      </c>
      <c r="F35" s="4">
        <v>1.0999999999999999E-2</v>
      </c>
      <c r="G35" s="4">
        <v>1.2E-2</v>
      </c>
      <c r="H35" s="72">
        <f t="shared" si="17"/>
        <v>8.8704000000000005E-3</v>
      </c>
      <c r="I35" s="73">
        <f t="shared" ref="I35:I37" si="19">J34</f>
        <v>0.55725069999999999</v>
      </c>
      <c r="J35" s="73">
        <f t="shared" si="18"/>
        <v>0.54838030000000004</v>
      </c>
      <c r="M35">
        <f>D35*gazProperties!$B$13/0.73</f>
        <v>13623.768257888953</v>
      </c>
    </row>
    <row r="36" spans="1:13" x14ac:dyDescent="0.25">
      <c r="A36" s="60" t="s">
        <v>175</v>
      </c>
      <c r="B36" s="4">
        <v>1.224</v>
      </c>
      <c r="C36" s="4">
        <f t="shared" si="16"/>
        <v>1.3464</v>
      </c>
      <c r="D36" s="4">
        <v>11917.81</v>
      </c>
      <c r="E36" s="4" t="s">
        <v>190</v>
      </c>
      <c r="F36" s="4">
        <v>7.0000000000000001E-3</v>
      </c>
      <c r="G36" s="4">
        <v>7.4999999999999997E-3</v>
      </c>
      <c r="H36" s="72">
        <f t="shared" si="17"/>
        <v>1.0097999999999999E-2</v>
      </c>
      <c r="I36" s="73">
        <f t="shared" si="19"/>
        <v>0.54838030000000004</v>
      </c>
      <c r="J36" s="73">
        <f t="shared" si="18"/>
        <v>0.53828229999999999</v>
      </c>
      <c r="M36">
        <f>D36*gazProperties!$B$13/0.73</f>
        <v>11972.946124413229</v>
      </c>
    </row>
    <row r="37" spans="1:13" x14ac:dyDescent="0.25">
      <c r="A37" s="60" t="s">
        <v>176</v>
      </c>
      <c r="B37" s="4">
        <v>1.42</v>
      </c>
      <c r="C37" s="4">
        <f t="shared" si="16"/>
        <v>1.5620000000000001</v>
      </c>
      <c r="D37" s="4">
        <v>11047.24</v>
      </c>
      <c r="E37" s="4" t="s">
        <v>190</v>
      </c>
      <c r="F37" s="4">
        <v>6.4999999999999997E-3</v>
      </c>
      <c r="G37" s="4">
        <v>7.0000000000000001E-3</v>
      </c>
      <c r="H37" s="72">
        <f t="shared" ref="H37" si="20">C37*G37</f>
        <v>1.0934000000000001E-2</v>
      </c>
      <c r="I37" s="73">
        <f t="shared" si="19"/>
        <v>0.53828229999999999</v>
      </c>
      <c r="J37" s="73">
        <f t="shared" ref="J37" si="21">I37-H37</f>
        <v>0.52734829999999999</v>
      </c>
      <c r="M37">
        <f>D37*gazProperties!$B$13/0.73</f>
        <v>11098.348550905141</v>
      </c>
    </row>
    <row r="38" spans="1:13" x14ac:dyDescent="0.25">
      <c r="A38" s="61" t="s">
        <v>185</v>
      </c>
      <c r="B38" s="4">
        <v>0.26900000000000002</v>
      </c>
      <c r="C38" s="4">
        <f t="shared" si="16"/>
        <v>0.29590000000000005</v>
      </c>
      <c r="D38" s="4">
        <v>11047.24</v>
      </c>
      <c r="E38" s="4" t="s">
        <v>191</v>
      </c>
      <c r="F38" s="4">
        <v>5.5E-2</v>
      </c>
      <c r="G38" s="4">
        <v>0.06</v>
      </c>
      <c r="H38" s="72">
        <f t="shared" si="17"/>
        <v>1.7754000000000002E-2</v>
      </c>
      <c r="I38" s="73">
        <f>J36</f>
        <v>0.53828229999999999</v>
      </c>
      <c r="J38" s="73">
        <f t="shared" si="18"/>
        <v>0.52052829999999994</v>
      </c>
      <c r="M38">
        <f>D38*gazProperties!$B$13/0.73</f>
        <v>11098.348550905141</v>
      </c>
    </row>
    <row r="39" spans="1:13" x14ac:dyDescent="0.25">
      <c r="A39" s="82" t="s">
        <v>186</v>
      </c>
      <c r="B39" s="83"/>
      <c r="C39" s="83"/>
      <c r="D39" s="83"/>
      <c r="E39" s="83"/>
      <c r="F39" s="83"/>
      <c r="G39" s="83"/>
      <c r="H39" s="83"/>
      <c r="I39" s="83"/>
      <c r="J39" s="84"/>
    </row>
    <row r="40" spans="1:13" x14ac:dyDescent="0.25">
      <c r="A40" s="4" t="s">
        <v>180</v>
      </c>
      <c r="B40" s="4">
        <v>1.032</v>
      </c>
      <c r="C40" s="4">
        <f>1.1*B40</f>
        <v>1.1352000000000002</v>
      </c>
      <c r="D40" s="4">
        <v>1834.87</v>
      </c>
      <c r="E40" s="4" t="s">
        <v>191</v>
      </c>
      <c r="F40" s="4">
        <v>7.4999999999999997E-2</v>
      </c>
      <c r="G40" s="4">
        <v>0.08</v>
      </c>
      <c r="H40" s="72">
        <f>C40*G40</f>
        <v>9.0816000000000022E-2</v>
      </c>
      <c r="I40" s="73">
        <v>0.6</v>
      </c>
      <c r="J40" s="73">
        <f>I40-H40</f>
        <v>0.50918399999999997</v>
      </c>
      <c r="M40">
        <f>D40*gazProperties!$B$13/0.73</f>
        <v>1843.3587760924281</v>
      </c>
    </row>
    <row r="41" spans="1:13" x14ac:dyDescent="0.25">
      <c r="A41" s="60" t="s">
        <v>187</v>
      </c>
      <c r="B41" s="4">
        <v>0.41</v>
      </c>
      <c r="C41" s="4">
        <f t="shared" ref="C41:C46" si="22">1.1*B41</f>
        <v>0.45100000000000001</v>
      </c>
      <c r="D41" s="4">
        <v>495.78</v>
      </c>
      <c r="E41" s="4" t="s">
        <v>192</v>
      </c>
      <c r="F41" s="4">
        <v>3.5000000000000003E-2</v>
      </c>
      <c r="G41" s="4">
        <v>3.7999999999999999E-2</v>
      </c>
      <c r="H41" s="72">
        <f t="shared" ref="H41:H45" si="23">C41*G41</f>
        <v>1.7138E-2</v>
      </c>
      <c r="I41" s="73">
        <f>J40</f>
        <v>0.50918399999999997</v>
      </c>
      <c r="J41" s="73">
        <f t="shared" ref="J41:J45" si="24">I41-H41</f>
        <v>0.49204599999999998</v>
      </c>
      <c r="M41">
        <f>D41*gazProperties!$B$13/0.73</f>
        <v>498.07365863036836</v>
      </c>
    </row>
    <row r="42" spans="1:13" x14ac:dyDescent="0.25">
      <c r="A42" s="61" t="s">
        <v>182</v>
      </c>
      <c r="B42" s="4">
        <v>7.9000000000000001E-2</v>
      </c>
      <c r="C42" s="4">
        <f t="shared" si="22"/>
        <v>8.6900000000000005E-2</v>
      </c>
      <c r="D42" s="4">
        <v>13870.06</v>
      </c>
      <c r="E42" s="4" t="s">
        <v>191</v>
      </c>
      <c r="F42" s="4">
        <v>2.5999999999999999E-2</v>
      </c>
      <c r="G42" s="4">
        <v>2.7E-2</v>
      </c>
      <c r="H42" s="72">
        <f t="shared" si="23"/>
        <v>2.3462999999999999E-3</v>
      </c>
      <c r="I42" s="73">
        <f t="shared" ref="I42:I46" si="25">J41</f>
        <v>0.49204599999999998</v>
      </c>
      <c r="J42" s="73">
        <f t="shared" si="24"/>
        <v>0.48969969999999996</v>
      </c>
      <c r="M42">
        <f>D42*gazProperties!$B$13/0.73</f>
        <v>13934.22794308509</v>
      </c>
    </row>
    <row r="43" spans="1:13" x14ac:dyDescent="0.25">
      <c r="A43" s="60" t="s">
        <v>185</v>
      </c>
      <c r="B43" s="4">
        <v>0.26900000000000002</v>
      </c>
      <c r="C43" s="4">
        <f t="shared" si="22"/>
        <v>0.29590000000000005</v>
      </c>
      <c r="D43" s="4">
        <v>11047.24</v>
      </c>
      <c r="E43" s="4" t="s">
        <v>191</v>
      </c>
      <c r="F43" s="4">
        <v>5.5E-2</v>
      </c>
      <c r="G43" s="4">
        <v>0.06</v>
      </c>
      <c r="H43" s="72">
        <f t="shared" si="23"/>
        <v>1.7754000000000002E-2</v>
      </c>
      <c r="I43" s="73">
        <f t="shared" si="25"/>
        <v>0.48969969999999996</v>
      </c>
      <c r="J43" s="73">
        <f t="shared" si="24"/>
        <v>0.47194569999999997</v>
      </c>
      <c r="M43">
        <f>D43*gazProperties!$B$13/0.73</f>
        <v>11098.348550905141</v>
      </c>
    </row>
    <row r="44" spans="1:13" x14ac:dyDescent="0.25">
      <c r="A44" s="61" t="s">
        <v>188</v>
      </c>
      <c r="B44" s="4">
        <v>0.29799999999999999</v>
      </c>
      <c r="C44" s="4">
        <f t="shared" si="22"/>
        <v>0.32780000000000004</v>
      </c>
      <c r="D44" s="4">
        <v>870.57</v>
      </c>
      <c r="E44" s="4" t="s">
        <v>191</v>
      </c>
      <c r="F44" s="4">
        <v>1.4999999999999999E-2</v>
      </c>
      <c r="G44" s="4">
        <v>1.7999999999999999E-2</v>
      </c>
      <c r="H44" s="72">
        <f t="shared" si="23"/>
        <v>5.9004000000000001E-3</v>
      </c>
      <c r="I44" s="73">
        <f t="shared" si="25"/>
        <v>0.47194569999999997</v>
      </c>
      <c r="J44" s="73">
        <f t="shared" si="24"/>
        <v>0.4660453</v>
      </c>
      <c r="M44">
        <f>D44*gazProperties!$B$13/0.73</f>
        <v>874.59757350808786</v>
      </c>
    </row>
    <row r="45" spans="1:13" x14ac:dyDescent="0.25">
      <c r="A45" s="60" t="s">
        <v>189</v>
      </c>
      <c r="B45" s="4">
        <v>7.9000000000000001E-2</v>
      </c>
      <c r="C45" s="4">
        <f t="shared" si="22"/>
        <v>8.6900000000000005E-2</v>
      </c>
      <c r="D45" s="4">
        <v>1643.22</v>
      </c>
      <c r="E45" s="4" t="s">
        <v>191</v>
      </c>
      <c r="F45" s="4">
        <v>4.8000000000000001E-2</v>
      </c>
      <c r="G45" s="4">
        <v>0.05</v>
      </c>
      <c r="H45" s="72">
        <f t="shared" si="23"/>
        <v>4.3450000000000008E-3</v>
      </c>
      <c r="I45" s="73">
        <f t="shared" si="25"/>
        <v>0.4660453</v>
      </c>
      <c r="J45" s="73">
        <f t="shared" si="24"/>
        <v>0.46170030000000001</v>
      </c>
      <c r="M45">
        <f>D45*gazProperties!$B$13/0.73</f>
        <v>1650.8221334757231</v>
      </c>
    </row>
    <row r="46" spans="1:13" x14ac:dyDescent="0.25">
      <c r="A46" s="60" t="s">
        <v>172</v>
      </c>
      <c r="B46" s="4">
        <v>0.56399999999999995</v>
      </c>
      <c r="C46" s="4">
        <f t="shared" si="22"/>
        <v>0.62039999999999995</v>
      </c>
      <c r="D46" s="4">
        <v>1381.56</v>
      </c>
      <c r="E46" s="4" t="s">
        <v>191</v>
      </c>
      <c r="F46" s="4">
        <v>3.5999999999999997E-2</v>
      </c>
      <c r="G46" s="4">
        <v>3.7999999999999999E-2</v>
      </c>
      <c r="H46" s="72">
        <f t="shared" ref="H46" si="26">C46*G46</f>
        <v>2.3575199999999998E-2</v>
      </c>
      <c r="I46" s="73">
        <f t="shared" si="25"/>
        <v>0.46170030000000001</v>
      </c>
      <c r="J46" s="73">
        <f t="shared" ref="J46" si="27">I46-H46</f>
        <v>0.43812509999999999</v>
      </c>
      <c r="M46">
        <f>D46*gazProperties!$B$13/0.73</f>
        <v>1387.9515991314126</v>
      </c>
    </row>
  </sheetData>
  <mergeCells count="15">
    <mergeCell ref="B1:C1"/>
    <mergeCell ref="I1:J1"/>
    <mergeCell ref="A1:A2"/>
    <mergeCell ref="D1:D2"/>
    <mergeCell ref="E1:E2"/>
    <mergeCell ref="F1:F2"/>
    <mergeCell ref="G1:G2"/>
    <mergeCell ref="H1:H2"/>
    <mergeCell ref="A39:J39"/>
    <mergeCell ref="A4:J4"/>
    <mergeCell ref="A14:J14"/>
    <mergeCell ref="A24:J24"/>
    <mergeCell ref="A25:J25"/>
    <mergeCell ref="A31:J31"/>
    <mergeCell ref="A32:J3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  <vt:lpstr>ЧасовыеРасходы</vt:lpstr>
      <vt:lpstr>КольцевойРасчет</vt:lpstr>
      <vt:lpstr>гидрРасчвнутр</vt:lpstr>
      <vt:lpstr>гидрРасчКварт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2021-05-17T07:53:41Z</dcterms:modified>
</cp:coreProperties>
</file>