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6B2DE3F4-408A-4019-B265-B99640E684DD}" xr6:coauthVersionLast="47" xr6:coauthVersionMax="47" xr10:uidLastSave="{00000000-0000-0000-0000-000000000000}"/>
  <bookViews>
    <workbookView xWindow="22932" yWindow="-108" windowWidth="23256" windowHeight="12576" activeTab="4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K17" i="3"/>
  <c r="E21" i="3"/>
  <c r="E20" i="3"/>
  <c r="E19" i="3"/>
  <c r="E18" i="3"/>
  <c r="E17" i="3"/>
  <c r="E16" i="3"/>
  <c r="E15" i="3"/>
  <c r="E14" i="3"/>
  <c r="E13" i="3"/>
  <c r="E12" i="3"/>
  <c r="E11" i="3"/>
  <c r="D18" i="3"/>
  <c r="D17" i="3"/>
  <c r="F17" i="3" s="1"/>
  <c r="L11" i="2"/>
  <c r="L12" i="2"/>
  <c r="L13" i="2"/>
  <c r="L14" i="2"/>
  <c r="L15" i="2"/>
  <c r="L16" i="2"/>
  <c r="L17" i="2"/>
  <c r="L18" i="2"/>
  <c r="D19" i="6"/>
  <c r="K12" i="2"/>
  <c r="K13" i="2"/>
  <c r="K14" i="2"/>
  <c r="K15" i="2"/>
  <c r="K16" i="2"/>
  <c r="K17" i="2"/>
  <c r="K18" i="2"/>
  <c r="K11" i="2"/>
  <c r="B1" i="6"/>
  <c r="B25" i="6" s="1"/>
  <c r="D25" i="6" s="1"/>
  <c r="B30" i="6"/>
  <c r="D30" i="6" s="1"/>
  <c r="BV11" i="4"/>
  <c r="BB11" i="4" s="1"/>
  <c r="BJ10" i="4"/>
  <c r="AQ10" i="4" s="1"/>
  <c r="AI9" i="4"/>
  <c r="AO9" i="4"/>
  <c r="AG8" i="4"/>
  <c r="AA7" i="4"/>
  <c r="R5" i="4"/>
  <c r="U4" i="4"/>
  <c r="B4" i="6"/>
  <c r="B6" i="6" s="1"/>
  <c r="H17" i="3" l="1"/>
  <c r="B7" i="6"/>
  <c r="B5" i="6"/>
  <c r="C3" i="5"/>
  <c r="E23" i="3"/>
  <c r="B24" i="1"/>
  <c r="B3" i="1"/>
  <c r="D14" i="1"/>
  <c r="B14" i="4"/>
  <c r="B15" i="4"/>
  <c r="B13" i="4"/>
  <c r="D20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9" i="3"/>
  <c r="H19" i="3" s="1"/>
  <c r="H18" i="3"/>
  <c r="D16" i="3"/>
  <c r="D21" i="3"/>
  <c r="H21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9" i="3"/>
  <c r="C11" i="4"/>
  <c r="C12" i="4"/>
  <c r="B19" i="6"/>
  <c r="B13" i="6"/>
  <c r="B20" i="6"/>
  <c r="D20" i="6" s="1"/>
  <c r="B14" i="6"/>
  <c r="E18" i="2"/>
  <c r="C14" i="2"/>
  <c r="D14" i="2" s="1"/>
  <c r="F18" i="3"/>
  <c r="F21" i="3"/>
  <c r="F12" i="3"/>
  <c r="F20" i="3"/>
  <c r="F15" i="3"/>
  <c r="F14" i="3"/>
  <c r="F13" i="3"/>
  <c r="H11" i="3"/>
  <c r="G10" i="4" s="1"/>
  <c r="H16" i="3"/>
  <c r="G11" i="4" s="1"/>
  <c r="F16" i="3"/>
  <c r="D11" i="4" s="1"/>
  <c r="H11" i="4" s="1"/>
  <c r="H20" i="3"/>
  <c r="F11" i="3"/>
  <c r="D10" i="4" l="1"/>
  <c r="H10" i="4" s="1"/>
  <c r="E10" i="4" s="1"/>
  <c r="E11" i="4"/>
  <c r="F22" i="3"/>
  <c r="D12" i="4"/>
  <c r="H12" i="4" s="1"/>
  <c r="E12" i="4" s="1"/>
  <c r="H22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3" i="3" s="1"/>
  <c r="J18" i="2"/>
  <c r="D25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4" i="3" s="1"/>
  <c r="C13" i="4" l="1"/>
  <c r="F23" i="3"/>
  <c r="D13" i="4" s="1"/>
  <c r="H8" i="4"/>
  <c r="E8" i="4" s="1"/>
  <c r="E9" i="4"/>
  <c r="D7" i="4"/>
  <c r="H7" i="4" s="1"/>
  <c r="E7" i="4" s="1"/>
  <c r="H13" i="4"/>
  <c r="H23" i="3"/>
  <c r="G13" i="4" s="1"/>
  <c r="C15" i="4"/>
  <c r="F25" i="3"/>
  <c r="D15" i="4" s="1"/>
  <c r="H15" i="4" s="1"/>
  <c r="E15" i="4" s="1"/>
  <c r="H25" i="3"/>
  <c r="C14" i="4"/>
  <c r="F24" i="3"/>
  <c r="D14" i="4" s="1"/>
  <c r="G7" i="4"/>
  <c r="H10" i="3"/>
  <c r="E13" i="4" l="1"/>
  <c r="G15" i="4"/>
  <c r="H26" i="3"/>
  <c r="H31" i="3" s="1"/>
  <c r="F26" i="3"/>
  <c r="F31" i="3" s="1"/>
  <c r="H14" i="4" l="1"/>
  <c r="H35" i="3"/>
  <c r="D16" i="4" s="1"/>
  <c r="H16" i="4" s="1"/>
  <c r="H39" i="3"/>
  <c r="D18" i="4" s="1"/>
  <c r="H18" i="4" s="1"/>
  <c r="E18" i="4" s="1"/>
  <c r="H33" i="3"/>
  <c r="D4" i="4" s="1"/>
  <c r="H4" i="4" s="1"/>
  <c r="E4" i="4" s="1"/>
  <c r="H37" i="3"/>
  <c r="D17" i="4" s="1"/>
  <c r="H17" i="4" s="1"/>
  <c r="E17" i="4" s="1"/>
  <c r="H9" i="5" l="1"/>
  <c r="E14" i="4"/>
  <c r="H8" i="5"/>
  <c r="E16" i="4"/>
  <c r="C4" i="5" l="1"/>
  <c r="C5" i="5" s="1"/>
  <c r="H10" i="5"/>
  <c r="C7" i="5" l="1"/>
  <c r="C9" i="5"/>
  <c r="C8" i="5"/>
</calcChain>
</file>

<file path=xl/sharedStrings.xml><?xml version="1.0" encoding="utf-8"?>
<sst xmlns="http://schemas.openxmlformats.org/spreadsheetml/2006/main" count="236" uniqueCount="184">
  <si>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</si>
  <si>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</si>
  <si>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</si>
  <si>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</si>
  <si>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</si>
  <si>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</si>
  <si>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</si>
  <si>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</si>
  <si>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</si>
  <si>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</si>
  <si>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</si>
  <si>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</si>
  <si>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</si>
  <si>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</si>
  <si>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</si>
  <si>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</si>
  <si>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</si>
  <si>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</si>
  <si>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</si>
  <si>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</si>
  <si>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</si>
  <si>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</si>
  <si>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</si>
  <si>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</si>
  <si>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</si>
  <si>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</si>
  <si>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</si>
  <si>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</si>
  <si>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</si>
  <si>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</si>
  <si>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</si>
  <si>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</si>
  <si>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</si>
  <si>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</si>
  <si>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</si>
  <si>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</si>
  <si>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</si>
  <si>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</si>
  <si>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</si>
  <si>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</si>
  <si>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</si>
  <si>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</si>
  <si>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</si>
  <si>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</si>
  <si>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</si>
  <si>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</si>
  <si>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</si>
  <si>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</si>
  <si>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</si>
  <si>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</si>
  <si>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</si>
  <si>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</si>
  <si>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</si>
  <si>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</si>
  <si>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</si>
  <si>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</si>
  <si>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</si>
  <si>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</si>
  <si>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</si>
  <si>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</si>
  <si>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</si>
  <si>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</si>
  <si>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</si>
  <si>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</si>
  <si>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</si>
  <si>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</si>
  <si>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</si>
  <si>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</si>
  <si>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</si>
  <si>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</si>
  <si>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</si>
  <si>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</si>
  <si>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</si>
  <si>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</si>
  <si>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</si>
  <si>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</si>
  <si>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</si>
  <si>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</si>
  <si>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</si>
  <si>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</si>
  <si>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</si>
  <si>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</si>
  <si>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</si>
  <si>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</si>
  <si>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</si>
  <si>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</si>
  <si>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</si>
  <si>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</si>
  <si>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</si>
  <si>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</si>
  <si>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</si>
  <si>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</si>
  <si>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</si>
  <si>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</si>
  <si>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</si>
  <si>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</si>
  <si>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</si>
  <si>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</si>
  <si>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</si>
  <si>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</si>
  <si>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</si>
  <si>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</si>
  <si>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</si>
  <si>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</si>
  <si>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</si>
  <si>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</si>
  <si>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</si>
  <si>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</si>
  <si>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</si>
  <si>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</si>
  <si>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</si>
  <si>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</si>
  <si>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</si>
  <si>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</si>
  <si>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</si>
  <si>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</si>
  <si>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</si>
  <si>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</si>
  <si>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</si>
  <si>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</si>
  <si>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</si>
  <si>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</si>
  <si>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</si>
  <si>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</si>
  <si>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</si>
  <si>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</si>
  <si>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</si>
  <si>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</si>
  <si>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</si>
  <si>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</si>
  <si>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</si>
  <si>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</si>
  <si>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</si>
  <si>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</si>
  <si>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</si>
  <si>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</si>
  <si>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</si>
  <si>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</si>
  <si>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</si>
  <si>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</si>
  <si>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</si>
  <si>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</si>
  <si>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</si>
  <si>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</si>
  <si>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</si>
  <si>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</si>
  <si>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</si>
  <si>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</si>
  <si>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</si>
  <si>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</si>
  <si>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</si>
  <si>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</si>
  <si>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</si>
  <si>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</si>
  <si>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</si>
  <si>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</si>
  <si>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</si>
  <si>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</si>
  <si>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</si>
  <si>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</si>
  <si>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</si>
  <si>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</si>
  <si>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</si>
  <si>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</si>
  <si>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</si>
  <si>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</si>
  <si>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</si>
  <si>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</si>
  <si>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</si>
  <si>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</si>
  <si>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</si>
  <si>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</si>
  <si>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</si>
  <si>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</si>
  <si>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</si>
  <si>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</si>
  <si>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</si>
  <si>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</si>
  <si>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</si>
  <si>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</si>
  <si>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</si>
  <si>
    <t>Lтр</t>
  </si>
  <si>
    <t>Е22-18-2</t>
  </si>
  <si>
    <t>НАНЕСЕНИЕ НОРМАЛЬНОЙ АНТИКОРРОЗИОННОЙ БИТУМНО-ПОЛИМЕРНОЙ ИЗОЛЯЦИИ НА СТАЛЬНЫЕ ТРУБОПРОВОДЫ ДИАМЕТРОМ 75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</si>
</sst>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ISOCPEUR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1" fontId="16" fillId="0" borderId="38" xfId="0" applyNumberFormat="1" applyFont="1" applyBorder="1"/>
    <xf numFmtId="1" fontId="16" fillId="0" borderId="1" xfId="0" applyNumberFormat="1" applyFont="1" applyBorder="1"/>
    <xf numFmtId="166" fontId="0" fillId="0" borderId="0" xfId="1" applyNumberFormat="1" applyFont="1"/>
    <xf numFmtId="0" fontId="0" fillId="0" borderId="33" xfId="0" applyFill="1" applyBorder="1"/>
    <xf numFmtId="2" fontId="0" fillId="2" borderId="2" xfId="0" applyNumberFormat="1" applyFill="1" applyBorder="1"/>
    <xf numFmtId="49" fontId="3" fillId="0" borderId="3" xfId="0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0" fontId="6" fillId="0" borderId="29" xfId="0" applyFont="1" applyFill="1" applyBorder="1" applyAlignment="1">
      <alignment wrapText="1"/>
    </xf>
    <xf numFmtId="1" fontId="0" fillId="0" borderId="35" xfId="0" applyNumberFormat="1" applyFill="1" applyBorder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L22"/>
  <sheetViews>
    <sheetView topLeftCell="C1" workbookViewId="0">
      <selection activeCell="L18" sqref="L18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  <col min="12" max="12" width="9.5703125" bestFit="1" customWidth="1"/>
  </cols>
  <sheetData>
    <row r="2" spans="1:12" x14ac:dyDescent="0.25">
      <c r="A2" t="s">
        <v>8</v>
      </c>
      <c r="B2">
        <f>(исходники!B10 + 10)*10</f>
        <v>139440.5</v>
      </c>
      <c r="C2" t="s">
        <v>9</v>
      </c>
    </row>
    <row r="4" spans="1:12" x14ac:dyDescent="0.25">
      <c r="A4" t="s">
        <v>11</v>
      </c>
      <c r="B4">
        <f>B2*исходники!D14</f>
        <v>15338.455</v>
      </c>
      <c r="C4" t="s">
        <v>12</v>
      </c>
    </row>
    <row r="6" spans="1:12" x14ac:dyDescent="0.25">
      <c r="A6" t="s">
        <v>13</v>
      </c>
      <c r="B6">
        <f>B2*исходники!C20</f>
        <v>557762</v>
      </c>
    </row>
    <row r="8" spans="1:12" x14ac:dyDescent="0.25">
      <c r="A8" t="s">
        <v>22</v>
      </c>
      <c r="B8">
        <f>исходники!B12-исходники!D14-0.05</f>
        <v>0.94000000000000006</v>
      </c>
    </row>
    <row r="10" spans="1:12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  <c r="K10" s="174" t="s">
        <v>181</v>
      </c>
    </row>
    <row r="11" spans="1:12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  <c r="K11">
        <f>исходники!B3/исходники!$B$18</f>
        <v>5.05</v>
      </c>
      <c r="L11" s="179">
        <f t="shared" ref="L11:L17" si="6">ROUND(K11,0)+1</f>
        <v>6</v>
      </c>
    </row>
    <row r="12" spans="1:12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  <c r="K12">
        <f>исходники!B4/исходники!$B$18</f>
        <v>13.43125</v>
      </c>
      <c r="L12" s="179">
        <f t="shared" si="6"/>
        <v>14</v>
      </c>
    </row>
    <row r="13" spans="1:12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  <c r="K13">
        <f>исходники!B5/исходники!$B$18</f>
        <v>8.75</v>
      </c>
      <c r="L13" s="179">
        <f t="shared" si="6"/>
        <v>10</v>
      </c>
    </row>
    <row r="14" spans="1:12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  <c r="K14">
        <f>исходники!B6/исходники!$B$18</f>
        <v>77.974999999999994</v>
      </c>
      <c r="L14" s="179">
        <f t="shared" si="6"/>
        <v>79</v>
      </c>
    </row>
    <row r="15" spans="1:12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  <c r="K15">
        <f>исходники!B7/исходники!$B$18</f>
        <v>14.425000000000001</v>
      </c>
      <c r="L15" s="179">
        <f t="shared" si="6"/>
        <v>15</v>
      </c>
    </row>
    <row r="16" spans="1:12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  <c r="K16">
        <f>исходники!B8/исходники!$B$18</f>
        <v>299.125</v>
      </c>
      <c r="L16" s="179">
        <f t="shared" si="6"/>
        <v>300</v>
      </c>
    </row>
    <row r="17" spans="1:12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  <c r="K17">
        <f>исходники!B9/исходники!$B$18</f>
        <v>1323</v>
      </c>
      <c r="L17" s="179">
        <f t="shared" si="6"/>
        <v>1324</v>
      </c>
    </row>
    <row r="18" spans="1:12" x14ac:dyDescent="0.25">
      <c r="A18" s="4" t="s">
        <v>10</v>
      </c>
      <c r="B18" s="1">
        <f t="shared" ref="B18:J18" si="7">SUM(B11:B17)</f>
        <v>15006.946317833335</v>
      </c>
      <c r="C18" s="1">
        <f t="shared" si="7"/>
        <v>12129.754800000001</v>
      </c>
      <c r="D18" s="1">
        <f t="shared" si="7"/>
        <v>606.48774000000003</v>
      </c>
      <c r="E18" s="6">
        <f t="shared" si="7"/>
        <v>903.89940632843468</v>
      </c>
      <c r="F18" s="6">
        <f t="shared" si="7"/>
        <v>14709.5346515049</v>
      </c>
      <c r="G18" s="6">
        <f t="shared" si="7"/>
        <v>14400.458577833335</v>
      </c>
      <c r="H18" s="6">
        <f t="shared" si="7"/>
        <v>13974.057918929655</v>
      </c>
      <c r="I18" s="6">
        <f t="shared" si="7"/>
        <v>735.47673257524593</v>
      </c>
      <c r="J18" s="6">
        <f t="shared" si="7"/>
        <v>14709.5346515049</v>
      </c>
      <c r="K18">
        <f>исходники!B10/исходники!$B$18</f>
        <v>1741.7562499999999</v>
      </c>
      <c r="L18" s="179">
        <f>ROUND(K18,0)+1</f>
        <v>1743</v>
      </c>
    </row>
    <row r="22" spans="1:12" x14ac:dyDescent="0.25">
      <c r="B22" s="1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9"/>
  <sheetViews>
    <sheetView topLeftCell="A10" zoomScale="68" zoomScaleNormal="68" workbookViewId="0">
      <selection activeCell="K17" sqref="K17:K18"/>
    </sheetView>
  </sheetViews>
  <sheetFormatPr defaultRowHeight="15" x14ac:dyDescent="0.25"/>
  <cols>
    <col min="1" max="1" width="20" customWidth="1"/>
    <col min="2" max="2" width="55" customWidth="1"/>
    <col min="3" max="3" width="12.5703125" customWidth="1"/>
    <col min="4" max="4" width="16.7109375" customWidth="1"/>
    <col min="5" max="5" width="11.85546875" bestFit="1" customWidth="1"/>
    <col min="6" max="6" width="14.7109375" bestFit="1" customWidth="1"/>
    <col min="7" max="7" width="10.140625" customWidth="1"/>
    <col min="8" max="8" width="14.7109375" bestFit="1" customWidth="1"/>
    <col min="10" max="10" width="18.42578125" customWidth="1"/>
    <col min="11" max="11" width="15.7109375" customWidth="1"/>
    <col min="12" max="12" width="16.28515625" customWidth="1"/>
  </cols>
  <sheetData>
    <row r="1" spans="1:29" ht="55.5" customHeight="1" thickBot="1" x14ac:dyDescent="0.35">
      <c r="A1" s="188" t="s">
        <v>30</v>
      </c>
      <c r="B1" s="190" t="s">
        <v>31</v>
      </c>
      <c r="C1" s="190" t="s">
        <v>32</v>
      </c>
      <c r="D1" s="190" t="s">
        <v>33</v>
      </c>
      <c r="E1" s="186" t="s">
        <v>34</v>
      </c>
      <c r="F1" s="186"/>
      <c r="G1" s="186" t="s">
        <v>35</v>
      </c>
      <c r="H1" s="187"/>
      <c r="I1" s="21"/>
      <c r="J1" s="183" t="s">
        <v>36</v>
      </c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5"/>
    </row>
    <row r="2" spans="1:29" ht="30" customHeight="1" thickTop="1" x14ac:dyDescent="0.35">
      <c r="A2" s="189"/>
      <c r="B2" s="191"/>
      <c r="C2" s="191"/>
      <c r="D2" s="191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" thickBot="1" x14ac:dyDescent="0.3">
      <c r="A3" s="52">
        <v>1</v>
      </c>
      <c r="B3" s="53">
        <v>2</v>
      </c>
      <c r="C3" s="53">
        <v>3</v>
      </c>
      <c r="D3" s="53">
        <v>4</v>
      </c>
      <c r="E3" s="53">
        <v>5</v>
      </c>
      <c r="F3" s="53">
        <v>6</v>
      </c>
      <c r="G3" s="53">
        <v>7</v>
      </c>
      <c r="H3" s="54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70.5" thickTop="1" x14ac:dyDescent="0.35">
      <c r="A4" s="55" t="s">
        <v>39</v>
      </c>
      <c r="B4" s="56" t="s">
        <v>64</v>
      </c>
      <c r="C4" s="57" t="s">
        <v>40</v>
      </c>
      <c r="D4" s="58">
        <f>'земляные работы'!B4/1000</f>
        <v>15.338455</v>
      </c>
      <c r="E4" s="58">
        <v>11.44</v>
      </c>
      <c r="F4" s="58">
        <f t="shared" ref="F4:F9" si="0">D4*E4</f>
        <v>175.47192519999999</v>
      </c>
      <c r="G4" s="58">
        <f>E4</f>
        <v>11.44</v>
      </c>
      <c r="H4" s="59">
        <f>D4*G4</f>
        <v>175.47192519999999</v>
      </c>
      <c r="I4" s="24"/>
      <c r="J4" s="30"/>
      <c r="K4" s="175"/>
      <c r="L4" s="17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5.25" x14ac:dyDescent="0.35">
      <c r="A5" s="39" t="s">
        <v>41</v>
      </c>
      <c r="B5" s="28" t="s">
        <v>65</v>
      </c>
      <c r="C5" s="43" t="s">
        <v>75</v>
      </c>
      <c r="D5" s="44">
        <f>'земляные работы'!B6/1000</f>
        <v>557.76199999999994</v>
      </c>
      <c r="E5" s="44">
        <v>0.41</v>
      </c>
      <c r="F5" s="44">
        <f t="shared" si="0"/>
        <v>228.68241999999995</v>
      </c>
      <c r="G5" s="44">
        <f>E5</f>
        <v>0.41</v>
      </c>
      <c r="H5" s="45">
        <f>D5*G5</f>
        <v>228.68241999999995</v>
      </c>
      <c r="I5" s="25"/>
      <c r="J5" s="33"/>
      <c r="K5" s="175"/>
      <c r="L5" s="175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69.75" x14ac:dyDescent="0.35">
      <c r="A6" s="39" t="s">
        <v>42</v>
      </c>
      <c r="B6" s="28" t="s">
        <v>62</v>
      </c>
      <c r="C6" s="43" t="s">
        <v>40</v>
      </c>
      <c r="D6" s="44">
        <f>'земляные работы'!G18/1000</f>
        <v>14.400458577833335</v>
      </c>
      <c r="E6" s="44">
        <f>10.75+23.36</f>
        <v>34.11</v>
      </c>
      <c r="F6" s="44">
        <f t="shared" si="0"/>
        <v>491.19964208989506</v>
      </c>
      <c r="G6" s="44">
        <v>23.36</v>
      </c>
      <c r="H6" s="45">
        <f>D6*G6</f>
        <v>336.39471237818668</v>
      </c>
      <c r="I6" s="25"/>
      <c r="J6" s="33"/>
      <c r="K6" s="175"/>
      <c r="L6" s="175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69.75" x14ac:dyDescent="0.35">
      <c r="A7" s="39" t="s">
        <v>43</v>
      </c>
      <c r="B7" s="28" t="s">
        <v>63</v>
      </c>
      <c r="C7" s="43" t="s">
        <v>40</v>
      </c>
      <c r="D7" s="44">
        <f>'земляные работы'!D18/1000</f>
        <v>0.60648774000000005</v>
      </c>
      <c r="E7" s="44">
        <f>12.3+35.73</f>
        <v>48.03</v>
      </c>
      <c r="F7" s="44">
        <f t="shared" si="0"/>
        <v>29.129606152200004</v>
      </c>
      <c r="G7" s="44">
        <f>27.26+8.47</f>
        <v>35.730000000000004</v>
      </c>
      <c r="H7" s="45">
        <f>D7*G7</f>
        <v>21.669806950200005</v>
      </c>
      <c r="I7" s="25"/>
      <c r="J7" s="33"/>
      <c r="K7" s="175"/>
      <c r="L7" s="175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2.5" x14ac:dyDescent="0.35">
      <c r="A8" s="39" t="s">
        <v>44</v>
      </c>
      <c r="B8" s="28" t="s">
        <v>66</v>
      </c>
      <c r="C8" s="43" t="s">
        <v>76</v>
      </c>
      <c r="D8" s="44">
        <f>'земляные работы'!D18/100</f>
        <v>6.0648774000000003</v>
      </c>
      <c r="E8" s="44">
        <v>137.22999999999999</v>
      </c>
      <c r="F8" s="44">
        <f t="shared" si="0"/>
        <v>832.28312560199993</v>
      </c>
      <c r="G8" s="44"/>
      <c r="H8" s="45"/>
      <c r="I8" s="25"/>
      <c r="J8" s="33"/>
      <c r="K8" s="175"/>
      <c r="L8" s="175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36" thickBot="1" x14ac:dyDescent="0.4">
      <c r="A9" s="60" t="s">
        <v>70</v>
      </c>
      <c r="B9" s="61" t="s">
        <v>71</v>
      </c>
      <c r="C9" s="62" t="s">
        <v>77</v>
      </c>
      <c r="D9" s="63">
        <f>'земляные работы'!D18</f>
        <v>606.48774000000003</v>
      </c>
      <c r="E9" s="63">
        <f>3.41+0.22</f>
        <v>3.6300000000000003</v>
      </c>
      <c r="F9" s="63">
        <f t="shared" si="0"/>
        <v>2201.5504962000005</v>
      </c>
      <c r="G9" s="63">
        <f>0.44</f>
        <v>0.44</v>
      </c>
      <c r="H9" s="64">
        <f>D9*G9</f>
        <v>266.85460560000001</v>
      </c>
      <c r="I9" s="25"/>
      <c r="J9" s="33"/>
      <c r="K9" s="175"/>
      <c r="L9" s="175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75" thickBot="1" x14ac:dyDescent="0.4">
      <c r="A10" s="65"/>
      <c r="B10" s="66"/>
      <c r="C10" s="67"/>
      <c r="D10" s="68"/>
      <c r="E10" s="82"/>
      <c r="F10" s="83">
        <f t="shared" ref="F10" si="1">SUM(F4:F9)</f>
        <v>3958.3172152440957</v>
      </c>
      <c r="G10" s="69"/>
      <c r="H10" s="69">
        <f>SUM(H4:H9)</f>
        <v>1029.0734701283868</v>
      </c>
      <c r="I10" s="25"/>
      <c r="J10" s="33"/>
      <c r="K10" s="175"/>
      <c r="L10" s="175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35">
      <c r="A11" s="176" t="s">
        <v>50</v>
      </c>
      <c r="B11" s="177" t="s">
        <v>51</v>
      </c>
      <c r="C11" s="76" t="s">
        <v>78</v>
      </c>
      <c r="D11" s="77">
        <f>SUM(исходники!B3:B5)/1000</f>
        <v>0.21784999999999999</v>
      </c>
      <c r="E11" s="77">
        <f>477.25+G11</f>
        <v>594.52</v>
      </c>
      <c r="F11" s="77">
        <f>D11*E11</f>
        <v>129.51618199999999</v>
      </c>
      <c r="G11" s="77">
        <v>117.27</v>
      </c>
      <c r="H11" s="78">
        <f>D11*G11</f>
        <v>25.547269499999999</v>
      </c>
      <c r="I11" s="25"/>
      <c r="J11" s="33"/>
      <c r="K11" s="175"/>
      <c r="L11" s="175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35">
      <c r="A12" s="40" t="s">
        <v>52</v>
      </c>
      <c r="B12" s="29" t="s">
        <v>53</v>
      </c>
      <c r="C12" s="46" t="s">
        <v>78</v>
      </c>
      <c r="D12" s="47">
        <f>исходники!B6/1000</f>
        <v>0.62379999999999991</v>
      </c>
      <c r="E12" s="47">
        <f>483+G12</f>
        <v>600.30999999999995</v>
      </c>
      <c r="F12" s="47">
        <f>D12*E12</f>
        <v>374.47337799999991</v>
      </c>
      <c r="G12" s="47">
        <v>117.31</v>
      </c>
      <c r="H12" s="48">
        <f>D12*G12</f>
        <v>73.177977999999996</v>
      </c>
      <c r="I12" s="25"/>
      <c r="J12" s="33"/>
      <c r="K12" s="175"/>
      <c r="L12" s="175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69.75" x14ac:dyDescent="0.35">
      <c r="A13" s="40" t="s">
        <v>55</v>
      </c>
      <c r="B13" s="29" t="s">
        <v>54</v>
      </c>
      <c r="C13" s="46" t="s">
        <v>78</v>
      </c>
      <c r="D13" s="47">
        <f>исходники!B7/1000</f>
        <v>0.1154</v>
      </c>
      <c r="E13" s="47">
        <f>494.48+G13</f>
        <v>611.86</v>
      </c>
      <c r="F13" s="47">
        <f>D13*E13</f>
        <v>70.608643999999998</v>
      </c>
      <c r="G13" s="47">
        <v>117.38</v>
      </c>
      <c r="H13" s="48">
        <f>D13*G13</f>
        <v>13.545652</v>
      </c>
      <c r="I13" s="25"/>
      <c r="J13" s="33"/>
      <c r="K13" s="175"/>
      <c r="L13" s="175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69.75" x14ac:dyDescent="0.35">
      <c r="A14" s="40" t="s">
        <v>109</v>
      </c>
      <c r="B14" s="29" t="s">
        <v>110</v>
      </c>
      <c r="C14" s="46" t="s">
        <v>78</v>
      </c>
      <c r="D14" s="47">
        <f>исходники!B8/1000</f>
        <v>2.3929999999999998</v>
      </c>
      <c r="E14" s="47">
        <f>554.3+G14</f>
        <v>671.79</v>
      </c>
      <c r="F14" s="47">
        <f>D14*E14</f>
        <v>1607.5934699999998</v>
      </c>
      <c r="G14" s="47">
        <v>117.49</v>
      </c>
      <c r="H14" s="48">
        <f>D14*G14</f>
        <v>281.15356999999995</v>
      </c>
      <c r="I14" s="25"/>
      <c r="J14" s="33"/>
      <c r="K14" s="175"/>
      <c r="L14" s="175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69.75" x14ac:dyDescent="0.35">
      <c r="A15" s="40" t="s">
        <v>111</v>
      </c>
      <c r="B15" s="29" t="s">
        <v>112</v>
      </c>
      <c r="C15" s="46" t="s">
        <v>78</v>
      </c>
      <c r="D15" s="47">
        <f>исходники!B9/1000</f>
        <v>10.584</v>
      </c>
      <c r="E15" s="47">
        <f>1009.66+G15</f>
        <v>1220</v>
      </c>
      <c r="F15" s="47">
        <f>D15*E15</f>
        <v>12912.48</v>
      </c>
      <c r="G15" s="47">
        <v>210.34</v>
      </c>
      <c r="H15" s="48">
        <f>D15*G15</f>
        <v>2226.2385599999998</v>
      </c>
      <c r="I15" s="25"/>
      <c r="J15" s="33"/>
      <c r="K15" s="175"/>
      <c r="L15" s="175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69.75" x14ac:dyDescent="0.35">
      <c r="A16" s="40" t="s">
        <v>74</v>
      </c>
      <c r="B16" s="29" t="s">
        <v>60</v>
      </c>
      <c r="C16" s="46" t="s">
        <v>78</v>
      </c>
      <c r="D16" s="47">
        <f>SUM(исходники!B3:B5)/1000</f>
        <v>0.21784999999999999</v>
      </c>
      <c r="E16" s="47">
        <f>128+G16</f>
        <v>168.26</v>
      </c>
      <c r="F16" s="47">
        <f>E16*D16</f>
        <v>36.655440999999996</v>
      </c>
      <c r="G16" s="47">
        <v>40.26</v>
      </c>
      <c r="H16" s="48">
        <f>G16*D16</f>
        <v>8.7706409999999995</v>
      </c>
      <c r="I16" s="26"/>
      <c r="J16" s="33"/>
      <c r="K16" s="175"/>
      <c r="L16" s="175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69.75" x14ac:dyDescent="0.35">
      <c r="A17" s="40" t="s">
        <v>182</v>
      </c>
      <c r="B17" s="180" t="s">
        <v>183</v>
      </c>
      <c r="C17" s="46" t="s">
        <v>78</v>
      </c>
      <c r="D17" s="47">
        <f>исходники!B6/1000</f>
        <v>0.62379999999999991</v>
      </c>
      <c r="E17" s="47">
        <f>128+G17</f>
        <v>168.59</v>
      </c>
      <c r="F17" s="47">
        <f t="shared" ref="F17" si="2">E17*D17</f>
        <v>105.16644199999999</v>
      </c>
      <c r="G17" s="47">
        <v>40.590000000000003</v>
      </c>
      <c r="H17" s="48">
        <f t="shared" ref="H17" si="3">G17*D17</f>
        <v>25.320041999999997</v>
      </c>
      <c r="I17" s="26"/>
      <c r="J17" s="33"/>
      <c r="K17" s="175">
        <f>H17/8</f>
        <v>3.1650052499999997</v>
      </c>
      <c r="L17" s="175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81.75" customHeight="1" x14ac:dyDescent="0.35">
      <c r="A18" s="40" t="s">
        <v>73</v>
      </c>
      <c r="B18" s="29" t="s">
        <v>59</v>
      </c>
      <c r="C18" s="46" t="s">
        <v>78</v>
      </c>
      <c r="D18" s="47">
        <f>SUM(исходники!B7:B8)/1000</f>
        <v>2.5084</v>
      </c>
      <c r="E18" s="47">
        <f>129+G18</f>
        <v>171.34</v>
      </c>
      <c r="F18" s="47">
        <f>E18*D18</f>
        <v>429.78925600000002</v>
      </c>
      <c r="G18" s="47">
        <v>42.34</v>
      </c>
      <c r="H18" s="48">
        <f>G18*D18</f>
        <v>106.205656</v>
      </c>
      <c r="I18" s="26"/>
      <c r="J18" s="33"/>
      <c r="K18" s="175">
        <f>H18/8</f>
        <v>13.275707000000001</v>
      </c>
      <c r="L18" s="175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s="15" customFormat="1" ht="69.75" x14ac:dyDescent="0.35">
      <c r="A19" s="40" t="s">
        <v>72</v>
      </c>
      <c r="B19" s="181" t="s">
        <v>61</v>
      </c>
      <c r="C19" s="46" t="s">
        <v>78</v>
      </c>
      <c r="D19" s="47">
        <f>исходники!B9/1000</f>
        <v>10.584</v>
      </c>
      <c r="E19" s="47">
        <f>216+G19</f>
        <v>343.32</v>
      </c>
      <c r="F19" s="47">
        <f>E19*D19</f>
        <v>3633.6988799999999</v>
      </c>
      <c r="G19" s="47">
        <v>127.32</v>
      </c>
      <c r="H19" s="48">
        <f>G19*D19</f>
        <v>1347.5548799999999</v>
      </c>
      <c r="I19" s="26"/>
      <c r="J19" s="33"/>
      <c r="K19" s="175"/>
      <c r="L19" s="175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2.5" x14ac:dyDescent="0.35">
      <c r="A20" s="40" t="s">
        <v>45</v>
      </c>
      <c r="B20" s="29" t="s">
        <v>56</v>
      </c>
      <c r="C20" s="46" t="s">
        <v>78</v>
      </c>
      <c r="D20" s="47">
        <f>SUM(исходники!B3:B8)/1000</f>
        <v>3.35005</v>
      </c>
      <c r="E20" s="47">
        <f>135+G20</f>
        <v>151</v>
      </c>
      <c r="F20" s="47">
        <f>D20*E20</f>
        <v>505.85755</v>
      </c>
      <c r="G20" s="47">
        <v>16</v>
      </c>
      <c r="H20" s="48">
        <f>D20*G20</f>
        <v>53.6008</v>
      </c>
      <c r="I20" s="25"/>
      <c r="J20" s="33"/>
      <c r="K20" s="175"/>
      <c r="L20" s="175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53.25" thickBot="1" x14ac:dyDescent="0.4">
      <c r="A21" s="70" t="s">
        <v>58</v>
      </c>
      <c r="B21" s="178" t="s">
        <v>57</v>
      </c>
      <c r="C21" s="49" t="s">
        <v>78</v>
      </c>
      <c r="D21" s="50">
        <f>исходники!B9/1000</f>
        <v>10.584</v>
      </c>
      <c r="E21" s="50">
        <f>180+G21</f>
        <v>247</v>
      </c>
      <c r="F21" s="50">
        <f>D21*E21</f>
        <v>2614.248</v>
      </c>
      <c r="G21" s="50">
        <v>67</v>
      </c>
      <c r="H21" s="51">
        <f>D21*G21</f>
        <v>709.12799999999993</v>
      </c>
      <c r="I21" s="25"/>
      <c r="J21" s="33"/>
      <c r="K21" s="175"/>
      <c r="L21" s="175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21.75" thickBot="1" x14ac:dyDescent="0.4">
      <c r="A22" s="71"/>
      <c r="B22" s="72"/>
      <c r="C22" s="73"/>
      <c r="D22" s="74"/>
      <c r="E22" s="79"/>
      <c r="F22" s="80">
        <f>SUM(F11:F21)</f>
        <v>22420.087243000002</v>
      </c>
      <c r="G22" s="81"/>
      <c r="H22" s="80">
        <f>SUM(H11:H21)</f>
        <v>4870.2430484999995</v>
      </c>
      <c r="I22" s="25"/>
      <c r="J22" s="33"/>
      <c r="K22" s="175"/>
      <c r="L22" s="175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69.75" x14ac:dyDescent="0.35">
      <c r="A23" s="75" t="s">
        <v>46</v>
      </c>
      <c r="B23" s="56" t="s">
        <v>69</v>
      </c>
      <c r="C23" s="76" t="s">
        <v>40</v>
      </c>
      <c r="D23" s="77">
        <f>'земляные работы'!H18/1000</f>
        <v>13.974057918929654</v>
      </c>
      <c r="E23" s="77">
        <f>G23</f>
        <v>8.0299999999999994</v>
      </c>
      <c r="F23" s="77">
        <f>D23*E23</f>
        <v>112.21168508900512</v>
      </c>
      <c r="G23" s="77">
        <v>8.0299999999999994</v>
      </c>
      <c r="H23" s="78">
        <f>D23*G23</f>
        <v>112.21168508900512</v>
      </c>
      <c r="I23" s="25"/>
      <c r="J23" s="33"/>
      <c r="K23" s="175"/>
      <c r="L23" s="175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5.25" x14ac:dyDescent="0.35">
      <c r="A24" s="20" t="s">
        <v>47</v>
      </c>
      <c r="B24" s="28" t="s">
        <v>67</v>
      </c>
      <c r="C24" s="46" t="s">
        <v>76</v>
      </c>
      <c r="D24" s="47">
        <f>'земляные работы'!I18/100</f>
        <v>7.3547673257524595</v>
      </c>
      <c r="E24" s="47">
        <v>102.91</v>
      </c>
      <c r="F24" s="47">
        <f>D24*E24</f>
        <v>756.87910549318553</v>
      </c>
      <c r="G24" s="47"/>
      <c r="H24" s="48"/>
      <c r="I24" s="25"/>
      <c r="J24" s="33"/>
      <c r="K24" s="175"/>
      <c r="L24" s="175"/>
      <c r="M24" s="13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4"/>
    </row>
    <row r="25" spans="1:29" ht="36" thickBot="1" x14ac:dyDescent="0.4">
      <c r="A25" s="41" t="s">
        <v>48</v>
      </c>
      <c r="B25" s="42" t="s">
        <v>68</v>
      </c>
      <c r="C25" s="49" t="s">
        <v>76</v>
      </c>
      <c r="D25" s="50">
        <f>'земляные работы'!J18/100</f>
        <v>147.09534651504902</v>
      </c>
      <c r="E25" s="50">
        <v>12.53</v>
      </c>
      <c r="F25" s="50">
        <f>D25*E25</f>
        <v>1843.1046918335642</v>
      </c>
      <c r="G25" s="50">
        <v>12.18</v>
      </c>
      <c r="H25" s="51">
        <f>D25*G25</f>
        <v>1791.621320553297</v>
      </c>
      <c r="I25" s="25"/>
      <c r="J25" s="35"/>
      <c r="K25" s="175"/>
      <c r="L25" s="175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/>
    </row>
    <row r="26" spans="1:29" ht="23.25" customHeight="1" thickBot="1" x14ac:dyDescent="0.3">
      <c r="A26" s="84"/>
      <c r="B26" s="85"/>
      <c r="C26" s="85"/>
      <c r="D26" s="85"/>
      <c r="E26" s="85"/>
      <c r="F26" s="80">
        <f>SUM(F23:F25)</f>
        <v>2712.1954824157547</v>
      </c>
      <c r="G26" s="86"/>
      <c r="H26" s="80">
        <f t="shared" ref="H26" si="4">SUM(H23:H25)</f>
        <v>1903.8330056423022</v>
      </c>
    </row>
    <row r="31" spans="1:29" ht="24.75" customHeight="1" x14ac:dyDescent="0.25">
      <c r="E31" s="87" t="s">
        <v>10</v>
      </c>
      <c r="F31" s="88">
        <f>SUM(F10,F22,F26)</f>
        <v>29090.599940659853</v>
      </c>
      <c r="G31" s="88"/>
      <c r="H31" s="88">
        <f>SUM(H10,H22,H26)</f>
        <v>7803.1495242706878</v>
      </c>
    </row>
    <row r="32" spans="1:29" ht="24.75" customHeight="1" x14ac:dyDescent="0.25"/>
    <row r="33" spans="5:8" ht="21" x14ac:dyDescent="0.35">
      <c r="E33" s="182" t="s">
        <v>105</v>
      </c>
      <c r="F33" s="182"/>
      <c r="G33" s="182"/>
      <c r="H33" s="94">
        <f>F31*0.06</f>
        <v>1745.435996439591</v>
      </c>
    </row>
    <row r="34" spans="5:8" ht="18.75" x14ac:dyDescent="0.3">
      <c r="E34" s="95"/>
      <c r="F34" s="95"/>
      <c r="G34" s="95"/>
      <c r="H34" s="93"/>
    </row>
    <row r="35" spans="5:8" ht="21" x14ac:dyDescent="0.35">
      <c r="E35" s="182" t="s">
        <v>106</v>
      </c>
      <c r="F35" s="182"/>
      <c r="G35" s="182"/>
      <c r="H35" s="94">
        <f>F31*0.05</f>
        <v>1454.5299970329927</v>
      </c>
    </row>
    <row r="36" spans="5:8" ht="21" x14ac:dyDescent="0.35">
      <c r="E36" s="96"/>
      <c r="F36" s="95"/>
      <c r="G36" s="95"/>
      <c r="H36" s="93"/>
    </row>
    <row r="37" spans="5:8" ht="21" x14ac:dyDescent="0.35">
      <c r="E37" s="182" t="s">
        <v>102</v>
      </c>
      <c r="F37" s="182"/>
      <c r="G37" s="182"/>
      <c r="H37" s="94">
        <f>F31*0.07</f>
        <v>2036.34199584619</v>
      </c>
    </row>
    <row r="38" spans="5:8" ht="21" x14ac:dyDescent="0.35">
      <c r="E38" s="96"/>
      <c r="F38" s="95"/>
      <c r="G38" s="95"/>
      <c r="H38" s="93"/>
    </row>
    <row r="39" spans="5:8" ht="21" x14ac:dyDescent="0.35">
      <c r="E39" s="182" t="s">
        <v>103</v>
      </c>
      <c r="F39" s="182"/>
      <c r="G39" s="182"/>
      <c r="H39" s="94">
        <f>F31*0.06</f>
        <v>1745.435996439591</v>
      </c>
    </row>
  </sheetData>
  <mergeCells count="11">
    <mergeCell ref="A1:A2"/>
    <mergeCell ref="B1:B2"/>
    <mergeCell ref="C1:C2"/>
    <mergeCell ref="D1:D2"/>
    <mergeCell ref="E1:F1"/>
    <mergeCell ref="E33:G33"/>
    <mergeCell ref="E35:G35"/>
    <mergeCell ref="E37:G37"/>
    <mergeCell ref="E39:G39"/>
    <mergeCell ref="J1:AC1"/>
    <mergeCell ref="G1:H1"/>
  </mergeCells>
  <phoneticPr fontId="1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7"/>
  <sheetViews>
    <sheetView zoomScale="85" zoomScaleNormal="85" workbookViewId="0">
      <selection activeCell="D12" sqref="D12"/>
    </sheetView>
  </sheetViews>
  <sheetFormatPr defaultRowHeight="15" x14ac:dyDescent="0.25"/>
  <cols>
    <col min="1" max="1" width="28.5703125" customWidth="1"/>
    <col min="2" max="3" width="8.140625" customWidth="1"/>
    <col min="4" max="4" width="7.85546875" customWidth="1"/>
    <col min="5" max="5" width="8.140625" customWidth="1"/>
    <col min="6" max="6" width="11" customWidth="1"/>
    <col min="8" max="8" width="8.28515625" customWidth="1"/>
    <col min="9" max="9" width="5.42578125" customWidth="1"/>
    <col min="10" max="10" width="5.85546875" customWidth="1"/>
    <col min="11" max="11" width="18.42578125" customWidth="1"/>
    <col min="12" max="148" width="5.7109375" customWidth="1"/>
    <col min="149" max="205" width="3.7109375" customWidth="1"/>
  </cols>
  <sheetData>
    <row r="1" spans="1:205" ht="43.5" customHeight="1" x14ac:dyDescent="0.25">
      <c r="A1" s="206" t="s">
        <v>79</v>
      </c>
      <c r="B1" s="195" t="s">
        <v>80</v>
      </c>
      <c r="C1" s="208" t="s">
        <v>81</v>
      </c>
      <c r="D1" s="210" t="s">
        <v>82</v>
      </c>
      <c r="E1" s="211"/>
      <c r="F1" s="210" t="s">
        <v>83</v>
      </c>
      <c r="G1" s="211"/>
      <c r="H1" s="195" t="s">
        <v>88</v>
      </c>
      <c r="I1" s="195" t="s">
        <v>89</v>
      </c>
      <c r="J1" s="195" t="s">
        <v>90</v>
      </c>
      <c r="K1" s="197" t="s">
        <v>91</v>
      </c>
      <c r="L1" s="10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25">
      <c r="A2" s="207"/>
      <c r="B2" s="196"/>
      <c r="C2" s="209"/>
      <c r="D2" s="90" t="s">
        <v>84</v>
      </c>
      <c r="E2" s="90" t="s">
        <v>85</v>
      </c>
      <c r="F2" s="90" t="s">
        <v>86</v>
      </c>
      <c r="G2" s="125" t="s">
        <v>87</v>
      </c>
      <c r="H2" s="196"/>
      <c r="I2" s="196"/>
      <c r="J2" s="196"/>
      <c r="K2" s="198"/>
      <c r="L2" s="171">
        <v>1</v>
      </c>
      <c r="M2" s="172">
        <v>2</v>
      </c>
      <c r="N2" s="172">
        <v>3</v>
      </c>
      <c r="O2" s="172">
        <v>4</v>
      </c>
      <c r="P2" s="172">
        <v>5</v>
      </c>
      <c r="Q2" s="172">
        <v>6</v>
      </c>
      <c r="R2" s="172">
        <v>7</v>
      </c>
      <c r="S2" s="172">
        <v>8</v>
      </c>
      <c r="T2" s="172">
        <v>9</v>
      </c>
      <c r="U2" s="172">
        <v>10</v>
      </c>
      <c r="V2" s="172">
        <v>11</v>
      </c>
      <c r="W2" s="172">
        <v>12</v>
      </c>
      <c r="X2" s="172">
        <v>13</v>
      </c>
      <c r="Y2" s="172">
        <v>14</v>
      </c>
      <c r="Z2" s="172">
        <v>15</v>
      </c>
      <c r="AA2" s="172">
        <v>16</v>
      </c>
      <c r="AB2" s="172">
        <v>17</v>
      </c>
      <c r="AC2" s="172">
        <v>18</v>
      </c>
      <c r="AD2" s="172">
        <v>19</v>
      </c>
      <c r="AE2" s="172">
        <v>20</v>
      </c>
      <c r="AF2" s="172">
        <v>21</v>
      </c>
      <c r="AG2" s="172">
        <v>22</v>
      </c>
      <c r="AH2" s="172">
        <v>23</v>
      </c>
      <c r="AI2" s="172">
        <v>24</v>
      </c>
      <c r="AJ2" s="172">
        <v>25</v>
      </c>
      <c r="AK2" s="172">
        <v>26</v>
      </c>
      <c r="AL2" s="172">
        <v>27</v>
      </c>
      <c r="AM2" s="172">
        <v>28</v>
      </c>
      <c r="AN2" s="172">
        <v>29</v>
      </c>
      <c r="AO2" s="172">
        <v>30</v>
      </c>
      <c r="AP2" s="172">
        <v>31</v>
      </c>
      <c r="AQ2" s="172">
        <v>32</v>
      </c>
      <c r="AR2" s="172">
        <v>33</v>
      </c>
      <c r="AS2" s="172">
        <v>34</v>
      </c>
      <c r="AT2" s="172">
        <v>35</v>
      </c>
      <c r="AU2" s="172">
        <v>36</v>
      </c>
      <c r="AV2" s="172">
        <v>37</v>
      </c>
      <c r="AW2" s="172">
        <v>38</v>
      </c>
      <c r="AX2" s="172">
        <v>39</v>
      </c>
      <c r="AY2" s="172">
        <v>40</v>
      </c>
      <c r="AZ2" s="172">
        <v>41</v>
      </c>
      <c r="BA2" s="172">
        <v>42</v>
      </c>
      <c r="BB2" s="172">
        <v>43</v>
      </c>
      <c r="BC2" s="172">
        <v>44</v>
      </c>
      <c r="BD2" s="172">
        <v>45</v>
      </c>
      <c r="BE2" s="172">
        <v>46</v>
      </c>
      <c r="BF2" s="172">
        <v>47</v>
      </c>
      <c r="BG2" s="172">
        <v>48</v>
      </c>
      <c r="BH2" s="172">
        <v>49</v>
      </c>
      <c r="BI2" s="172">
        <v>50</v>
      </c>
      <c r="BJ2" s="172">
        <v>51</v>
      </c>
      <c r="BK2" s="172">
        <v>52</v>
      </c>
      <c r="BL2" s="172">
        <v>53</v>
      </c>
      <c r="BM2" s="172">
        <v>54</v>
      </c>
      <c r="BN2" s="172">
        <v>55</v>
      </c>
      <c r="BO2" s="172">
        <v>56</v>
      </c>
      <c r="BP2" s="172">
        <v>57</v>
      </c>
      <c r="BQ2" s="172">
        <v>58</v>
      </c>
      <c r="BR2" s="172">
        <v>59</v>
      </c>
      <c r="BS2" s="172">
        <v>60</v>
      </c>
      <c r="BT2" s="172">
        <v>61</v>
      </c>
      <c r="BU2" s="172">
        <v>62</v>
      </c>
      <c r="BV2" s="172">
        <v>63</v>
      </c>
      <c r="BW2" s="172">
        <v>64</v>
      </c>
      <c r="BX2" s="172">
        <v>65</v>
      </c>
      <c r="BY2" s="172">
        <v>66</v>
      </c>
      <c r="BZ2" s="172">
        <v>67</v>
      </c>
      <c r="CA2" s="172">
        <v>68</v>
      </c>
      <c r="CB2" s="172">
        <v>69</v>
      </c>
      <c r="CC2" s="172">
        <v>70</v>
      </c>
      <c r="CD2" s="172">
        <v>71</v>
      </c>
      <c r="CE2" s="172">
        <v>72</v>
      </c>
      <c r="CF2" s="172">
        <v>73</v>
      </c>
      <c r="CG2" s="172">
        <v>74</v>
      </c>
      <c r="CH2" s="172">
        <v>75</v>
      </c>
      <c r="CI2" s="172">
        <v>76</v>
      </c>
      <c r="CJ2" s="172">
        <v>77</v>
      </c>
      <c r="CK2" s="172">
        <v>78</v>
      </c>
      <c r="CL2" s="172">
        <v>79</v>
      </c>
      <c r="CM2" s="172">
        <v>80</v>
      </c>
      <c r="CN2" s="172">
        <v>81</v>
      </c>
      <c r="CO2" s="172">
        <v>82</v>
      </c>
      <c r="CP2" s="172">
        <v>83</v>
      </c>
      <c r="CQ2" s="172">
        <v>84</v>
      </c>
      <c r="CR2" s="172">
        <v>85</v>
      </c>
      <c r="CS2" s="172">
        <v>86</v>
      </c>
      <c r="CT2" s="172">
        <v>87</v>
      </c>
      <c r="CU2" s="172">
        <v>88</v>
      </c>
      <c r="CV2" s="172">
        <v>89</v>
      </c>
      <c r="CW2" s="172">
        <v>90</v>
      </c>
      <c r="CX2" s="172">
        <v>91</v>
      </c>
      <c r="CY2" s="172">
        <v>92</v>
      </c>
      <c r="CZ2" s="172">
        <v>93</v>
      </c>
      <c r="DA2" s="172">
        <v>94</v>
      </c>
      <c r="DB2" s="172">
        <v>95</v>
      </c>
      <c r="DC2" s="172">
        <v>96</v>
      </c>
      <c r="DD2" s="172">
        <v>97</v>
      </c>
      <c r="DE2" s="172">
        <v>98</v>
      </c>
      <c r="DF2" s="172">
        <v>99</v>
      </c>
      <c r="DG2" s="172">
        <v>100</v>
      </c>
      <c r="DH2" s="172">
        <v>101</v>
      </c>
      <c r="DI2" s="172">
        <v>102</v>
      </c>
      <c r="DJ2" s="172">
        <v>103</v>
      </c>
      <c r="DK2" s="172">
        <v>104</v>
      </c>
      <c r="DL2" s="172">
        <v>105</v>
      </c>
      <c r="DM2" s="172">
        <v>106</v>
      </c>
      <c r="DN2" s="172">
        <v>107</v>
      </c>
      <c r="DO2" s="172">
        <v>108</v>
      </c>
      <c r="DP2" s="172">
        <v>109</v>
      </c>
      <c r="DQ2" s="172">
        <v>110</v>
      </c>
      <c r="DR2" s="172">
        <v>111</v>
      </c>
      <c r="DS2" s="172">
        <v>112</v>
      </c>
      <c r="DT2" s="172">
        <v>113</v>
      </c>
      <c r="DU2" s="172">
        <v>114</v>
      </c>
      <c r="DV2" s="172">
        <v>115</v>
      </c>
      <c r="DW2" s="172">
        <v>116</v>
      </c>
      <c r="DX2" s="172">
        <v>117</v>
      </c>
      <c r="DY2" s="172">
        <v>118</v>
      </c>
      <c r="DZ2" s="172">
        <v>119</v>
      </c>
      <c r="EA2" s="172">
        <v>120</v>
      </c>
      <c r="EB2" s="172">
        <v>121</v>
      </c>
      <c r="EC2" s="172">
        <v>122</v>
      </c>
      <c r="ED2" s="172">
        <v>123</v>
      </c>
      <c r="EE2" s="172">
        <v>124</v>
      </c>
      <c r="EF2" s="172">
        <v>125</v>
      </c>
      <c r="EG2" s="172">
        <v>126</v>
      </c>
      <c r="EH2" s="172">
        <v>127</v>
      </c>
      <c r="EI2" s="172">
        <v>128</v>
      </c>
      <c r="EJ2" s="172">
        <v>129</v>
      </c>
      <c r="EK2" s="172">
        <v>130</v>
      </c>
      <c r="EL2" s="106">
        <v>131</v>
      </c>
      <c r="EM2" s="106">
        <v>132</v>
      </c>
      <c r="EN2" s="106">
        <v>133</v>
      </c>
      <c r="EO2" s="106">
        <v>134</v>
      </c>
      <c r="EP2" s="106">
        <v>135</v>
      </c>
      <c r="EQ2" s="106">
        <v>136</v>
      </c>
      <c r="ER2" s="106">
        <v>137</v>
      </c>
      <c r="ES2" s="106">
        <v>138</v>
      </c>
      <c r="ET2" s="106">
        <v>139</v>
      </c>
      <c r="EU2" s="106">
        <v>140</v>
      </c>
      <c r="EV2" s="106">
        <v>141</v>
      </c>
      <c r="EW2" s="106">
        <v>142</v>
      </c>
      <c r="EX2" s="106">
        <v>143</v>
      </c>
      <c r="EY2" s="106">
        <v>144</v>
      </c>
      <c r="EZ2" s="106">
        <v>145</v>
      </c>
      <c r="FA2" s="106">
        <v>146</v>
      </c>
      <c r="FB2" s="106">
        <v>147</v>
      </c>
      <c r="FC2" s="106">
        <v>148</v>
      </c>
      <c r="FD2" s="106">
        <v>149</v>
      </c>
      <c r="FE2" s="106">
        <v>150</v>
      </c>
      <c r="FF2" s="106">
        <v>151</v>
      </c>
      <c r="FG2" s="106">
        <v>152</v>
      </c>
      <c r="FH2" s="106">
        <v>153</v>
      </c>
      <c r="FI2" s="106">
        <v>154</v>
      </c>
      <c r="FJ2" s="106">
        <v>155</v>
      </c>
      <c r="FK2" s="106">
        <v>156</v>
      </c>
      <c r="FL2" s="106">
        <v>157</v>
      </c>
      <c r="FM2" s="106">
        <v>158</v>
      </c>
      <c r="FN2" s="106">
        <v>159</v>
      </c>
      <c r="FO2" s="106">
        <v>160</v>
      </c>
      <c r="FP2" s="106">
        <v>161</v>
      </c>
      <c r="FQ2" s="106">
        <v>162</v>
      </c>
      <c r="FR2" s="106">
        <v>163</v>
      </c>
      <c r="FS2" s="106">
        <v>164</v>
      </c>
      <c r="FT2" s="106">
        <v>165</v>
      </c>
      <c r="FU2" s="106">
        <v>166</v>
      </c>
      <c r="FV2" s="106">
        <v>167</v>
      </c>
      <c r="FW2" s="106">
        <v>168</v>
      </c>
      <c r="FX2" s="106">
        <v>169</v>
      </c>
      <c r="FY2" s="106">
        <v>170</v>
      </c>
      <c r="FZ2" s="106">
        <v>171</v>
      </c>
      <c r="GA2" s="106">
        <v>172</v>
      </c>
      <c r="GB2" s="106">
        <v>173</v>
      </c>
      <c r="GC2" s="106">
        <v>174</v>
      </c>
      <c r="GD2" s="106">
        <v>175</v>
      </c>
      <c r="GE2" s="106">
        <v>176</v>
      </c>
      <c r="GF2" s="106">
        <v>177</v>
      </c>
      <c r="GG2" s="106">
        <v>178</v>
      </c>
      <c r="GH2" s="106">
        <v>179</v>
      </c>
      <c r="GI2" s="106">
        <v>180</v>
      </c>
      <c r="GJ2" s="106">
        <v>181</v>
      </c>
      <c r="GK2" s="106">
        <v>182</v>
      </c>
      <c r="GL2" s="106">
        <v>183</v>
      </c>
      <c r="GM2" s="106">
        <v>184</v>
      </c>
      <c r="GN2" s="106">
        <v>185</v>
      </c>
      <c r="GO2" s="106">
        <v>186</v>
      </c>
      <c r="GP2" s="106">
        <v>187</v>
      </c>
      <c r="GQ2" s="106">
        <v>188</v>
      </c>
      <c r="GR2" s="106">
        <v>189</v>
      </c>
      <c r="GS2" s="106">
        <v>190</v>
      </c>
      <c r="GT2" s="106">
        <v>191</v>
      </c>
      <c r="GU2" s="106">
        <v>192</v>
      </c>
      <c r="GV2" s="106">
        <v>193</v>
      </c>
      <c r="GW2" s="106">
        <v>194</v>
      </c>
    </row>
    <row r="3" spans="1:205" ht="15.75" thickBot="1" x14ac:dyDescent="0.3">
      <c r="A3" s="109"/>
      <c r="B3" s="89"/>
      <c r="C3" s="89"/>
      <c r="D3" s="89"/>
      <c r="E3" s="89"/>
      <c r="F3" s="89"/>
      <c r="G3" s="89"/>
      <c r="H3" s="89"/>
      <c r="I3" s="89"/>
      <c r="J3" s="89"/>
      <c r="K3" s="11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</row>
    <row r="4" spans="1:205" ht="34.5" customHeight="1" thickTop="1" x14ac:dyDescent="0.25">
      <c r="A4" s="111" t="s">
        <v>92</v>
      </c>
      <c r="B4" s="97" t="s">
        <v>107</v>
      </c>
      <c r="C4" s="97">
        <v>6</v>
      </c>
      <c r="D4" s="98">
        <f>'объемы работ'!H33/8</f>
        <v>218.17949955494888</v>
      </c>
      <c r="E4" s="97">
        <f>I4*J4*H4</f>
        <v>220</v>
      </c>
      <c r="F4" s="121" t="s">
        <v>108</v>
      </c>
      <c r="G4" s="121" t="s">
        <v>108</v>
      </c>
      <c r="H4" s="101">
        <f>ROUNDUP(D4/(J4*I4),0)</f>
        <v>22</v>
      </c>
      <c r="I4" s="97">
        <v>2</v>
      </c>
      <c r="J4" s="97">
        <v>5</v>
      </c>
      <c r="K4" s="118"/>
      <c r="L4" s="134"/>
      <c r="M4" s="135"/>
      <c r="N4" s="135"/>
      <c r="O4" s="135"/>
      <c r="P4" s="135"/>
      <c r="Q4" s="135"/>
      <c r="R4" s="135"/>
      <c r="S4" s="135"/>
      <c r="T4" s="135"/>
      <c r="U4" s="135">
        <f>J4*I4</f>
        <v>10</v>
      </c>
      <c r="V4" s="136"/>
      <c r="W4" s="136"/>
      <c r="X4" s="136"/>
      <c r="Y4" s="136"/>
      <c r="Z4" s="136"/>
      <c r="AA4" s="136"/>
      <c r="AB4" s="136"/>
      <c r="AC4" s="136"/>
      <c r="AD4" s="136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8"/>
      <c r="GP4" s="128"/>
      <c r="GQ4" s="128"/>
      <c r="GR4" s="128"/>
      <c r="GS4" s="128"/>
      <c r="GT4" s="128"/>
      <c r="GU4" s="128"/>
      <c r="GV4" s="128"/>
      <c r="GW4" s="128"/>
    </row>
    <row r="5" spans="1:205" ht="17.45" customHeight="1" x14ac:dyDescent="0.25">
      <c r="A5" s="112" t="s">
        <v>104</v>
      </c>
      <c r="B5" s="99" t="str">
        <f>'объемы работ'!C4</f>
        <v>1000м^3</v>
      </c>
      <c r="C5" s="99">
        <f>'объемы работ'!D4</f>
        <v>15.338455</v>
      </c>
      <c r="D5" s="202">
        <f>SUM('объемы работ'!F4,'объемы работ'!F5)/8</f>
        <v>50.519293149999996</v>
      </c>
      <c r="E5" s="203">
        <f>H5*I5*J5</f>
        <v>56</v>
      </c>
      <c r="F5" s="205"/>
      <c r="G5" s="205">
        <f>SUM('объемы работ'!H4,'объемы работ'!H5)/8</f>
        <v>50.519293149999996</v>
      </c>
      <c r="H5" s="203">
        <f>ROUNDUP(D5/(J5*I5),0)</f>
        <v>7</v>
      </c>
      <c r="I5" s="199">
        <v>2</v>
      </c>
      <c r="J5" s="199">
        <v>4</v>
      </c>
      <c r="K5" s="200"/>
      <c r="L5" s="201"/>
      <c r="M5" s="192"/>
      <c r="N5" s="192"/>
      <c r="O5" s="194"/>
      <c r="P5" s="194"/>
      <c r="Q5" s="194"/>
      <c r="R5" s="194">
        <f>J5*I5</f>
        <v>8</v>
      </c>
      <c r="S5" s="194"/>
      <c r="T5" s="193"/>
      <c r="U5" s="194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2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</row>
    <row r="6" spans="1:205" ht="15" customHeight="1" x14ac:dyDescent="0.25">
      <c r="A6" s="113" t="s">
        <v>93</v>
      </c>
      <c r="B6" s="100" t="str">
        <f>'объемы работ'!C5</f>
        <v>1000м^2</v>
      </c>
      <c r="C6" s="100">
        <f>'объемы работ'!D5</f>
        <v>557.76199999999994</v>
      </c>
      <c r="D6" s="202"/>
      <c r="E6" s="204"/>
      <c r="F6" s="205"/>
      <c r="G6" s="205"/>
      <c r="H6" s="204"/>
      <c r="I6" s="199"/>
      <c r="J6" s="199"/>
      <c r="K6" s="200"/>
      <c r="L6" s="201"/>
      <c r="M6" s="192"/>
      <c r="N6" s="192"/>
      <c r="O6" s="194"/>
      <c r="P6" s="194"/>
      <c r="Q6" s="194"/>
      <c r="R6" s="194"/>
      <c r="S6" s="194"/>
      <c r="T6" s="193"/>
      <c r="U6" s="194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2"/>
      <c r="BN6" s="192"/>
      <c r="BO6" s="192"/>
      <c r="BP6" s="192"/>
      <c r="BQ6" s="192"/>
      <c r="BR6" s="192"/>
      <c r="BS6" s="192"/>
      <c r="BT6" s="192"/>
      <c r="BU6" s="192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</row>
    <row r="7" spans="1:205" ht="15.75" x14ac:dyDescent="0.25">
      <c r="A7" s="113" t="s">
        <v>94</v>
      </c>
      <c r="B7" s="100" t="str">
        <f>'объемы работ'!C7</f>
        <v>1000м^3</v>
      </c>
      <c r="C7" s="102">
        <f>('объемы работ'!D6+'объемы работ'!D7)</f>
        <v>15.006946317833336</v>
      </c>
      <c r="D7" s="102">
        <f>SUM('объемы работ'!F6,'объемы работ'!F7)/8</f>
        <v>65.041156030261888</v>
      </c>
      <c r="E7" s="103">
        <f>I7*J7*H7</f>
        <v>72</v>
      </c>
      <c r="F7" s="122"/>
      <c r="G7" s="122">
        <f>SUM('объемы работ'!H6,'объемы работ'!H7)/8</f>
        <v>44.758064916048333</v>
      </c>
      <c r="H7" s="101">
        <f>ROUNDUP(D7/(J7*I7),0)</f>
        <v>9</v>
      </c>
      <c r="I7" s="101">
        <v>2</v>
      </c>
      <c r="J7" s="101">
        <v>4</v>
      </c>
      <c r="K7" s="119"/>
      <c r="L7" s="129"/>
      <c r="M7" s="130"/>
      <c r="N7" s="130"/>
      <c r="O7" s="130"/>
      <c r="P7" s="130"/>
      <c r="Q7" s="130"/>
      <c r="R7" s="130"/>
      <c r="S7" s="130"/>
      <c r="T7" s="130"/>
      <c r="U7" s="130"/>
      <c r="V7" s="131"/>
      <c r="W7" s="131"/>
      <c r="X7" s="131"/>
      <c r="Y7" s="131"/>
      <c r="Z7" s="131"/>
      <c r="AA7" s="131">
        <f>J7*I7</f>
        <v>8</v>
      </c>
      <c r="AB7" s="131"/>
      <c r="AC7" s="132"/>
      <c r="AD7" s="131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</row>
    <row r="8" spans="1:205" ht="15.75" x14ac:dyDescent="0.25">
      <c r="A8" s="114" t="s">
        <v>93</v>
      </c>
      <c r="B8" s="105" t="str">
        <f>'объемы работ'!C8</f>
        <v>100м^3</v>
      </c>
      <c r="C8" s="105">
        <f>'объемы работ'!D8</f>
        <v>6.0648774000000003</v>
      </c>
      <c r="D8" s="104">
        <f>'объемы работ'!F8/8</f>
        <v>104.03539070024999</v>
      </c>
      <c r="E8" s="103">
        <f t="shared" ref="E8:E18" si="0">I8*J8*H8</f>
        <v>108</v>
      </c>
      <c r="F8" s="123" t="s">
        <v>108</v>
      </c>
      <c r="G8" s="123" t="s">
        <v>108</v>
      </c>
      <c r="H8" s="101">
        <f t="shared" ref="H8:H18" si="1">ROUNDUP(D8/(J8*I8),0)</f>
        <v>6</v>
      </c>
      <c r="I8" s="103">
        <v>2</v>
      </c>
      <c r="J8" s="103">
        <v>9</v>
      </c>
      <c r="K8" s="120"/>
      <c r="L8" s="129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2"/>
      <c r="AF8" s="131"/>
      <c r="AG8" s="131">
        <f>J8*I8</f>
        <v>18</v>
      </c>
      <c r="AH8" s="131"/>
      <c r="AI8" s="131"/>
      <c r="AJ8" s="131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</row>
    <row r="9" spans="1:205" ht="15.75" x14ac:dyDescent="0.25">
      <c r="A9" s="114" t="s">
        <v>95</v>
      </c>
      <c r="B9" s="105" t="str">
        <f>'объемы работ'!C9</f>
        <v>1м^3</v>
      </c>
      <c r="C9" s="105">
        <f>'объемы работ'!D9</f>
        <v>606.48774000000003</v>
      </c>
      <c r="D9" s="104">
        <f>'объемы работ'!F9/8</f>
        <v>275.19381202500006</v>
      </c>
      <c r="E9" s="103">
        <f t="shared" si="0"/>
        <v>288</v>
      </c>
      <c r="F9" s="123"/>
      <c r="G9" s="123">
        <f>'объемы работ'!H9/8</f>
        <v>33.356825700000002</v>
      </c>
      <c r="H9" s="101">
        <f t="shared" si="1"/>
        <v>16</v>
      </c>
      <c r="I9" s="103">
        <v>2</v>
      </c>
      <c r="J9" s="103">
        <v>9</v>
      </c>
      <c r="K9" s="120"/>
      <c r="L9" s="129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46"/>
      <c r="AI9" s="146">
        <f>AG8+AO9</f>
        <v>36</v>
      </c>
      <c r="AJ9" s="147"/>
      <c r="AK9" s="131"/>
      <c r="AL9" s="131"/>
      <c r="AM9" s="131"/>
      <c r="AN9" s="131"/>
      <c r="AO9" s="131">
        <f>J9*I9</f>
        <v>18</v>
      </c>
      <c r="AP9" s="131"/>
      <c r="AQ9" s="131"/>
      <c r="AR9" s="131"/>
      <c r="AS9" s="131"/>
      <c r="AT9" s="131"/>
      <c r="AU9" s="131"/>
      <c r="AV9" s="131"/>
      <c r="AW9" s="131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</row>
    <row r="10" spans="1:205" ht="50.45" customHeight="1" x14ac:dyDescent="0.25">
      <c r="A10" s="114" t="s">
        <v>113</v>
      </c>
      <c r="B10" s="105" t="str">
        <f>'объемы работ'!C11</f>
        <v>1км</v>
      </c>
      <c r="C10" s="104">
        <f>('объемы работ'!D11+'объемы работ'!D12+'объемы работ'!D13+'объемы работ'!D14+'объемы работ'!D15)</f>
        <v>13.934049999999999</v>
      </c>
      <c r="D10" s="104">
        <f>SUM('объемы работ'!F11:F15)/8</f>
        <v>1886.8339592499999</v>
      </c>
      <c r="E10" s="103">
        <f t="shared" si="0"/>
        <v>1898</v>
      </c>
      <c r="F10" s="123"/>
      <c r="G10" s="126">
        <f>SUM('объемы работ'!H11:H15)/8</f>
        <v>327.45787868749994</v>
      </c>
      <c r="H10" s="101">
        <f t="shared" si="1"/>
        <v>73</v>
      </c>
      <c r="I10" s="103">
        <v>2</v>
      </c>
      <c r="J10" s="103">
        <v>13</v>
      </c>
      <c r="K10" s="120"/>
      <c r="L10" s="129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46"/>
      <c r="AL10" s="146"/>
      <c r="AM10" s="146"/>
      <c r="AN10" s="146"/>
      <c r="AO10" s="146"/>
      <c r="AP10" s="146"/>
      <c r="AQ10" s="146">
        <f>AO9+BJ10</f>
        <v>44</v>
      </c>
      <c r="AR10" s="147"/>
      <c r="AS10" s="146"/>
      <c r="AT10" s="146"/>
      <c r="AU10" s="146"/>
      <c r="AV10" s="146"/>
      <c r="AW10" s="146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>
        <f>J10*I10</f>
        <v>26</v>
      </c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</row>
    <row r="11" spans="1:205" ht="30" x14ac:dyDescent="0.25">
      <c r="A11" s="114" t="s">
        <v>96</v>
      </c>
      <c r="B11" s="105" t="str">
        <f>'объемы работ'!C16</f>
        <v>1км</v>
      </c>
      <c r="C11" s="104">
        <f>SUM('объемы работ'!D16:D19)</f>
        <v>13.934049999999999</v>
      </c>
      <c r="D11" s="104">
        <f>SUM('объемы работ'!F16:F19)/8</f>
        <v>525.66375237499994</v>
      </c>
      <c r="E11" s="103">
        <f t="shared" si="0"/>
        <v>530</v>
      </c>
      <c r="F11" s="123"/>
      <c r="G11" s="123">
        <f>SUM('объемы работ'!H16:H19)/8</f>
        <v>185.98140237499999</v>
      </c>
      <c r="H11" s="101">
        <f t="shared" si="1"/>
        <v>53</v>
      </c>
      <c r="I11" s="103">
        <v>2</v>
      </c>
      <c r="J11" s="103">
        <v>5</v>
      </c>
      <c r="K11" s="120"/>
      <c r="L11" s="129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1"/>
      <c r="AY11" s="146"/>
      <c r="AZ11" s="146"/>
      <c r="BA11" s="146"/>
      <c r="BB11" s="146">
        <f>BJ10+BV11</f>
        <v>36</v>
      </c>
      <c r="BC11" s="146"/>
      <c r="BD11" s="146"/>
      <c r="BE11" s="146"/>
      <c r="BF11" s="146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>
        <f>J11*I11</f>
        <v>10</v>
      </c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</row>
    <row r="12" spans="1:205" ht="31.5" customHeight="1" x14ac:dyDescent="0.25">
      <c r="A12" s="114" t="s">
        <v>97</v>
      </c>
      <c r="B12" s="105" t="str">
        <f>'объемы работ'!C20</f>
        <v>1км</v>
      </c>
      <c r="C12" s="104">
        <f>SUM('объемы работ'!D20:D21)</f>
        <v>13.934049999999999</v>
      </c>
      <c r="D12" s="104">
        <f>SUM('объемы работ'!F20:F21)/8</f>
        <v>390.01319375000003</v>
      </c>
      <c r="E12" s="103">
        <f t="shared" si="0"/>
        <v>396</v>
      </c>
      <c r="F12" s="123"/>
      <c r="G12" s="123">
        <f>SUM('объемы работ'!H20:H21)/8</f>
        <v>95.341099999999997</v>
      </c>
      <c r="H12" s="101">
        <f t="shared" si="1"/>
        <v>18</v>
      </c>
      <c r="I12" s="103">
        <v>2</v>
      </c>
      <c r="J12" s="103">
        <v>11</v>
      </c>
      <c r="K12" s="120"/>
      <c r="L12" s="129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DF12" s="131"/>
      <c r="DG12" s="131"/>
      <c r="DH12" s="131"/>
      <c r="DI12" s="131"/>
      <c r="DJ12" s="131"/>
      <c r="DK12" s="131"/>
      <c r="DL12" s="131">
        <v>22</v>
      </c>
      <c r="DM12" s="131"/>
      <c r="DN12" s="131"/>
      <c r="DO12" s="131"/>
      <c r="DP12" s="131"/>
      <c r="DQ12" s="131"/>
      <c r="DR12" s="131"/>
      <c r="DS12" s="131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</row>
    <row r="13" spans="1:205" ht="30" x14ac:dyDescent="0.25">
      <c r="A13" s="114" t="s">
        <v>98</v>
      </c>
      <c r="B13" s="105" t="str">
        <f>'объемы работ'!C23</f>
        <v>1000м^3</v>
      </c>
      <c r="C13" s="105">
        <f>'объемы работ'!D23</f>
        <v>13.974057918929654</v>
      </c>
      <c r="D13" s="104">
        <f>'объемы работ'!F23/8</f>
        <v>14.026460636125639</v>
      </c>
      <c r="E13" s="103">
        <f t="shared" si="0"/>
        <v>15</v>
      </c>
      <c r="F13" s="123"/>
      <c r="G13" s="123">
        <f>'объемы работ'!H23/8</f>
        <v>14.026460636125639</v>
      </c>
      <c r="H13" s="101">
        <f t="shared" si="1"/>
        <v>5</v>
      </c>
      <c r="I13" s="103">
        <v>1</v>
      </c>
      <c r="J13" s="103">
        <v>3</v>
      </c>
      <c r="K13" s="120"/>
      <c r="L13" s="129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1"/>
      <c r="DU13" s="131"/>
      <c r="DV13" s="131">
        <v>3</v>
      </c>
      <c r="DW13" s="131"/>
      <c r="DX13" s="131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</row>
    <row r="14" spans="1:205" ht="21.75" customHeight="1" x14ac:dyDescent="0.25">
      <c r="A14" s="114" t="s">
        <v>99</v>
      </c>
      <c r="B14" s="105" t="str">
        <f>'объемы работ'!C24</f>
        <v>100м^3</v>
      </c>
      <c r="C14" s="105">
        <f>'объемы работ'!D24</f>
        <v>7.3547673257524595</v>
      </c>
      <c r="D14" s="104">
        <f>'объемы работ'!F24/8</f>
        <v>94.609888186648192</v>
      </c>
      <c r="E14" s="103">
        <f t="shared" si="0"/>
        <v>95</v>
      </c>
      <c r="F14" s="123" t="s">
        <v>108</v>
      </c>
      <c r="G14" s="123" t="s">
        <v>108</v>
      </c>
      <c r="H14" s="101">
        <f>ROUNDUP(D14/(J14*I14),0)</f>
        <v>5</v>
      </c>
      <c r="I14" s="103">
        <v>1</v>
      </c>
      <c r="J14" s="103">
        <v>19</v>
      </c>
      <c r="K14" s="120"/>
      <c r="L14" s="129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1"/>
      <c r="DU14" s="131"/>
      <c r="DV14" s="131">
        <v>19</v>
      </c>
      <c r="DW14" s="131"/>
      <c r="DX14" s="131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</row>
    <row r="15" spans="1:205" ht="30" x14ac:dyDescent="0.25">
      <c r="A15" s="114" t="s">
        <v>100</v>
      </c>
      <c r="B15" s="105" t="str">
        <f>'объемы работ'!C25</f>
        <v>100м^3</v>
      </c>
      <c r="C15" s="105">
        <f>'объемы работ'!D25</f>
        <v>147.09534651504902</v>
      </c>
      <c r="D15" s="104">
        <f>'объемы работ'!F25/8</f>
        <v>230.38808647919552</v>
      </c>
      <c r="E15" s="103">
        <f t="shared" si="0"/>
        <v>242</v>
      </c>
      <c r="F15" s="123"/>
      <c r="G15" s="126">
        <f>'объемы работ'!H25/8</f>
        <v>223.95266506916212</v>
      </c>
      <c r="H15" s="101">
        <f t="shared" si="1"/>
        <v>11</v>
      </c>
      <c r="I15" s="103">
        <v>2</v>
      </c>
      <c r="J15" s="103">
        <v>11</v>
      </c>
      <c r="K15" s="120"/>
      <c r="L15" s="129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1"/>
      <c r="DZ15" s="131"/>
      <c r="EA15" s="131"/>
      <c r="EB15" s="131"/>
      <c r="EC15" s="131"/>
      <c r="ED15" s="131"/>
      <c r="EE15" s="131">
        <v>22</v>
      </c>
      <c r="EF15" s="131"/>
      <c r="EG15" s="131"/>
      <c r="EH15" s="131"/>
      <c r="EI15" s="131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</row>
    <row r="16" spans="1:205" x14ac:dyDescent="0.25">
      <c r="A16" s="114" t="s">
        <v>101</v>
      </c>
      <c r="B16" s="103" t="s">
        <v>107</v>
      </c>
      <c r="C16" s="103">
        <v>5</v>
      </c>
      <c r="D16" s="104">
        <f>'объемы работ'!H35/8</f>
        <v>181.81624962912409</v>
      </c>
      <c r="E16" s="103">
        <f t="shared" si="0"/>
        <v>184</v>
      </c>
      <c r="F16" s="123" t="s">
        <v>108</v>
      </c>
      <c r="G16" s="123" t="s">
        <v>108</v>
      </c>
      <c r="H16" s="101">
        <f t="shared" si="1"/>
        <v>46</v>
      </c>
      <c r="I16" s="103">
        <v>1</v>
      </c>
      <c r="J16" s="103">
        <v>4</v>
      </c>
      <c r="K16" s="120"/>
      <c r="L16" s="129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>
        <v>4</v>
      </c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0"/>
      <c r="ES16" s="130"/>
      <c r="ET16" s="130"/>
      <c r="EU16" s="130"/>
      <c r="EV16" s="130"/>
      <c r="EW16" s="130"/>
      <c r="EX16" s="130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</row>
    <row r="17" spans="1:205" x14ac:dyDescent="0.25">
      <c r="A17" s="114" t="s">
        <v>102</v>
      </c>
      <c r="B17" s="103" t="s">
        <v>107</v>
      </c>
      <c r="C17" s="103">
        <v>7</v>
      </c>
      <c r="D17" s="104">
        <f>'объемы работ'!H37/8</f>
        <v>254.54274948077375</v>
      </c>
      <c r="E17" s="103">
        <f t="shared" si="0"/>
        <v>264</v>
      </c>
      <c r="F17" s="123" t="s">
        <v>108</v>
      </c>
      <c r="G17" s="123" t="s">
        <v>108</v>
      </c>
      <c r="H17" s="101">
        <f t="shared" si="1"/>
        <v>12</v>
      </c>
      <c r="I17" s="103">
        <v>2</v>
      </c>
      <c r="J17" s="103">
        <v>11</v>
      </c>
      <c r="K17" s="120"/>
      <c r="L17" s="129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1"/>
      <c r="EK17" s="131"/>
      <c r="EL17" s="131"/>
      <c r="EM17" s="131"/>
      <c r="EN17" s="131"/>
      <c r="EO17" s="131">
        <v>22</v>
      </c>
      <c r="EP17" s="131"/>
      <c r="EQ17" s="131"/>
      <c r="ER17" s="131"/>
      <c r="ES17" s="131"/>
      <c r="ET17" s="130"/>
      <c r="EU17" s="130"/>
      <c r="EV17" s="130"/>
      <c r="EW17" s="130"/>
      <c r="EX17" s="130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</row>
    <row r="18" spans="1:205" ht="15.75" thickBot="1" x14ac:dyDescent="0.3">
      <c r="A18" s="115" t="s">
        <v>103</v>
      </c>
      <c r="B18" s="116" t="s">
        <v>107</v>
      </c>
      <c r="C18" s="116">
        <v>6</v>
      </c>
      <c r="D18" s="117">
        <f>'объемы работ'!H39/8</f>
        <v>218.17949955494888</v>
      </c>
      <c r="E18" s="116">
        <f t="shared" si="0"/>
        <v>220</v>
      </c>
      <c r="F18" s="124" t="s">
        <v>108</v>
      </c>
      <c r="G18" s="124" t="s">
        <v>108</v>
      </c>
      <c r="H18" s="101">
        <f t="shared" si="1"/>
        <v>10</v>
      </c>
      <c r="I18" s="116">
        <v>2</v>
      </c>
      <c r="J18" s="116">
        <v>11</v>
      </c>
      <c r="K18" s="120"/>
      <c r="L18" s="144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37"/>
      <c r="EU18" s="137"/>
      <c r="EV18" s="137"/>
      <c r="EW18" s="137"/>
      <c r="EX18" s="137">
        <v>22</v>
      </c>
      <c r="EY18" s="137"/>
      <c r="EZ18" s="137"/>
      <c r="FA18" s="137"/>
      <c r="FB18" s="137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</row>
    <row r="26" spans="1:205" x14ac:dyDescent="0.25"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</row>
    <row r="27" spans="1:205" x14ac:dyDescent="0.25">
      <c r="L27" s="170"/>
      <c r="M27" s="170"/>
      <c r="N27" s="170"/>
      <c r="O27" s="170"/>
      <c r="P27" s="170"/>
      <c r="Q27" s="170" t="s">
        <v>114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</row>
    <row r="28" spans="1:205" x14ac:dyDescent="0.25"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</row>
    <row r="29" spans="1:205" x14ac:dyDescent="0.25"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</row>
    <row r="30" spans="1:205" x14ac:dyDescent="0.25"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</row>
    <row r="31" spans="1:205" x14ac:dyDescent="0.25"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</row>
    <row r="32" spans="1:205" x14ac:dyDescent="0.25"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170"/>
      <c r="DY32" s="170"/>
      <c r="DZ32" s="170"/>
      <c r="EA32" s="170"/>
    </row>
    <row r="33" spans="12:141" x14ac:dyDescent="0.25"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</row>
    <row r="34" spans="12:141" x14ac:dyDescent="0.25"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170"/>
      <c r="DY34" s="170"/>
      <c r="DZ34" s="170"/>
      <c r="EA34" s="170"/>
    </row>
    <row r="35" spans="12:141" x14ac:dyDescent="0.25"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</row>
    <row r="36" spans="12:141" x14ac:dyDescent="0.25"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</row>
    <row r="37" spans="12:141" x14ac:dyDescent="0.25">
      <c r="L37" s="173">
        <v>1</v>
      </c>
      <c r="M37" s="173">
        <v>2</v>
      </c>
      <c r="N37" s="173">
        <v>3</v>
      </c>
      <c r="O37" s="173">
        <v>4</v>
      </c>
      <c r="P37" s="173">
        <v>5</v>
      </c>
      <c r="Q37" s="173">
        <v>6</v>
      </c>
      <c r="R37" s="173">
        <v>7</v>
      </c>
      <c r="S37" s="173">
        <v>8</v>
      </c>
      <c r="T37" s="173">
        <v>9</v>
      </c>
      <c r="U37" s="173">
        <v>10</v>
      </c>
      <c r="V37" s="173">
        <v>11</v>
      </c>
      <c r="W37" s="173">
        <v>12</v>
      </c>
      <c r="X37" s="173">
        <v>13</v>
      </c>
      <c r="Y37" s="173">
        <v>14</v>
      </c>
      <c r="Z37" s="173">
        <v>15</v>
      </c>
      <c r="AA37" s="173">
        <v>16</v>
      </c>
      <c r="AB37" s="173">
        <v>17</v>
      </c>
      <c r="AC37" s="173">
        <v>18</v>
      </c>
      <c r="AD37" s="173">
        <v>19</v>
      </c>
      <c r="AE37" s="173">
        <v>20</v>
      </c>
      <c r="AF37" s="173">
        <v>21</v>
      </c>
      <c r="AG37" s="173">
        <v>22</v>
      </c>
      <c r="AH37" s="173">
        <v>23</v>
      </c>
      <c r="AI37" s="173">
        <v>24</v>
      </c>
      <c r="AJ37" s="173">
        <v>25</v>
      </c>
      <c r="AK37" s="173">
        <v>26</v>
      </c>
      <c r="AL37" s="173">
        <v>27</v>
      </c>
      <c r="AM37" s="173">
        <v>28</v>
      </c>
      <c r="AN37" s="173">
        <v>29</v>
      </c>
      <c r="AO37" s="173">
        <v>30</v>
      </c>
      <c r="AP37" s="173">
        <v>31</v>
      </c>
      <c r="AQ37" s="173">
        <v>32</v>
      </c>
      <c r="AR37" s="173">
        <v>33</v>
      </c>
      <c r="AS37" s="173">
        <v>34</v>
      </c>
      <c r="AT37" s="173">
        <v>35</v>
      </c>
      <c r="AU37" s="173">
        <v>36</v>
      </c>
      <c r="AV37" s="173">
        <v>37</v>
      </c>
      <c r="AW37" s="173">
        <v>38</v>
      </c>
      <c r="AX37" s="173">
        <v>39</v>
      </c>
      <c r="AY37" s="173">
        <v>40</v>
      </c>
      <c r="AZ37" s="173">
        <v>41</v>
      </c>
      <c r="BA37" s="173">
        <v>42</v>
      </c>
      <c r="BB37" s="173">
        <v>43</v>
      </c>
      <c r="BC37" s="173">
        <v>44</v>
      </c>
      <c r="BD37" s="173">
        <v>45</v>
      </c>
      <c r="BE37" s="173">
        <v>46</v>
      </c>
      <c r="BF37" s="173">
        <v>47</v>
      </c>
      <c r="BG37" s="173">
        <v>48</v>
      </c>
      <c r="BH37" s="173">
        <v>49</v>
      </c>
      <c r="BI37" s="173">
        <v>50</v>
      </c>
      <c r="BJ37" s="173">
        <v>51</v>
      </c>
      <c r="BK37" s="173">
        <v>52</v>
      </c>
      <c r="BL37" s="173">
        <v>53</v>
      </c>
      <c r="BM37" s="173">
        <v>54</v>
      </c>
      <c r="BN37" s="173">
        <v>55</v>
      </c>
      <c r="BO37" s="173">
        <v>56</v>
      </c>
      <c r="BP37" s="173">
        <v>57</v>
      </c>
      <c r="BQ37" s="173">
        <v>58</v>
      </c>
      <c r="BR37" s="173">
        <v>59</v>
      </c>
      <c r="BS37" s="173">
        <v>60</v>
      </c>
      <c r="BT37" s="173">
        <v>61</v>
      </c>
      <c r="BU37" s="173">
        <v>62</v>
      </c>
      <c r="BV37" s="173">
        <v>63</v>
      </c>
      <c r="BW37" s="173">
        <v>64</v>
      </c>
      <c r="BX37" s="173">
        <v>65</v>
      </c>
      <c r="BY37" s="173">
        <v>66</v>
      </c>
      <c r="BZ37" s="173">
        <v>67</v>
      </c>
      <c r="CA37" s="173">
        <v>68</v>
      </c>
      <c r="CB37" s="173">
        <v>69</v>
      </c>
      <c r="CC37" s="173">
        <v>70</v>
      </c>
      <c r="CD37" s="173">
        <v>71</v>
      </c>
      <c r="CE37" s="173">
        <v>72</v>
      </c>
      <c r="CF37" s="173">
        <v>73</v>
      </c>
      <c r="CG37" s="173">
        <v>74</v>
      </c>
      <c r="CH37" s="173">
        <v>75</v>
      </c>
      <c r="CI37" s="173">
        <v>76</v>
      </c>
      <c r="CJ37" s="173">
        <v>77</v>
      </c>
      <c r="CK37" s="173">
        <v>78</v>
      </c>
      <c r="CL37" s="173">
        <v>79</v>
      </c>
      <c r="CM37" s="173">
        <v>80</v>
      </c>
      <c r="CN37" s="173">
        <v>81</v>
      </c>
      <c r="CO37" s="173">
        <v>82</v>
      </c>
      <c r="CP37" s="173">
        <v>83</v>
      </c>
      <c r="CQ37" s="173">
        <v>84</v>
      </c>
      <c r="CR37" s="173">
        <v>85</v>
      </c>
      <c r="CS37" s="173">
        <v>86</v>
      </c>
      <c r="CT37" s="173">
        <v>87</v>
      </c>
      <c r="CU37" s="173">
        <v>88</v>
      </c>
      <c r="CV37" s="173">
        <v>89</v>
      </c>
      <c r="CW37" s="173">
        <v>90</v>
      </c>
      <c r="CX37" s="173">
        <v>91</v>
      </c>
      <c r="CY37" s="173">
        <v>92</v>
      </c>
      <c r="CZ37" s="173">
        <v>93</v>
      </c>
      <c r="DA37" s="173">
        <v>94</v>
      </c>
      <c r="DB37" s="173">
        <v>95</v>
      </c>
      <c r="DC37" s="173">
        <v>96</v>
      </c>
      <c r="DD37" s="173">
        <v>97</v>
      </c>
      <c r="DE37" s="173">
        <v>98</v>
      </c>
      <c r="DF37" s="173">
        <v>99</v>
      </c>
      <c r="DG37" s="173">
        <v>100</v>
      </c>
      <c r="DH37" s="173">
        <v>101</v>
      </c>
      <c r="DI37" s="173">
        <v>102</v>
      </c>
      <c r="DJ37" s="173">
        <v>103</v>
      </c>
      <c r="DK37" s="173">
        <v>104</v>
      </c>
      <c r="DL37" s="173">
        <v>105</v>
      </c>
      <c r="DM37" s="173">
        <v>106</v>
      </c>
      <c r="DN37" s="173">
        <v>107</v>
      </c>
      <c r="DO37" s="173">
        <v>108</v>
      </c>
      <c r="DP37" s="173">
        <v>109</v>
      </c>
      <c r="DQ37" s="173">
        <v>110</v>
      </c>
      <c r="DR37" s="173">
        <v>111</v>
      </c>
      <c r="DS37" s="173">
        <v>112</v>
      </c>
      <c r="DT37" s="173">
        <v>113</v>
      </c>
      <c r="DU37" s="173">
        <v>114</v>
      </c>
      <c r="DV37" s="173">
        <v>115</v>
      </c>
      <c r="DW37" s="173">
        <v>116</v>
      </c>
      <c r="DX37" s="173">
        <v>117</v>
      </c>
      <c r="DY37" s="173">
        <v>118</v>
      </c>
      <c r="DZ37" s="173">
        <v>119</v>
      </c>
      <c r="EA37" s="173">
        <v>120</v>
      </c>
      <c r="EB37" s="173">
        <v>121</v>
      </c>
      <c r="EC37" s="173">
        <v>122</v>
      </c>
      <c r="ED37" s="173">
        <v>123</v>
      </c>
      <c r="EE37" s="173">
        <v>124</v>
      </c>
      <c r="EF37" s="173">
        <v>125</v>
      </c>
      <c r="EG37" s="173">
        <v>126</v>
      </c>
      <c r="EH37" s="173">
        <v>127</v>
      </c>
      <c r="EI37" s="173">
        <v>128</v>
      </c>
      <c r="EJ37" s="173">
        <v>129</v>
      </c>
      <c r="EK37" s="173">
        <v>130</v>
      </c>
    </row>
  </sheetData>
  <mergeCells count="97">
    <mergeCell ref="H1:H2"/>
    <mergeCell ref="A1:A2"/>
    <mergeCell ref="B1:B2"/>
    <mergeCell ref="C1:C2"/>
    <mergeCell ref="D1:E1"/>
    <mergeCell ref="F1:G1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tabSelected="1" workbookViewId="0">
      <selection activeCell="A20" sqref="A20"/>
    </sheetView>
  </sheetViews>
  <sheetFormatPr defaultRowHeight="15" x14ac:dyDescent="0.25"/>
  <cols>
    <col min="1" max="1" width="24.7109375" customWidth="1"/>
    <col min="2" max="2" width="15.7109375" customWidth="1"/>
    <col min="3" max="3" width="15.28515625" customWidth="1"/>
    <col min="4" max="4" width="20.28515625" customWidth="1"/>
  </cols>
  <sheetData>
    <row r="1" spans="1:11" ht="30" x14ac:dyDescent="0.25">
      <c r="A1" s="138" t="s">
        <v>115</v>
      </c>
      <c r="B1" s="138" t="s">
        <v>116</v>
      </c>
      <c r="C1" s="138" t="s">
        <v>117</v>
      </c>
      <c r="D1" s="138" t="s">
        <v>118</v>
      </c>
    </row>
    <row r="2" spans="1:11" ht="30" x14ac:dyDescent="0.25">
      <c r="A2" s="139" t="s">
        <v>131</v>
      </c>
      <c r="B2" s="140" t="s">
        <v>119</v>
      </c>
      <c r="C2" s="140">
        <v>150</v>
      </c>
      <c r="D2" s="140" t="s">
        <v>123</v>
      </c>
    </row>
    <row r="3" spans="1:11" ht="30" x14ac:dyDescent="0.25">
      <c r="A3" s="139" t="s">
        <v>132</v>
      </c>
      <c r="B3" s="140" t="s">
        <v>120</v>
      </c>
      <c r="C3" s="140">
        <f>исходники!B10</f>
        <v>13934.05</v>
      </c>
      <c r="D3" s="140" t="s">
        <v>124</v>
      </c>
    </row>
    <row r="4" spans="1:11" ht="18" x14ac:dyDescent="0.25">
      <c r="A4" s="139" t="s">
        <v>133</v>
      </c>
      <c r="B4" s="140" t="s">
        <v>121</v>
      </c>
      <c r="C4" s="140">
        <f>SUM('календарный план'!E4:E18)</f>
        <v>4588</v>
      </c>
      <c r="D4" s="140" t="s">
        <v>125</v>
      </c>
    </row>
    <row r="5" spans="1:11" ht="30" x14ac:dyDescent="0.25">
      <c r="A5" s="139" t="s">
        <v>134</v>
      </c>
      <c r="B5" s="140" t="s">
        <v>121</v>
      </c>
      <c r="C5" s="143">
        <f>C4/C3</f>
        <v>0.32926536075297563</v>
      </c>
      <c r="D5" s="140" t="s">
        <v>126</v>
      </c>
    </row>
    <row r="6" spans="1:11" ht="30" x14ac:dyDescent="0.25">
      <c r="A6" s="139" t="s">
        <v>135</v>
      </c>
      <c r="B6" s="140" t="s">
        <v>122</v>
      </c>
      <c r="C6" s="140">
        <v>44</v>
      </c>
      <c r="D6" s="140" t="s">
        <v>127</v>
      </c>
    </row>
    <row r="7" spans="1:11" ht="30" x14ac:dyDescent="0.25">
      <c r="A7" s="139" t="s">
        <v>136</v>
      </c>
      <c r="B7" s="140" t="s">
        <v>122</v>
      </c>
      <c r="C7" s="140">
        <f>ROUNDUP(C4/C2,0)</f>
        <v>31</v>
      </c>
      <c r="D7" s="140" t="s">
        <v>128</v>
      </c>
    </row>
    <row r="8" spans="1:11" ht="37.9" customHeight="1" x14ac:dyDescent="0.25">
      <c r="A8" s="139" t="s">
        <v>137</v>
      </c>
      <c r="B8" s="140" t="s">
        <v>108</v>
      </c>
      <c r="C8" s="140">
        <f>(K8*H8+K9*H9)/H10</f>
        <v>1.8088737201365188</v>
      </c>
      <c r="D8" s="140" t="s">
        <v>129</v>
      </c>
      <c r="G8" t="s">
        <v>139</v>
      </c>
      <c r="H8">
        <f>SUMIF('календарный план'!$I$4:$I$18,1,'календарный план'!$H$4:$H$18)</f>
        <v>56</v>
      </c>
      <c r="J8" t="s">
        <v>142</v>
      </c>
      <c r="K8">
        <v>1</v>
      </c>
    </row>
    <row r="9" spans="1:11" ht="30.75" thickBot="1" x14ac:dyDescent="0.3">
      <c r="A9" s="141" t="s">
        <v>138</v>
      </c>
      <c r="B9" s="142" t="s">
        <v>108</v>
      </c>
      <c r="C9" s="142">
        <f>H10/C2</f>
        <v>1.9533333333333334</v>
      </c>
      <c r="D9" s="142" t="s">
        <v>130</v>
      </c>
      <c r="G9" t="s">
        <v>140</v>
      </c>
      <c r="H9">
        <f>SUMIF('календарный план'!$I$4:$I$18,2,'календарный план'!$H$4:$H$18)</f>
        <v>237</v>
      </c>
      <c r="J9" t="s">
        <v>143</v>
      </c>
      <c r="K9">
        <v>2</v>
      </c>
    </row>
    <row r="10" spans="1:11" ht="15.75" thickTop="1" x14ac:dyDescent="0.25">
      <c r="G10" t="s">
        <v>141</v>
      </c>
      <c r="H10">
        <f>SUM(H8:H9)</f>
        <v>293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topLeftCell="A13" workbookViewId="0">
      <selection activeCell="C3" sqref="C3"/>
    </sheetView>
  </sheetViews>
  <sheetFormatPr defaultRowHeight="15" x14ac:dyDescent="0.25"/>
  <cols>
    <col min="1" max="1" width="17.28515625" customWidth="1"/>
    <col min="2" max="2" width="15.5703125" customWidth="1"/>
    <col min="3" max="3" width="14.140625" customWidth="1"/>
    <col min="4" max="4" width="20.140625" customWidth="1"/>
    <col min="5" max="5" width="19.28515625" customWidth="1"/>
    <col min="6" max="6" width="16.140625" customWidth="1"/>
    <col min="7" max="7" width="13" customWidth="1"/>
    <col min="8" max="8" width="15.7109375" customWidth="1"/>
  </cols>
  <sheetData>
    <row r="1" spans="1:2" x14ac:dyDescent="0.25">
      <c r="A1" t="s">
        <v>144</v>
      </c>
      <c r="B1">
        <f>1.05*(B4+SUM(B5:B7)*1.3*0.5)</f>
        <v>50.977499999999999</v>
      </c>
    </row>
    <row r="4" spans="1:2" x14ac:dyDescent="0.25">
      <c r="A4" t="s">
        <v>145</v>
      </c>
      <c r="B4">
        <f>ТЭП!C6</f>
        <v>44</v>
      </c>
    </row>
    <row r="5" spans="1:2" x14ac:dyDescent="0.25">
      <c r="A5" t="s">
        <v>148</v>
      </c>
      <c r="B5">
        <f>ROUND($B$4*0.08,0)</f>
        <v>4</v>
      </c>
    </row>
    <row r="6" spans="1:2" x14ac:dyDescent="0.25">
      <c r="A6" t="s">
        <v>147</v>
      </c>
      <c r="B6">
        <f>ROUND($B$4*0.05,0)</f>
        <v>2</v>
      </c>
    </row>
    <row r="7" spans="1:2" x14ac:dyDescent="0.25">
      <c r="A7" t="s">
        <v>146</v>
      </c>
      <c r="B7">
        <f>ROUND($B$4*0.03,0)</f>
        <v>1</v>
      </c>
    </row>
    <row r="10" spans="1:2" x14ac:dyDescent="0.25">
      <c r="A10" t="s">
        <v>149</v>
      </c>
      <c r="B10">
        <f>ROUND(B1*0.3,0)</f>
        <v>15</v>
      </c>
    </row>
    <row r="11" spans="1:2" x14ac:dyDescent="0.25">
      <c r="A11" t="s">
        <v>150</v>
      </c>
      <c r="B11">
        <f>ROUND(B1*0.7,0)</f>
        <v>36</v>
      </c>
    </row>
    <row r="13" spans="1:2" x14ac:dyDescent="0.25">
      <c r="A13" t="s">
        <v>152</v>
      </c>
      <c r="B13">
        <f>1.04*B11</f>
        <v>37.44</v>
      </c>
    </row>
    <row r="14" spans="1:2" x14ac:dyDescent="0.25">
      <c r="A14" t="s">
        <v>151</v>
      </c>
      <c r="B14">
        <f>1.04*B10</f>
        <v>15.600000000000001</v>
      </c>
    </row>
    <row r="17" spans="1:8" ht="90.75" thickBot="1" x14ac:dyDescent="0.3">
      <c r="A17" s="156" t="s">
        <v>153</v>
      </c>
      <c r="B17" s="156" t="s">
        <v>154</v>
      </c>
      <c r="C17" s="156" t="s">
        <v>155</v>
      </c>
      <c r="D17" s="156" t="s">
        <v>156</v>
      </c>
      <c r="E17" s="156" t="s">
        <v>157</v>
      </c>
      <c r="F17" s="156" t="s">
        <v>158</v>
      </c>
      <c r="G17" s="156" t="s">
        <v>159</v>
      </c>
      <c r="H17" s="156" t="s">
        <v>160</v>
      </c>
    </row>
    <row r="18" spans="1:8" ht="15.75" x14ac:dyDescent="0.25">
      <c r="A18" s="150" t="s">
        <v>161</v>
      </c>
      <c r="B18" s="151"/>
      <c r="C18" s="212">
        <v>1.5</v>
      </c>
      <c r="D18" s="151"/>
      <c r="E18" s="157"/>
      <c r="F18" s="212" t="s">
        <v>164</v>
      </c>
      <c r="G18" s="157"/>
      <c r="H18" s="158"/>
    </row>
    <row r="19" spans="1:8" ht="15.75" x14ac:dyDescent="0.25">
      <c r="A19" s="152" t="s">
        <v>162</v>
      </c>
      <c r="B19" s="148">
        <f>B11</f>
        <v>36</v>
      </c>
      <c r="C19" s="213"/>
      <c r="D19" s="148">
        <f>B19*C18</f>
        <v>54</v>
      </c>
      <c r="E19" s="149">
        <v>14.4</v>
      </c>
      <c r="F19" s="213"/>
      <c r="G19" s="149" t="s">
        <v>178</v>
      </c>
      <c r="H19" s="159">
        <v>2</v>
      </c>
    </row>
    <row r="20" spans="1:8" ht="16.5" thickBot="1" x14ac:dyDescent="0.3">
      <c r="A20" s="153" t="s">
        <v>163</v>
      </c>
      <c r="B20" s="160">
        <f>B10</f>
        <v>15</v>
      </c>
      <c r="C20" s="214"/>
      <c r="D20" s="155">
        <f>B20*C18</f>
        <v>22.5</v>
      </c>
      <c r="E20" s="161">
        <v>24.5</v>
      </c>
      <c r="F20" s="214"/>
      <c r="G20" s="161" t="s">
        <v>177</v>
      </c>
      <c r="H20" s="162">
        <v>2</v>
      </c>
    </row>
    <row r="21" spans="1:8" ht="15.75" x14ac:dyDescent="0.25">
      <c r="A21" s="150" t="s">
        <v>166</v>
      </c>
      <c r="B21" s="151"/>
      <c r="C21" s="212">
        <v>0.54</v>
      </c>
      <c r="D21" s="151"/>
      <c r="E21" s="212">
        <v>24.4</v>
      </c>
      <c r="F21" s="212" t="s">
        <v>164</v>
      </c>
      <c r="G21" s="212" t="s">
        <v>167</v>
      </c>
      <c r="H21" s="215">
        <v>1</v>
      </c>
    </row>
    <row r="22" spans="1:8" ht="15.75" x14ac:dyDescent="0.25">
      <c r="A22" s="152" t="s">
        <v>162</v>
      </c>
      <c r="B22" s="148">
        <f>B11</f>
        <v>36</v>
      </c>
      <c r="C22" s="213"/>
      <c r="D22" s="148">
        <f>B22*C21</f>
        <v>19.440000000000001</v>
      </c>
      <c r="E22" s="213"/>
      <c r="F22" s="213"/>
      <c r="G22" s="213"/>
      <c r="H22" s="216"/>
    </row>
    <row r="23" spans="1:8" ht="16.5" thickBot="1" x14ac:dyDescent="0.3">
      <c r="A23" s="153" t="s">
        <v>163</v>
      </c>
      <c r="B23" s="154">
        <f>B10</f>
        <v>15</v>
      </c>
      <c r="C23" s="214"/>
      <c r="D23" s="155">
        <f>B23*C21</f>
        <v>8.1000000000000014</v>
      </c>
      <c r="E23" s="214"/>
      <c r="F23" s="214"/>
      <c r="G23" s="214"/>
      <c r="H23" s="217"/>
    </row>
    <row r="24" spans="1:8" ht="32.25" thickBot="1" x14ac:dyDescent="0.3">
      <c r="A24" s="163" t="s">
        <v>168</v>
      </c>
      <c r="B24" s="164">
        <v>2</v>
      </c>
      <c r="C24" s="164" t="s">
        <v>169</v>
      </c>
      <c r="D24" s="164">
        <v>9</v>
      </c>
      <c r="E24" s="164" t="s">
        <v>170</v>
      </c>
      <c r="F24" s="164" t="s">
        <v>171</v>
      </c>
      <c r="G24" s="164" t="s">
        <v>165</v>
      </c>
      <c r="H24" s="165">
        <v>1</v>
      </c>
    </row>
    <row r="25" spans="1:8" ht="15.6" customHeight="1" x14ac:dyDescent="0.25">
      <c r="A25" s="221" t="s">
        <v>172</v>
      </c>
      <c r="B25" s="212">
        <f>ROUND(B1,0)</f>
        <v>51</v>
      </c>
      <c r="C25" s="212">
        <v>0.2</v>
      </c>
      <c r="D25" s="212">
        <f>C25*B25</f>
        <v>10.200000000000001</v>
      </c>
      <c r="E25" s="212" t="s">
        <v>173</v>
      </c>
      <c r="F25" s="212" t="s">
        <v>164</v>
      </c>
      <c r="G25" s="212" t="s">
        <v>174</v>
      </c>
      <c r="H25" s="215">
        <v>1</v>
      </c>
    </row>
    <row r="26" spans="1:8" ht="15.6" customHeight="1" thickBot="1" x14ac:dyDescent="0.3">
      <c r="A26" s="222"/>
      <c r="B26" s="214"/>
      <c r="C26" s="214"/>
      <c r="D26" s="214"/>
      <c r="E26" s="214"/>
      <c r="F26" s="214"/>
      <c r="G26" s="214"/>
      <c r="H26" s="217"/>
    </row>
    <row r="27" spans="1:8" ht="15.75" x14ac:dyDescent="0.25">
      <c r="A27" s="150" t="s">
        <v>175</v>
      </c>
      <c r="B27" s="157"/>
      <c r="C27" s="212">
        <v>0.1</v>
      </c>
      <c r="D27" s="151"/>
      <c r="E27" s="212">
        <v>2.1</v>
      </c>
      <c r="F27" s="212" t="s">
        <v>164</v>
      </c>
      <c r="G27" s="212" t="s">
        <v>176</v>
      </c>
      <c r="H27" s="218">
        <v>3</v>
      </c>
    </row>
    <row r="28" spans="1:8" ht="15.75" x14ac:dyDescent="0.25">
      <c r="A28" s="152" t="s">
        <v>162</v>
      </c>
      <c r="B28" s="149">
        <f>B11</f>
        <v>36</v>
      </c>
      <c r="C28" s="213"/>
      <c r="D28" s="148">
        <f>B28*$C$27</f>
        <v>3.6</v>
      </c>
      <c r="E28" s="213"/>
      <c r="F28" s="213"/>
      <c r="G28" s="213"/>
      <c r="H28" s="219"/>
    </row>
    <row r="29" spans="1:8" ht="16.5" thickBot="1" x14ac:dyDescent="0.3">
      <c r="A29" s="153" t="s">
        <v>163</v>
      </c>
      <c r="B29" s="161">
        <f>B10</f>
        <v>15</v>
      </c>
      <c r="C29" s="214"/>
      <c r="D29" s="160">
        <f>B29*$C$27</f>
        <v>1.5</v>
      </c>
      <c r="E29" s="214"/>
      <c r="F29" s="214"/>
      <c r="G29" s="214"/>
      <c r="H29" s="220"/>
    </row>
    <row r="30" spans="1:8" ht="31.15" customHeight="1" x14ac:dyDescent="0.25">
      <c r="A30" s="223" t="s">
        <v>179</v>
      </c>
      <c r="B30" s="212">
        <f>ROUND(B1,0)</f>
        <v>51</v>
      </c>
      <c r="C30" s="225">
        <v>1</v>
      </c>
      <c r="D30" s="225">
        <f>B30*C30</f>
        <v>51</v>
      </c>
      <c r="E30" s="166">
        <v>14.4</v>
      </c>
      <c r="F30" s="212" t="s">
        <v>164</v>
      </c>
      <c r="G30" s="166" t="s">
        <v>178</v>
      </c>
      <c r="H30" s="167">
        <v>2</v>
      </c>
    </row>
    <row r="31" spans="1:8" ht="15.75" thickBot="1" x14ac:dyDescent="0.3">
      <c r="A31" s="224"/>
      <c r="B31" s="214"/>
      <c r="C31" s="226"/>
      <c r="D31" s="226"/>
      <c r="E31" s="168">
        <v>23.5</v>
      </c>
      <c r="F31" s="214"/>
      <c r="G31" s="168" t="s">
        <v>180</v>
      </c>
      <c r="H31" s="169">
        <v>1</v>
      </c>
    </row>
  </sheetData>
  <mergeCells count="25">
    <mergeCell ref="A30:A31"/>
    <mergeCell ref="C27:C29"/>
    <mergeCell ref="G27:G29"/>
    <mergeCell ref="F27:F29"/>
    <mergeCell ref="E27:E29"/>
    <mergeCell ref="B30:B31"/>
    <mergeCell ref="C30:C31"/>
    <mergeCell ref="D30:D31"/>
    <mergeCell ref="F30:F31"/>
    <mergeCell ref="H27:H29"/>
    <mergeCell ref="H25:H26"/>
    <mergeCell ref="F25:F26"/>
    <mergeCell ref="A25:A26"/>
    <mergeCell ref="B25:B26"/>
    <mergeCell ref="C25:C26"/>
    <mergeCell ref="D25:D26"/>
    <mergeCell ref="E25:E26"/>
    <mergeCell ref="G25:G26"/>
    <mergeCell ref="C18:C20"/>
    <mergeCell ref="G21:G23"/>
    <mergeCell ref="H21:H23"/>
    <mergeCell ref="F18:F20"/>
    <mergeCell ref="F21:F23"/>
    <mergeCell ref="C21:C23"/>
    <mergeCell ref="E21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2021-06-12T17:15:51Z</dcterms:modified>
</cp:coreProperties>
</file>