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3BB8E68C-E13A-4468-A8D8-B341FB697B4E}" xr6:coauthVersionLast="47" xr6:coauthVersionMax="47" xr10:uidLastSave="{00000000-0000-0000-0000-000000000000}"/>
  <bookViews>
    <workbookView xWindow="22932" yWindow="-108" windowWidth="23256" windowHeight="12576" firstSheet="2" activeTab="3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D19" i="6"/>
  <c r="K12" i="2"/>
  <c r="K13" i="2"/>
  <c r="K14" i="2"/>
  <c r="K15" i="2"/>
  <c r="K16" i="2"/>
  <c r="K17" i="2"/>
  <c r="K18" i="2"/>
  <c r="K11" i="2"/>
  <c r="B1" i="6"/>
  <c r="B25" i="6" s="1"/>
  <c r="D25" i="6" s="1"/>
  <c r="B30" i="6"/>
  <c r="D30" i="6" s="1"/>
  <c r="BB11" i="4"/>
  <c r="BV11" i="4"/>
  <c r="BJ10" i="4"/>
  <c r="AQ10" i="4" s="1"/>
  <c r="AI9" i="4"/>
  <c r="AO9" i="4"/>
  <c r="AG8" i="4"/>
  <c r="AA7" i="4"/>
  <c r="R5" i="4"/>
  <c r="U4" i="4"/>
  <c r="B4" i="6"/>
  <c r="B6" i="6" s="1"/>
  <c r="B7" i="6" l="1"/>
  <c r="B5" i="6"/>
  <c r="C3" i="5"/>
  <c r="E22" i="3"/>
  <c r="B24" i="1"/>
  <c r="B3" i="1"/>
  <c r="D14" i="1"/>
  <c r="B14" i="4"/>
  <c r="B15" i="4"/>
  <c r="B13" i="4"/>
  <c r="D19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8" i="3"/>
  <c r="H18" i="3" s="1"/>
  <c r="D17" i="3"/>
  <c r="H17" i="3" s="1"/>
  <c r="D16" i="3"/>
  <c r="D20" i="3"/>
  <c r="H20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8" i="3"/>
  <c r="C11" i="4"/>
  <c r="C12" i="4"/>
  <c r="B19" i="6"/>
  <c r="B13" i="6"/>
  <c r="B20" i="6"/>
  <c r="D20" i="6" s="1"/>
  <c r="B14" i="6"/>
  <c r="E18" i="2"/>
  <c r="C14" i="2"/>
  <c r="D14" i="2" s="1"/>
  <c r="F17" i="3"/>
  <c r="F20" i="3"/>
  <c r="F12" i="3"/>
  <c r="F19" i="3"/>
  <c r="F15" i="3"/>
  <c r="F14" i="3"/>
  <c r="F13" i="3"/>
  <c r="H11" i="3"/>
  <c r="G10" i="4" s="1"/>
  <c r="H16" i="3"/>
  <c r="G11" i="4" s="1"/>
  <c r="F16" i="3"/>
  <c r="D11" i="4" s="1"/>
  <c r="H11" i="4" s="1"/>
  <c r="H19" i="3"/>
  <c r="F11" i="3"/>
  <c r="D10" i="4" s="1"/>
  <c r="H10" i="4" s="1"/>
  <c r="E10" i="4" s="1"/>
  <c r="E11" i="4" l="1"/>
  <c r="F21" i="3"/>
  <c r="D12" i="4"/>
  <c r="H12" i="4" s="1"/>
  <c r="E12" i="4" s="1"/>
  <c r="H21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2" i="3" s="1"/>
  <c r="J18" i="2"/>
  <c r="D24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3" i="3" s="1"/>
  <c r="C13" i="4" l="1"/>
  <c r="F22" i="3"/>
  <c r="D13" i="4" s="1"/>
  <c r="H8" i="4"/>
  <c r="E8" i="4" s="1"/>
  <c r="E9" i="4"/>
  <c r="D7" i="4"/>
  <c r="H7" i="4" s="1"/>
  <c r="E7" i="4" s="1"/>
  <c r="H13" i="4"/>
  <c r="H22" i="3"/>
  <c r="G13" i="4" s="1"/>
  <c r="C15" i="4"/>
  <c r="F24" i="3"/>
  <c r="D15" i="4" s="1"/>
  <c r="H15" i="4" s="1"/>
  <c r="E15" i="4" s="1"/>
  <c r="H24" i="3"/>
  <c r="C14" i="4"/>
  <c r="F23" i="3"/>
  <c r="G7" i="4"/>
  <c r="H10" i="3"/>
  <c r="E13" i="4" l="1"/>
  <c r="G15" i="4"/>
  <c r="H25" i="3"/>
  <c r="H30" i="3" s="1"/>
  <c r="F25" i="3"/>
  <c r="F30" i="3" s="1"/>
  <c r="H14" i="4" l="1"/>
  <c r="H34" i="3"/>
  <c r="D16" i="4" s="1"/>
  <c r="H16" i="4" s="1"/>
  <c r="H9" i="5" s="1"/>
  <c r="H38" i="3"/>
  <c r="D18" i="4" s="1"/>
  <c r="H18" i="4" s="1"/>
  <c r="E18" i="4" s="1"/>
  <c r="H32" i="3"/>
  <c r="D4" i="4" s="1"/>
  <c r="H4" i="4" s="1"/>
  <c r="E4" i="4" s="1"/>
  <c r="H36" i="3"/>
  <c r="D17" i="4" s="1"/>
  <c r="H17" i="4" s="1"/>
  <c r="E17" i="4" s="1"/>
  <c r="E14" i="4" l="1"/>
  <c r="H8" i="5"/>
  <c r="E16" i="4"/>
  <c r="C4" i="5" l="1"/>
  <c r="C5" i="5" s="1"/>
  <c r="H10" i="5"/>
  <c r="C7" i="5" l="1"/>
  <c r="C9" i="5"/>
  <c r="C8" i="5"/>
</calcChain>
</file>

<file path=xl/sharedStrings.xml><?xml version="1.0" encoding="utf-8"?>
<sst xmlns="http://schemas.openxmlformats.org/spreadsheetml/2006/main" count="233" uniqueCount="182">
  <si>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</si>
  <si>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</si>
  <si>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</si>
  <si>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</si>
  <si>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</si>
  <si>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</si>
  <si>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</si>
  <si>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</si>
  <si>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</si>
  <si>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</si>
  <si>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</si>
  <si>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</si>
  <si>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</si>
  <si>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</si>
  <si>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</si>
  <si>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</si>
  <si>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</si>
  <si>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</si>
  <si>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</si>
  <si>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</si>
  <si>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</si>
  <si>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</si>
  <si>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</si>
  <si>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</si>
  <si>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</si>
  <si>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</si>
  <si>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</si>
  <si>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</si>
  <si>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</si>
  <si>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</si>
  <si>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</si>
  <si>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</si>
  <si>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</si>
  <si>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</si>
  <si>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</si>
  <si>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</si>
  <si>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</si>
  <si>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</si>
  <si>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</si>
  <si>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</si>
  <si>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</si>
  <si>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</si>
  <si>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</si>
  <si>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</si>
  <si>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</si>
  <si>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</si>
  <si>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</si>
  <si>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</si>
  <si>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</si>
  <si>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</si>
  <si>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</si>
  <si>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</si>
  <si>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</si>
  <si>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</si>
  <si>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</si>
  <si>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</si>
  <si>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</si>
  <si>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</si>
  <si>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</si>
  <si>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</si>
  <si>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</si>
  <si>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</si>
  <si>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</si>
  <si>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</si>
  <si>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</si>
  <si>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</si>
  <si>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</si>
  <si>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</si>
  <si>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</si>
  <si>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</si>
  <si>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</si>
  <si>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</si>
  <si>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</si>
  <si>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</si>
  <si>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</si>
  <si>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</si>
  <si>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</si>
  <si>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</si>
  <si>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</si>
  <si>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</si>
  <si>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</si>
  <si>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</si>
  <si>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</si>
  <si>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</si>
  <si>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</si>
  <si>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</si>
  <si>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</si>
  <si>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</si>
  <si>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</si>
  <si>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</si>
  <si>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</si>
  <si>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</si>
  <si>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</si>
  <si>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</si>
  <si>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</si>
  <si>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</si>
  <si>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</si>
  <si>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</si>
  <si>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</si>
  <si>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</si>
  <si>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</si>
  <si>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</si>
  <si>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</si>
  <si>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</si>
  <si>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</si>
  <si>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</si>
  <si>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</si>
  <si>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</si>
  <si>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</si>
  <si>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</si>
  <si>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</si>
  <si>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</si>
  <si>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</si>
  <si>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</si>
  <si>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</si>
  <si>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</si>
  <si>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</si>
  <si>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</si>
  <si>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</si>
  <si>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</si>
  <si>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</si>
  <si>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</si>
  <si>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</si>
  <si>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</si>
  <si>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</si>
  <si>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</si>
  <si>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</si>
  <si>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</si>
  <si>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</si>
  <si>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</si>
  <si>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</si>
  <si>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</si>
  <si>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</si>
  <si>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</si>
  <si>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</si>
  <si>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</si>
  <si>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</si>
  <si>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</si>
  <si>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</si>
  <si>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</si>
  <si>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</si>
  <si>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</si>
  <si>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</si>
  <si>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</si>
  <si>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</si>
  <si>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</si>
  <si>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</si>
  <si>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</si>
  <si>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</si>
  <si>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</si>
  <si>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</si>
  <si>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</si>
  <si>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</si>
  <si>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</si>
  <si>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</si>
  <si>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</si>
  <si>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</si>
  <si>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</si>
  <si>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</si>
  <si>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</si>
  <si>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</si>
  <si>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</si>
  <si>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</si>
  <si>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</si>
  <si>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</si>
  <si>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</si>
  <si>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</si>
  <si>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</si>
  <si>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</si>
  <si>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</si>
  <si>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</si>
  <si>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</si>
  <si>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</si>
  <si>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</si>
  <si>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</si>
  <si>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</si>
  <si>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</si>
  <si>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</si>
  <si>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</si>
  <si>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</si>
  <si>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</si>
  <si>
    <t>Lтр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</si>
</sst>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ISOCPEUR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0" fontId="6" fillId="0" borderId="0" xfId="0" applyFont="1" applyBorder="1" applyAlignment="1">
      <alignment wrapText="1"/>
    </xf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1" fontId="16" fillId="0" borderId="38" xfId="0" applyNumberFormat="1" applyFont="1" applyBorder="1"/>
    <xf numFmtId="1" fontId="16" fillId="0" borderId="1" xfId="0" applyNumberFormat="1" applyFont="1" applyBorder="1"/>
    <xf numFmtId="166" fontId="0" fillId="0" borderId="0" xfId="1" applyNumberFormat="1" applyFont="1"/>
    <xf numFmtId="0" fontId="0" fillId="0" borderId="33" xfId="0" applyFill="1" applyBorder="1"/>
    <xf numFmtId="2" fontId="0" fillId="2" borderId="2" xfId="0" applyNumberForma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2" sqref="B12"/>
    </sheetView>
  </sheetViews>
  <sheetFormatPr defaultRowHeight="15" x14ac:dyDescent="0.25"/>
  <cols>
    <col min="1" max="1" width="15.140625" customWidth="1"/>
    <col min="2" max="2" width="14.42578125" customWidth="1"/>
  </cols>
  <sheetData>
    <row r="2" spans="1:6" x14ac:dyDescent="0.25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25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25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25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25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25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25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25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25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25">
      <c r="A12" t="s">
        <v>2</v>
      </c>
      <c r="B12">
        <v>1.1000000000000001</v>
      </c>
      <c r="C12" t="s">
        <v>4</v>
      </c>
    </row>
    <row r="14" spans="1:6" x14ac:dyDescent="0.25">
      <c r="A14" t="s">
        <v>3</v>
      </c>
      <c r="D14">
        <f>11/100</f>
        <v>0.11</v>
      </c>
      <c r="E14" t="s">
        <v>4</v>
      </c>
    </row>
    <row r="16" spans="1:6" x14ac:dyDescent="0.25">
      <c r="A16" t="s">
        <v>5</v>
      </c>
      <c r="B16" t="s">
        <v>6</v>
      </c>
    </row>
    <row r="18" spans="1:3" x14ac:dyDescent="0.25">
      <c r="A18" t="s">
        <v>7</v>
      </c>
      <c r="B18">
        <v>8</v>
      </c>
      <c r="C18" t="s">
        <v>4</v>
      </c>
    </row>
    <row r="20" spans="1:3" x14ac:dyDescent="0.25">
      <c r="A20" t="s">
        <v>14</v>
      </c>
      <c r="C20">
        <v>4</v>
      </c>
    </row>
    <row r="22" spans="1:3" x14ac:dyDescent="0.25">
      <c r="A22" t="s">
        <v>20</v>
      </c>
      <c r="B22">
        <v>0.25</v>
      </c>
    </row>
    <row r="24" spans="1:3" x14ac:dyDescent="0.25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K22"/>
  <sheetViews>
    <sheetView topLeftCell="C1" workbookViewId="0">
      <selection activeCell="J10" sqref="J10"/>
    </sheetView>
  </sheetViews>
  <sheetFormatPr defaultRowHeight="15" x14ac:dyDescent="0.25"/>
  <cols>
    <col min="2" max="2" width="14.140625" customWidth="1"/>
    <col min="3" max="3" width="11.28515625" customWidth="1"/>
    <col min="5" max="5" width="12.5703125" customWidth="1"/>
    <col min="6" max="6" width="12" customWidth="1"/>
    <col min="7" max="7" width="12.5703125" bestFit="1" customWidth="1"/>
    <col min="8" max="8" width="11.5703125" bestFit="1" customWidth="1"/>
    <col min="9" max="9" width="11.42578125" customWidth="1"/>
    <col min="10" max="10" width="12.28515625" customWidth="1"/>
  </cols>
  <sheetData>
    <row r="2" spans="1:11" x14ac:dyDescent="0.25">
      <c r="A2" t="s">
        <v>8</v>
      </c>
      <c r="B2">
        <f>(исходники!B10 + 10)*10</f>
        <v>139440.5</v>
      </c>
      <c r="C2" t="s">
        <v>9</v>
      </c>
    </row>
    <row r="4" spans="1:11" x14ac:dyDescent="0.25">
      <c r="A4" t="s">
        <v>11</v>
      </c>
      <c r="B4">
        <f>B2*исходники!D14</f>
        <v>15338.455</v>
      </c>
      <c r="C4" t="s">
        <v>12</v>
      </c>
    </row>
    <row r="6" spans="1:11" x14ac:dyDescent="0.25">
      <c r="A6" t="s">
        <v>13</v>
      </c>
      <c r="B6">
        <f>B2*исходники!C20</f>
        <v>557762</v>
      </c>
    </row>
    <row r="8" spans="1:11" x14ac:dyDescent="0.25">
      <c r="A8" t="s">
        <v>22</v>
      </c>
      <c r="B8">
        <f>исходники!B12-исходники!D14-0.05</f>
        <v>0.94000000000000006</v>
      </c>
    </row>
    <row r="10" spans="1:11" x14ac:dyDescent="0.25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  <c r="K10" s="180" t="s">
        <v>181</v>
      </c>
    </row>
    <row r="11" spans="1:11" x14ac:dyDescent="0.25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  <c r="K11">
        <f>исходники!B3/исходники!$B$18</f>
        <v>5.05</v>
      </c>
    </row>
    <row r="12" spans="1:11" x14ac:dyDescent="0.25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  <c r="K12">
        <f>исходники!B4/исходники!$B$18</f>
        <v>13.43125</v>
      </c>
    </row>
    <row r="13" spans="1:11" x14ac:dyDescent="0.25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  <c r="K13">
        <f>исходники!B5/исходники!$B$18</f>
        <v>8.75</v>
      </c>
    </row>
    <row r="14" spans="1:11" x14ac:dyDescent="0.25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  <c r="K14">
        <f>исходники!B6/исходники!$B$18</f>
        <v>77.974999999999994</v>
      </c>
    </row>
    <row r="15" spans="1:11" x14ac:dyDescent="0.25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  <c r="K15">
        <f>исходники!B7/исходники!$B$18</f>
        <v>14.425000000000001</v>
      </c>
    </row>
    <row r="16" spans="1:11" x14ac:dyDescent="0.25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  <c r="K16">
        <f>исходники!B8/исходники!$B$18</f>
        <v>299.125</v>
      </c>
    </row>
    <row r="17" spans="1:11" x14ac:dyDescent="0.25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  <c r="K17">
        <f>исходники!B9/исходники!$B$18</f>
        <v>1323</v>
      </c>
    </row>
    <row r="18" spans="1:11" x14ac:dyDescent="0.25">
      <c r="A18" s="4" t="s">
        <v>10</v>
      </c>
      <c r="B18" s="1">
        <f t="shared" ref="B18:J18" si="6">SUM(B11:B17)</f>
        <v>15006.946317833335</v>
      </c>
      <c r="C18" s="1">
        <f t="shared" si="6"/>
        <v>12129.754800000001</v>
      </c>
      <c r="D18" s="1">
        <f t="shared" si="6"/>
        <v>606.48774000000003</v>
      </c>
      <c r="E18" s="6">
        <f t="shared" si="6"/>
        <v>903.89940632843468</v>
      </c>
      <c r="F18" s="6">
        <f t="shared" si="6"/>
        <v>14709.5346515049</v>
      </c>
      <c r="G18" s="6">
        <f t="shared" si="6"/>
        <v>14400.458577833335</v>
      </c>
      <c r="H18" s="6">
        <f t="shared" si="6"/>
        <v>13974.057918929655</v>
      </c>
      <c r="I18" s="6">
        <f t="shared" si="6"/>
        <v>735.47673257524593</v>
      </c>
      <c r="J18" s="6">
        <f t="shared" si="6"/>
        <v>14709.5346515049</v>
      </c>
      <c r="K18">
        <f>исходники!B10/исходники!$B$18</f>
        <v>1741.7562499999999</v>
      </c>
    </row>
    <row r="22" spans="1:11" x14ac:dyDescent="0.25">
      <c r="B22" s="1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8"/>
  <sheetViews>
    <sheetView topLeftCell="A16" zoomScale="68" zoomScaleNormal="68" workbookViewId="0">
      <selection activeCell="D23" sqref="D23"/>
    </sheetView>
  </sheetViews>
  <sheetFormatPr defaultRowHeight="15" x14ac:dyDescent="0.25"/>
  <cols>
    <col min="1" max="1" width="20" customWidth="1"/>
    <col min="2" max="2" width="55" customWidth="1"/>
    <col min="3" max="3" width="12.5703125" customWidth="1"/>
    <col min="4" max="4" width="16.7109375" customWidth="1"/>
    <col min="5" max="5" width="11.85546875" bestFit="1" customWidth="1"/>
    <col min="6" max="6" width="14.7109375" bestFit="1" customWidth="1"/>
    <col min="7" max="7" width="10.140625" customWidth="1"/>
    <col min="8" max="8" width="14.7109375" bestFit="1" customWidth="1"/>
    <col min="10" max="10" width="18.42578125" customWidth="1"/>
    <col min="11" max="11" width="15.7109375" customWidth="1"/>
    <col min="12" max="12" width="16.28515625" customWidth="1"/>
  </cols>
  <sheetData>
    <row r="1" spans="1:29" ht="55.5" customHeight="1" thickBot="1" x14ac:dyDescent="0.35">
      <c r="A1" s="182" t="s">
        <v>30</v>
      </c>
      <c r="B1" s="184" t="s">
        <v>31</v>
      </c>
      <c r="C1" s="184" t="s">
        <v>32</v>
      </c>
      <c r="D1" s="184" t="s">
        <v>33</v>
      </c>
      <c r="E1" s="186" t="s">
        <v>34</v>
      </c>
      <c r="F1" s="186"/>
      <c r="G1" s="186" t="s">
        <v>35</v>
      </c>
      <c r="H1" s="191"/>
      <c r="I1" s="21"/>
      <c r="J1" s="188" t="s">
        <v>36</v>
      </c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90"/>
    </row>
    <row r="2" spans="1:29" ht="30" customHeight="1" thickTop="1" x14ac:dyDescent="0.35">
      <c r="A2" s="183"/>
      <c r="B2" s="185"/>
      <c r="C2" s="185"/>
      <c r="D2" s="185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" thickBot="1" x14ac:dyDescent="0.3">
      <c r="A3" s="53">
        <v>1</v>
      </c>
      <c r="B3" s="54">
        <v>2</v>
      </c>
      <c r="C3" s="54">
        <v>3</v>
      </c>
      <c r="D3" s="54">
        <v>4</v>
      </c>
      <c r="E3" s="54">
        <v>5</v>
      </c>
      <c r="F3" s="54">
        <v>6</v>
      </c>
      <c r="G3" s="54">
        <v>7</v>
      </c>
      <c r="H3" s="55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70.5" thickTop="1" x14ac:dyDescent="0.35">
      <c r="A4" s="56" t="s">
        <v>39</v>
      </c>
      <c r="B4" s="57" t="s">
        <v>64</v>
      </c>
      <c r="C4" s="58" t="s">
        <v>40</v>
      </c>
      <c r="D4" s="59">
        <f>'земляные работы'!B4/1000</f>
        <v>15.338455</v>
      </c>
      <c r="E4" s="59">
        <v>11.44</v>
      </c>
      <c r="F4" s="59">
        <f t="shared" ref="F4:F9" si="0">D4*E4</f>
        <v>175.47192519999999</v>
      </c>
      <c r="G4" s="59">
        <f>E4</f>
        <v>11.44</v>
      </c>
      <c r="H4" s="60">
        <f>D4*G4</f>
        <v>175.47192519999999</v>
      </c>
      <c r="I4" s="24"/>
      <c r="J4" s="30"/>
      <c r="K4" s="181"/>
      <c r="L4" s="18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5.25" x14ac:dyDescent="0.35">
      <c r="A5" s="40" t="s">
        <v>41</v>
      </c>
      <c r="B5" s="28" t="s">
        <v>65</v>
      </c>
      <c r="C5" s="44" t="s">
        <v>75</v>
      </c>
      <c r="D5" s="45">
        <f>'земляные работы'!B6/1000</f>
        <v>557.76199999999994</v>
      </c>
      <c r="E5" s="45">
        <v>0.41</v>
      </c>
      <c r="F5" s="45">
        <f t="shared" si="0"/>
        <v>228.68241999999995</v>
      </c>
      <c r="G5" s="45">
        <f>E5</f>
        <v>0.41</v>
      </c>
      <c r="H5" s="46">
        <f>D5*G5</f>
        <v>228.68241999999995</v>
      </c>
      <c r="I5" s="25"/>
      <c r="J5" s="33"/>
      <c r="K5" s="181"/>
      <c r="L5" s="181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69.75" x14ac:dyDescent="0.35">
      <c r="A6" s="40" t="s">
        <v>42</v>
      </c>
      <c r="B6" s="28" t="s">
        <v>62</v>
      </c>
      <c r="C6" s="44" t="s">
        <v>40</v>
      </c>
      <c r="D6" s="45">
        <f>'земляные работы'!G18/1000</f>
        <v>14.400458577833335</v>
      </c>
      <c r="E6" s="45">
        <f>10.75+23.36</f>
        <v>34.11</v>
      </c>
      <c r="F6" s="45">
        <f t="shared" si="0"/>
        <v>491.19964208989506</v>
      </c>
      <c r="G6" s="45">
        <v>23.36</v>
      </c>
      <c r="H6" s="46">
        <f>D6*G6</f>
        <v>336.39471237818668</v>
      </c>
      <c r="I6" s="25"/>
      <c r="J6" s="33"/>
      <c r="K6" s="181"/>
      <c r="L6" s="181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69.75" x14ac:dyDescent="0.35">
      <c r="A7" s="40" t="s">
        <v>43</v>
      </c>
      <c r="B7" s="28" t="s">
        <v>63</v>
      </c>
      <c r="C7" s="44" t="s">
        <v>40</v>
      </c>
      <c r="D7" s="45">
        <f>'земляные работы'!D18/1000</f>
        <v>0.60648774000000005</v>
      </c>
      <c r="E7" s="45">
        <f>12.3+35.73</f>
        <v>48.03</v>
      </c>
      <c r="F7" s="45">
        <f t="shared" si="0"/>
        <v>29.129606152200004</v>
      </c>
      <c r="G7" s="45">
        <f>27.26+8.47</f>
        <v>35.730000000000004</v>
      </c>
      <c r="H7" s="46">
        <f>D7*G7</f>
        <v>21.669806950200005</v>
      </c>
      <c r="I7" s="25"/>
      <c r="J7" s="33"/>
      <c r="K7" s="181"/>
      <c r="L7" s="181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2.5" x14ac:dyDescent="0.35">
      <c r="A8" s="40" t="s">
        <v>44</v>
      </c>
      <c r="B8" s="28" t="s">
        <v>66</v>
      </c>
      <c r="C8" s="44" t="s">
        <v>76</v>
      </c>
      <c r="D8" s="45">
        <f>'земляные работы'!D18/100</f>
        <v>6.0648774000000003</v>
      </c>
      <c r="E8" s="45">
        <v>137.22999999999999</v>
      </c>
      <c r="F8" s="45">
        <f t="shared" si="0"/>
        <v>832.28312560199993</v>
      </c>
      <c r="G8" s="45"/>
      <c r="H8" s="46"/>
      <c r="I8" s="25"/>
      <c r="J8" s="33"/>
      <c r="K8" s="181"/>
      <c r="L8" s="181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36" thickBot="1" x14ac:dyDescent="0.4">
      <c r="A9" s="61" t="s">
        <v>70</v>
      </c>
      <c r="B9" s="62" t="s">
        <v>71</v>
      </c>
      <c r="C9" s="63" t="s">
        <v>77</v>
      </c>
      <c r="D9" s="64">
        <f>'земляные работы'!D18</f>
        <v>606.48774000000003</v>
      </c>
      <c r="E9" s="64">
        <f>3.41+0.22</f>
        <v>3.6300000000000003</v>
      </c>
      <c r="F9" s="64">
        <f t="shared" si="0"/>
        <v>2201.5504962000005</v>
      </c>
      <c r="G9" s="64">
        <f>0.44</f>
        <v>0.44</v>
      </c>
      <c r="H9" s="65">
        <f>D9*G9</f>
        <v>266.85460560000001</v>
      </c>
      <c r="I9" s="25"/>
      <c r="J9" s="33"/>
      <c r="K9" s="181"/>
      <c r="L9" s="181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75" thickBot="1" x14ac:dyDescent="0.4">
      <c r="A10" s="66"/>
      <c r="B10" s="67"/>
      <c r="C10" s="68"/>
      <c r="D10" s="69"/>
      <c r="E10" s="88"/>
      <c r="F10" s="89">
        <f t="shared" ref="F10" si="1">SUM(F4:F9)</f>
        <v>3958.3172152440957</v>
      </c>
      <c r="G10" s="70"/>
      <c r="H10" s="70">
        <f>SUM(H4:H9)</f>
        <v>1029.0734701283868</v>
      </c>
      <c r="I10" s="25"/>
      <c r="J10" s="33"/>
      <c r="K10" s="181"/>
      <c r="L10" s="181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35">
      <c r="A11" s="71" t="s">
        <v>50</v>
      </c>
      <c r="B11" s="72" t="s">
        <v>51</v>
      </c>
      <c r="C11" s="73" t="s">
        <v>78</v>
      </c>
      <c r="D11" s="74">
        <f>SUM(исходники!B3:B5)/1000</f>
        <v>0.21784999999999999</v>
      </c>
      <c r="E11" s="74">
        <v>477.25</v>
      </c>
      <c r="F11" s="74">
        <f>D11*E11</f>
        <v>103.96891249999999</v>
      </c>
      <c r="G11" s="74">
        <v>117.27</v>
      </c>
      <c r="H11" s="75">
        <f>D11*G11</f>
        <v>25.547269499999999</v>
      </c>
      <c r="I11" s="25"/>
      <c r="J11" s="33"/>
      <c r="K11" s="181"/>
      <c r="L11" s="181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35">
      <c r="A12" s="40" t="s">
        <v>52</v>
      </c>
      <c r="B12" s="28" t="s">
        <v>53</v>
      </c>
      <c r="C12" s="44" t="s">
        <v>78</v>
      </c>
      <c r="D12" s="45">
        <f>исходники!B6/1000</f>
        <v>0.62379999999999991</v>
      </c>
      <c r="E12" s="45">
        <v>483</v>
      </c>
      <c r="F12" s="45">
        <f>D12*E12</f>
        <v>301.29539999999997</v>
      </c>
      <c r="G12" s="45">
        <v>117.31</v>
      </c>
      <c r="H12" s="46">
        <f>D12*G12</f>
        <v>73.177977999999996</v>
      </c>
      <c r="I12" s="25"/>
      <c r="J12" s="33"/>
      <c r="K12" s="181"/>
      <c r="L12" s="181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69.75" x14ac:dyDescent="0.35">
      <c r="A13" s="40" t="s">
        <v>55</v>
      </c>
      <c r="B13" s="28" t="s">
        <v>54</v>
      </c>
      <c r="C13" s="44" t="s">
        <v>78</v>
      </c>
      <c r="D13" s="45">
        <f>исходники!B7/1000</f>
        <v>0.1154</v>
      </c>
      <c r="E13" s="45">
        <v>494.48</v>
      </c>
      <c r="F13" s="45">
        <f>D13*E13</f>
        <v>57.062992000000001</v>
      </c>
      <c r="G13" s="45">
        <v>117.38</v>
      </c>
      <c r="H13" s="46">
        <f>D13*G13</f>
        <v>13.545652</v>
      </c>
      <c r="I13" s="25"/>
      <c r="J13" s="33"/>
      <c r="K13" s="181"/>
      <c r="L13" s="181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69.75" x14ac:dyDescent="0.35">
      <c r="A14" s="40" t="s">
        <v>109</v>
      </c>
      <c r="B14" s="28" t="s">
        <v>110</v>
      </c>
      <c r="C14" s="44" t="s">
        <v>78</v>
      </c>
      <c r="D14" s="45">
        <f>исходники!B8/1000</f>
        <v>2.3929999999999998</v>
      </c>
      <c r="E14" s="45">
        <v>554.29999999999995</v>
      </c>
      <c r="F14" s="45">
        <f>D14*E14</f>
        <v>1326.4398999999999</v>
      </c>
      <c r="G14" s="45">
        <v>117.49</v>
      </c>
      <c r="H14" s="46">
        <f>D14*G14</f>
        <v>281.15356999999995</v>
      </c>
      <c r="I14" s="25"/>
      <c r="J14" s="33"/>
      <c r="K14" s="181"/>
      <c r="L14" s="181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69.75" x14ac:dyDescent="0.35">
      <c r="A15" s="40" t="s">
        <v>111</v>
      </c>
      <c r="B15" s="28" t="s">
        <v>112</v>
      </c>
      <c r="C15" s="44" t="s">
        <v>78</v>
      </c>
      <c r="D15" s="45">
        <f>исходники!B9/1000</f>
        <v>10.584</v>
      </c>
      <c r="E15" s="45">
        <v>1009.66</v>
      </c>
      <c r="F15" s="45">
        <f>D15*E15</f>
        <v>10686.24144</v>
      </c>
      <c r="G15" s="45">
        <v>210.34</v>
      </c>
      <c r="H15" s="46">
        <f>D15*G15</f>
        <v>2226.2385599999998</v>
      </c>
      <c r="I15" s="25"/>
      <c r="J15" s="33"/>
      <c r="K15" s="181"/>
      <c r="L15" s="181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69.75" x14ac:dyDescent="0.35">
      <c r="A16" s="41" t="s">
        <v>74</v>
      </c>
      <c r="B16" s="39" t="s">
        <v>60</v>
      </c>
      <c r="C16" s="47" t="s">
        <v>78</v>
      </c>
      <c r="D16" s="48">
        <f>SUM(исходники!B3:B5)/1000</f>
        <v>0.21784999999999999</v>
      </c>
      <c r="E16" s="48">
        <v>128</v>
      </c>
      <c r="F16" s="48">
        <f>E16*D16</f>
        <v>27.884799999999998</v>
      </c>
      <c r="G16" s="48">
        <v>40.26</v>
      </c>
      <c r="H16" s="49">
        <f>G16*D16</f>
        <v>8.7706409999999995</v>
      </c>
      <c r="I16" s="26"/>
      <c r="J16" s="33"/>
      <c r="K16" s="181"/>
      <c r="L16" s="181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69.75" x14ac:dyDescent="0.35">
      <c r="A17" s="41" t="s">
        <v>73</v>
      </c>
      <c r="B17" s="29" t="s">
        <v>59</v>
      </c>
      <c r="C17" s="47" t="s">
        <v>78</v>
      </c>
      <c r="D17" s="48">
        <f>SUM(исходники!B6:B8)/1000</f>
        <v>3.1321999999999997</v>
      </c>
      <c r="E17" s="48">
        <v>129</v>
      </c>
      <c r="F17" s="48">
        <f>E17*D17</f>
        <v>404.05379999999997</v>
      </c>
      <c r="G17" s="48">
        <v>42.34</v>
      </c>
      <c r="H17" s="49">
        <f>G17*D17</f>
        <v>132.61734799999999</v>
      </c>
      <c r="I17" s="26"/>
      <c r="J17" s="33"/>
      <c r="K17" s="181"/>
      <c r="L17" s="181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69.75" x14ac:dyDescent="0.35">
      <c r="A18" s="41" t="s">
        <v>72</v>
      </c>
      <c r="B18" s="39" t="s">
        <v>61</v>
      </c>
      <c r="C18" s="47" t="s">
        <v>78</v>
      </c>
      <c r="D18" s="48">
        <f>исходники!B9/1000</f>
        <v>10.584</v>
      </c>
      <c r="E18" s="48">
        <v>216</v>
      </c>
      <c r="F18" s="48">
        <f>E18*D18</f>
        <v>2286.1439999999998</v>
      </c>
      <c r="G18" s="48">
        <v>127.32</v>
      </c>
      <c r="H18" s="49">
        <f>G18*D18</f>
        <v>1347.5548799999999</v>
      </c>
      <c r="I18" s="26"/>
      <c r="J18" s="33"/>
      <c r="K18" s="181"/>
      <c r="L18" s="181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ht="52.5" x14ac:dyDescent="0.35">
      <c r="A19" s="41" t="s">
        <v>45</v>
      </c>
      <c r="B19" s="29" t="s">
        <v>56</v>
      </c>
      <c r="C19" s="47" t="s">
        <v>78</v>
      </c>
      <c r="D19" s="48">
        <f>SUM(исходники!B3:B8)/1000</f>
        <v>3.35005</v>
      </c>
      <c r="E19" s="48">
        <v>135</v>
      </c>
      <c r="F19" s="48">
        <f>D19*E19</f>
        <v>452.25675000000001</v>
      </c>
      <c r="G19" s="48">
        <v>16</v>
      </c>
      <c r="H19" s="49">
        <f>D19*G19</f>
        <v>53.6008</v>
      </c>
      <c r="I19" s="25"/>
      <c r="J19" s="33"/>
      <c r="K19" s="181"/>
      <c r="L19" s="181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3.25" thickBot="1" x14ac:dyDescent="0.4">
      <c r="A20" s="76" t="s">
        <v>58</v>
      </c>
      <c r="B20" s="43" t="s">
        <v>57</v>
      </c>
      <c r="C20" s="50" t="s">
        <v>78</v>
      </c>
      <c r="D20" s="51">
        <f>исходники!B9/1000</f>
        <v>10.584</v>
      </c>
      <c r="E20" s="51">
        <v>180</v>
      </c>
      <c r="F20" s="51">
        <f>D20*E20</f>
        <v>1905.12</v>
      </c>
      <c r="G20" s="51">
        <v>67</v>
      </c>
      <c r="H20" s="52">
        <f>D20*G20</f>
        <v>709.12799999999993</v>
      </c>
      <c r="I20" s="25"/>
      <c r="J20" s="33"/>
      <c r="K20" s="181"/>
      <c r="L20" s="181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21.75" thickBot="1" x14ac:dyDescent="0.4">
      <c r="A21" s="77"/>
      <c r="B21" s="78"/>
      <c r="C21" s="79"/>
      <c r="D21" s="80"/>
      <c r="E21" s="85"/>
      <c r="F21" s="86">
        <f>SUM(F11:F20)</f>
        <v>17550.467994499999</v>
      </c>
      <c r="G21" s="87"/>
      <c r="H21" s="86">
        <f>SUM(H11:H20)</f>
        <v>4871.3346984999989</v>
      </c>
      <c r="I21" s="25"/>
      <c r="J21" s="33"/>
      <c r="K21" s="181"/>
      <c r="L21" s="181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69.75" x14ac:dyDescent="0.35">
      <c r="A22" s="81" t="s">
        <v>46</v>
      </c>
      <c r="B22" s="57" t="s">
        <v>69</v>
      </c>
      <c r="C22" s="82" t="s">
        <v>40</v>
      </c>
      <c r="D22" s="83">
        <f>'земляные работы'!H18/1000</f>
        <v>13.974057918929654</v>
      </c>
      <c r="E22" s="83">
        <f>G22</f>
        <v>8.0299999999999994</v>
      </c>
      <c r="F22" s="83">
        <f>D22*E22</f>
        <v>112.21168508900512</v>
      </c>
      <c r="G22" s="83">
        <v>8.0299999999999994</v>
      </c>
      <c r="H22" s="84">
        <f>D22*G22</f>
        <v>112.21168508900512</v>
      </c>
      <c r="I22" s="25"/>
      <c r="J22" s="33"/>
      <c r="K22" s="181"/>
      <c r="L22" s="181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35.25" x14ac:dyDescent="0.35">
      <c r="A23" s="20" t="s">
        <v>47</v>
      </c>
      <c r="B23" s="28" t="s">
        <v>67</v>
      </c>
      <c r="C23" s="47" t="s">
        <v>76</v>
      </c>
      <c r="D23" s="48">
        <f>'земляные работы'!I18/100</f>
        <v>7.3547673257524595</v>
      </c>
      <c r="E23" s="48">
        <v>102.91</v>
      </c>
      <c r="F23" s="48">
        <f>D23*E23</f>
        <v>756.87910549318553</v>
      </c>
      <c r="G23" s="48"/>
      <c r="H23" s="49"/>
      <c r="I23" s="25"/>
      <c r="J23" s="33"/>
      <c r="K23" s="181"/>
      <c r="L23" s="181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6" thickBot="1" x14ac:dyDescent="0.4">
      <c r="A24" s="42" t="s">
        <v>48</v>
      </c>
      <c r="B24" s="43" t="s">
        <v>68</v>
      </c>
      <c r="C24" s="50" t="s">
        <v>76</v>
      </c>
      <c r="D24" s="51">
        <f>'земляные работы'!J18/100</f>
        <v>147.09534651504902</v>
      </c>
      <c r="E24" s="51">
        <v>12.53</v>
      </c>
      <c r="F24" s="51">
        <f>D24*E24</f>
        <v>1843.1046918335642</v>
      </c>
      <c r="G24" s="51">
        <v>12.18</v>
      </c>
      <c r="H24" s="52">
        <f>D24*G24</f>
        <v>1791.621320553297</v>
      </c>
      <c r="I24" s="25"/>
      <c r="J24" s="35"/>
      <c r="K24" s="181"/>
      <c r="L24" s="181"/>
      <c r="M24" s="36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8"/>
    </row>
    <row r="25" spans="1:29" ht="23.25" customHeight="1" thickBot="1" x14ac:dyDescent="0.3">
      <c r="A25" s="90"/>
      <c r="B25" s="91"/>
      <c r="C25" s="91"/>
      <c r="D25" s="91"/>
      <c r="E25" s="91"/>
      <c r="F25" s="86">
        <f>SUM(F22:F24)</f>
        <v>2712.1954824157547</v>
      </c>
      <c r="G25" s="92"/>
      <c r="H25" s="86">
        <f t="shared" ref="H25" si="2">SUM(H22:H24)</f>
        <v>1903.8330056423022</v>
      </c>
    </row>
    <row r="30" spans="1:29" ht="24.75" customHeight="1" x14ac:dyDescent="0.25">
      <c r="E30" s="93" t="s">
        <v>10</v>
      </c>
      <c r="F30" s="94">
        <f>SUM(F10,F21,F25)</f>
        <v>24220.98069215985</v>
      </c>
      <c r="G30" s="94"/>
      <c r="H30" s="94">
        <f>SUM(H10,H21,H25)</f>
        <v>7804.2411742706881</v>
      </c>
    </row>
    <row r="31" spans="1:29" ht="24.75" customHeight="1" x14ac:dyDescent="0.25"/>
    <row r="32" spans="1:29" ht="21" x14ac:dyDescent="0.35">
      <c r="E32" s="187" t="s">
        <v>105</v>
      </c>
      <c r="F32" s="187"/>
      <c r="G32" s="187"/>
      <c r="H32" s="100">
        <f>F30*0.06</f>
        <v>1453.2588415295909</v>
      </c>
    </row>
    <row r="33" spans="5:8" ht="18.75" x14ac:dyDescent="0.3">
      <c r="E33" s="101"/>
      <c r="F33" s="101"/>
      <c r="G33" s="101"/>
      <c r="H33" s="99"/>
    </row>
    <row r="34" spans="5:8" ht="21" x14ac:dyDescent="0.35">
      <c r="E34" s="187" t="s">
        <v>106</v>
      </c>
      <c r="F34" s="187"/>
      <c r="G34" s="187"/>
      <c r="H34" s="100">
        <f>F30*0.05</f>
        <v>1211.0490346079926</v>
      </c>
    </row>
    <row r="35" spans="5:8" ht="21" x14ac:dyDescent="0.35">
      <c r="E35" s="102"/>
      <c r="F35" s="101"/>
      <c r="G35" s="101"/>
      <c r="H35" s="99"/>
    </row>
    <row r="36" spans="5:8" ht="21" x14ac:dyDescent="0.35">
      <c r="E36" s="187" t="s">
        <v>102</v>
      </c>
      <c r="F36" s="187"/>
      <c r="G36" s="187"/>
      <c r="H36" s="100">
        <f>F30*0.07</f>
        <v>1695.4686484511897</v>
      </c>
    </row>
    <row r="37" spans="5:8" ht="21" x14ac:dyDescent="0.35">
      <c r="E37" s="102"/>
      <c r="F37" s="101"/>
      <c r="G37" s="101"/>
      <c r="H37" s="99"/>
    </row>
    <row r="38" spans="5:8" ht="21" x14ac:dyDescent="0.35">
      <c r="E38" s="187" t="s">
        <v>103</v>
      </c>
      <c r="F38" s="187"/>
      <c r="G38" s="187"/>
      <c r="H38" s="100">
        <f>F30*0.06</f>
        <v>1453.2588415295909</v>
      </c>
    </row>
  </sheetData>
  <mergeCells count="11">
    <mergeCell ref="E32:G32"/>
    <mergeCell ref="E34:G34"/>
    <mergeCell ref="E36:G36"/>
    <mergeCell ref="E38:G38"/>
    <mergeCell ref="J1:AC1"/>
    <mergeCell ref="G1:H1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7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28.5703125" customWidth="1"/>
    <col min="2" max="3" width="8.140625" customWidth="1"/>
    <col min="4" max="4" width="7.85546875" customWidth="1"/>
    <col min="5" max="5" width="8.140625" customWidth="1"/>
    <col min="6" max="6" width="11" customWidth="1"/>
    <col min="8" max="8" width="8.28515625" customWidth="1"/>
    <col min="9" max="9" width="5.42578125" customWidth="1"/>
    <col min="10" max="10" width="5.85546875" customWidth="1"/>
    <col min="11" max="11" width="18.42578125" customWidth="1"/>
    <col min="12" max="148" width="5.7109375" customWidth="1"/>
    <col min="149" max="205" width="3.7109375" customWidth="1"/>
  </cols>
  <sheetData>
    <row r="1" spans="1:205" ht="43.5" customHeight="1" x14ac:dyDescent="0.25">
      <c r="A1" s="194" t="s">
        <v>79</v>
      </c>
      <c r="B1" s="192" t="s">
        <v>80</v>
      </c>
      <c r="C1" s="196" t="s">
        <v>81</v>
      </c>
      <c r="D1" s="198" t="s">
        <v>82</v>
      </c>
      <c r="E1" s="199"/>
      <c r="F1" s="198" t="s">
        <v>83</v>
      </c>
      <c r="G1" s="199"/>
      <c r="H1" s="192" t="s">
        <v>88</v>
      </c>
      <c r="I1" s="192" t="s">
        <v>89</v>
      </c>
      <c r="J1" s="192" t="s">
        <v>90</v>
      </c>
      <c r="K1" s="205" t="s">
        <v>91</v>
      </c>
      <c r="L1" s="1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25">
      <c r="A2" s="195"/>
      <c r="B2" s="193"/>
      <c r="C2" s="197"/>
      <c r="D2" s="96" t="s">
        <v>84</v>
      </c>
      <c r="E2" s="96" t="s">
        <v>85</v>
      </c>
      <c r="F2" s="96" t="s">
        <v>86</v>
      </c>
      <c r="G2" s="131" t="s">
        <v>87</v>
      </c>
      <c r="H2" s="193"/>
      <c r="I2" s="193"/>
      <c r="J2" s="193"/>
      <c r="K2" s="206"/>
      <c r="L2" s="177">
        <v>1</v>
      </c>
      <c r="M2" s="178">
        <v>2</v>
      </c>
      <c r="N2" s="178">
        <v>3</v>
      </c>
      <c r="O2" s="178">
        <v>4</v>
      </c>
      <c r="P2" s="178">
        <v>5</v>
      </c>
      <c r="Q2" s="178">
        <v>6</v>
      </c>
      <c r="R2" s="178">
        <v>7</v>
      </c>
      <c r="S2" s="178">
        <v>8</v>
      </c>
      <c r="T2" s="178">
        <v>9</v>
      </c>
      <c r="U2" s="178">
        <v>10</v>
      </c>
      <c r="V2" s="178">
        <v>11</v>
      </c>
      <c r="W2" s="178">
        <v>12</v>
      </c>
      <c r="X2" s="178">
        <v>13</v>
      </c>
      <c r="Y2" s="178">
        <v>14</v>
      </c>
      <c r="Z2" s="178">
        <v>15</v>
      </c>
      <c r="AA2" s="178">
        <v>16</v>
      </c>
      <c r="AB2" s="178">
        <v>17</v>
      </c>
      <c r="AC2" s="178">
        <v>18</v>
      </c>
      <c r="AD2" s="178">
        <v>19</v>
      </c>
      <c r="AE2" s="178">
        <v>20</v>
      </c>
      <c r="AF2" s="178">
        <v>21</v>
      </c>
      <c r="AG2" s="178">
        <v>22</v>
      </c>
      <c r="AH2" s="178">
        <v>23</v>
      </c>
      <c r="AI2" s="178">
        <v>24</v>
      </c>
      <c r="AJ2" s="178">
        <v>25</v>
      </c>
      <c r="AK2" s="178">
        <v>26</v>
      </c>
      <c r="AL2" s="178">
        <v>27</v>
      </c>
      <c r="AM2" s="178">
        <v>28</v>
      </c>
      <c r="AN2" s="178">
        <v>29</v>
      </c>
      <c r="AO2" s="178">
        <v>30</v>
      </c>
      <c r="AP2" s="178">
        <v>31</v>
      </c>
      <c r="AQ2" s="178">
        <v>32</v>
      </c>
      <c r="AR2" s="178">
        <v>33</v>
      </c>
      <c r="AS2" s="178">
        <v>34</v>
      </c>
      <c r="AT2" s="178">
        <v>35</v>
      </c>
      <c r="AU2" s="178">
        <v>36</v>
      </c>
      <c r="AV2" s="178">
        <v>37</v>
      </c>
      <c r="AW2" s="178">
        <v>38</v>
      </c>
      <c r="AX2" s="178">
        <v>39</v>
      </c>
      <c r="AY2" s="178">
        <v>40</v>
      </c>
      <c r="AZ2" s="178">
        <v>41</v>
      </c>
      <c r="BA2" s="178">
        <v>42</v>
      </c>
      <c r="BB2" s="178">
        <v>43</v>
      </c>
      <c r="BC2" s="178">
        <v>44</v>
      </c>
      <c r="BD2" s="178">
        <v>45</v>
      </c>
      <c r="BE2" s="178">
        <v>46</v>
      </c>
      <c r="BF2" s="178">
        <v>47</v>
      </c>
      <c r="BG2" s="178">
        <v>48</v>
      </c>
      <c r="BH2" s="178">
        <v>49</v>
      </c>
      <c r="BI2" s="178">
        <v>50</v>
      </c>
      <c r="BJ2" s="178">
        <v>51</v>
      </c>
      <c r="BK2" s="178">
        <v>52</v>
      </c>
      <c r="BL2" s="178">
        <v>53</v>
      </c>
      <c r="BM2" s="178">
        <v>54</v>
      </c>
      <c r="BN2" s="178">
        <v>55</v>
      </c>
      <c r="BO2" s="178">
        <v>56</v>
      </c>
      <c r="BP2" s="178">
        <v>57</v>
      </c>
      <c r="BQ2" s="178">
        <v>58</v>
      </c>
      <c r="BR2" s="178">
        <v>59</v>
      </c>
      <c r="BS2" s="178">
        <v>60</v>
      </c>
      <c r="BT2" s="178">
        <v>61</v>
      </c>
      <c r="BU2" s="178">
        <v>62</v>
      </c>
      <c r="BV2" s="178">
        <v>63</v>
      </c>
      <c r="BW2" s="178">
        <v>64</v>
      </c>
      <c r="BX2" s="178">
        <v>65</v>
      </c>
      <c r="BY2" s="178">
        <v>66</v>
      </c>
      <c r="BZ2" s="178">
        <v>67</v>
      </c>
      <c r="CA2" s="178">
        <v>68</v>
      </c>
      <c r="CB2" s="178">
        <v>69</v>
      </c>
      <c r="CC2" s="178">
        <v>70</v>
      </c>
      <c r="CD2" s="178">
        <v>71</v>
      </c>
      <c r="CE2" s="178">
        <v>72</v>
      </c>
      <c r="CF2" s="178">
        <v>73</v>
      </c>
      <c r="CG2" s="178">
        <v>74</v>
      </c>
      <c r="CH2" s="178">
        <v>75</v>
      </c>
      <c r="CI2" s="178">
        <v>76</v>
      </c>
      <c r="CJ2" s="178">
        <v>77</v>
      </c>
      <c r="CK2" s="178">
        <v>78</v>
      </c>
      <c r="CL2" s="178">
        <v>79</v>
      </c>
      <c r="CM2" s="178">
        <v>80</v>
      </c>
      <c r="CN2" s="178">
        <v>81</v>
      </c>
      <c r="CO2" s="178">
        <v>82</v>
      </c>
      <c r="CP2" s="178">
        <v>83</v>
      </c>
      <c r="CQ2" s="178">
        <v>84</v>
      </c>
      <c r="CR2" s="178">
        <v>85</v>
      </c>
      <c r="CS2" s="178">
        <v>86</v>
      </c>
      <c r="CT2" s="178">
        <v>87</v>
      </c>
      <c r="CU2" s="178">
        <v>88</v>
      </c>
      <c r="CV2" s="178">
        <v>89</v>
      </c>
      <c r="CW2" s="178">
        <v>90</v>
      </c>
      <c r="CX2" s="178">
        <v>91</v>
      </c>
      <c r="CY2" s="178">
        <v>92</v>
      </c>
      <c r="CZ2" s="178">
        <v>93</v>
      </c>
      <c r="DA2" s="178">
        <v>94</v>
      </c>
      <c r="DB2" s="178">
        <v>95</v>
      </c>
      <c r="DC2" s="178">
        <v>96</v>
      </c>
      <c r="DD2" s="178">
        <v>97</v>
      </c>
      <c r="DE2" s="178">
        <v>98</v>
      </c>
      <c r="DF2" s="178">
        <v>99</v>
      </c>
      <c r="DG2" s="178">
        <v>100</v>
      </c>
      <c r="DH2" s="178">
        <v>101</v>
      </c>
      <c r="DI2" s="178">
        <v>102</v>
      </c>
      <c r="DJ2" s="178">
        <v>103</v>
      </c>
      <c r="DK2" s="178">
        <v>104</v>
      </c>
      <c r="DL2" s="178">
        <v>105</v>
      </c>
      <c r="DM2" s="178">
        <v>106</v>
      </c>
      <c r="DN2" s="178">
        <v>107</v>
      </c>
      <c r="DO2" s="178">
        <v>108</v>
      </c>
      <c r="DP2" s="178">
        <v>109</v>
      </c>
      <c r="DQ2" s="178">
        <v>110</v>
      </c>
      <c r="DR2" s="178">
        <v>111</v>
      </c>
      <c r="DS2" s="178">
        <v>112</v>
      </c>
      <c r="DT2" s="178">
        <v>113</v>
      </c>
      <c r="DU2" s="178">
        <v>114</v>
      </c>
      <c r="DV2" s="178">
        <v>115</v>
      </c>
      <c r="DW2" s="178">
        <v>116</v>
      </c>
      <c r="DX2" s="178">
        <v>117</v>
      </c>
      <c r="DY2" s="178">
        <v>118</v>
      </c>
      <c r="DZ2" s="178">
        <v>119</v>
      </c>
      <c r="EA2" s="178">
        <v>120</v>
      </c>
      <c r="EB2" s="178">
        <v>121</v>
      </c>
      <c r="EC2" s="178">
        <v>122</v>
      </c>
      <c r="ED2" s="178">
        <v>123</v>
      </c>
      <c r="EE2" s="178">
        <v>124</v>
      </c>
      <c r="EF2" s="178">
        <v>125</v>
      </c>
      <c r="EG2" s="178">
        <v>126</v>
      </c>
      <c r="EH2" s="178">
        <v>127</v>
      </c>
      <c r="EI2" s="178">
        <v>128</v>
      </c>
      <c r="EJ2" s="178">
        <v>129</v>
      </c>
      <c r="EK2" s="178">
        <v>130</v>
      </c>
      <c r="EL2" s="112">
        <v>131</v>
      </c>
      <c r="EM2" s="112">
        <v>132</v>
      </c>
      <c r="EN2" s="112">
        <v>133</v>
      </c>
      <c r="EO2" s="112">
        <v>134</v>
      </c>
      <c r="EP2" s="112">
        <v>135</v>
      </c>
      <c r="EQ2" s="112">
        <v>136</v>
      </c>
      <c r="ER2" s="112">
        <v>137</v>
      </c>
      <c r="ES2" s="112">
        <v>138</v>
      </c>
      <c r="ET2" s="112">
        <v>139</v>
      </c>
      <c r="EU2" s="112">
        <v>140</v>
      </c>
      <c r="EV2" s="112">
        <v>141</v>
      </c>
      <c r="EW2" s="112">
        <v>142</v>
      </c>
      <c r="EX2" s="112">
        <v>143</v>
      </c>
      <c r="EY2" s="112">
        <v>144</v>
      </c>
      <c r="EZ2" s="112">
        <v>145</v>
      </c>
      <c r="FA2" s="112">
        <v>146</v>
      </c>
      <c r="FB2" s="112">
        <v>147</v>
      </c>
      <c r="FC2" s="112">
        <v>148</v>
      </c>
      <c r="FD2" s="112">
        <v>149</v>
      </c>
      <c r="FE2" s="112">
        <v>150</v>
      </c>
      <c r="FF2" s="112">
        <v>151</v>
      </c>
      <c r="FG2" s="112">
        <v>152</v>
      </c>
      <c r="FH2" s="112">
        <v>153</v>
      </c>
      <c r="FI2" s="112">
        <v>154</v>
      </c>
      <c r="FJ2" s="112">
        <v>155</v>
      </c>
      <c r="FK2" s="112">
        <v>156</v>
      </c>
      <c r="FL2" s="112">
        <v>157</v>
      </c>
      <c r="FM2" s="112">
        <v>158</v>
      </c>
      <c r="FN2" s="112">
        <v>159</v>
      </c>
      <c r="FO2" s="112">
        <v>160</v>
      </c>
      <c r="FP2" s="112">
        <v>161</v>
      </c>
      <c r="FQ2" s="112">
        <v>162</v>
      </c>
      <c r="FR2" s="112">
        <v>163</v>
      </c>
      <c r="FS2" s="112">
        <v>164</v>
      </c>
      <c r="FT2" s="112">
        <v>165</v>
      </c>
      <c r="FU2" s="112">
        <v>166</v>
      </c>
      <c r="FV2" s="112">
        <v>167</v>
      </c>
      <c r="FW2" s="112">
        <v>168</v>
      </c>
      <c r="FX2" s="112">
        <v>169</v>
      </c>
      <c r="FY2" s="112">
        <v>170</v>
      </c>
      <c r="FZ2" s="112">
        <v>171</v>
      </c>
      <c r="GA2" s="112">
        <v>172</v>
      </c>
      <c r="GB2" s="112">
        <v>173</v>
      </c>
      <c r="GC2" s="112">
        <v>174</v>
      </c>
      <c r="GD2" s="112">
        <v>175</v>
      </c>
      <c r="GE2" s="112">
        <v>176</v>
      </c>
      <c r="GF2" s="112">
        <v>177</v>
      </c>
      <c r="GG2" s="112">
        <v>178</v>
      </c>
      <c r="GH2" s="112">
        <v>179</v>
      </c>
      <c r="GI2" s="112">
        <v>180</v>
      </c>
      <c r="GJ2" s="112">
        <v>181</v>
      </c>
      <c r="GK2" s="112">
        <v>182</v>
      </c>
      <c r="GL2" s="112">
        <v>183</v>
      </c>
      <c r="GM2" s="112">
        <v>184</v>
      </c>
      <c r="GN2" s="112">
        <v>185</v>
      </c>
      <c r="GO2" s="112">
        <v>186</v>
      </c>
      <c r="GP2" s="112">
        <v>187</v>
      </c>
      <c r="GQ2" s="112">
        <v>188</v>
      </c>
      <c r="GR2" s="112">
        <v>189</v>
      </c>
      <c r="GS2" s="112">
        <v>190</v>
      </c>
      <c r="GT2" s="112">
        <v>191</v>
      </c>
      <c r="GU2" s="112">
        <v>192</v>
      </c>
      <c r="GV2" s="112">
        <v>193</v>
      </c>
      <c r="GW2" s="112">
        <v>194</v>
      </c>
    </row>
    <row r="3" spans="1:205" ht="15.75" thickBot="1" x14ac:dyDescent="0.3">
      <c r="A3" s="115"/>
      <c r="B3" s="95"/>
      <c r="C3" s="95"/>
      <c r="D3" s="95"/>
      <c r="E3" s="95"/>
      <c r="F3" s="95"/>
      <c r="G3" s="95"/>
      <c r="H3" s="95"/>
      <c r="I3" s="95"/>
      <c r="J3" s="95"/>
      <c r="K3" s="116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3"/>
      <c r="DX3" s="113"/>
      <c r="DY3" s="113"/>
      <c r="DZ3" s="113"/>
      <c r="EA3" s="113"/>
      <c r="EB3" s="113"/>
      <c r="EC3" s="113"/>
      <c r="ED3" s="113"/>
      <c r="EE3" s="113"/>
      <c r="EF3" s="113"/>
      <c r="EG3" s="113"/>
      <c r="EH3" s="113"/>
      <c r="EI3" s="113"/>
      <c r="EJ3" s="113"/>
      <c r="EK3" s="113"/>
      <c r="EL3" s="113"/>
      <c r="EM3" s="113"/>
      <c r="EN3" s="113"/>
      <c r="EO3" s="113"/>
      <c r="EP3" s="113"/>
      <c r="EQ3" s="113"/>
      <c r="ER3" s="113"/>
      <c r="ES3" s="113"/>
      <c r="ET3" s="113"/>
      <c r="EU3" s="113"/>
      <c r="EV3" s="113"/>
      <c r="EW3" s="113"/>
      <c r="EX3" s="113"/>
      <c r="EY3" s="113"/>
      <c r="EZ3" s="113"/>
      <c r="FA3" s="113"/>
      <c r="FB3" s="113"/>
      <c r="FC3" s="113"/>
      <c r="FD3" s="113"/>
      <c r="FE3" s="113"/>
      <c r="FF3" s="113"/>
      <c r="FG3" s="113"/>
      <c r="FH3" s="113"/>
      <c r="FI3" s="113"/>
      <c r="FJ3" s="113"/>
      <c r="FK3" s="113"/>
      <c r="FL3" s="113"/>
      <c r="FM3" s="113"/>
      <c r="FN3" s="113"/>
      <c r="FO3" s="113"/>
      <c r="FP3" s="113"/>
      <c r="FQ3" s="113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  <c r="GC3" s="113"/>
      <c r="GD3" s="113"/>
      <c r="GE3" s="113"/>
      <c r="GF3" s="113"/>
      <c r="GG3" s="113"/>
      <c r="GH3" s="113"/>
      <c r="GI3" s="113"/>
      <c r="GJ3" s="113"/>
      <c r="GK3" s="113"/>
      <c r="GL3" s="113"/>
      <c r="GM3" s="113"/>
      <c r="GN3" s="113"/>
      <c r="GO3" s="113"/>
      <c r="GP3" s="113"/>
      <c r="GQ3" s="113"/>
      <c r="GR3" s="113"/>
      <c r="GS3" s="113"/>
      <c r="GT3" s="113"/>
      <c r="GU3" s="113"/>
      <c r="GV3" s="113"/>
      <c r="GW3" s="113"/>
    </row>
    <row r="4" spans="1:205" ht="34.5" customHeight="1" thickTop="1" x14ac:dyDescent="0.25">
      <c r="A4" s="117" t="s">
        <v>92</v>
      </c>
      <c r="B4" s="103" t="s">
        <v>107</v>
      </c>
      <c r="C4" s="103">
        <v>6</v>
      </c>
      <c r="D4" s="104">
        <f>'объемы работ'!H32/8</f>
        <v>181.65735519119886</v>
      </c>
      <c r="E4" s="103">
        <f>I4*J4*H4</f>
        <v>190</v>
      </c>
      <c r="F4" s="127" t="s">
        <v>108</v>
      </c>
      <c r="G4" s="127" t="s">
        <v>108</v>
      </c>
      <c r="H4" s="107">
        <f>ROUNDUP(D4/(J4*I4),0)</f>
        <v>19</v>
      </c>
      <c r="I4" s="103">
        <v>2</v>
      </c>
      <c r="J4" s="103">
        <v>5</v>
      </c>
      <c r="K4" s="124"/>
      <c r="L4" s="140"/>
      <c r="M4" s="141"/>
      <c r="N4" s="141"/>
      <c r="O4" s="141"/>
      <c r="P4" s="141"/>
      <c r="Q4" s="141"/>
      <c r="R4" s="141"/>
      <c r="S4" s="141"/>
      <c r="T4" s="141"/>
      <c r="U4" s="141">
        <f>J4*I4</f>
        <v>10</v>
      </c>
      <c r="V4" s="142"/>
      <c r="W4" s="142"/>
      <c r="X4" s="142"/>
      <c r="Y4" s="142"/>
      <c r="Z4" s="142"/>
      <c r="AA4" s="142"/>
      <c r="AB4" s="142"/>
      <c r="AC4" s="142"/>
      <c r="AD4" s="142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</row>
    <row r="5" spans="1:205" ht="17.45" customHeight="1" x14ac:dyDescent="0.25">
      <c r="A5" s="118" t="s">
        <v>104</v>
      </c>
      <c r="B5" s="105" t="str">
        <f>'объемы работ'!C4</f>
        <v>1000м^3</v>
      </c>
      <c r="C5" s="105">
        <f>'объемы работ'!D4</f>
        <v>15.338455</v>
      </c>
      <c r="D5" s="200">
        <f>SUM('объемы работ'!F4,'объемы работ'!F5)/8</f>
        <v>50.519293149999996</v>
      </c>
      <c r="E5" s="201">
        <f>H5*I5*J5</f>
        <v>56</v>
      </c>
      <c r="F5" s="203"/>
      <c r="G5" s="203">
        <f>SUM('объемы работ'!H4,'объемы работ'!H5)/8</f>
        <v>50.519293149999996</v>
      </c>
      <c r="H5" s="201">
        <f>ROUNDUP(D5/(J5*I5),0)</f>
        <v>7</v>
      </c>
      <c r="I5" s="207">
        <v>2</v>
      </c>
      <c r="J5" s="207">
        <v>4</v>
      </c>
      <c r="K5" s="208"/>
      <c r="L5" s="209"/>
      <c r="M5" s="210"/>
      <c r="N5" s="210"/>
      <c r="O5" s="204"/>
      <c r="P5" s="204"/>
      <c r="Q5" s="204"/>
      <c r="R5" s="204">
        <f>J5*I5</f>
        <v>8</v>
      </c>
      <c r="S5" s="204"/>
      <c r="T5" s="211"/>
      <c r="U5" s="204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0"/>
      <c r="BA5" s="210"/>
      <c r="BB5" s="210"/>
      <c r="BC5" s="210"/>
      <c r="BD5" s="210"/>
      <c r="BE5" s="210"/>
      <c r="BF5" s="210"/>
      <c r="BG5" s="210"/>
      <c r="BH5" s="210"/>
      <c r="BI5" s="210"/>
      <c r="BJ5" s="210"/>
      <c r="BK5" s="210"/>
      <c r="BL5" s="210"/>
      <c r="BM5" s="210"/>
      <c r="BN5" s="210"/>
      <c r="BO5" s="210"/>
      <c r="BP5" s="210"/>
      <c r="BQ5" s="210"/>
      <c r="BR5" s="210"/>
      <c r="BS5" s="210"/>
      <c r="BT5" s="210"/>
      <c r="BU5" s="210"/>
      <c r="BV5" s="210"/>
      <c r="BW5" s="210"/>
      <c r="BX5" s="210"/>
      <c r="BY5" s="210"/>
      <c r="BZ5" s="210"/>
      <c r="CA5" s="210"/>
      <c r="CB5" s="210"/>
      <c r="CC5" s="210"/>
      <c r="CD5" s="210"/>
      <c r="CE5" s="210"/>
      <c r="CF5" s="210"/>
      <c r="CG5" s="210"/>
      <c r="CH5" s="210"/>
      <c r="CI5" s="210"/>
      <c r="CJ5" s="210"/>
      <c r="CK5" s="210"/>
      <c r="CL5" s="210"/>
      <c r="CM5" s="210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</row>
    <row r="6" spans="1:205" ht="15" customHeight="1" x14ac:dyDescent="0.25">
      <c r="A6" s="119" t="s">
        <v>93</v>
      </c>
      <c r="B6" s="106" t="str">
        <f>'объемы работ'!C5</f>
        <v>1000м^2</v>
      </c>
      <c r="C6" s="106">
        <f>'объемы работ'!D5</f>
        <v>557.76199999999994</v>
      </c>
      <c r="D6" s="200"/>
      <c r="E6" s="202"/>
      <c r="F6" s="203"/>
      <c r="G6" s="203"/>
      <c r="H6" s="202"/>
      <c r="I6" s="207"/>
      <c r="J6" s="207"/>
      <c r="K6" s="208"/>
      <c r="L6" s="209"/>
      <c r="M6" s="210"/>
      <c r="N6" s="210"/>
      <c r="O6" s="204"/>
      <c r="P6" s="204"/>
      <c r="Q6" s="204"/>
      <c r="R6" s="204"/>
      <c r="S6" s="204"/>
      <c r="T6" s="211"/>
      <c r="U6" s="204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210"/>
      <c r="BH6" s="210"/>
      <c r="BI6" s="210"/>
      <c r="BJ6" s="210"/>
      <c r="BK6" s="210"/>
      <c r="BL6" s="210"/>
      <c r="BM6" s="210"/>
      <c r="BN6" s="210"/>
      <c r="BO6" s="210"/>
      <c r="BP6" s="210"/>
      <c r="BQ6" s="210"/>
      <c r="BR6" s="210"/>
      <c r="BS6" s="210"/>
      <c r="BT6" s="210"/>
      <c r="BU6" s="210"/>
      <c r="BV6" s="210"/>
      <c r="BW6" s="210"/>
      <c r="BX6" s="210"/>
      <c r="BY6" s="210"/>
      <c r="BZ6" s="210"/>
      <c r="CA6" s="210"/>
      <c r="CB6" s="210"/>
      <c r="CC6" s="210"/>
      <c r="CD6" s="210"/>
      <c r="CE6" s="210"/>
      <c r="CF6" s="210"/>
      <c r="CG6" s="210"/>
      <c r="CH6" s="210"/>
      <c r="CI6" s="210"/>
      <c r="CJ6" s="210"/>
      <c r="CK6" s="210"/>
      <c r="CL6" s="210"/>
      <c r="CM6" s="210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</row>
    <row r="7" spans="1:205" ht="15.75" x14ac:dyDescent="0.25">
      <c r="A7" s="119" t="s">
        <v>94</v>
      </c>
      <c r="B7" s="106" t="str">
        <f>'объемы работ'!C7</f>
        <v>1000м^3</v>
      </c>
      <c r="C7" s="108">
        <f>('объемы работ'!D6+'объемы работ'!D7)</f>
        <v>15.006946317833336</v>
      </c>
      <c r="D7" s="108">
        <f>SUM('объемы работ'!F6,'объемы работ'!F7)/8</f>
        <v>65.041156030261888</v>
      </c>
      <c r="E7" s="109">
        <f>I7*J7*H7</f>
        <v>72</v>
      </c>
      <c r="F7" s="128"/>
      <c r="G7" s="128">
        <f>SUM('объемы работ'!H6,'объемы работ'!H7)/8</f>
        <v>44.758064916048333</v>
      </c>
      <c r="H7" s="107">
        <f>ROUNDUP(D7/(J7*I7),0)</f>
        <v>9</v>
      </c>
      <c r="I7" s="107">
        <v>2</v>
      </c>
      <c r="J7" s="107">
        <v>4</v>
      </c>
      <c r="K7" s="125"/>
      <c r="L7" s="135"/>
      <c r="M7" s="136"/>
      <c r="N7" s="136"/>
      <c r="O7" s="136"/>
      <c r="P7" s="136"/>
      <c r="Q7" s="136"/>
      <c r="R7" s="136"/>
      <c r="S7" s="136"/>
      <c r="T7" s="136"/>
      <c r="U7" s="136"/>
      <c r="V7" s="137"/>
      <c r="W7" s="137"/>
      <c r="X7" s="137"/>
      <c r="Y7" s="137"/>
      <c r="Z7" s="137"/>
      <c r="AA7" s="137">
        <f>J7*I7</f>
        <v>8</v>
      </c>
      <c r="AB7" s="137"/>
      <c r="AC7" s="138"/>
      <c r="AD7" s="137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97"/>
      <c r="FO7" s="97"/>
      <c r="FP7" s="97"/>
      <c r="FQ7" s="97"/>
      <c r="FR7" s="97"/>
      <c r="FS7" s="97"/>
      <c r="FT7" s="97"/>
      <c r="FU7" s="97"/>
      <c r="FV7" s="97"/>
      <c r="FW7" s="97"/>
      <c r="FX7" s="97"/>
      <c r="FY7" s="97"/>
      <c r="FZ7" s="97"/>
      <c r="GA7" s="97"/>
      <c r="GB7" s="97"/>
      <c r="GC7" s="97"/>
      <c r="GD7" s="97"/>
      <c r="GE7" s="97"/>
      <c r="GF7" s="97"/>
      <c r="GG7" s="97"/>
      <c r="GH7" s="97"/>
      <c r="GI7" s="97"/>
      <c r="GJ7" s="97"/>
      <c r="GK7" s="97"/>
      <c r="GL7" s="97"/>
      <c r="GM7" s="97"/>
      <c r="GN7" s="97"/>
      <c r="GO7" s="97"/>
      <c r="GP7" s="97"/>
      <c r="GQ7" s="97"/>
      <c r="GR7" s="97"/>
      <c r="GS7" s="97"/>
      <c r="GT7" s="97"/>
      <c r="GU7" s="97"/>
      <c r="GV7" s="97"/>
      <c r="GW7" s="97"/>
    </row>
    <row r="8" spans="1:205" ht="15.75" x14ac:dyDescent="0.25">
      <c r="A8" s="120" t="s">
        <v>93</v>
      </c>
      <c r="B8" s="111" t="str">
        <f>'объемы работ'!C8</f>
        <v>100м^3</v>
      </c>
      <c r="C8" s="111">
        <f>'объемы работ'!D8</f>
        <v>6.0648774000000003</v>
      </c>
      <c r="D8" s="110">
        <f>'объемы работ'!F8/8</f>
        <v>104.03539070024999</v>
      </c>
      <c r="E8" s="109">
        <f t="shared" ref="E8:E18" si="0">I8*J8*H8</f>
        <v>108</v>
      </c>
      <c r="F8" s="129" t="s">
        <v>108</v>
      </c>
      <c r="G8" s="129" t="s">
        <v>108</v>
      </c>
      <c r="H8" s="107">
        <f t="shared" ref="H8:H18" si="1">ROUNDUP(D8/(J8*I8),0)</f>
        <v>6</v>
      </c>
      <c r="I8" s="109">
        <v>2</v>
      </c>
      <c r="J8" s="109">
        <v>9</v>
      </c>
      <c r="K8" s="126"/>
      <c r="L8" s="135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8"/>
      <c r="AF8" s="137"/>
      <c r="AG8" s="137">
        <f>J8*I8</f>
        <v>18</v>
      </c>
      <c r="AH8" s="137"/>
      <c r="AI8" s="137"/>
      <c r="AJ8" s="137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97"/>
      <c r="EC8" s="97"/>
      <c r="ED8" s="97"/>
      <c r="EE8" s="97"/>
      <c r="EF8" s="97"/>
      <c r="EG8" s="97"/>
      <c r="EH8" s="97"/>
      <c r="EI8" s="97"/>
      <c r="EJ8" s="97"/>
      <c r="EK8" s="97"/>
      <c r="EL8" s="97"/>
      <c r="EM8" s="97"/>
      <c r="EN8" s="97"/>
      <c r="EO8" s="97"/>
      <c r="EP8" s="97"/>
      <c r="EQ8" s="97"/>
      <c r="ER8" s="97"/>
      <c r="ES8" s="97"/>
      <c r="ET8" s="97"/>
      <c r="EU8" s="97"/>
      <c r="EV8" s="97"/>
      <c r="EW8" s="97"/>
      <c r="EX8" s="97"/>
      <c r="EY8" s="97"/>
      <c r="EZ8" s="97"/>
      <c r="FA8" s="97"/>
      <c r="FB8" s="97"/>
      <c r="FC8" s="97"/>
      <c r="FD8" s="97"/>
      <c r="FE8" s="97"/>
      <c r="FF8" s="97"/>
      <c r="FG8" s="97"/>
      <c r="FH8" s="97"/>
      <c r="FI8" s="97"/>
      <c r="FJ8" s="97"/>
      <c r="FK8" s="97"/>
      <c r="FL8" s="97"/>
      <c r="FM8" s="97"/>
      <c r="FN8" s="97"/>
      <c r="FO8" s="97"/>
      <c r="FP8" s="97"/>
      <c r="FQ8" s="97"/>
      <c r="FR8" s="97"/>
      <c r="FS8" s="97"/>
      <c r="FT8" s="97"/>
      <c r="FU8" s="97"/>
      <c r="FV8" s="97"/>
      <c r="FW8" s="97"/>
      <c r="FX8" s="97"/>
      <c r="FY8" s="97"/>
      <c r="FZ8" s="97"/>
      <c r="GA8" s="97"/>
      <c r="GB8" s="97"/>
      <c r="GC8" s="97"/>
      <c r="GD8" s="97"/>
      <c r="GE8" s="97"/>
      <c r="GF8" s="97"/>
      <c r="GG8" s="97"/>
      <c r="GH8" s="97"/>
      <c r="GI8" s="97"/>
      <c r="GJ8" s="97"/>
      <c r="GK8" s="97"/>
      <c r="GL8" s="97"/>
      <c r="GM8" s="97"/>
      <c r="GN8" s="97"/>
      <c r="GO8" s="97"/>
      <c r="GP8" s="97"/>
      <c r="GQ8" s="97"/>
      <c r="GR8" s="97"/>
      <c r="GS8" s="97"/>
      <c r="GT8" s="97"/>
      <c r="GU8" s="97"/>
      <c r="GV8" s="97"/>
      <c r="GW8" s="97"/>
    </row>
    <row r="9" spans="1:205" ht="15.75" x14ac:dyDescent="0.25">
      <c r="A9" s="120" t="s">
        <v>95</v>
      </c>
      <c r="B9" s="111" t="str">
        <f>'объемы работ'!C9</f>
        <v>1м^3</v>
      </c>
      <c r="C9" s="111">
        <f>'объемы работ'!D9</f>
        <v>606.48774000000003</v>
      </c>
      <c r="D9" s="110">
        <f>'объемы работ'!F9/8</f>
        <v>275.19381202500006</v>
      </c>
      <c r="E9" s="109">
        <f t="shared" si="0"/>
        <v>288</v>
      </c>
      <c r="F9" s="129"/>
      <c r="G9" s="129">
        <f>'объемы работ'!H9/8</f>
        <v>33.356825700000002</v>
      </c>
      <c r="H9" s="107">
        <f t="shared" si="1"/>
        <v>16</v>
      </c>
      <c r="I9" s="109">
        <v>2</v>
      </c>
      <c r="J9" s="109">
        <v>9</v>
      </c>
      <c r="K9" s="126"/>
      <c r="L9" s="135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52"/>
      <c r="AI9" s="152">
        <f>AG8+AO9</f>
        <v>36</v>
      </c>
      <c r="AJ9" s="153"/>
      <c r="AK9" s="137"/>
      <c r="AL9" s="137"/>
      <c r="AM9" s="137"/>
      <c r="AN9" s="137"/>
      <c r="AO9" s="137">
        <f>J9*I9</f>
        <v>18</v>
      </c>
      <c r="AP9" s="137"/>
      <c r="AQ9" s="137"/>
      <c r="AR9" s="137"/>
      <c r="AS9" s="137"/>
      <c r="AT9" s="137"/>
      <c r="AU9" s="137"/>
      <c r="AV9" s="137"/>
      <c r="AW9" s="137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97"/>
      <c r="EC9" s="97"/>
      <c r="ED9" s="97"/>
      <c r="EE9" s="97"/>
      <c r="EF9" s="97"/>
      <c r="EG9" s="97"/>
      <c r="EH9" s="97"/>
      <c r="EI9" s="97"/>
      <c r="EJ9" s="97"/>
      <c r="EK9" s="97"/>
      <c r="EL9" s="97"/>
      <c r="EM9" s="97"/>
      <c r="EN9" s="97"/>
      <c r="EO9" s="97"/>
      <c r="EP9" s="97"/>
      <c r="EQ9" s="97"/>
      <c r="ER9" s="97"/>
      <c r="ES9" s="97"/>
      <c r="ET9" s="97"/>
      <c r="EU9" s="97"/>
      <c r="EV9" s="97"/>
      <c r="EW9" s="97"/>
      <c r="EX9" s="97"/>
      <c r="EY9" s="97"/>
      <c r="EZ9" s="97"/>
      <c r="FA9" s="97"/>
      <c r="FB9" s="97"/>
      <c r="FC9" s="97"/>
      <c r="FD9" s="97"/>
      <c r="FE9" s="97"/>
      <c r="FF9" s="97"/>
      <c r="FG9" s="97"/>
      <c r="FH9" s="97"/>
      <c r="FI9" s="97"/>
      <c r="FJ9" s="97"/>
      <c r="FK9" s="97"/>
      <c r="FL9" s="97"/>
      <c r="FM9" s="97"/>
      <c r="FN9" s="97"/>
      <c r="FO9" s="97"/>
      <c r="FP9" s="97"/>
      <c r="FQ9" s="97"/>
      <c r="FR9" s="97"/>
      <c r="FS9" s="97"/>
      <c r="FT9" s="97"/>
      <c r="FU9" s="97"/>
      <c r="FV9" s="97"/>
      <c r="FW9" s="97"/>
      <c r="FX9" s="97"/>
      <c r="FY9" s="97"/>
      <c r="FZ9" s="97"/>
      <c r="GA9" s="97"/>
      <c r="GB9" s="97"/>
      <c r="GC9" s="97"/>
      <c r="GD9" s="97"/>
      <c r="GE9" s="97"/>
      <c r="GF9" s="97"/>
      <c r="GG9" s="97"/>
      <c r="GH9" s="97"/>
      <c r="GI9" s="97"/>
      <c r="GJ9" s="97"/>
      <c r="GK9" s="97"/>
      <c r="GL9" s="97"/>
      <c r="GM9" s="97"/>
      <c r="GN9" s="97"/>
      <c r="GO9" s="97"/>
      <c r="GP9" s="97"/>
      <c r="GQ9" s="97"/>
      <c r="GR9" s="97"/>
      <c r="GS9" s="97"/>
      <c r="GT9" s="97"/>
      <c r="GU9" s="97"/>
      <c r="GV9" s="97"/>
      <c r="GW9" s="97"/>
    </row>
    <row r="10" spans="1:205" ht="50.45" customHeight="1" x14ac:dyDescent="0.25">
      <c r="A10" s="120" t="s">
        <v>113</v>
      </c>
      <c r="B10" s="111" t="str">
        <f>'объемы работ'!C11</f>
        <v>1км</v>
      </c>
      <c r="C10" s="110">
        <f>('объемы работ'!D11+'объемы работ'!D12+'объемы работ'!D13+'объемы работ'!D14+'объемы работ'!D15)</f>
        <v>13.934049999999999</v>
      </c>
      <c r="D10" s="110">
        <f>SUM('объемы работ'!F11:F15)/8</f>
        <v>1559.3760805625</v>
      </c>
      <c r="E10" s="109">
        <f t="shared" si="0"/>
        <v>1560</v>
      </c>
      <c r="F10" s="129"/>
      <c r="G10" s="132">
        <f>SUM('объемы работ'!H11:H15)/8</f>
        <v>327.45787868749994</v>
      </c>
      <c r="H10" s="107">
        <f t="shared" si="1"/>
        <v>60</v>
      </c>
      <c r="I10" s="109">
        <v>2</v>
      </c>
      <c r="J10" s="109">
        <v>13</v>
      </c>
      <c r="K10" s="126"/>
      <c r="L10" s="135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52"/>
      <c r="AL10" s="152"/>
      <c r="AM10" s="152"/>
      <c r="AN10" s="152"/>
      <c r="AO10" s="152"/>
      <c r="AP10" s="152"/>
      <c r="AQ10" s="152">
        <f>AO9+BJ10</f>
        <v>44</v>
      </c>
      <c r="AR10" s="153"/>
      <c r="AS10" s="152"/>
      <c r="AT10" s="152"/>
      <c r="AU10" s="152"/>
      <c r="AV10" s="152"/>
      <c r="AW10" s="152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>
        <f>J10*I10</f>
        <v>26</v>
      </c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97"/>
      <c r="EC10" s="97"/>
      <c r="ED10" s="97"/>
      <c r="EE10" s="97"/>
      <c r="EF10" s="97"/>
      <c r="EG10" s="97"/>
      <c r="EH10" s="97"/>
      <c r="EI10" s="97"/>
      <c r="EJ10" s="97"/>
      <c r="EK10" s="97"/>
      <c r="EL10" s="97"/>
      <c r="EM10" s="97"/>
      <c r="EN10" s="97"/>
      <c r="EO10" s="97"/>
      <c r="EP10" s="97"/>
      <c r="EQ10" s="97"/>
      <c r="ER10" s="97"/>
      <c r="ES10" s="97"/>
      <c r="ET10" s="97"/>
      <c r="EU10" s="97"/>
      <c r="EV10" s="97"/>
      <c r="EW10" s="97"/>
      <c r="EX10" s="97"/>
      <c r="EY10" s="97"/>
      <c r="EZ10" s="97"/>
      <c r="FA10" s="97"/>
      <c r="FB10" s="97"/>
      <c r="FC10" s="97"/>
      <c r="FD10" s="97"/>
      <c r="FE10" s="97"/>
      <c r="FF10" s="97"/>
      <c r="FG10" s="97"/>
      <c r="FH10" s="97"/>
      <c r="FI10" s="97"/>
      <c r="FJ10" s="97"/>
      <c r="FK10" s="97"/>
      <c r="FL10" s="97"/>
      <c r="FM10" s="97"/>
      <c r="FN10" s="97"/>
      <c r="FO10" s="97"/>
      <c r="FP10" s="97"/>
      <c r="FQ10" s="97"/>
      <c r="FR10" s="97"/>
      <c r="FS10" s="97"/>
      <c r="FT10" s="97"/>
      <c r="FU10" s="97"/>
      <c r="FV10" s="97"/>
      <c r="FW10" s="97"/>
      <c r="FX10" s="97"/>
      <c r="FY10" s="97"/>
      <c r="FZ10" s="97"/>
      <c r="GA10" s="97"/>
      <c r="GB10" s="97"/>
      <c r="GC10" s="97"/>
      <c r="GD10" s="97"/>
      <c r="GE10" s="97"/>
      <c r="GF10" s="97"/>
      <c r="GG10" s="97"/>
      <c r="GH10" s="97"/>
      <c r="GI10" s="97"/>
      <c r="GJ10" s="97"/>
      <c r="GK10" s="97"/>
      <c r="GL10" s="97"/>
      <c r="GM10" s="97"/>
      <c r="GN10" s="97"/>
      <c r="GO10" s="97"/>
      <c r="GP10" s="97"/>
      <c r="GQ10" s="97"/>
      <c r="GR10" s="97"/>
      <c r="GS10" s="97"/>
      <c r="GT10" s="97"/>
      <c r="GU10" s="97"/>
      <c r="GV10" s="97"/>
      <c r="GW10" s="97"/>
    </row>
    <row r="11" spans="1:205" ht="30" x14ac:dyDescent="0.25">
      <c r="A11" s="120" t="s">
        <v>96</v>
      </c>
      <c r="B11" s="111" t="str">
        <f>'объемы работ'!C16</f>
        <v>1км</v>
      </c>
      <c r="C11" s="110">
        <f>SUM('объемы работ'!D16:D18)</f>
        <v>13.934049999999999</v>
      </c>
      <c r="D11" s="110">
        <f>SUM('объемы работ'!F16:F18)/8</f>
        <v>339.76032499999997</v>
      </c>
      <c r="E11" s="109">
        <f t="shared" si="0"/>
        <v>344</v>
      </c>
      <c r="F11" s="129"/>
      <c r="G11" s="129">
        <f>SUM('объемы работ'!H16:H18)/8</f>
        <v>186.117858625</v>
      </c>
      <c r="H11" s="107">
        <f t="shared" si="1"/>
        <v>43</v>
      </c>
      <c r="I11" s="109">
        <v>2</v>
      </c>
      <c r="J11" s="109">
        <v>4</v>
      </c>
      <c r="K11" s="126"/>
      <c r="L11" s="135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7"/>
      <c r="AY11" s="152"/>
      <c r="AZ11" s="152"/>
      <c r="BA11" s="152"/>
      <c r="BB11" s="152">
        <f>BJ10+BV11</f>
        <v>34</v>
      </c>
      <c r="BC11" s="152"/>
      <c r="BD11" s="152"/>
      <c r="BE11" s="152"/>
      <c r="BF11" s="152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>
        <f>J11*I11</f>
        <v>8</v>
      </c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  <c r="EY11" s="97"/>
      <c r="EZ11" s="97"/>
      <c r="FA11" s="97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97"/>
      <c r="FM11" s="97"/>
      <c r="FN11" s="97"/>
      <c r="FO11" s="97"/>
      <c r="FP11" s="97"/>
      <c r="FQ11" s="97"/>
      <c r="FR11" s="97"/>
      <c r="FS11" s="97"/>
      <c r="FT11" s="97"/>
      <c r="FU11" s="97"/>
      <c r="FV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97"/>
      <c r="GM11" s="97"/>
      <c r="GN11" s="97"/>
      <c r="GO11" s="97"/>
      <c r="GP11" s="97"/>
      <c r="GQ11" s="97"/>
      <c r="GR11" s="97"/>
      <c r="GS11" s="97"/>
      <c r="GT11" s="97"/>
      <c r="GU11" s="97"/>
      <c r="GV11" s="97"/>
      <c r="GW11" s="97"/>
    </row>
    <row r="12" spans="1:205" ht="31.5" customHeight="1" x14ac:dyDescent="0.25">
      <c r="A12" s="120" t="s">
        <v>97</v>
      </c>
      <c r="B12" s="111" t="str">
        <f>'объемы работ'!C19</f>
        <v>1км</v>
      </c>
      <c r="C12" s="110">
        <f>SUM('объемы работ'!D19:D20)</f>
        <v>13.934049999999999</v>
      </c>
      <c r="D12" s="110">
        <f>SUM('объемы работ'!F19:F20)/8</f>
        <v>294.67209374999999</v>
      </c>
      <c r="E12" s="109">
        <f t="shared" si="0"/>
        <v>308</v>
      </c>
      <c r="F12" s="129"/>
      <c r="G12" s="129">
        <f>SUM('объемы работ'!H19:H20)/8</f>
        <v>95.341099999999997</v>
      </c>
      <c r="H12" s="107">
        <f t="shared" si="1"/>
        <v>14</v>
      </c>
      <c r="I12" s="109">
        <v>2</v>
      </c>
      <c r="J12" s="109">
        <v>11</v>
      </c>
      <c r="K12" s="126"/>
      <c r="L12" s="135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7"/>
      <c r="CT12" s="137"/>
      <c r="CU12" s="137"/>
      <c r="CV12" s="137"/>
      <c r="CW12" s="137"/>
      <c r="CX12" s="137"/>
      <c r="CY12" s="137">
        <v>22</v>
      </c>
      <c r="CZ12" s="137"/>
      <c r="DA12" s="137"/>
      <c r="DB12" s="137"/>
      <c r="DC12" s="137"/>
      <c r="DD12" s="137"/>
      <c r="DE12" s="137"/>
      <c r="DF12" s="137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/>
      <c r="FC12" s="97"/>
      <c r="FD12" s="97"/>
      <c r="FE12" s="97"/>
      <c r="FF12" s="97"/>
      <c r="FG12" s="97"/>
      <c r="FH12" s="97"/>
      <c r="FI12" s="97"/>
      <c r="FJ12" s="97"/>
      <c r="FK12" s="97"/>
      <c r="FL12" s="97"/>
      <c r="FM12" s="97"/>
      <c r="FN12" s="97"/>
      <c r="FO12" s="97"/>
      <c r="FP12" s="97"/>
      <c r="FQ12" s="97"/>
      <c r="FR12" s="97"/>
      <c r="FS12" s="97"/>
      <c r="FT12" s="97"/>
      <c r="FU12" s="97"/>
      <c r="FV12" s="97"/>
      <c r="FW12" s="97"/>
      <c r="FX12" s="97"/>
      <c r="FY12" s="97"/>
      <c r="FZ12" s="97"/>
      <c r="GA12" s="97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97"/>
      <c r="GM12" s="97"/>
      <c r="GN12" s="97"/>
      <c r="GO12" s="97"/>
      <c r="GP12" s="97"/>
      <c r="GQ12" s="97"/>
      <c r="GR12" s="97"/>
      <c r="GS12" s="97"/>
      <c r="GT12" s="97"/>
      <c r="GU12" s="97"/>
      <c r="GV12" s="97"/>
      <c r="GW12" s="97"/>
    </row>
    <row r="13" spans="1:205" ht="30" x14ac:dyDescent="0.25">
      <c r="A13" s="120" t="s">
        <v>98</v>
      </c>
      <c r="B13" s="111" t="str">
        <f>'объемы работ'!C22</f>
        <v>1000м^3</v>
      </c>
      <c r="C13" s="111">
        <f>'объемы работ'!D22</f>
        <v>13.974057918929654</v>
      </c>
      <c r="D13" s="110">
        <f>'объемы работ'!F22/8</f>
        <v>14.026460636125639</v>
      </c>
      <c r="E13" s="109">
        <f t="shared" si="0"/>
        <v>15</v>
      </c>
      <c r="F13" s="129"/>
      <c r="G13" s="129">
        <f>'объемы работ'!H22/8</f>
        <v>14.026460636125639</v>
      </c>
      <c r="H13" s="107">
        <f t="shared" si="1"/>
        <v>5</v>
      </c>
      <c r="I13" s="109">
        <v>1</v>
      </c>
      <c r="J13" s="109">
        <v>3</v>
      </c>
      <c r="K13" s="126"/>
      <c r="L13" s="135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7"/>
      <c r="DH13" s="137"/>
      <c r="DI13" s="137">
        <v>3</v>
      </c>
      <c r="DJ13" s="137"/>
      <c r="DK13" s="137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97"/>
      <c r="EX13" s="97"/>
      <c r="EY13" s="97"/>
      <c r="EZ13" s="97"/>
      <c r="FA13" s="97"/>
      <c r="FB13" s="97"/>
      <c r="FC13" s="97"/>
      <c r="FD13" s="97"/>
      <c r="FE13" s="97"/>
      <c r="FF13" s="97"/>
      <c r="FG13" s="97"/>
      <c r="FH13" s="97"/>
      <c r="FI13" s="97"/>
      <c r="FJ13" s="97"/>
      <c r="FK13" s="97"/>
      <c r="FL13" s="97"/>
      <c r="FM13" s="97"/>
      <c r="FN13" s="97"/>
      <c r="FO13" s="97"/>
      <c r="FP13" s="97"/>
      <c r="FQ13" s="97"/>
      <c r="FR13" s="97"/>
      <c r="FS13" s="97"/>
      <c r="FT13" s="97"/>
      <c r="FU13" s="97"/>
      <c r="FV13" s="97"/>
      <c r="FW13" s="97"/>
      <c r="FX13" s="97"/>
      <c r="FY13" s="97"/>
      <c r="FZ13" s="97"/>
      <c r="GA13" s="97"/>
      <c r="GB13" s="97"/>
      <c r="GC13" s="97"/>
      <c r="GD13" s="97"/>
      <c r="GE13" s="97"/>
      <c r="GF13" s="97"/>
      <c r="GG13" s="97"/>
      <c r="GH13" s="97"/>
      <c r="GI13" s="97"/>
      <c r="GJ13" s="97"/>
      <c r="GK13" s="97"/>
      <c r="GL13" s="97"/>
      <c r="GM13" s="97"/>
      <c r="GN13" s="97"/>
      <c r="GO13" s="97"/>
      <c r="GP13" s="97"/>
      <c r="GQ13" s="97"/>
      <c r="GR13" s="97"/>
      <c r="GS13" s="97"/>
      <c r="GT13" s="97"/>
      <c r="GU13" s="97"/>
      <c r="GV13" s="97"/>
      <c r="GW13" s="97"/>
    </row>
    <row r="14" spans="1:205" ht="21.75" customHeight="1" x14ac:dyDescent="0.25">
      <c r="A14" s="120" t="s">
        <v>99</v>
      </c>
      <c r="B14" s="111" t="str">
        <f>'объемы работ'!C23</f>
        <v>100м^3</v>
      </c>
      <c r="C14" s="111">
        <f>'объемы работ'!D23</f>
        <v>7.3547673257524595</v>
      </c>
      <c r="D14" s="110">
        <f>'объемы работ'!F23/8</f>
        <v>94.609888186648192</v>
      </c>
      <c r="E14" s="109">
        <f t="shared" si="0"/>
        <v>95</v>
      </c>
      <c r="F14" s="129" t="s">
        <v>108</v>
      </c>
      <c r="G14" s="129" t="s">
        <v>108</v>
      </c>
      <c r="H14" s="107">
        <f>ROUNDUP(D14/(J14*I14),0)</f>
        <v>5</v>
      </c>
      <c r="I14" s="109">
        <v>1</v>
      </c>
      <c r="J14" s="109">
        <v>19</v>
      </c>
      <c r="K14" s="126"/>
      <c r="L14" s="135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7"/>
      <c r="DH14" s="137"/>
      <c r="DI14" s="137">
        <v>19</v>
      </c>
      <c r="DJ14" s="137"/>
      <c r="DK14" s="137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97"/>
      <c r="EZ14" s="97"/>
      <c r="FA14" s="97"/>
      <c r="FB14" s="97"/>
      <c r="FC14" s="97"/>
      <c r="FD14" s="97"/>
      <c r="FE14" s="97"/>
      <c r="FF14" s="97"/>
      <c r="FG14" s="97"/>
      <c r="FH14" s="97"/>
      <c r="FI14" s="97"/>
      <c r="FJ14" s="97"/>
      <c r="FK14" s="97"/>
      <c r="FL14" s="97"/>
      <c r="FM14" s="97"/>
      <c r="FN14" s="97"/>
      <c r="FO14" s="97"/>
      <c r="FP14" s="97"/>
      <c r="FQ14" s="97"/>
      <c r="FR14" s="97"/>
      <c r="FS14" s="97"/>
      <c r="FT14" s="97"/>
      <c r="FU14" s="97"/>
      <c r="FV14" s="97"/>
      <c r="FW14" s="97"/>
      <c r="FX14" s="97"/>
      <c r="FY14" s="97"/>
      <c r="FZ14" s="97"/>
      <c r="GA14" s="97"/>
      <c r="GB14" s="97"/>
      <c r="GC14" s="97"/>
      <c r="GD14" s="97"/>
      <c r="GE14" s="97"/>
      <c r="GF14" s="97"/>
      <c r="GG14" s="97"/>
      <c r="GH14" s="97"/>
      <c r="GI14" s="97"/>
      <c r="GJ14" s="97"/>
      <c r="GK14" s="97"/>
      <c r="GL14" s="97"/>
      <c r="GM14" s="97"/>
      <c r="GN14" s="97"/>
      <c r="GO14" s="97"/>
      <c r="GP14" s="97"/>
      <c r="GQ14" s="97"/>
      <c r="GR14" s="97"/>
      <c r="GS14" s="97"/>
      <c r="GT14" s="97"/>
      <c r="GU14" s="97"/>
      <c r="GV14" s="97"/>
      <c r="GW14" s="97"/>
    </row>
    <row r="15" spans="1:205" ht="30" x14ac:dyDescent="0.25">
      <c r="A15" s="120" t="s">
        <v>100</v>
      </c>
      <c r="B15" s="111" t="str">
        <f>'объемы работ'!C24</f>
        <v>100м^3</v>
      </c>
      <c r="C15" s="111">
        <f>'объемы работ'!D24</f>
        <v>147.09534651504902</v>
      </c>
      <c r="D15" s="110">
        <f>'объемы работ'!F24/8</f>
        <v>230.38808647919552</v>
      </c>
      <c r="E15" s="109">
        <f t="shared" si="0"/>
        <v>242</v>
      </c>
      <c r="F15" s="129"/>
      <c r="G15" s="132">
        <f>'объемы работ'!H24/8</f>
        <v>223.95266506916212</v>
      </c>
      <c r="H15" s="107">
        <f t="shared" si="1"/>
        <v>11</v>
      </c>
      <c r="I15" s="109">
        <v>2</v>
      </c>
      <c r="J15" s="109">
        <v>11</v>
      </c>
      <c r="K15" s="126"/>
      <c r="L15" s="135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7"/>
      <c r="DM15" s="137"/>
      <c r="DN15" s="137"/>
      <c r="DO15" s="137"/>
      <c r="DP15" s="137"/>
      <c r="DQ15" s="137"/>
      <c r="DR15" s="137">
        <v>22</v>
      </c>
      <c r="DS15" s="137"/>
      <c r="DT15" s="137"/>
      <c r="DU15" s="137"/>
      <c r="DV15" s="137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</row>
    <row r="16" spans="1:205" x14ac:dyDescent="0.25">
      <c r="A16" s="120" t="s">
        <v>101</v>
      </c>
      <c r="B16" s="109" t="s">
        <v>107</v>
      </c>
      <c r="C16" s="109">
        <v>5</v>
      </c>
      <c r="D16" s="110">
        <f>'объемы работ'!H34/8</f>
        <v>151.38112932599907</v>
      </c>
      <c r="E16" s="109">
        <f t="shared" si="0"/>
        <v>152</v>
      </c>
      <c r="F16" s="129" t="s">
        <v>108</v>
      </c>
      <c r="G16" s="129" t="s">
        <v>108</v>
      </c>
      <c r="H16" s="107">
        <f t="shared" si="1"/>
        <v>38</v>
      </c>
      <c r="I16" s="109">
        <v>1</v>
      </c>
      <c r="J16" s="109">
        <v>4</v>
      </c>
      <c r="K16" s="126"/>
      <c r="L16" s="135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37">
        <v>4</v>
      </c>
      <c r="DL16" s="137"/>
      <c r="DM16" s="137"/>
      <c r="DN16" s="137"/>
      <c r="DO16" s="137"/>
      <c r="DP16" s="137"/>
      <c r="DQ16" s="137"/>
      <c r="DR16" s="137"/>
      <c r="DS16" s="137"/>
      <c r="DT16" s="137"/>
      <c r="DU16" s="137"/>
      <c r="DV16" s="137"/>
      <c r="DW16" s="137"/>
      <c r="DX16" s="137"/>
      <c r="DY16" s="137"/>
      <c r="DZ16" s="137"/>
      <c r="EA16" s="137"/>
      <c r="EB16" s="137"/>
      <c r="EC16" s="137"/>
      <c r="ED16" s="137"/>
      <c r="EE16" s="136"/>
      <c r="EF16" s="136"/>
      <c r="EG16" s="136"/>
      <c r="EH16" s="136"/>
      <c r="EI16" s="136"/>
      <c r="EJ16" s="136"/>
      <c r="EK16" s="136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97"/>
      <c r="FB16" s="97"/>
      <c r="FC16" s="97"/>
      <c r="FD16" s="97"/>
      <c r="FE16" s="97"/>
      <c r="FF16" s="97"/>
      <c r="FG16" s="97"/>
      <c r="FH16" s="97"/>
      <c r="FI16" s="97"/>
      <c r="FJ16" s="97"/>
      <c r="FK16" s="97"/>
      <c r="FL16" s="97"/>
      <c r="FM16" s="97"/>
      <c r="FN16" s="97"/>
      <c r="FO16" s="97"/>
      <c r="FP16" s="97"/>
      <c r="FQ16" s="97"/>
      <c r="FR16" s="97"/>
      <c r="FS16" s="97"/>
      <c r="FT16" s="97"/>
      <c r="FU16" s="97"/>
      <c r="FV16" s="97"/>
      <c r="FW16" s="97"/>
      <c r="FX16" s="97"/>
      <c r="FY16" s="97"/>
      <c r="FZ16" s="97"/>
      <c r="GA16" s="97"/>
      <c r="GB16" s="97"/>
      <c r="GC16" s="97"/>
      <c r="GD16" s="97"/>
      <c r="GE16" s="97"/>
      <c r="GF16" s="97"/>
      <c r="GG16" s="97"/>
      <c r="GH16" s="97"/>
      <c r="GI16" s="97"/>
      <c r="GJ16" s="97"/>
      <c r="GK16" s="97"/>
      <c r="GL16" s="97"/>
      <c r="GM16" s="97"/>
      <c r="GN16" s="97"/>
      <c r="GO16" s="97"/>
      <c r="GP16" s="97"/>
      <c r="GQ16" s="97"/>
      <c r="GR16" s="97"/>
      <c r="GS16" s="97"/>
      <c r="GT16" s="97"/>
      <c r="GU16" s="97"/>
      <c r="GV16" s="97"/>
      <c r="GW16" s="97"/>
    </row>
    <row r="17" spans="1:205" x14ac:dyDescent="0.25">
      <c r="A17" s="120" t="s">
        <v>102</v>
      </c>
      <c r="B17" s="109" t="s">
        <v>107</v>
      </c>
      <c r="C17" s="109">
        <v>7</v>
      </c>
      <c r="D17" s="110">
        <f>'объемы работ'!H36/8</f>
        <v>211.93358105639871</v>
      </c>
      <c r="E17" s="109">
        <f t="shared" si="0"/>
        <v>220</v>
      </c>
      <c r="F17" s="129" t="s">
        <v>108</v>
      </c>
      <c r="G17" s="129" t="s">
        <v>108</v>
      </c>
      <c r="H17" s="107">
        <f t="shared" si="1"/>
        <v>10</v>
      </c>
      <c r="I17" s="109">
        <v>2</v>
      </c>
      <c r="J17" s="109">
        <v>11</v>
      </c>
      <c r="K17" s="126"/>
      <c r="L17" s="135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7"/>
      <c r="DX17" s="137"/>
      <c r="DY17" s="137"/>
      <c r="DZ17" s="137"/>
      <c r="EA17" s="137"/>
      <c r="EB17" s="137">
        <v>22</v>
      </c>
      <c r="EC17" s="137"/>
      <c r="ED17" s="137"/>
      <c r="EE17" s="137"/>
      <c r="EF17" s="137"/>
      <c r="EG17" s="136"/>
      <c r="EH17" s="136"/>
      <c r="EI17" s="136"/>
      <c r="EJ17" s="136"/>
      <c r="EK17" s="136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97"/>
      <c r="EX17" s="97"/>
      <c r="EY17" s="97"/>
      <c r="EZ17" s="97"/>
      <c r="FA17" s="97"/>
      <c r="FB17" s="97"/>
      <c r="FC17" s="97"/>
      <c r="FD17" s="97"/>
      <c r="FE17" s="97"/>
      <c r="FF17" s="97"/>
      <c r="FG17" s="97"/>
      <c r="FH17" s="97"/>
      <c r="FI17" s="97"/>
      <c r="FJ17" s="97"/>
      <c r="FK17" s="97"/>
      <c r="FL17" s="97"/>
      <c r="FM17" s="97"/>
      <c r="FN17" s="97"/>
      <c r="FO17" s="97"/>
      <c r="FP17" s="97"/>
      <c r="FQ17" s="97"/>
      <c r="FR17" s="97"/>
      <c r="FS17" s="97"/>
      <c r="FT17" s="97"/>
      <c r="FU17" s="97"/>
      <c r="FV17" s="97"/>
      <c r="FW17" s="97"/>
      <c r="FX17" s="97"/>
      <c r="FY17" s="97"/>
      <c r="FZ17" s="97"/>
      <c r="GA17" s="97"/>
      <c r="GB17" s="97"/>
      <c r="GC17" s="97"/>
      <c r="GD17" s="97"/>
      <c r="GE17" s="97"/>
      <c r="GF17" s="97"/>
      <c r="GG17" s="97"/>
      <c r="GH17" s="97"/>
      <c r="GI17" s="97"/>
      <c r="GJ17" s="97"/>
      <c r="GK17" s="97"/>
      <c r="GL17" s="97"/>
      <c r="GM17" s="97"/>
      <c r="GN17" s="97"/>
      <c r="GO17" s="97"/>
      <c r="GP17" s="97"/>
      <c r="GQ17" s="97"/>
      <c r="GR17" s="97"/>
      <c r="GS17" s="97"/>
      <c r="GT17" s="97"/>
      <c r="GU17" s="97"/>
      <c r="GV17" s="97"/>
      <c r="GW17" s="97"/>
    </row>
    <row r="18" spans="1:205" ht="15.75" thickBot="1" x14ac:dyDescent="0.3">
      <c r="A18" s="121" t="s">
        <v>103</v>
      </c>
      <c r="B18" s="122" t="s">
        <v>107</v>
      </c>
      <c r="C18" s="122">
        <v>6</v>
      </c>
      <c r="D18" s="123">
        <f>'объемы работ'!H38/8</f>
        <v>181.65735519119886</v>
      </c>
      <c r="E18" s="122">
        <f t="shared" si="0"/>
        <v>198</v>
      </c>
      <c r="F18" s="130" t="s">
        <v>108</v>
      </c>
      <c r="G18" s="130" t="s">
        <v>108</v>
      </c>
      <c r="H18" s="107">
        <f t="shared" si="1"/>
        <v>9</v>
      </c>
      <c r="I18" s="122">
        <v>2</v>
      </c>
      <c r="J18" s="122">
        <v>11</v>
      </c>
      <c r="K18" s="126"/>
      <c r="L18" s="150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43"/>
      <c r="EH18" s="143"/>
      <c r="EI18" s="143"/>
      <c r="EJ18" s="143"/>
      <c r="EK18" s="143">
        <v>22</v>
      </c>
      <c r="EL18" s="143"/>
      <c r="EM18" s="143"/>
      <c r="EN18" s="143"/>
      <c r="EO18" s="143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98"/>
      <c r="FM18" s="98"/>
      <c r="FN18" s="98"/>
      <c r="FO18" s="98"/>
      <c r="FP18" s="98"/>
      <c r="FQ18" s="98"/>
      <c r="FR18" s="98"/>
      <c r="FS18" s="98"/>
      <c r="FT18" s="98"/>
      <c r="FU18" s="98"/>
      <c r="FV18" s="98"/>
      <c r="FW18" s="98"/>
      <c r="FX18" s="98"/>
      <c r="FY18" s="98"/>
      <c r="FZ18" s="98"/>
      <c r="GA18" s="98"/>
      <c r="GB18" s="98"/>
      <c r="GC18" s="98"/>
      <c r="GD18" s="98"/>
      <c r="GE18" s="98"/>
      <c r="GF18" s="98"/>
      <c r="GG18" s="98"/>
      <c r="GH18" s="98"/>
      <c r="GI18" s="98"/>
      <c r="GJ18" s="98"/>
      <c r="GK18" s="98"/>
      <c r="GL18" s="98"/>
      <c r="GM18" s="98"/>
      <c r="GN18" s="98"/>
      <c r="GO18" s="98"/>
      <c r="GP18" s="98"/>
      <c r="GQ18" s="98"/>
      <c r="GR18" s="98"/>
      <c r="GS18" s="98"/>
      <c r="GT18" s="98"/>
      <c r="GU18" s="98"/>
      <c r="GV18" s="98"/>
      <c r="GW18" s="98"/>
    </row>
    <row r="26" spans="1:205" x14ac:dyDescent="0.25"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6"/>
      <c r="BN26" s="176"/>
      <c r="BO26" s="176"/>
      <c r="BP26" s="176"/>
      <c r="BQ26" s="176"/>
      <c r="BR26" s="176"/>
      <c r="BS26" s="176"/>
      <c r="BT26" s="176"/>
      <c r="BU26" s="176"/>
      <c r="BV26" s="176"/>
      <c r="BW26" s="176"/>
      <c r="BX26" s="176"/>
      <c r="BY26" s="176"/>
      <c r="BZ26" s="176"/>
      <c r="CA26" s="176"/>
      <c r="CB26" s="176"/>
      <c r="CC26" s="176"/>
      <c r="CD26" s="176"/>
      <c r="CE26" s="176"/>
      <c r="CF26" s="176"/>
      <c r="CG26" s="176"/>
      <c r="CH26" s="176"/>
      <c r="CI26" s="176"/>
      <c r="CJ26" s="176"/>
      <c r="CK26" s="176"/>
      <c r="CL26" s="176"/>
      <c r="CM26" s="176"/>
      <c r="CN26" s="176"/>
      <c r="CO26" s="176"/>
      <c r="CP26" s="176"/>
      <c r="CQ26" s="176"/>
      <c r="CR26" s="176"/>
      <c r="CS26" s="176"/>
      <c r="CT26" s="176"/>
      <c r="CU26" s="176"/>
      <c r="CV26" s="176"/>
      <c r="CW26" s="176"/>
      <c r="CX26" s="176"/>
      <c r="CY26" s="176"/>
      <c r="CZ26" s="176"/>
      <c r="DA26" s="176"/>
      <c r="DB26" s="176"/>
      <c r="DC26" s="176"/>
      <c r="DD26" s="176"/>
      <c r="DE26" s="176"/>
      <c r="DF26" s="176"/>
      <c r="DG26" s="176"/>
      <c r="DH26" s="176"/>
      <c r="DI26" s="176"/>
      <c r="DJ26" s="176"/>
      <c r="DK26" s="176"/>
      <c r="DL26" s="176"/>
      <c r="DM26" s="176"/>
      <c r="DN26" s="176"/>
      <c r="DO26" s="176"/>
      <c r="DP26" s="176"/>
      <c r="DQ26" s="176"/>
      <c r="DR26" s="176"/>
      <c r="DS26" s="176"/>
      <c r="DT26" s="176"/>
      <c r="DU26" s="176"/>
      <c r="DV26" s="176"/>
      <c r="DW26" s="176"/>
      <c r="DX26" s="176"/>
      <c r="DY26" s="176"/>
      <c r="DZ26" s="176"/>
      <c r="EA26" s="176"/>
    </row>
    <row r="27" spans="1:205" x14ac:dyDescent="0.25">
      <c r="L27" s="176"/>
      <c r="M27" s="176"/>
      <c r="N27" s="176"/>
      <c r="O27" s="176"/>
      <c r="P27" s="176"/>
      <c r="Q27" s="176" t="s">
        <v>114</v>
      </c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176"/>
      <c r="CN27" s="176"/>
      <c r="CO27" s="176"/>
      <c r="CP27" s="176"/>
      <c r="CQ27" s="176"/>
      <c r="CR27" s="176"/>
      <c r="CS27" s="176"/>
      <c r="CT27" s="176"/>
      <c r="CU27" s="176"/>
      <c r="CV27" s="176"/>
      <c r="CW27" s="176"/>
      <c r="CX27" s="176"/>
      <c r="CY27" s="176"/>
      <c r="CZ27" s="176"/>
      <c r="DA27" s="176"/>
      <c r="DB27" s="176"/>
      <c r="DC27" s="176"/>
      <c r="DD27" s="176"/>
      <c r="DE27" s="176"/>
      <c r="DF27" s="176"/>
      <c r="DG27" s="176"/>
      <c r="DH27" s="176"/>
      <c r="DI27" s="176"/>
      <c r="DJ27" s="176"/>
      <c r="DK27" s="176"/>
      <c r="DL27" s="176"/>
      <c r="DM27" s="176"/>
      <c r="DN27" s="176"/>
      <c r="DO27" s="176"/>
      <c r="DP27" s="176"/>
      <c r="DQ27" s="176"/>
      <c r="DR27" s="176"/>
      <c r="DS27" s="176"/>
      <c r="DT27" s="176"/>
      <c r="DU27" s="176"/>
      <c r="DV27" s="176"/>
      <c r="DW27" s="176"/>
      <c r="DX27" s="176"/>
      <c r="DY27" s="176"/>
      <c r="DZ27" s="176"/>
      <c r="EA27" s="176"/>
    </row>
    <row r="28" spans="1:205" x14ac:dyDescent="0.25"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  <c r="DC28" s="176"/>
      <c r="DD28" s="176"/>
      <c r="DE28" s="176"/>
      <c r="DF28" s="176"/>
      <c r="DG28" s="176"/>
      <c r="DH28" s="176"/>
      <c r="DI28" s="176"/>
      <c r="DJ28" s="176"/>
      <c r="DK28" s="176"/>
      <c r="DL28" s="176"/>
      <c r="DM28" s="176"/>
      <c r="DN28" s="176"/>
      <c r="DO28" s="176"/>
      <c r="DP28" s="176"/>
      <c r="DQ28" s="176"/>
      <c r="DR28" s="176"/>
      <c r="DS28" s="176"/>
      <c r="DT28" s="176"/>
      <c r="DU28" s="176"/>
      <c r="DV28" s="176"/>
      <c r="DW28" s="176"/>
      <c r="DX28" s="176"/>
      <c r="DY28" s="176"/>
      <c r="DZ28" s="176"/>
      <c r="EA28" s="176"/>
    </row>
    <row r="29" spans="1:205" x14ac:dyDescent="0.25"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  <c r="CO29" s="176"/>
      <c r="CP29" s="176"/>
      <c r="CQ29" s="176"/>
      <c r="CR29" s="176"/>
      <c r="CS29" s="176"/>
      <c r="CT29" s="176"/>
      <c r="CU29" s="176"/>
      <c r="CV29" s="176"/>
      <c r="CW29" s="176"/>
      <c r="CX29" s="176"/>
      <c r="CY29" s="176"/>
      <c r="CZ29" s="176"/>
      <c r="DA29" s="176"/>
      <c r="DB29" s="176"/>
      <c r="DC29" s="176"/>
      <c r="DD29" s="176"/>
      <c r="DE29" s="176"/>
      <c r="DF29" s="176"/>
      <c r="DG29" s="176"/>
      <c r="DH29" s="176"/>
      <c r="DI29" s="176"/>
      <c r="DJ29" s="176"/>
      <c r="DK29" s="176"/>
      <c r="DL29" s="176"/>
      <c r="DM29" s="176"/>
      <c r="DN29" s="176"/>
      <c r="DO29" s="176"/>
      <c r="DP29" s="176"/>
      <c r="DQ29" s="176"/>
      <c r="DR29" s="176"/>
      <c r="DS29" s="176"/>
      <c r="DT29" s="176"/>
      <c r="DU29" s="176"/>
      <c r="DV29" s="176"/>
      <c r="DW29" s="176"/>
      <c r="DX29" s="176"/>
      <c r="DY29" s="176"/>
      <c r="DZ29" s="176"/>
      <c r="EA29" s="176"/>
    </row>
    <row r="30" spans="1:205" x14ac:dyDescent="0.25"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  <c r="BL30" s="176"/>
      <c r="BM30" s="176"/>
      <c r="BN30" s="176"/>
      <c r="BO30" s="176"/>
      <c r="BP30" s="176"/>
      <c r="BQ30" s="176"/>
      <c r="BR30" s="176"/>
      <c r="BS30" s="176"/>
      <c r="BT30" s="176"/>
      <c r="BU30" s="176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</row>
    <row r="31" spans="1:205" x14ac:dyDescent="0.25"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176"/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76"/>
      <c r="DE31" s="176"/>
      <c r="DF31" s="176"/>
      <c r="DG31" s="176"/>
      <c r="DH31" s="176"/>
      <c r="DI31" s="176"/>
      <c r="DJ31" s="176"/>
      <c r="DK31" s="176"/>
      <c r="DL31" s="176"/>
      <c r="DM31" s="176"/>
      <c r="DN31" s="176"/>
      <c r="DO31" s="176"/>
      <c r="DP31" s="176"/>
      <c r="DQ31" s="176"/>
      <c r="DR31" s="176"/>
      <c r="DS31" s="176"/>
      <c r="DT31" s="176"/>
      <c r="DU31" s="176"/>
      <c r="DV31" s="176"/>
      <c r="DW31" s="176"/>
      <c r="DX31" s="176"/>
      <c r="DY31" s="176"/>
      <c r="DZ31" s="176"/>
      <c r="EA31" s="176"/>
    </row>
    <row r="32" spans="1:205" x14ac:dyDescent="0.25"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6"/>
      <c r="BR32" s="176"/>
      <c r="BS32" s="176"/>
      <c r="BT32" s="176"/>
      <c r="BU32" s="176"/>
      <c r="BV32" s="176"/>
      <c r="BW32" s="176"/>
      <c r="BX32" s="176"/>
      <c r="BY32" s="176"/>
      <c r="BZ32" s="176"/>
      <c r="CA32" s="176"/>
      <c r="CB32" s="176"/>
      <c r="CC32" s="176"/>
      <c r="CD32" s="176"/>
      <c r="CE32" s="176"/>
      <c r="CF32" s="176"/>
      <c r="CG32" s="176"/>
      <c r="CH32" s="176"/>
      <c r="CI32" s="176"/>
      <c r="CJ32" s="176"/>
      <c r="CK32" s="176"/>
      <c r="CL32" s="176"/>
      <c r="CM32" s="176"/>
      <c r="CN32" s="176"/>
      <c r="CO32" s="176"/>
      <c r="CP32" s="176"/>
      <c r="CQ32" s="176"/>
      <c r="CR32" s="176"/>
      <c r="CS32" s="176"/>
      <c r="CT32" s="176"/>
      <c r="CU32" s="176"/>
      <c r="CV32" s="176"/>
      <c r="CW32" s="176"/>
      <c r="CX32" s="176"/>
      <c r="CY32" s="176"/>
      <c r="CZ32" s="176"/>
      <c r="DA32" s="176"/>
      <c r="DB32" s="176"/>
      <c r="DC32" s="176"/>
      <c r="DD32" s="176"/>
      <c r="DE32" s="176"/>
      <c r="DF32" s="176"/>
      <c r="DG32" s="176"/>
      <c r="DH32" s="176"/>
      <c r="DI32" s="176"/>
      <c r="DJ32" s="176"/>
      <c r="DK32" s="176"/>
      <c r="DL32" s="176"/>
      <c r="DM32" s="176"/>
      <c r="DN32" s="176"/>
      <c r="DO32" s="176"/>
      <c r="DP32" s="176"/>
      <c r="DQ32" s="176"/>
      <c r="DR32" s="176"/>
      <c r="DS32" s="176"/>
      <c r="DT32" s="176"/>
      <c r="DU32" s="176"/>
      <c r="DV32" s="176"/>
      <c r="DW32" s="176"/>
      <c r="DX32" s="176"/>
      <c r="DY32" s="176"/>
      <c r="DZ32" s="176"/>
      <c r="EA32" s="176"/>
    </row>
    <row r="33" spans="12:141" x14ac:dyDescent="0.25"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6"/>
      <c r="AT33" s="176"/>
      <c r="AU33" s="176"/>
      <c r="AV33" s="176"/>
      <c r="AW33" s="176"/>
      <c r="AX33" s="176"/>
      <c r="AY33" s="176"/>
      <c r="AZ33" s="176"/>
      <c r="BA33" s="176"/>
      <c r="BB33" s="176"/>
      <c r="BC33" s="176"/>
      <c r="BD33" s="176"/>
      <c r="BE33" s="176"/>
      <c r="BF33" s="176"/>
      <c r="BG33" s="176"/>
      <c r="BH33" s="176"/>
      <c r="BI33" s="176"/>
      <c r="BJ33" s="176"/>
      <c r="BK33" s="176"/>
      <c r="BL33" s="176"/>
      <c r="BM33" s="176"/>
      <c r="BN33" s="176"/>
      <c r="BO33" s="176"/>
      <c r="BP33" s="176"/>
      <c r="BQ33" s="176"/>
      <c r="BR33" s="176"/>
      <c r="BS33" s="176"/>
      <c r="BT33" s="176"/>
      <c r="BU33" s="176"/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  <c r="CF33" s="176"/>
      <c r="CG33" s="176"/>
      <c r="CH33" s="176"/>
      <c r="CI33" s="176"/>
      <c r="CJ33" s="176"/>
      <c r="CK33" s="176"/>
      <c r="CL33" s="176"/>
      <c r="CM33" s="176"/>
      <c r="CN33" s="176"/>
      <c r="CO33" s="176"/>
      <c r="CP33" s="176"/>
      <c r="CQ33" s="176"/>
      <c r="CR33" s="176"/>
      <c r="CS33" s="176"/>
      <c r="CT33" s="176"/>
      <c r="CU33" s="176"/>
      <c r="CV33" s="176"/>
      <c r="CW33" s="176"/>
      <c r="CX33" s="176"/>
      <c r="CY33" s="176"/>
      <c r="CZ33" s="176"/>
      <c r="DA33" s="176"/>
      <c r="DB33" s="176"/>
      <c r="DC33" s="176"/>
      <c r="DD33" s="176"/>
      <c r="DE33" s="176"/>
      <c r="DF33" s="176"/>
      <c r="DG33" s="176"/>
      <c r="DH33" s="176"/>
      <c r="DI33" s="176"/>
      <c r="DJ33" s="176"/>
      <c r="DK33" s="176"/>
      <c r="DL33" s="176"/>
      <c r="DM33" s="176"/>
      <c r="DN33" s="176"/>
      <c r="DO33" s="176"/>
      <c r="DP33" s="176"/>
      <c r="DQ33" s="176"/>
      <c r="DR33" s="176"/>
      <c r="DS33" s="176"/>
      <c r="DT33" s="176"/>
      <c r="DU33" s="176"/>
      <c r="DV33" s="176"/>
      <c r="DW33" s="176"/>
      <c r="DX33" s="176"/>
      <c r="DY33" s="176"/>
      <c r="DZ33" s="176"/>
      <c r="EA33" s="176"/>
    </row>
    <row r="34" spans="12:141" x14ac:dyDescent="0.25"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6"/>
      <c r="AT34" s="176"/>
      <c r="AU34" s="176"/>
      <c r="AV34" s="176"/>
      <c r="AW34" s="176"/>
      <c r="AX34" s="176"/>
      <c r="AY34" s="176"/>
      <c r="AZ34" s="176"/>
      <c r="BA34" s="176"/>
      <c r="BB34" s="176"/>
      <c r="BC34" s="176"/>
      <c r="BD34" s="176"/>
      <c r="BE34" s="176"/>
      <c r="BF34" s="176"/>
      <c r="BG34" s="176"/>
      <c r="BH34" s="176"/>
      <c r="BI34" s="176"/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V34" s="176"/>
      <c r="BW34" s="176"/>
      <c r="BX34" s="176"/>
      <c r="BY34" s="176"/>
      <c r="BZ34" s="176"/>
      <c r="CA34" s="176"/>
      <c r="CB34" s="176"/>
      <c r="CC34" s="176"/>
      <c r="CD34" s="176"/>
      <c r="CE34" s="176"/>
      <c r="CF34" s="176"/>
      <c r="CG34" s="176"/>
      <c r="CH34" s="176"/>
      <c r="CI34" s="176"/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76"/>
      <c r="DJ34" s="176"/>
      <c r="DK34" s="176"/>
      <c r="DL34" s="176"/>
      <c r="DM34" s="176"/>
      <c r="DN34" s="176"/>
      <c r="DO34" s="176"/>
      <c r="DP34" s="176"/>
      <c r="DQ34" s="176"/>
      <c r="DR34" s="176"/>
      <c r="DS34" s="176"/>
      <c r="DT34" s="176"/>
      <c r="DU34" s="176"/>
      <c r="DV34" s="176"/>
      <c r="DW34" s="176"/>
      <c r="DX34" s="176"/>
      <c r="DY34" s="176"/>
      <c r="DZ34" s="176"/>
      <c r="EA34" s="176"/>
    </row>
    <row r="35" spans="12:141" x14ac:dyDescent="0.25"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6"/>
      <c r="BR35" s="176"/>
      <c r="BS35" s="176"/>
      <c r="BT35" s="176"/>
      <c r="BU35" s="176"/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6"/>
      <c r="CY35" s="176"/>
      <c r="CZ35" s="176"/>
      <c r="DA35" s="176"/>
      <c r="DB35" s="176"/>
      <c r="DC35" s="176"/>
      <c r="DD35" s="176"/>
      <c r="DE35" s="176"/>
      <c r="DF35" s="176"/>
      <c r="DG35" s="176"/>
      <c r="DH35" s="176"/>
      <c r="DI35" s="176"/>
      <c r="DJ35" s="176"/>
      <c r="DK35" s="176"/>
      <c r="DL35" s="176"/>
      <c r="DM35" s="176"/>
      <c r="DN35" s="176"/>
      <c r="DO35" s="176"/>
      <c r="DP35" s="176"/>
      <c r="DQ35" s="176"/>
      <c r="DR35" s="176"/>
      <c r="DS35" s="176"/>
      <c r="DT35" s="176"/>
      <c r="DU35" s="176"/>
      <c r="DV35" s="176"/>
      <c r="DW35" s="176"/>
      <c r="DX35" s="176"/>
      <c r="DY35" s="176"/>
      <c r="DZ35" s="176"/>
      <c r="EA35" s="176"/>
    </row>
    <row r="36" spans="12:141" x14ac:dyDescent="0.25"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76"/>
      <c r="CS36" s="176"/>
      <c r="CT36" s="176"/>
      <c r="CU36" s="176"/>
      <c r="CV36" s="176"/>
      <c r="CW36" s="176"/>
      <c r="CX36" s="176"/>
      <c r="CY36" s="176"/>
      <c r="CZ36" s="176"/>
      <c r="DA36" s="176"/>
      <c r="DB36" s="176"/>
      <c r="DC36" s="176"/>
      <c r="DD36" s="176"/>
      <c r="DE36" s="176"/>
      <c r="DF36" s="176"/>
      <c r="DG36" s="176"/>
      <c r="DH36" s="176"/>
      <c r="DI36" s="176"/>
      <c r="DJ36" s="176"/>
      <c r="DK36" s="176"/>
      <c r="DL36" s="176"/>
      <c r="DM36" s="176"/>
      <c r="DN36" s="176"/>
      <c r="DO36" s="176"/>
      <c r="DP36" s="176"/>
      <c r="DQ36" s="176"/>
      <c r="DR36" s="176"/>
      <c r="DS36" s="176"/>
      <c r="DT36" s="176"/>
      <c r="DU36" s="176"/>
      <c r="DV36" s="176"/>
      <c r="DW36" s="176"/>
      <c r="DX36" s="176"/>
      <c r="DY36" s="176"/>
      <c r="DZ36" s="176"/>
      <c r="EA36" s="176"/>
    </row>
    <row r="37" spans="12:141" x14ac:dyDescent="0.25">
      <c r="L37" s="179">
        <v>1</v>
      </c>
      <c r="M37" s="179">
        <v>2</v>
      </c>
      <c r="N37" s="179">
        <v>3</v>
      </c>
      <c r="O37" s="179">
        <v>4</v>
      </c>
      <c r="P37" s="179">
        <v>5</v>
      </c>
      <c r="Q37" s="179">
        <v>6</v>
      </c>
      <c r="R37" s="179">
        <v>7</v>
      </c>
      <c r="S37" s="179">
        <v>8</v>
      </c>
      <c r="T37" s="179">
        <v>9</v>
      </c>
      <c r="U37" s="179">
        <v>10</v>
      </c>
      <c r="V37" s="179">
        <v>11</v>
      </c>
      <c r="W37" s="179">
        <v>12</v>
      </c>
      <c r="X37" s="179">
        <v>13</v>
      </c>
      <c r="Y37" s="179">
        <v>14</v>
      </c>
      <c r="Z37" s="179">
        <v>15</v>
      </c>
      <c r="AA37" s="179">
        <v>16</v>
      </c>
      <c r="AB37" s="179">
        <v>17</v>
      </c>
      <c r="AC37" s="179">
        <v>18</v>
      </c>
      <c r="AD37" s="179">
        <v>19</v>
      </c>
      <c r="AE37" s="179">
        <v>20</v>
      </c>
      <c r="AF37" s="179">
        <v>21</v>
      </c>
      <c r="AG37" s="179">
        <v>22</v>
      </c>
      <c r="AH37" s="179">
        <v>23</v>
      </c>
      <c r="AI37" s="179">
        <v>24</v>
      </c>
      <c r="AJ37" s="179">
        <v>25</v>
      </c>
      <c r="AK37" s="179">
        <v>26</v>
      </c>
      <c r="AL37" s="179">
        <v>27</v>
      </c>
      <c r="AM37" s="179">
        <v>28</v>
      </c>
      <c r="AN37" s="179">
        <v>29</v>
      </c>
      <c r="AO37" s="179">
        <v>30</v>
      </c>
      <c r="AP37" s="179">
        <v>31</v>
      </c>
      <c r="AQ37" s="179">
        <v>32</v>
      </c>
      <c r="AR37" s="179">
        <v>33</v>
      </c>
      <c r="AS37" s="179">
        <v>34</v>
      </c>
      <c r="AT37" s="179">
        <v>35</v>
      </c>
      <c r="AU37" s="179">
        <v>36</v>
      </c>
      <c r="AV37" s="179">
        <v>37</v>
      </c>
      <c r="AW37" s="179">
        <v>38</v>
      </c>
      <c r="AX37" s="179">
        <v>39</v>
      </c>
      <c r="AY37" s="179">
        <v>40</v>
      </c>
      <c r="AZ37" s="179">
        <v>41</v>
      </c>
      <c r="BA37" s="179">
        <v>42</v>
      </c>
      <c r="BB37" s="179">
        <v>43</v>
      </c>
      <c r="BC37" s="179">
        <v>44</v>
      </c>
      <c r="BD37" s="179">
        <v>45</v>
      </c>
      <c r="BE37" s="179">
        <v>46</v>
      </c>
      <c r="BF37" s="179">
        <v>47</v>
      </c>
      <c r="BG37" s="179">
        <v>48</v>
      </c>
      <c r="BH37" s="179">
        <v>49</v>
      </c>
      <c r="BI37" s="179">
        <v>50</v>
      </c>
      <c r="BJ37" s="179">
        <v>51</v>
      </c>
      <c r="BK37" s="179">
        <v>52</v>
      </c>
      <c r="BL37" s="179">
        <v>53</v>
      </c>
      <c r="BM37" s="179">
        <v>54</v>
      </c>
      <c r="BN37" s="179">
        <v>55</v>
      </c>
      <c r="BO37" s="179">
        <v>56</v>
      </c>
      <c r="BP37" s="179">
        <v>57</v>
      </c>
      <c r="BQ37" s="179">
        <v>58</v>
      </c>
      <c r="BR37" s="179">
        <v>59</v>
      </c>
      <c r="BS37" s="179">
        <v>60</v>
      </c>
      <c r="BT37" s="179">
        <v>61</v>
      </c>
      <c r="BU37" s="179">
        <v>62</v>
      </c>
      <c r="BV37" s="179">
        <v>63</v>
      </c>
      <c r="BW37" s="179">
        <v>64</v>
      </c>
      <c r="BX37" s="179">
        <v>65</v>
      </c>
      <c r="BY37" s="179">
        <v>66</v>
      </c>
      <c r="BZ37" s="179">
        <v>67</v>
      </c>
      <c r="CA37" s="179">
        <v>68</v>
      </c>
      <c r="CB37" s="179">
        <v>69</v>
      </c>
      <c r="CC37" s="179">
        <v>70</v>
      </c>
      <c r="CD37" s="179">
        <v>71</v>
      </c>
      <c r="CE37" s="179">
        <v>72</v>
      </c>
      <c r="CF37" s="179">
        <v>73</v>
      </c>
      <c r="CG37" s="179">
        <v>74</v>
      </c>
      <c r="CH37" s="179">
        <v>75</v>
      </c>
      <c r="CI37" s="179">
        <v>76</v>
      </c>
      <c r="CJ37" s="179">
        <v>77</v>
      </c>
      <c r="CK37" s="179">
        <v>78</v>
      </c>
      <c r="CL37" s="179">
        <v>79</v>
      </c>
      <c r="CM37" s="179">
        <v>80</v>
      </c>
      <c r="CN37" s="179">
        <v>81</v>
      </c>
      <c r="CO37" s="179">
        <v>82</v>
      </c>
      <c r="CP37" s="179">
        <v>83</v>
      </c>
      <c r="CQ37" s="179">
        <v>84</v>
      </c>
      <c r="CR37" s="179">
        <v>85</v>
      </c>
      <c r="CS37" s="179">
        <v>86</v>
      </c>
      <c r="CT37" s="179">
        <v>87</v>
      </c>
      <c r="CU37" s="179">
        <v>88</v>
      </c>
      <c r="CV37" s="179">
        <v>89</v>
      </c>
      <c r="CW37" s="179">
        <v>90</v>
      </c>
      <c r="CX37" s="179">
        <v>91</v>
      </c>
      <c r="CY37" s="179">
        <v>92</v>
      </c>
      <c r="CZ37" s="179">
        <v>93</v>
      </c>
      <c r="DA37" s="179">
        <v>94</v>
      </c>
      <c r="DB37" s="179">
        <v>95</v>
      </c>
      <c r="DC37" s="179">
        <v>96</v>
      </c>
      <c r="DD37" s="179">
        <v>97</v>
      </c>
      <c r="DE37" s="179">
        <v>98</v>
      </c>
      <c r="DF37" s="179">
        <v>99</v>
      </c>
      <c r="DG37" s="179">
        <v>100</v>
      </c>
      <c r="DH37" s="179">
        <v>101</v>
      </c>
      <c r="DI37" s="179">
        <v>102</v>
      </c>
      <c r="DJ37" s="179">
        <v>103</v>
      </c>
      <c r="DK37" s="179">
        <v>104</v>
      </c>
      <c r="DL37" s="179">
        <v>105</v>
      </c>
      <c r="DM37" s="179">
        <v>106</v>
      </c>
      <c r="DN37" s="179">
        <v>107</v>
      </c>
      <c r="DO37" s="179">
        <v>108</v>
      </c>
      <c r="DP37" s="179">
        <v>109</v>
      </c>
      <c r="DQ37" s="179">
        <v>110</v>
      </c>
      <c r="DR37" s="179">
        <v>111</v>
      </c>
      <c r="DS37" s="179">
        <v>112</v>
      </c>
      <c r="DT37" s="179">
        <v>113</v>
      </c>
      <c r="DU37" s="179">
        <v>114</v>
      </c>
      <c r="DV37" s="179">
        <v>115</v>
      </c>
      <c r="DW37" s="179">
        <v>116</v>
      </c>
      <c r="DX37" s="179">
        <v>117</v>
      </c>
      <c r="DY37" s="179">
        <v>118</v>
      </c>
      <c r="DZ37" s="179">
        <v>119</v>
      </c>
      <c r="EA37" s="179">
        <v>120</v>
      </c>
      <c r="EB37" s="179">
        <v>121</v>
      </c>
      <c r="EC37" s="179">
        <v>122</v>
      </c>
      <c r="ED37" s="179">
        <v>123</v>
      </c>
      <c r="EE37" s="179">
        <v>124</v>
      </c>
      <c r="EF37" s="179">
        <v>125</v>
      </c>
      <c r="EG37" s="179">
        <v>126</v>
      </c>
      <c r="EH37" s="179">
        <v>127</v>
      </c>
      <c r="EI37" s="179">
        <v>128</v>
      </c>
      <c r="EJ37" s="179">
        <v>129</v>
      </c>
      <c r="EK37" s="179">
        <v>130</v>
      </c>
    </row>
  </sheetData>
  <mergeCells count="97"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D5:D6"/>
    <mergeCell ref="E5:E6"/>
    <mergeCell ref="F5:F6"/>
    <mergeCell ref="G5:G6"/>
    <mergeCell ref="H5:H6"/>
    <mergeCell ref="H1:H2"/>
    <mergeCell ref="A1:A2"/>
    <mergeCell ref="B1:B2"/>
    <mergeCell ref="C1:C2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workbookViewId="0">
      <selection activeCell="C3" sqref="C3"/>
    </sheetView>
  </sheetViews>
  <sheetFormatPr defaultRowHeight="15" x14ac:dyDescent="0.25"/>
  <cols>
    <col min="1" max="1" width="24.7109375" customWidth="1"/>
    <col min="2" max="2" width="15.7109375" customWidth="1"/>
    <col min="3" max="3" width="15.28515625" customWidth="1"/>
    <col min="4" max="4" width="20.28515625" customWidth="1"/>
  </cols>
  <sheetData>
    <row r="1" spans="1:11" ht="30" x14ac:dyDescent="0.25">
      <c r="A1" s="144" t="s">
        <v>115</v>
      </c>
      <c r="B1" s="144" t="s">
        <v>116</v>
      </c>
      <c r="C1" s="144" t="s">
        <v>117</v>
      </c>
      <c r="D1" s="144" t="s">
        <v>118</v>
      </c>
    </row>
    <row r="2" spans="1:11" ht="30" x14ac:dyDescent="0.25">
      <c r="A2" s="145" t="s">
        <v>131</v>
      </c>
      <c r="B2" s="146" t="s">
        <v>119</v>
      </c>
      <c r="C2" s="146">
        <v>134</v>
      </c>
      <c r="D2" s="146" t="s">
        <v>123</v>
      </c>
    </row>
    <row r="3" spans="1:11" ht="30" x14ac:dyDescent="0.25">
      <c r="A3" s="145" t="s">
        <v>132</v>
      </c>
      <c r="B3" s="146" t="s">
        <v>120</v>
      </c>
      <c r="C3" s="146">
        <f>исходники!B10</f>
        <v>13934.05</v>
      </c>
      <c r="D3" s="146" t="s">
        <v>124</v>
      </c>
    </row>
    <row r="4" spans="1:11" ht="18" x14ac:dyDescent="0.25">
      <c r="A4" s="145" t="s">
        <v>133</v>
      </c>
      <c r="B4" s="146" t="s">
        <v>121</v>
      </c>
      <c r="C4" s="146">
        <f>SUM('календарный план'!E4:E18)</f>
        <v>3848</v>
      </c>
      <c r="D4" s="146" t="s">
        <v>125</v>
      </c>
    </row>
    <row r="5" spans="1:11" ht="30" x14ac:dyDescent="0.25">
      <c r="A5" s="145" t="s">
        <v>134</v>
      </c>
      <c r="B5" s="146" t="s">
        <v>121</v>
      </c>
      <c r="C5" s="149">
        <f>C4/C3</f>
        <v>0.2761580445024957</v>
      </c>
      <c r="D5" s="146" t="s">
        <v>126</v>
      </c>
    </row>
    <row r="6" spans="1:11" ht="30" x14ac:dyDescent="0.25">
      <c r="A6" s="145" t="s">
        <v>135</v>
      </c>
      <c r="B6" s="146" t="s">
        <v>122</v>
      </c>
      <c r="C6" s="146">
        <v>44</v>
      </c>
      <c r="D6" s="146" t="s">
        <v>127</v>
      </c>
    </row>
    <row r="7" spans="1:11" ht="30" x14ac:dyDescent="0.25">
      <c r="A7" s="145" t="s">
        <v>136</v>
      </c>
      <c r="B7" s="146" t="s">
        <v>122</v>
      </c>
      <c r="C7" s="146">
        <f>ROUNDUP(C4/C2,0)</f>
        <v>29</v>
      </c>
      <c r="D7" s="146" t="s">
        <v>128</v>
      </c>
    </row>
    <row r="8" spans="1:11" ht="37.9" customHeight="1" x14ac:dyDescent="0.25">
      <c r="A8" s="145" t="s">
        <v>137</v>
      </c>
      <c r="B8" s="146" t="s">
        <v>108</v>
      </c>
      <c r="C8" s="146">
        <f>(K8*H8+K9*H9)/H10</f>
        <v>1.8095238095238095</v>
      </c>
      <c r="D8" s="146" t="s">
        <v>129</v>
      </c>
      <c r="G8" t="s">
        <v>139</v>
      </c>
      <c r="H8">
        <f>SUMIF('календарный план'!$I$4:$I$18,1,'календарный план'!$H$4:$H$18)</f>
        <v>48</v>
      </c>
      <c r="J8" t="s">
        <v>142</v>
      </c>
      <c r="K8">
        <v>1</v>
      </c>
    </row>
    <row r="9" spans="1:11" ht="30.75" thickBot="1" x14ac:dyDescent="0.3">
      <c r="A9" s="147" t="s">
        <v>138</v>
      </c>
      <c r="B9" s="148" t="s">
        <v>108</v>
      </c>
      <c r="C9" s="148">
        <f>H10/C2</f>
        <v>1.8805970149253732</v>
      </c>
      <c r="D9" s="148" t="s">
        <v>130</v>
      </c>
      <c r="G9" t="s">
        <v>140</v>
      </c>
      <c r="H9">
        <f>SUMIF('календарный план'!$I$4:$I$18,2,'календарный план'!$H$4:$H$18)</f>
        <v>204</v>
      </c>
      <c r="J9" t="s">
        <v>143</v>
      </c>
      <c r="K9">
        <v>2</v>
      </c>
    </row>
    <row r="10" spans="1:11" ht="15.75" thickTop="1" x14ac:dyDescent="0.25">
      <c r="G10" t="s">
        <v>141</v>
      </c>
      <c r="H10">
        <f>SUM(H8:H9)</f>
        <v>252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workbookViewId="0">
      <selection activeCell="I23" sqref="I23"/>
    </sheetView>
  </sheetViews>
  <sheetFormatPr defaultRowHeight="15" x14ac:dyDescent="0.25"/>
  <cols>
    <col min="1" max="1" width="17.28515625" customWidth="1"/>
    <col min="2" max="2" width="15.5703125" customWidth="1"/>
    <col min="3" max="3" width="14.140625" customWidth="1"/>
    <col min="4" max="4" width="20.140625" customWidth="1"/>
    <col min="5" max="5" width="19.28515625" customWidth="1"/>
    <col min="6" max="6" width="16.140625" customWidth="1"/>
    <col min="7" max="7" width="13" customWidth="1"/>
    <col min="8" max="8" width="15.7109375" customWidth="1"/>
  </cols>
  <sheetData>
    <row r="1" spans="1:2" x14ac:dyDescent="0.25">
      <c r="A1" t="s">
        <v>144</v>
      </c>
      <c r="B1">
        <f>1.05*(B4+SUM(B5:B7)*1.3*0.5)</f>
        <v>50.977499999999999</v>
      </c>
    </row>
    <row r="4" spans="1:2" x14ac:dyDescent="0.25">
      <c r="A4" t="s">
        <v>145</v>
      </c>
      <c r="B4">
        <f>ТЭП!C6</f>
        <v>44</v>
      </c>
    </row>
    <row r="5" spans="1:2" x14ac:dyDescent="0.25">
      <c r="A5" t="s">
        <v>148</v>
      </c>
      <c r="B5">
        <f>ROUND($B$4*0.08,0)</f>
        <v>4</v>
      </c>
    </row>
    <row r="6" spans="1:2" x14ac:dyDescent="0.25">
      <c r="A6" t="s">
        <v>147</v>
      </c>
      <c r="B6">
        <f>ROUND($B$4*0.05,0)</f>
        <v>2</v>
      </c>
    </row>
    <row r="7" spans="1:2" x14ac:dyDescent="0.25">
      <c r="A7" t="s">
        <v>146</v>
      </c>
      <c r="B7">
        <f>ROUND($B$4*0.03,0)</f>
        <v>1</v>
      </c>
    </row>
    <row r="10" spans="1:2" x14ac:dyDescent="0.25">
      <c r="A10" t="s">
        <v>149</v>
      </c>
      <c r="B10">
        <f>ROUND(B1*0.3,0)</f>
        <v>15</v>
      </c>
    </row>
    <row r="11" spans="1:2" x14ac:dyDescent="0.25">
      <c r="A11" t="s">
        <v>150</v>
      </c>
      <c r="B11">
        <f>ROUND(B1*0.7,0)</f>
        <v>36</v>
      </c>
    </row>
    <row r="13" spans="1:2" x14ac:dyDescent="0.25">
      <c r="A13" t="s">
        <v>152</v>
      </c>
      <c r="B13">
        <f>1.04*B11</f>
        <v>37.44</v>
      </c>
    </row>
    <row r="14" spans="1:2" x14ac:dyDescent="0.25">
      <c r="A14" t="s">
        <v>151</v>
      </c>
      <c r="B14">
        <f>1.04*B10</f>
        <v>15.600000000000001</v>
      </c>
    </row>
    <row r="17" spans="1:8" ht="90.75" thickBot="1" x14ac:dyDescent="0.3">
      <c r="A17" s="162" t="s">
        <v>153</v>
      </c>
      <c r="B17" s="162" t="s">
        <v>154</v>
      </c>
      <c r="C17" s="162" t="s">
        <v>155</v>
      </c>
      <c r="D17" s="162" t="s">
        <v>156</v>
      </c>
      <c r="E17" s="162" t="s">
        <v>157</v>
      </c>
      <c r="F17" s="162" t="s">
        <v>158</v>
      </c>
      <c r="G17" s="162" t="s">
        <v>159</v>
      </c>
      <c r="H17" s="162" t="s">
        <v>160</v>
      </c>
    </row>
    <row r="18" spans="1:8" ht="15.75" x14ac:dyDescent="0.25">
      <c r="A18" s="156" t="s">
        <v>161</v>
      </c>
      <c r="B18" s="157"/>
      <c r="C18" s="214">
        <v>1.5</v>
      </c>
      <c r="D18" s="157"/>
      <c r="E18" s="163"/>
      <c r="F18" s="214" t="s">
        <v>164</v>
      </c>
      <c r="G18" s="163"/>
      <c r="H18" s="164"/>
    </row>
    <row r="19" spans="1:8" ht="15.75" x14ac:dyDescent="0.25">
      <c r="A19" s="158" t="s">
        <v>162</v>
      </c>
      <c r="B19" s="154">
        <f>B11</f>
        <v>36</v>
      </c>
      <c r="C19" s="215"/>
      <c r="D19" s="154">
        <f>B19*C18</f>
        <v>54</v>
      </c>
      <c r="E19" s="155">
        <v>14.4</v>
      </c>
      <c r="F19" s="215"/>
      <c r="G19" s="155" t="s">
        <v>178</v>
      </c>
      <c r="H19" s="165">
        <v>2</v>
      </c>
    </row>
    <row r="20" spans="1:8" ht="16.5" thickBot="1" x14ac:dyDescent="0.3">
      <c r="A20" s="159" t="s">
        <v>163</v>
      </c>
      <c r="B20" s="166">
        <f>B10</f>
        <v>15</v>
      </c>
      <c r="C20" s="216"/>
      <c r="D20" s="161">
        <f>B20*C18</f>
        <v>22.5</v>
      </c>
      <c r="E20" s="167">
        <v>24.5</v>
      </c>
      <c r="F20" s="216"/>
      <c r="G20" s="167" t="s">
        <v>177</v>
      </c>
      <c r="H20" s="168">
        <v>2</v>
      </c>
    </row>
    <row r="21" spans="1:8" ht="15.75" x14ac:dyDescent="0.25">
      <c r="A21" s="156" t="s">
        <v>166</v>
      </c>
      <c r="B21" s="157"/>
      <c r="C21" s="214">
        <v>0.54</v>
      </c>
      <c r="D21" s="157"/>
      <c r="E21" s="214">
        <v>24.4</v>
      </c>
      <c r="F21" s="214" t="s">
        <v>164</v>
      </c>
      <c r="G21" s="214" t="s">
        <v>167</v>
      </c>
      <c r="H21" s="222">
        <v>1</v>
      </c>
    </row>
    <row r="22" spans="1:8" ht="15.75" x14ac:dyDescent="0.25">
      <c r="A22" s="158" t="s">
        <v>162</v>
      </c>
      <c r="B22" s="154">
        <f>B11</f>
        <v>36</v>
      </c>
      <c r="C22" s="215"/>
      <c r="D22" s="154">
        <f>B22*C21</f>
        <v>19.440000000000001</v>
      </c>
      <c r="E22" s="215"/>
      <c r="F22" s="215"/>
      <c r="G22" s="215"/>
      <c r="H22" s="226"/>
    </row>
    <row r="23" spans="1:8" ht="16.5" thickBot="1" x14ac:dyDescent="0.3">
      <c r="A23" s="159" t="s">
        <v>163</v>
      </c>
      <c r="B23" s="160">
        <f>B10</f>
        <v>15</v>
      </c>
      <c r="C23" s="216"/>
      <c r="D23" s="161">
        <f>B23*C21</f>
        <v>8.1000000000000014</v>
      </c>
      <c r="E23" s="216"/>
      <c r="F23" s="216"/>
      <c r="G23" s="216"/>
      <c r="H23" s="223"/>
    </row>
    <row r="24" spans="1:8" ht="32.25" thickBot="1" x14ac:dyDescent="0.3">
      <c r="A24" s="169" t="s">
        <v>168</v>
      </c>
      <c r="B24" s="170">
        <v>2</v>
      </c>
      <c r="C24" s="170" t="s">
        <v>169</v>
      </c>
      <c r="D24" s="170">
        <v>9</v>
      </c>
      <c r="E24" s="170" t="s">
        <v>170</v>
      </c>
      <c r="F24" s="170" t="s">
        <v>171</v>
      </c>
      <c r="G24" s="170" t="s">
        <v>165</v>
      </c>
      <c r="H24" s="171">
        <v>1</v>
      </c>
    </row>
    <row r="25" spans="1:8" ht="15.6" customHeight="1" x14ac:dyDescent="0.25">
      <c r="A25" s="224" t="s">
        <v>172</v>
      </c>
      <c r="B25" s="214">
        <f>ROUND(B1,0)</f>
        <v>51</v>
      </c>
      <c r="C25" s="214">
        <v>0.2</v>
      </c>
      <c r="D25" s="214">
        <f>C25*B25</f>
        <v>10.200000000000001</v>
      </c>
      <c r="E25" s="214" t="s">
        <v>173</v>
      </c>
      <c r="F25" s="214" t="s">
        <v>164</v>
      </c>
      <c r="G25" s="214" t="s">
        <v>174</v>
      </c>
      <c r="H25" s="222">
        <v>1</v>
      </c>
    </row>
    <row r="26" spans="1:8" ht="15.6" customHeight="1" thickBot="1" x14ac:dyDescent="0.3">
      <c r="A26" s="225"/>
      <c r="B26" s="216"/>
      <c r="C26" s="216"/>
      <c r="D26" s="216"/>
      <c r="E26" s="216"/>
      <c r="F26" s="216"/>
      <c r="G26" s="216"/>
      <c r="H26" s="223"/>
    </row>
    <row r="27" spans="1:8" ht="15.75" x14ac:dyDescent="0.25">
      <c r="A27" s="156" t="s">
        <v>175</v>
      </c>
      <c r="B27" s="163"/>
      <c r="C27" s="214">
        <v>0.1</v>
      </c>
      <c r="D27" s="157"/>
      <c r="E27" s="214">
        <v>2.1</v>
      </c>
      <c r="F27" s="214" t="s">
        <v>164</v>
      </c>
      <c r="G27" s="214" t="s">
        <v>176</v>
      </c>
      <c r="H27" s="219">
        <v>3</v>
      </c>
    </row>
    <row r="28" spans="1:8" ht="15.75" x14ac:dyDescent="0.25">
      <c r="A28" s="158" t="s">
        <v>162</v>
      </c>
      <c r="B28" s="155">
        <f>B11</f>
        <v>36</v>
      </c>
      <c r="C28" s="215"/>
      <c r="D28" s="154">
        <f>B28*$C$27</f>
        <v>3.6</v>
      </c>
      <c r="E28" s="215"/>
      <c r="F28" s="215"/>
      <c r="G28" s="215"/>
      <c r="H28" s="220"/>
    </row>
    <row r="29" spans="1:8" ht="16.5" thickBot="1" x14ac:dyDescent="0.3">
      <c r="A29" s="159" t="s">
        <v>163</v>
      </c>
      <c r="B29" s="167">
        <f>B10</f>
        <v>15</v>
      </c>
      <c r="C29" s="216"/>
      <c r="D29" s="166">
        <f>B29*$C$27</f>
        <v>1.5</v>
      </c>
      <c r="E29" s="216"/>
      <c r="F29" s="216"/>
      <c r="G29" s="216"/>
      <c r="H29" s="221"/>
    </row>
    <row r="30" spans="1:8" ht="31.15" customHeight="1" x14ac:dyDescent="0.25">
      <c r="A30" s="212" t="s">
        <v>179</v>
      </c>
      <c r="B30" s="214">
        <f>ROUND(B1,0)</f>
        <v>51</v>
      </c>
      <c r="C30" s="217">
        <v>1</v>
      </c>
      <c r="D30" s="217">
        <f>B30*C30</f>
        <v>51</v>
      </c>
      <c r="E30" s="172">
        <v>14.4</v>
      </c>
      <c r="F30" s="214" t="s">
        <v>164</v>
      </c>
      <c r="G30" s="172" t="s">
        <v>178</v>
      </c>
      <c r="H30" s="173">
        <v>2</v>
      </c>
    </row>
    <row r="31" spans="1:8" ht="15.75" thickBot="1" x14ac:dyDescent="0.3">
      <c r="A31" s="213"/>
      <c r="B31" s="216"/>
      <c r="C31" s="218"/>
      <c r="D31" s="218"/>
      <c r="E31" s="174">
        <v>23.5</v>
      </c>
      <c r="F31" s="216"/>
      <c r="G31" s="174" t="s">
        <v>180</v>
      </c>
      <c r="H31" s="175">
        <v>1</v>
      </c>
    </row>
  </sheetData>
  <mergeCells count="25">
    <mergeCell ref="C18:C20"/>
    <mergeCell ref="G21:G23"/>
    <mergeCell ref="H21:H23"/>
    <mergeCell ref="F18:F20"/>
    <mergeCell ref="F21:F23"/>
    <mergeCell ref="C21:C23"/>
    <mergeCell ref="E21:E23"/>
    <mergeCell ref="H27:H29"/>
    <mergeCell ref="H25:H26"/>
    <mergeCell ref="F25:F26"/>
    <mergeCell ref="A25:A26"/>
    <mergeCell ref="B25:B26"/>
    <mergeCell ref="C25:C26"/>
    <mergeCell ref="D25:D26"/>
    <mergeCell ref="E25:E26"/>
    <mergeCell ref="G25:G26"/>
    <mergeCell ref="A30:A31"/>
    <mergeCell ref="C27:C29"/>
    <mergeCell ref="G27:G29"/>
    <mergeCell ref="F27:F29"/>
    <mergeCell ref="E27:E29"/>
    <mergeCell ref="B30:B31"/>
    <mergeCell ref="C30:C31"/>
    <mergeCell ref="D30:D31"/>
    <mergeCell ref="F30:F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2021-06-05T10:28:48Z</dcterms:modified>
</cp:coreProperties>
</file>