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diplom\ASK_Diplom\BaMWPart\documentation\calculation\"/>
    </mc:Choice>
  </mc:AlternateContent>
  <xr:revisionPtr revIDLastSave="0" documentId="13_ncr:1_{E10D5154-7F9D-478D-985F-DCA12F0F6A8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исходники" sheetId="1" r:id="rId1"/>
    <sheet name="земляные работы" sheetId="2" r:id="rId2"/>
    <sheet name="объемы работ" sheetId="3" r:id="rId3"/>
    <sheet name="календарный план" sheetId="4" r:id="rId4"/>
    <sheet name="ТЭП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D14" i="4"/>
  <c r="D19" i="6"/>
  <c r="K12" i="2"/>
  <c r="K13" i="2"/>
  <c r="K14" i="2"/>
  <c r="K15" i="2"/>
  <c r="K16" i="2"/>
  <c r="K17" i="2"/>
  <c r="K18" i="2"/>
  <c r="K11" i="2"/>
  <c r="B1" i="6"/>
  <c r="B25" i="6" s="1"/>
  <c r="D25" i="6" s="1"/>
  <c r="B30" i="6"/>
  <c r="D30" i="6" s="1"/>
  <c r="BB11" i="4"/>
  <c r="BV11" i="4"/>
  <c r="BJ10" i="4"/>
  <c r="AQ10" i="4" s="1"/>
  <c r="AI9" i="4"/>
  <c r="AO9" i="4"/>
  <c r="AG8" i="4"/>
  <c r="AA7" i="4"/>
  <c r="R5" i="4"/>
  <c r="U4" i="4"/>
  <c r="B4" i="6"/>
  <c r="B6" i="6" s="1"/>
  <c r="B7" i="6" l="1"/>
  <c r="B5" i="6"/>
  <c r="C3" i="5"/>
  <c r="E22" i="3"/>
  <c r="B24" i="1"/>
  <c r="B3" i="1"/>
  <c r="D14" i="1"/>
  <c r="B14" i="4"/>
  <c r="B15" i="4"/>
  <c r="B13" i="4"/>
  <c r="D19" i="3"/>
  <c r="B12" i="4"/>
  <c r="B11" i="4"/>
  <c r="B10" i="4"/>
  <c r="B9" i="4"/>
  <c r="B8" i="4"/>
  <c r="B7" i="4"/>
  <c r="B6" i="4"/>
  <c r="B5" i="4"/>
  <c r="B10" i="6" l="1"/>
  <c r="B11" i="6"/>
  <c r="C4" i="1"/>
  <c r="C5" i="1"/>
  <c r="C6" i="1"/>
  <c r="C7" i="1"/>
  <c r="C8" i="1"/>
  <c r="C9" i="1"/>
  <c r="C17" i="2" s="1"/>
  <c r="D17" i="2" s="1"/>
  <c r="C3" i="1"/>
  <c r="E17" i="2"/>
  <c r="A17" i="2"/>
  <c r="E16" i="2"/>
  <c r="C16" i="2"/>
  <c r="D16" i="2" s="1"/>
  <c r="A16" i="2"/>
  <c r="E15" i="2"/>
  <c r="C15" i="2"/>
  <c r="D15" i="2" s="1"/>
  <c r="A15" i="2"/>
  <c r="E14" i="2"/>
  <c r="A14" i="2"/>
  <c r="E13" i="2"/>
  <c r="D13" i="2"/>
  <c r="C13" i="2"/>
  <c r="A13" i="2"/>
  <c r="E12" i="2"/>
  <c r="D12" i="2"/>
  <c r="C12" i="2"/>
  <c r="A12" i="2"/>
  <c r="A11" i="2"/>
  <c r="E11" i="2" s="1"/>
  <c r="B8" i="2"/>
  <c r="D18" i="3"/>
  <c r="H18" i="3" s="1"/>
  <c r="D17" i="3"/>
  <c r="H17" i="3" s="1"/>
  <c r="D16" i="3"/>
  <c r="D20" i="3"/>
  <c r="H20" i="3" s="1"/>
  <c r="D15" i="3"/>
  <c r="H15" i="3" s="1"/>
  <c r="D14" i="3"/>
  <c r="H14" i="3" s="1"/>
  <c r="D13" i="3"/>
  <c r="H13" i="3" s="1"/>
  <c r="D12" i="3"/>
  <c r="H12" i="3" s="1"/>
  <c r="D11" i="3"/>
  <c r="C10" i="4" s="1"/>
  <c r="G5" i="3"/>
  <c r="G4" i="3"/>
  <c r="G9" i="3"/>
  <c r="E9" i="3"/>
  <c r="G7" i="3"/>
  <c r="E7" i="3"/>
  <c r="E6" i="3"/>
  <c r="B22" i="6" l="1"/>
  <c r="D22" i="6" s="1"/>
  <c r="B28" i="6"/>
  <c r="D28" i="6" s="1"/>
  <c r="B23" i="6"/>
  <c r="D23" i="6" s="1"/>
  <c r="B29" i="6"/>
  <c r="D29" i="6" s="1"/>
  <c r="F18" i="3"/>
  <c r="C11" i="4"/>
  <c r="C12" i="4"/>
  <c r="B19" i="6"/>
  <c r="B13" i="6"/>
  <c r="B20" i="6"/>
  <c r="D20" i="6" s="1"/>
  <c r="B14" i="6"/>
  <c r="E18" i="2"/>
  <c r="C14" i="2"/>
  <c r="D14" i="2" s="1"/>
  <c r="F17" i="3"/>
  <c r="F20" i="3"/>
  <c r="F12" i="3"/>
  <c r="F19" i="3"/>
  <c r="F15" i="3"/>
  <c r="F14" i="3"/>
  <c r="F13" i="3"/>
  <c r="H11" i="3"/>
  <c r="G10" i="4" s="1"/>
  <c r="H16" i="3"/>
  <c r="G11" i="4" s="1"/>
  <c r="F16" i="3"/>
  <c r="D11" i="4" s="1"/>
  <c r="H11" i="4" s="1"/>
  <c r="H19" i="3"/>
  <c r="F11" i="3"/>
  <c r="D10" i="4" s="1"/>
  <c r="H10" i="4" s="1"/>
  <c r="E10" i="4" s="1"/>
  <c r="E11" i="4" l="1"/>
  <c r="F21" i="3"/>
  <c r="D12" i="4"/>
  <c r="H12" i="4" s="1"/>
  <c r="E12" i="4" s="1"/>
  <c r="H21" i="3"/>
  <c r="G12" i="4"/>
  <c r="B8" i="1"/>
  <c r="D8" i="1" s="1"/>
  <c r="B9" i="1"/>
  <c r="D9" i="1" s="1"/>
  <c r="D4" i="1"/>
  <c r="D5" i="1"/>
  <c r="D6" i="1"/>
  <c r="D7" i="1"/>
  <c r="D3" i="1"/>
  <c r="F5" i="1"/>
  <c r="B6" i="1"/>
  <c r="B7" i="1"/>
  <c r="B5" i="1"/>
  <c r="B4" i="1"/>
  <c r="E3" i="1" l="1"/>
  <c r="E4" i="1"/>
  <c r="E9" i="1"/>
  <c r="F7" i="1"/>
  <c r="E7" i="1"/>
  <c r="B15" i="2" s="1"/>
  <c r="G15" i="2" s="1"/>
  <c r="F4" i="1"/>
  <c r="E6" i="1"/>
  <c r="F6" i="1"/>
  <c r="E5" i="1"/>
  <c r="B13" i="2" s="1"/>
  <c r="E8" i="1"/>
  <c r="F3" i="1"/>
  <c r="C11" i="2"/>
  <c r="B11" i="2"/>
  <c r="F13" i="2"/>
  <c r="G13" i="2"/>
  <c r="F8" i="1"/>
  <c r="F9" i="1"/>
  <c r="B10" i="1"/>
  <c r="B2" i="2" s="1"/>
  <c r="F15" i="2" l="1"/>
  <c r="B14" i="2"/>
  <c r="B17" i="2"/>
  <c r="B16" i="2"/>
  <c r="B12" i="2"/>
  <c r="B18" i="2"/>
  <c r="D11" i="2"/>
  <c r="C18" i="2"/>
  <c r="B6" i="2"/>
  <c r="D5" i="3" s="1"/>
  <c r="B4" i="2"/>
  <c r="D4" i="3" s="1"/>
  <c r="J13" i="2"/>
  <c r="H13" i="2"/>
  <c r="I13" i="2" s="1"/>
  <c r="J15" i="2"/>
  <c r="H15" i="2"/>
  <c r="I15" i="2" s="1"/>
  <c r="F16" i="2" l="1"/>
  <c r="G16" i="2"/>
  <c r="G17" i="2"/>
  <c r="F17" i="2"/>
  <c r="G12" i="2"/>
  <c r="F12" i="2"/>
  <c r="G14" i="2"/>
  <c r="F14" i="2"/>
  <c r="H4" i="3"/>
  <c r="C5" i="4"/>
  <c r="F4" i="3"/>
  <c r="F5" i="3"/>
  <c r="C6" i="4"/>
  <c r="H5" i="3"/>
  <c r="D18" i="2"/>
  <c r="G11" i="2"/>
  <c r="F11" i="2"/>
  <c r="G18" i="2" l="1"/>
  <c r="D6" i="3" s="1"/>
  <c r="H6" i="3" s="1"/>
  <c r="J17" i="2"/>
  <c r="H17" i="2"/>
  <c r="I17" i="2"/>
  <c r="H14" i="2"/>
  <c r="I14" i="2" s="1"/>
  <c r="J14" i="2"/>
  <c r="J12" i="2"/>
  <c r="H12" i="2"/>
  <c r="I12" i="2" s="1"/>
  <c r="H16" i="2"/>
  <c r="I16" i="2" s="1"/>
  <c r="J16" i="2"/>
  <c r="D5" i="4"/>
  <c r="H5" i="4" s="1"/>
  <c r="E5" i="4" s="1"/>
  <c r="D7" i="3"/>
  <c r="D9" i="3"/>
  <c r="D8" i="3"/>
  <c r="J11" i="2"/>
  <c r="F18" i="2"/>
  <c r="H11" i="2"/>
  <c r="G5" i="4"/>
  <c r="C7" i="4" l="1"/>
  <c r="F6" i="3"/>
  <c r="H18" i="2"/>
  <c r="D22" i="3" s="1"/>
  <c r="J18" i="2"/>
  <c r="D24" i="3" s="1"/>
  <c r="C9" i="4"/>
  <c r="F9" i="3"/>
  <c r="D9" i="4" s="1"/>
  <c r="H9" i="4" s="1"/>
  <c r="H9" i="3"/>
  <c r="G9" i="4" s="1"/>
  <c r="F7" i="3"/>
  <c r="F10" i="3" s="1"/>
  <c r="H7" i="3"/>
  <c r="C8" i="4"/>
  <c r="F8" i="3"/>
  <c r="D8" i="4" s="1"/>
  <c r="I11" i="2"/>
  <c r="I18" i="2" s="1"/>
  <c r="D23" i="3" s="1"/>
  <c r="C13" i="4" l="1"/>
  <c r="F22" i="3"/>
  <c r="D13" i="4" s="1"/>
  <c r="H8" i="4"/>
  <c r="E8" i="4" s="1"/>
  <c r="E9" i="4"/>
  <c r="D7" i="4"/>
  <c r="H7" i="4" s="1"/>
  <c r="E7" i="4" s="1"/>
  <c r="H13" i="4"/>
  <c r="H22" i="3"/>
  <c r="G13" i="4" s="1"/>
  <c r="C15" i="4"/>
  <c r="F24" i="3"/>
  <c r="D15" i="4" s="1"/>
  <c r="H15" i="4" s="1"/>
  <c r="E15" i="4" s="1"/>
  <c r="H24" i="3"/>
  <c r="C14" i="4"/>
  <c r="F23" i="3"/>
  <c r="G7" i="4"/>
  <c r="H10" i="3"/>
  <c r="E13" i="4" l="1"/>
  <c r="G15" i="4"/>
  <c r="H25" i="3"/>
  <c r="H30" i="3" s="1"/>
  <c r="F25" i="3"/>
  <c r="F30" i="3" s="1"/>
  <c r="H14" i="4" l="1"/>
  <c r="H34" i="3"/>
  <c r="D16" i="4" s="1"/>
  <c r="H16" i="4" s="1"/>
  <c r="H9" i="5" s="1"/>
  <c r="H38" i="3"/>
  <c r="D18" i="4" s="1"/>
  <c r="H18" i="4" s="1"/>
  <c r="E18" i="4" s="1"/>
  <c r="H32" i="3"/>
  <c r="D4" i="4" s="1"/>
  <c r="H4" i="4" s="1"/>
  <c r="E4" i="4" s="1"/>
  <c r="H36" i="3"/>
  <c r="D17" i="4" s="1"/>
  <c r="H17" i="4" s="1"/>
  <c r="E17" i="4" s="1"/>
  <c r="E14" i="4" l="1"/>
  <c r="H8" i="5"/>
  <c r="E16" i="4"/>
  <c r="C4" i="5" l="1"/>
  <c r="C5" i="5" s="1"/>
  <c r="H10" i="5"/>
  <c r="C7" i="5" l="1"/>
  <c r="C9" i="5"/>
  <c r="C8" i="5"/>
</calcChain>
</file>

<file path=xl/sharedStrings.xml><?xml version="1.0" encoding="utf-8"?>
<sst xmlns="http://schemas.openxmlformats.org/spreadsheetml/2006/main" count="233" uniqueCount="182">
  <si>
    <t>диаметр</t>
  </si>
  <si>
    <t>длина</t>
  </si>
  <si>
    <t>глубина =</t>
  </si>
  <si>
    <t>толщина растительного слоя</t>
  </si>
  <si>
    <t>м</t>
  </si>
  <si>
    <t>грунт =</t>
  </si>
  <si>
    <t>супесь 1гр.</t>
  </si>
  <si>
    <t xml:space="preserve">длина трубы = </t>
  </si>
  <si>
    <t>Sср =</t>
  </si>
  <si>
    <t>м^2</t>
  </si>
  <si>
    <t>∑</t>
  </si>
  <si>
    <t>Vср =</t>
  </si>
  <si>
    <t>м^3</t>
  </si>
  <si>
    <t>Sпл =</t>
  </si>
  <si>
    <t>число проходок бульдозером =</t>
  </si>
  <si>
    <t>a</t>
  </si>
  <si>
    <t>b</t>
  </si>
  <si>
    <t>c</t>
  </si>
  <si>
    <t>d</t>
  </si>
  <si>
    <t>B =</t>
  </si>
  <si>
    <t>m =</t>
  </si>
  <si>
    <t>Vтр</t>
  </si>
  <si>
    <t>H =</t>
  </si>
  <si>
    <t>Sпл</t>
  </si>
  <si>
    <t>Vрд</t>
  </si>
  <si>
    <t>Vоз</t>
  </si>
  <si>
    <t>Vотв</t>
  </si>
  <si>
    <t>Vоз мех</t>
  </si>
  <si>
    <t>Vоз ручн</t>
  </si>
  <si>
    <t>Vдш</t>
  </si>
  <si>
    <t>Основание HPP</t>
  </si>
  <si>
    <t>Наименование</t>
  </si>
  <si>
    <t>Ед. измер</t>
  </si>
  <si>
    <t>Объем работ</t>
  </si>
  <si>
    <t>затраты труда чел/час</t>
  </si>
  <si>
    <t>затраты машин времени маш/час</t>
  </si>
  <si>
    <t>Наименование единиц материалов и изделий</t>
  </si>
  <si>
    <t>на ед.</t>
  </si>
  <si>
    <t>всего</t>
  </si>
  <si>
    <t>Е1-24-1</t>
  </si>
  <si>
    <t>1000м^3</t>
  </si>
  <si>
    <t>Е1-30-1</t>
  </si>
  <si>
    <t>Е1-12-13</t>
  </si>
  <si>
    <t>Е1-17-13</t>
  </si>
  <si>
    <t>E1-164-1</t>
  </si>
  <si>
    <t>Е24-118-1</t>
  </si>
  <si>
    <t>Е1-27-1</t>
  </si>
  <si>
    <t>Е1-166-1</t>
  </si>
  <si>
    <t>Е1-134-1</t>
  </si>
  <si>
    <t>Vтрубы</t>
  </si>
  <si>
    <t>Е24-1-1</t>
  </si>
  <si>
    <t>ПРОКЛАДКА ТРУБОПРОВОДОВ В КАНАЛАХ И НАДЗЕМНАЯ ПРИ УСЛОВНОМ ДАВЛЕНИИ 0,6 МПА, ТЕМПЕРАТУРЕ 115 ГРАД.С, ДИАМЕТРОМ ТРУБ 50 ММ</t>
  </si>
  <si>
    <t>Е24-1-2</t>
  </si>
  <si>
    <t>ПРОКЛАДКА ТРУБОПРОВОДОВ В КАНАЛАХ И НАДЗЕМНАЯ ПРИ УСЛОВНОМ ДАВЛЕНИИ 0,6 МПА, ТЕМПЕРАТУРЕ 115 ГРАД.С, ДИАМЕТРОМ ТРУБ 70 ММ</t>
  </si>
  <si>
    <t>ПРОКЛАДКА ТРУБОПРОВОДОВ В КАНАЛАХ И НАДЗЕМНАЯ ПРИ УСЛОВНОМ ДАВЛЕНИИ 0,6 МПА, ТЕМПЕРАТУРЕ 115 ГРАД.С, ДИАМЕТРОМ ТРУБ 80 ММ</t>
  </si>
  <si>
    <t>Е24-1-3</t>
  </si>
  <si>
    <t>ПРОДУВКА И ПНЕВМАТИЧЕСКОЕ ИСПЫТАНИЕ ТРУБОПРОВОДА (ПРОЧНОСТЬ И ГЕРМЕТИЧНОСТЬ) ДИАМЕТРОМ ДО 100 ММ</t>
  </si>
  <si>
    <t>ПРОДУВКА И ПНЕВМАТИЧЕСКОЕ ИСПЫТАНИЕ ТРУБОПРОВОДА (ПРОЧНОСТЬ И ГЕРМЕТИЧНОСТЬ) ДИАМЕТРОМ ДО 300 ММ</t>
  </si>
  <si>
    <t>Е24-118-3</t>
  </si>
  <si>
    <t>НАНЕСЕНИЕ НОРМАЛЬНОЙ АНТИКОРРОЗИОННОЙ БИТУМНО-ПОЛИМЕРНОЙ ИЗОЛЯЦИИ НА СТАЛЬНЫЕ ТРУБОПРОВОДЫ ДИАМЕТРОМ 100 ММ</t>
  </si>
  <si>
    <t>НАНЕСЕНИЕ НОРМАЛЬНОЙ АНТИКОРРОЗИОННОЙ БИТУМНО-ПОЛИМЕРНОЙ ИЗОЛЯЦИИ НА СТАЛЬНЫЕ ТРУБОПРОВОДЫ ДИАМЕТРОМ 50 ММ</t>
  </si>
  <si>
    <t>НАНЕСЕНИЕ НОРМАЛЬНОЙ АНТИКОРРОЗИОННОЙ БИТУМНО-ПОЛИМЕРНОЙ ИЗОЛЯЦИИ НА СТАЛЬНЫЕ ТРУБОПРОВОДЫ ДИАМЕТРОМ 300 ММ</t>
  </si>
  <si>
    <t>РАЗРАБОТКА ГРУНТА В ОТВАЛ ЭКСКАВАТОРАМИ "ДРАГЛАЙН" ИЛИ "ОБРАТНАЯ ЛОПАТА" С КОВШОМ ВМЕСТИМОСТЬЮ 0,5 (0,5-0,63) М3, ГРУНТ 1 ГРУППЫ</t>
  </si>
  <si>
    <t>РАЗРАБОТКА ГРУНТА С ПОГРУЗКОЙ НА АВТОМОБИЛИ-САМОСВАЛЫ ЭКСКАВАТОРАМИ С КОВШОМ ВМЕСТИМОСТЬЮ 0,5 (0,5-0,63) М3, ГРУНТ 1 ГРУППЫ</t>
  </si>
  <si>
    <t>РАЗРАБОТКА ГРУНТА БУЛЬДОЗЕРАМИ МОЩНОСТЬЮ 59 (80) КВТ (Л.С.) ПРИ ПЕРЕМЕЩЕНИИ ГРУНТА ДО 10 М, ГРУНТ 1 ГРУППЫ</t>
  </si>
  <si>
    <t>ПЛАНИРОВКА ПЛОЩАДЕЙ БУЛЬДОЗЕРАМИ МОЩНОСТЬЮ 59 (80) КВТ (Л.С.)</t>
  </si>
  <si>
    <t>РАЗРАБОТКА ГРУНТА ВРУЧНУЮ В ТРАНШЕЯХ ГЛУБИНОЙ ДО 2 М БЕЗ КРЕПЛЕНИЙ С ОТКОСАМИ, ГРУНТ 1 ГРУППЫ</t>
  </si>
  <si>
    <t>ЗАСЫПКА ВРУЧНУЮ ТРАНШЕЙ, ПАЗУХ КОТЛОВАНОВ И ЯМ, ГРУНТ 1 ГРУППЫ</t>
  </si>
  <si>
    <t>УПЛОТНЕНИЕ ГРУНТА ПНЕВМАТИЧЕСКИМИ ТРАМБОВКАМИ, ГРУНТ 1-2 ГРУППЫ</t>
  </si>
  <si>
    <t>ЗАСЫПКА ТРАНШЕЙ И КОТЛОВАНОВ БУЛЬДОЗЕРАМИ МОЩНОСТЬЮ 59 (80) КВТ (Л.С.) ПРИ ПЕРЕМЕЩЕНИИ ГРУНТА ДО 5 М, ГРУНТ 1 ГРУППЫ</t>
  </si>
  <si>
    <t>E11-2-1</t>
  </si>
  <si>
    <t>УСТРОЙСТВО ПОДСТИЛАЮЩИХ СЛОЕВ ПЕСЧАНЫХ</t>
  </si>
  <si>
    <t>Е22-18-8</t>
  </si>
  <si>
    <t>Е22-18-3</t>
  </si>
  <si>
    <t>Е22-18-1</t>
  </si>
  <si>
    <t>1000м^2</t>
  </si>
  <si>
    <t>100м^3</t>
  </si>
  <si>
    <t>1м^3</t>
  </si>
  <si>
    <t>1км</t>
  </si>
  <si>
    <t>Наименование работ</t>
  </si>
  <si>
    <t>единицы измерения</t>
  </si>
  <si>
    <t>объем работ</t>
  </si>
  <si>
    <t>затраты труда чел-дн</t>
  </si>
  <si>
    <t>требуемые машины</t>
  </si>
  <si>
    <t>по норме</t>
  </si>
  <si>
    <t>по плану</t>
  </si>
  <si>
    <t>наименование</t>
  </si>
  <si>
    <t>затраты машинного времени</t>
  </si>
  <si>
    <t>продолжительность работ</t>
  </si>
  <si>
    <t>число смен</t>
  </si>
  <si>
    <t>количество работников</t>
  </si>
  <si>
    <t>состав бригады</t>
  </si>
  <si>
    <t>подготовка территории строительной площадки</t>
  </si>
  <si>
    <t>разработка грунта вручную</t>
  </si>
  <si>
    <t>разработка грунта в траншее</t>
  </si>
  <si>
    <t>песчаная подготовка</t>
  </si>
  <si>
    <t>гидроизоляция сварных стыков</t>
  </si>
  <si>
    <t>продувка и пневматические испытания</t>
  </si>
  <si>
    <t>обратная засыпка механическая</t>
  </si>
  <si>
    <t>обратная засыпка вручную</t>
  </si>
  <si>
    <t>уплотнение обратной засыпки</t>
  </si>
  <si>
    <t>прочиен работы</t>
  </si>
  <si>
    <t>благоустройство</t>
  </si>
  <si>
    <t>сдача объекта</t>
  </si>
  <si>
    <t>срезка растительного слоя</t>
  </si>
  <si>
    <t>подготовка территорий</t>
  </si>
  <si>
    <t>прочие работы</t>
  </si>
  <si>
    <t>%</t>
  </si>
  <si>
    <t>-</t>
  </si>
  <si>
    <t>Е24-1-4</t>
  </si>
  <si>
    <t>ПРОКЛАДКА ТРУБОПРОВОДОВ В КАНАЛАХ И НАДЗЕМНАЯ ПРИ УСЛОВНОМ ДАВЛЕНИИ 0,6 МПА, ТЕМПЕРАТУРЕ 115 ГРАД.С, ДИАМЕТРОМ ТРУБ 100 ММ</t>
  </si>
  <si>
    <t>Е24-1-9</t>
  </si>
  <si>
    <t>ПРОКЛАДКА ТРУБОПРОВОДОВ В КАНАЛАХ И НАДЗЕМНАЯ ПРИ УСЛОВНОМ ДАВЛЕНИИ 0,6 МПА, ТЕМПЕРАТУРЕ 115 ГРАД.С, ДИАМЕТРОМ ТРУБ 300 ММ</t>
  </si>
  <si>
    <t>укладка труб со сваркой стыков и гидравлические испытания</t>
  </si>
  <si>
    <t xml:space="preserve">    </t>
  </si>
  <si>
    <t>именование показателя</t>
  </si>
  <si>
    <t>единица измерения</t>
  </si>
  <si>
    <t>значение</t>
  </si>
  <si>
    <t>формула</t>
  </si>
  <si>
    <t>дн.</t>
  </si>
  <si>
    <t>м.п.</t>
  </si>
  <si>
    <t>чел.дн</t>
  </si>
  <si>
    <t>чел</t>
  </si>
  <si>
    <r>
      <t>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</si>
  <si>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</si>
  <si>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∑Q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</si>
  <si>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Gп=∑Q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/∑Р</t>
    </r>
    <r>
      <rPr>
        <vertAlign val="subscript"/>
        <sz val="11"/>
        <color rgb="FF000000"/>
        <rFont val="Calibri"/>
        <family val="2"/>
        <scheme val="minor"/>
      </rPr>
      <t>п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</si>
  <si>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max</t>
    </r>
  </si>
  <si>
    <r>
      <t>А</t>
    </r>
    <r>
      <rPr>
        <vertAlign val="subscript"/>
        <sz val="11"/>
        <color rgb="FF000000"/>
        <rFont val="Calibri"/>
        <family val="2"/>
        <scheme val="minor"/>
      </rPr>
      <t>ср</t>
    </r>
    <r>
      <rPr>
        <sz val="11"/>
        <color rgb="FF000000"/>
        <rFont val="Calibri"/>
        <family val="2"/>
        <scheme val="minor"/>
      </rPr>
      <t>=∑Q</t>
    </r>
    <r>
      <rPr>
        <vertAlign val="subscript"/>
        <sz val="11"/>
        <color rgb="FF000000"/>
        <rFont val="Calibri"/>
        <family val="2"/>
        <scheme val="minor"/>
      </rPr>
      <t>пл</t>
    </r>
    <r>
      <rPr>
        <sz val="11"/>
        <color rgb="FF000000"/>
        <rFont val="Calibri"/>
        <family val="2"/>
        <scheme val="minor"/>
      </rPr>
      <t>/Т</t>
    </r>
    <r>
      <rPr>
        <vertAlign val="subscript"/>
        <sz val="11"/>
        <color rgb="FF000000"/>
        <rFont val="Calibri"/>
        <family val="2"/>
        <scheme val="minor"/>
      </rPr>
      <t>пл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</si>
  <si>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см</t>
    </r>
    <r>
      <rPr>
        <sz val="11"/>
        <color rgb="FF000000"/>
        <rFont val="Calibri"/>
        <family val="2"/>
        <scheme val="minor"/>
      </rPr>
      <t>=(∑a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+∑a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t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)/∑t</t>
    </r>
  </si>
  <si>
    <r>
      <t>К</t>
    </r>
    <r>
      <rPr>
        <vertAlign val="subscript"/>
        <sz val="11"/>
        <color rgb="FF000000"/>
        <rFont val="Calibri"/>
        <family val="2"/>
        <scheme val="minor"/>
      </rPr>
      <t>сов</t>
    </r>
    <r>
      <rPr>
        <sz val="11"/>
        <color rgb="FF000000"/>
        <rFont val="Calibri"/>
        <family val="2"/>
        <scheme val="minor"/>
      </rPr>
      <t>=∑t/ Т</t>
    </r>
    <r>
      <rPr>
        <vertAlign val="subscript"/>
        <sz val="11"/>
        <color rgb="FF000000"/>
        <rFont val="Calibri"/>
        <family val="2"/>
        <scheme val="minor"/>
      </rPr>
      <t>пл</t>
    </r>
  </si>
  <si>
    <t>Продолжительность строительства</t>
  </si>
  <si>
    <t>Протяженность трубопровода</t>
  </si>
  <si>
    <t>Трудоемкость работ</t>
  </si>
  <si>
    <t>Трудоемкость на 1 м.п. трубопровода</t>
  </si>
  <si>
    <t>Максимальное количество рабочих</t>
  </si>
  <si>
    <t>Среднее количество рабочих</t>
  </si>
  <si>
    <t>Коэффициент сменности</t>
  </si>
  <si>
    <t>Коэффициент совмещенности работ</t>
  </si>
  <si>
    <t>t1 =</t>
  </si>
  <si>
    <t>t2 =</t>
  </si>
  <si>
    <t>∑t =</t>
  </si>
  <si>
    <t>a1 =</t>
  </si>
  <si>
    <t>a2 =</t>
  </si>
  <si>
    <t>Nmax =</t>
  </si>
  <si>
    <t xml:space="preserve">p = </t>
  </si>
  <si>
    <t>МОП =</t>
  </si>
  <si>
    <t>С =</t>
  </si>
  <si>
    <t>ИТР =</t>
  </si>
  <si>
    <t>Nж =</t>
  </si>
  <si>
    <t>Nм =</t>
  </si>
  <si>
    <t>Ж =</t>
  </si>
  <si>
    <t>М =</t>
  </si>
  <si>
    <t>Наименова-ние временных зданий</t>
  </si>
  <si>
    <t>Расчетная численность работающих, чел.</t>
  </si>
  <si>
    <r>
      <t>Норматив-ный показатель площади зданий,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/чел.</t>
    </r>
  </si>
  <si>
    <r>
      <t>Расчетная потребная площадь, м</t>
    </r>
    <r>
      <rPr>
        <vertAlign val="superscript"/>
        <sz val="6.6"/>
        <color rgb="FF000000"/>
        <rFont val="Calibri"/>
        <family val="2"/>
        <scheme val="minor"/>
      </rPr>
      <t>2</t>
    </r>
  </si>
  <si>
    <r>
      <t>Принятая площадь, м</t>
    </r>
    <r>
      <rPr>
        <vertAlign val="superscript"/>
        <sz val="6.6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</t>
    </r>
  </si>
  <si>
    <t>Тип здания, его шифр или номер проекта</t>
  </si>
  <si>
    <t>Габарит-ные раз-меры, м  (в плане)</t>
  </si>
  <si>
    <t>Кол-во зданий, шт.</t>
  </si>
  <si>
    <t>Гардероб-ная:</t>
  </si>
  <si>
    <t>мужская</t>
  </si>
  <si>
    <t>женская</t>
  </si>
  <si>
    <t>Санитарно-</t>
  </si>
  <si>
    <t>6х2,7</t>
  </si>
  <si>
    <t>Душевая:</t>
  </si>
  <si>
    <t>9х3</t>
  </si>
  <si>
    <t>Контора прораба</t>
  </si>
  <si>
    <t>4,5</t>
  </si>
  <si>
    <t>14,45</t>
  </si>
  <si>
    <t>Административное</t>
  </si>
  <si>
    <t>Сушилка</t>
  </si>
  <si>
    <t>14,9</t>
  </si>
  <si>
    <t>6х2,8</t>
  </si>
  <si>
    <t>Уборная:</t>
  </si>
  <si>
    <t>1,5х1,5</t>
  </si>
  <si>
    <t>9x3</t>
  </si>
  <si>
    <t>6x2.7</t>
  </si>
  <si>
    <t>помещение для приема пищи</t>
  </si>
  <si>
    <t>9x2.7</t>
  </si>
  <si>
    <t>Lтр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</si>
</sst>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212529"/>
      <name val="Segoe U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ISOCPEUR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F85E"/>
        <bgColor indexed="64"/>
      </patternFill>
    </fill>
    <fill>
      <patternFill patternType="solid">
        <fgColor theme="5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3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164" fontId="0" fillId="0" borderId="1" xfId="0" applyNumberForma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49" fontId="3" fillId="0" borderId="8" xfId="0" applyNumberFormat="1" applyFont="1" applyBorder="1"/>
    <xf numFmtId="0" fontId="3" fillId="0" borderId="8" xfId="0" applyFont="1" applyBorder="1"/>
    <xf numFmtId="49" fontId="3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/>
    <xf numFmtId="0" fontId="0" fillId="0" borderId="0" xfId="0" applyFont="1" applyFill="1"/>
    <xf numFmtId="49" fontId="3" fillId="0" borderId="12" xfId="0" applyNumberFormat="1" applyFont="1" applyBorder="1"/>
    <xf numFmtId="49" fontId="3" fillId="0" borderId="13" xfId="0" applyNumberFormat="1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49" fontId="5" fillId="0" borderId="25" xfId="0" applyNumberFormat="1" applyFont="1" applyFill="1" applyBorder="1"/>
    <xf numFmtId="49" fontId="5" fillId="0" borderId="26" xfId="0" applyNumberFormat="1" applyFont="1" applyFill="1" applyBorder="1" applyAlignment="1">
      <alignment wrapText="1"/>
    </xf>
    <xf numFmtId="49" fontId="3" fillId="0" borderId="26" xfId="0" applyNumberFormat="1" applyFont="1" applyFill="1" applyBorder="1" applyAlignment="1">
      <alignment wrapText="1"/>
    </xf>
    <xf numFmtId="0" fontId="2" fillId="0" borderId="28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49" fontId="3" fillId="2" borderId="18" xfId="0" applyNumberFormat="1" applyFont="1" applyFill="1" applyBorder="1" applyAlignment="1">
      <alignment wrapText="1"/>
    </xf>
    <xf numFmtId="49" fontId="3" fillId="2" borderId="19" xfId="0" applyNumberFormat="1" applyFont="1" applyFill="1" applyBorder="1"/>
    <xf numFmtId="49" fontId="3" fillId="2" borderId="20" xfId="0" applyNumberFormat="1" applyFont="1" applyFill="1" applyBorder="1" applyAlignment="1">
      <alignment wrapText="1"/>
    </xf>
    <xf numFmtId="49" fontId="3" fillId="2" borderId="21" xfId="0" applyNumberFormat="1" applyFont="1" applyFill="1" applyBorder="1" applyAlignment="1">
      <alignment wrapText="1"/>
    </xf>
    <xf numFmtId="49" fontId="3" fillId="2" borderId="21" xfId="0" applyNumberFormat="1" applyFont="1" applyFill="1" applyBorder="1"/>
    <xf numFmtId="49" fontId="3" fillId="2" borderId="22" xfId="0" applyNumberFormat="1" applyFont="1" applyFill="1" applyBorder="1"/>
    <xf numFmtId="49" fontId="3" fillId="0" borderId="18" xfId="0" applyNumberFormat="1" applyFont="1" applyBorder="1" applyAlignment="1">
      <alignment horizontal="left" wrapText="1"/>
    </xf>
    <xf numFmtId="49" fontId="3" fillId="0" borderId="18" xfId="0" applyNumberFormat="1" applyFont="1" applyFill="1" applyBorder="1" applyAlignment="1">
      <alignment horizontal="left" wrapText="1"/>
    </xf>
    <xf numFmtId="49" fontId="3" fillId="0" borderId="20" xfId="0" applyNumberFormat="1" applyFont="1" applyFill="1" applyBorder="1" applyAlignment="1">
      <alignment wrapText="1"/>
    </xf>
    <xf numFmtId="0" fontId="6" fillId="0" borderId="29" xfId="0" applyFont="1" applyBorder="1" applyAlignment="1">
      <alignment wrapText="1"/>
    </xf>
    <xf numFmtId="49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19" xfId="0" applyNumberFormat="1" applyFont="1" applyFill="1" applyBorder="1" applyAlignment="1">
      <alignment horizontal="center" vertical="center" wrapText="1"/>
    </xf>
    <xf numFmtId="49" fontId="3" fillId="0" borderId="21" xfId="0" applyNumberFormat="1" applyFont="1" applyFill="1" applyBorder="1" applyAlignment="1">
      <alignment horizontal="center" vertical="center" wrapText="1"/>
    </xf>
    <xf numFmtId="2" fontId="3" fillId="0" borderId="21" xfId="0" applyNumberFormat="1" applyFont="1" applyFill="1" applyBorder="1" applyAlignment="1">
      <alignment horizontal="center" vertical="center" wrapText="1"/>
    </xf>
    <xf numFmtId="2" fontId="3" fillId="0" borderId="2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/>
    </xf>
    <xf numFmtId="0" fontId="6" fillId="0" borderId="31" xfId="0" applyFont="1" applyBorder="1" applyAlignment="1">
      <alignment wrapText="1"/>
    </xf>
    <xf numFmtId="49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 wrapText="1"/>
    </xf>
    <xf numFmtId="0" fontId="6" fillId="0" borderId="21" xfId="0" applyFont="1" applyBorder="1" applyAlignment="1">
      <alignment wrapText="1"/>
    </xf>
    <xf numFmtId="49" fontId="3" fillId="0" borderId="2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left" wrapText="1"/>
    </xf>
    <xf numFmtId="49" fontId="3" fillId="0" borderId="33" xfId="0" applyNumberFormat="1" applyFont="1" applyFill="1" applyBorder="1" applyAlignment="1">
      <alignment horizontal="left" wrapText="1"/>
    </xf>
    <xf numFmtId="49" fontId="3" fillId="0" borderId="33" xfId="0" applyNumberFormat="1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left" wrapText="1"/>
    </xf>
    <xf numFmtId="49" fontId="3" fillId="0" borderId="32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wrapText="1"/>
    </xf>
    <xf numFmtId="49" fontId="3" fillId="0" borderId="33" xfId="0" applyNumberFormat="1" applyFont="1" applyFill="1" applyBorder="1" applyAlignment="1">
      <alignment horizontal="center" vertical="center" wrapText="1"/>
    </xf>
    <xf numFmtId="2" fontId="3" fillId="0" borderId="33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wrapText="1"/>
    </xf>
    <xf numFmtId="49" fontId="3" fillId="0" borderId="4" xfId="0" applyNumberFormat="1" applyFont="1" applyFill="1" applyBorder="1" applyAlignment="1">
      <alignment horizontal="center" vertical="center" wrapText="1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27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Fill="1" applyBorder="1" applyAlignment="1">
      <alignment horizontal="center" vertical="center" wrapText="1"/>
    </xf>
    <xf numFmtId="2" fontId="3" fillId="0" borderId="3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30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2" fontId="0" fillId="0" borderId="30" xfId="0" applyNumberFormat="1" applyBorder="1"/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0" fillId="0" borderId="25" xfId="0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9" fillId="0" borderId="1" xfId="0" applyFont="1" applyBorder="1"/>
    <xf numFmtId="0" fontId="0" fillId="0" borderId="24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0" fontId="0" fillId="0" borderId="3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3" borderId="3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" xfId="0" applyBorder="1" applyAlignment="1">
      <alignment vertical="center" textRotation="90" wrapText="1"/>
    </xf>
    <xf numFmtId="2" fontId="0" fillId="3" borderId="1" xfId="0" applyNumberFormat="1" applyFill="1" applyBorder="1" applyAlignment="1">
      <alignment horizontal="center" vertical="center"/>
    </xf>
    <xf numFmtId="0" fontId="0" fillId="0" borderId="45" xfId="0" applyFill="1" applyBorder="1"/>
    <xf numFmtId="0" fontId="0" fillId="0" borderId="45" xfId="0" applyBorder="1"/>
    <xf numFmtId="0" fontId="0" fillId="0" borderId="46" xfId="0" applyFill="1" applyBorder="1"/>
    <xf numFmtId="0" fontId="0" fillId="0" borderId="0" xfId="0" applyFill="1" applyBorder="1"/>
    <xf numFmtId="0" fontId="0" fillId="4" borderId="0" xfId="0" applyFill="1" applyBorder="1"/>
    <xf numFmtId="0" fontId="10" fillId="4" borderId="0" xfId="0" applyFont="1" applyFill="1" applyBorder="1"/>
    <xf numFmtId="164" fontId="0" fillId="0" borderId="0" xfId="0" applyNumberFormat="1"/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5" xfId="0" applyFill="1" applyBorder="1"/>
    <xf numFmtId="0" fontId="0" fillId="4" borderId="25" xfId="0" applyFill="1" applyBorder="1"/>
    <xf numFmtId="0" fontId="0" fillId="0" borderId="1" xfId="0" applyBorder="1" applyAlignment="1">
      <alignment horizontal="left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0" fontId="0" fillId="0" borderId="47" xfId="0" applyFill="1" applyBorder="1"/>
    <xf numFmtId="0" fontId="0" fillId="0" borderId="25" xfId="0" applyFill="1" applyBorder="1"/>
    <xf numFmtId="0" fontId="0" fillId="5" borderId="0" xfId="0" applyFill="1" applyBorder="1"/>
    <xf numFmtId="0" fontId="10" fillId="5" borderId="0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1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0" fillId="0" borderId="4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0" borderId="0" xfId="0" applyFill="1"/>
    <xf numFmtId="1" fontId="16" fillId="0" borderId="38" xfId="0" applyNumberFormat="1" applyFont="1" applyBorder="1"/>
    <xf numFmtId="1" fontId="16" fillId="0" borderId="1" xfId="0" applyNumberFormat="1" applyFont="1" applyBorder="1"/>
    <xf numFmtId="166" fontId="0" fillId="0" borderId="0" xfId="1" applyNumberFormat="1" applyFont="1"/>
    <xf numFmtId="0" fontId="0" fillId="0" borderId="33" xfId="0" applyFill="1" applyBorder="1"/>
    <xf numFmtId="2" fontId="0" fillId="2" borderId="2" xfId="0" applyNumberFormat="1" applyFill="1" applyBorder="1"/>
    <xf numFmtId="0" fontId="3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40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5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49" fontId="3" fillId="5" borderId="18" xfId="0" applyNumberFormat="1" applyFont="1" applyFill="1" applyBorder="1" applyAlignment="1">
      <alignment horizontal="left" wrapText="1"/>
    </xf>
    <xf numFmtId="0" fontId="6" fillId="5" borderId="0" xfId="0" applyFont="1" applyFill="1" applyBorder="1" applyAlignment="1">
      <alignment wrapText="1"/>
    </xf>
    <xf numFmtId="49" fontId="3" fillId="5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2" fontId="3" fillId="5" borderId="19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6" fillId="0" borderId="29" xfId="0" applyFont="1" applyFill="1" applyBorder="1" applyAlignment="1">
      <alignment wrapText="1"/>
    </xf>
    <xf numFmtId="1" fontId="0" fillId="0" borderId="35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8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2" sqref="B12"/>
    </sheetView>
  </sheetViews>
  <sheetFormatPr defaultRowHeight="14.4" x14ac:dyDescent="0.3"/>
  <cols>
    <col min="1" max="1" width="15.109375" customWidth="1"/>
    <col min="2" max="2" width="14.44140625" customWidth="1"/>
  </cols>
  <sheetData>
    <row r="2" spans="1:6" x14ac:dyDescent="0.3">
      <c r="A2" s="1" t="s">
        <v>0</v>
      </c>
      <c r="B2" s="1" t="s">
        <v>1</v>
      </c>
      <c r="C2" s="1" t="s">
        <v>15</v>
      </c>
      <c r="D2" s="1" t="s">
        <v>16</v>
      </c>
      <c r="E2" s="5" t="s">
        <v>17</v>
      </c>
      <c r="F2" s="5" t="s">
        <v>18</v>
      </c>
    </row>
    <row r="3" spans="1:6" x14ac:dyDescent="0.3">
      <c r="A3" s="2">
        <v>32</v>
      </c>
      <c r="B3" s="2">
        <f>20.2+20.2</f>
        <v>40.4</v>
      </c>
      <c r="C3" s="1">
        <f>A3/1000+2*0.3</f>
        <v>0.63200000000000001</v>
      </c>
      <c r="D3" s="1">
        <f>B3+2*0.3</f>
        <v>41</v>
      </c>
      <c r="E3" s="1">
        <f>C3+2*$B$24</f>
        <v>1.1819999999999999</v>
      </c>
      <c r="F3" s="1">
        <f>D3+2*$B$24</f>
        <v>41.55</v>
      </c>
    </row>
    <row r="4" spans="1:6" x14ac:dyDescent="0.3">
      <c r="A4" s="3">
        <v>48</v>
      </c>
      <c r="B4" s="3">
        <f>46.24+61.21</f>
        <v>107.45</v>
      </c>
      <c r="C4" s="1">
        <f t="shared" ref="C4:C9" si="0">A4/1000+2*0.3</f>
        <v>0.64800000000000002</v>
      </c>
      <c r="D4" s="1">
        <f t="shared" ref="D4:D8" si="1">B4+2*0.3</f>
        <v>108.05</v>
      </c>
      <c r="E4" s="1">
        <f t="shared" ref="E4:E8" si="2">C4+2*$B$24</f>
        <v>1.198</v>
      </c>
      <c r="F4" s="1">
        <f t="shared" ref="F4:F9" si="3">D4+2*$B$24</f>
        <v>108.6</v>
      </c>
    </row>
    <row r="5" spans="1:6" x14ac:dyDescent="0.3">
      <c r="A5" s="3">
        <v>57</v>
      </c>
      <c r="B5" s="3">
        <f>12.4+27.4+30.2</f>
        <v>70</v>
      </c>
      <c r="C5" s="1">
        <f t="shared" si="0"/>
        <v>0.65700000000000003</v>
      </c>
      <c r="D5" s="1">
        <f t="shared" si="1"/>
        <v>70.599999999999994</v>
      </c>
      <c r="E5" s="1">
        <f t="shared" si="2"/>
        <v>1.2070000000000001</v>
      </c>
      <c r="F5" s="1">
        <f t="shared" si="3"/>
        <v>71.149999999999991</v>
      </c>
    </row>
    <row r="6" spans="1:6" x14ac:dyDescent="0.3">
      <c r="A6" s="3">
        <v>76</v>
      </c>
      <c r="B6" s="3">
        <f>30.8+155.6+27.4+410</f>
        <v>623.79999999999995</v>
      </c>
      <c r="C6" s="1">
        <f t="shared" si="0"/>
        <v>0.67599999999999993</v>
      </c>
      <c r="D6" s="1">
        <f t="shared" si="1"/>
        <v>624.4</v>
      </c>
      <c r="E6" s="1">
        <f t="shared" si="2"/>
        <v>1.226</v>
      </c>
      <c r="F6" s="1">
        <f t="shared" si="3"/>
        <v>624.94999999999993</v>
      </c>
    </row>
    <row r="7" spans="1:6" x14ac:dyDescent="0.3">
      <c r="A7" s="3">
        <v>89</v>
      </c>
      <c r="B7" s="3">
        <f>26.6+26.6+62.2</f>
        <v>115.4</v>
      </c>
      <c r="C7" s="1">
        <f t="shared" si="0"/>
        <v>0.68899999999999995</v>
      </c>
      <c r="D7" s="1">
        <f t="shared" si="1"/>
        <v>116</v>
      </c>
      <c r="E7" s="1">
        <f t="shared" si="2"/>
        <v>1.2389999999999999</v>
      </c>
      <c r="F7" s="1">
        <f t="shared" si="3"/>
        <v>116.55</v>
      </c>
    </row>
    <row r="8" spans="1:6" x14ac:dyDescent="0.3">
      <c r="A8" s="3">
        <v>108</v>
      </c>
      <c r="B8" s="3">
        <f>1032+564+79+298+269+79+72</f>
        <v>2393</v>
      </c>
      <c r="C8" s="1">
        <f t="shared" si="0"/>
        <v>0.70799999999999996</v>
      </c>
      <c r="D8" s="1">
        <f t="shared" si="1"/>
        <v>2393.6</v>
      </c>
      <c r="E8" s="1">
        <f t="shared" si="2"/>
        <v>1.258</v>
      </c>
      <c r="F8" s="1">
        <f t="shared" si="3"/>
        <v>2394.15</v>
      </c>
    </row>
    <row r="9" spans="1:6" x14ac:dyDescent="0.3">
      <c r="A9" s="3">
        <v>325</v>
      </c>
      <c r="B9" s="3">
        <f>500+672+1224+1420+1379+2047+1311+1080+951</f>
        <v>10584</v>
      </c>
      <c r="C9" s="1">
        <f t="shared" si="0"/>
        <v>0.92500000000000004</v>
      </c>
      <c r="D9" s="1">
        <f>B9+2*0.3</f>
        <v>10584.6</v>
      </c>
      <c r="E9" s="1">
        <f>C9+2*$B$24</f>
        <v>1.4750000000000001</v>
      </c>
      <c r="F9" s="1">
        <f t="shared" si="3"/>
        <v>10585.15</v>
      </c>
    </row>
    <row r="10" spans="1:6" x14ac:dyDescent="0.3">
      <c r="A10" s="4" t="s">
        <v>10</v>
      </c>
      <c r="B10" s="1">
        <f>SUM(B3:B9)</f>
        <v>13934.05</v>
      </c>
      <c r="C10" s="1"/>
      <c r="D10" s="1"/>
      <c r="E10" s="1"/>
      <c r="F10" s="1"/>
    </row>
    <row r="12" spans="1:6" x14ac:dyDescent="0.3">
      <c r="A12" t="s">
        <v>2</v>
      </c>
      <c r="B12">
        <v>1.1000000000000001</v>
      </c>
      <c r="C12" t="s">
        <v>4</v>
      </c>
    </row>
    <row r="14" spans="1:6" x14ac:dyDescent="0.3">
      <c r="A14" t="s">
        <v>3</v>
      </c>
      <c r="D14">
        <f>11/100</f>
        <v>0.11</v>
      </c>
      <c r="E14" t="s">
        <v>4</v>
      </c>
    </row>
    <row r="16" spans="1:6" x14ac:dyDescent="0.3">
      <c r="A16" t="s">
        <v>5</v>
      </c>
      <c r="B16" t="s">
        <v>6</v>
      </c>
    </row>
    <row r="18" spans="1:3" x14ac:dyDescent="0.3">
      <c r="A18" t="s">
        <v>7</v>
      </c>
      <c r="B18">
        <v>8</v>
      </c>
      <c r="C18" t="s">
        <v>4</v>
      </c>
    </row>
    <row r="20" spans="1:3" x14ac:dyDescent="0.3">
      <c r="A20" t="s">
        <v>14</v>
      </c>
      <c r="C20">
        <v>4</v>
      </c>
    </row>
    <row r="22" spans="1:3" x14ac:dyDescent="0.3">
      <c r="A22" t="s">
        <v>20</v>
      </c>
      <c r="B22">
        <v>0.25</v>
      </c>
    </row>
    <row r="24" spans="1:3" x14ac:dyDescent="0.3">
      <c r="A24" t="s">
        <v>19</v>
      </c>
      <c r="B24">
        <f>B22*B12</f>
        <v>0.27500000000000002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88E8-3ED6-41C0-AD99-BDEDEDD62A18}">
  <dimension ref="A2:L22"/>
  <sheetViews>
    <sheetView tabSelected="1" topLeftCell="C1" workbookViewId="0">
      <selection activeCell="L18" sqref="L18"/>
    </sheetView>
  </sheetViews>
  <sheetFormatPr defaultRowHeight="14.4" x14ac:dyDescent="0.3"/>
  <cols>
    <col min="2" max="2" width="14.109375" customWidth="1"/>
    <col min="3" max="3" width="11.33203125" customWidth="1"/>
    <col min="5" max="5" width="12.5546875" customWidth="1"/>
    <col min="6" max="6" width="12" customWidth="1"/>
    <col min="7" max="7" width="12.5546875" bestFit="1" customWidth="1"/>
    <col min="8" max="8" width="11.5546875" bestFit="1" customWidth="1"/>
    <col min="9" max="9" width="11.44140625" customWidth="1"/>
    <col min="10" max="10" width="12.33203125" customWidth="1"/>
    <col min="12" max="12" width="9.5546875" bestFit="1" customWidth="1"/>
  </cols>
  <sheetData>
    <row r="2" spans="1:12" x14ac:dyDescent="0.3">
      <c r="A2" t="s">
        <v>8</v>
      </c>
      <c r="B2">
        <f>(исходники!B10 + 10)*10</f>
        <v>139440.5</v>
      </c>
      <c r="C2" t="s">
        <v>9</v>
      </c>
    </row>
    <row r="4" spans="1:12" x14ac:dyDescent="0.3">
      <c r="A4" t="s">
        <v>11</v>
      </c>
      <c r="B4">
        <f>B2*исходники!D14</f>
        <v>15338.455</v>
      </c>
      <c r="C4" t="s">
        <v>12</v>
      </c>
    </row>
    <row r="6" spans="1:12" x14ac:dyDescent="0.3">
      <c r="A6" t="s">
        <v>13</v>
      </c>
      <c r="B6">
        <f>B2*исходники!C20</f>
        <v>557762</v>
      </c>
    </row>
    <row r="8" spans="1:12" x14ac:dyDescent="0.3">
      <c r="A8" t="s">
        <v>22</v>
      </c>
      <c r="B8">
        <f>исходники!B12-исходники!D14-0.05</f>
        <v>0.94000000000000006</v>
      </c>
    </row>
    <row r="10" spans="1:12" x14ac:dyDescent="0.3">
      <c r="A10" s="1" t="s">
        <v>0</v>
      </c>
      <c r="B10" s="1" t="s">
        <v>21</v>
      </c>
      <c r="C10" s="1" t="s">
        <v>23</v>
      </c>
      <c r="D10" s="1" t="s">
        <v>24</v>
      </c>
      <c r="E10" s="5" t="s">
        <v>49</v>
      </c>
      <c r="F10" s="5" t="s">
        <v>25</v>
      </c>
      <c r="G10" s="5" t="s">
        <v>26</v>
      </c>
      <c r="H10" s="5" t="s">
        <v>27</v>
      </c>
      <c r="I10" s="5" t="s">
        <v>28</v>
      </c>
      <c r="J10" s="1" t="s">
        <v>29</v>
      </c>
      <c r="K10" s="174" t="s">
        <v>181</v>
      </c>
    </row>
    <row r="11" spans="1:12" x14ac:dyDescent="0.3">
      <c r="A11" s="1">
        <f>исходники!A3</f>
        <v>32</v>
      </c>
      <c r="B11" s="6">
        <f>$B$8/6*((исходники!C3*исходники!D3)+(исходники!E3*исходники!F3)+(исходники!C3+исходники!E3)*(исходники!D3+исходники!F3))</f>
        <v>35.213935333333332</v>
      </c>
      <c r="C11" s="1">
        <f>исходники!C3*исходники!D3</f>
        <v>25.911999999999999</v>
      </c>
      <c r="D11" s="1">
        <f t="shared" ref="D11:D17" si="0">C11*0.05</f>
        <v>1.2956000000000001</v>
      </c>
      <c r="E11" s="6">
        <f>POWER((A11/2000),2)*исходники!B3*PI()</f>
        <v>3.2491607860487076E-2</v>
      </c>
      <c r="F11" s="6">
        <f t="shared" ref="F11:F17" si="1">B11+D11-E11</f>
        <v>36.477043725472846</v>
      </c>
      <c r="G11" s="6">
        <f t="shared" ref="G11:G17" si="2">B11-D11</f>
        <v>33.918335333333332</v>
      </c>
      <c r="H11" s="1">
        <f t="shared" ref="H11:H17" si="3">F11*0.95</f>
        <v>34.653191539199206</v>
      </c>
      <c r="I11" s="6">
        <f t="shared" ref="I11:I17" si="4">F11-H11</f>
        <v>1.8238521862736405</v>
      </c>
      <c r="J11" s="6">
        <f t="shared" ref="J11:J17" si="5">F11</f>
        <v>36.477043725472846</v>
      </c>
      <c r="K11">
        <f>исходники!B3/исходники!$B$18</f>
        <v>5.05</v>
      </c>
      <c r="L11" s="230">
        <f t="shared" ref="L11:L17" si="6">ROUND(K11,0)+1</f>
        <v>6</v>
      </c>
    </row>
    <row r="12" spans="1:12" x14ac:dyDescent="0.3">
      <c r="A12" s="1">
        <f>исходники!A4</f>
        <v>48</v>
      </c>
      <c r="B12" s="6">
        <f>$B$8/6*((исходники!C4*исходники!D4)+(исходники!E4*исходники!F4)+(исходники!C4+исходники!E4)*(исходники!D4+исходники!F4))</f>
        <v>94.008632333333338</v>
      </c>
      <c r="C12" s="1">
        <f>исходники!C4*исходники!D4</f>
        <v>70.016400000000004</v>
      </c>
      <c r="D12" s="1">
        <f t="shared" si="0"/>
        <v>3.5008200000000005</v>
      </c>
      <c r="E12" s="6">
        <f>POWER((A12/2000),2)*исходники!B4*PI()</f>
        <v>0.19443693924185659</v>
      </c>
      <c r="F12" s="6">
        <f t="shared" si="1"/>
        <v>97.315015394091489</v>
      </c>
      <c r="G12" s="6">
        <f t="shared" si="2"/>
        <v>90.507812333333334</v>
      </c>
      <c r="H12" s="1">
        <f t="shared" si="3"/>
        <v>92.449264624386913</v>
      </c>
      <c r="I12" s="6">
        <f t="shared" si="4"/>
        <v>4.8657507697045759</v>
      </c>
      <c r="J12" s="6">
        <f t="shared" si="5"/>
        <v>97.315015394091489</v>
      </c>
      <c r="K12">
        <f>исходники!B4/исходники!$B$18</f>
        <v>13.43125</v>
      </c>
      <c r="L12" s="230">
        <f t="shared" si="6"/>
        <v>14</v>
      </c>
    </row>
    <row r="13" spans="1:12" x14ac:dyDescent="0.3">
      <c r="A13" s="1">
        <f>исходники!A5</f>
        <v>57</v>
      </c>
      <c r="B13" s="6">
        <f>$B$8/6*((исходники!C5*исходники!D5)+(исходники!E5*исходники!F5)+(исходники!C5+исходники!E5)*(исходники!D5+исходники!F5))</f>
        <v>62.115865833333345</v>
      </c>
      <c r="C13" s="1">
        <f>исходники!C5*исходники!D5</f>
        <v>46.3842</v>
      </c>
      <c r="D13" s="1">
        <f t="shared" si="0"/>
        <v>2.31921</v>
      </c>
      <c r="E13" s="6">
        <f>POWER((A13/2000),2)*исходники!B5*PI()</f>
        <v>0.17862310430148168</v>
      </c>
      <c r="F13" s="6">
        <f t="shared" si="1"/>
        <v>64.256452729031864</v>
      </c>
      <c r="G13" s="6">
        <f t="shared" si="2"/>
        <v>59.796655833333347</v>
      </c>
      <c r="H13" s="1">
        <f t="shared" si="3"/>
        <v>61.043630092580266</v>
      </c>
      <c r="I13" s="6">
        <f t="shared" si="4"/>
        <v>3.2128226364515982</v>
      </c>
      <c r="J13" s="6">
        <f t="shared" si="5"/>
        <v>64.256452729031864</v>
      </c>
      <c r="K13">
        <f>исходники!B5/исходники!$B$18</f>
        <v>8.75</v>
      </c>
      <c r="L13" s="230">
        <f t="shared" si="6"/>
        <v>10</v>
      </c>
    </row>
    <row r="14" spans="1:12" x14ac:dyDescent="0.3">
      <c r="A14" s="1">
        <f>исходники!A6</f>
        <v>76</v>
      </c>
      <c r="B14" s="6">
        <f>$B$8/6*((исходники!C6*исходники!D6)+(исходники!E6*исходники!F6)+(исходники!C6+исходники!E6)*(исходники!D6+исходники!F6))</f>
        <v>558.44566533333318</v>
      </c>
      <c r="C14" s="1">
        <f>исходники!C6*исходники!D6</f>
        <v>422.09439999999995</v>
      </c>
      <c r="D14" s="1">
        <f t="shared" si="0"/>
        <v>21.10472</v>
      </c>
      <c r="E14" s="6">
        <f>POWER((A14/2000),2)*исходники!B6*PI()</f>
        <v>2.8298436181146474</v>
      </c>
      <c r="F14" s="6">
        <f t="shared" si="1"/>
        <v>576.72054171521859</v>
      </c>
      <c r="G14" s="6">
        <f t="shared" si="2"/>
        <v>537.34094533333314</v>
      </c>
      <c r="H14" s="1">
        <f t="shared" si="3"/>
        <v>547.88451462945761</v>
      </c>
      <c r="I14" s="6">
        <f t="shared" si="4"/>
        <v>28.836027085760975</v>
      </c>
      <c r="J14" s="6">
        <f t="shared" si="5"/>
        <v>576.72054171521859</v>
      </c>
      <c r="K14">
        <f>исходники!B6/исходники!$B$18</f>
        <v>77.974999999999994</v>
      </c>
      <c r="L14" s="230">
        <f t="shared" si="6"/>
        <v>79</v>
      </c>
    </row>
    <row r="15" spans="1:12" x14ac:dyDescent="0.3">
      <c r="A15" s="1">
        <f>исходники!A7</f>
        <v>89</v>
      </c>
      <c r="B15" s="6">
        <f>$B$8/6*((исходники!C7*исходники!D7)+(исходники!E7*исходники!F7)+(исходники!C7+исходники!E7)*(исходники!D7+исходники!F7))</f>
        <v>105.38744983333333</v>
      </c>
      <c r="C15" s="1">
        <f>исходники!C7*исходники!D7</f>
        <v>79.923999999999992</v>
      </c>
      <c r="D15" s="1">
        <f t="shared" si="0"/>
        <v>3.9962</v>
      </c>
      <c r="E15" s="6">
        <f>POWER((A15/2000),2)*исходники!B7*PI()</f>
        <v>0.71791942355209504</v>
      </c>
      <c r="F15" s="6">
        <f t="shared" si="1"/>
        <v>108.66573040978125</v>
      </c>
      <c r="G15" s="6">
        <f t="shared" si="2"/>
        <v>101.39124983333333</v>
      </c>
      <c r="H15" s="1">
        <f t="shared" si="3"/>
        <v>103.23244388929218</v>
      </c>
      <c r="I15" s="6">
        <f t="shared" si="4"/>
        <v>5.4332865204890624</v>
      </c>
      <c r="J15" s="6">
        <f t="shared" si="5"/>
        <v>108.66573040978125</v>
      </c>
      <c r="K15">
        <f>исходники!B7/исходники!$B$18</f>
        <v>14.425000000000001</v>
      </c>
      <c r="L15" s="230">
        <f t="shared" si="6"/>
        <v>15</v>
      </c>
    </row>
    <row r="16" spans="1:12" x14ac:dyDescent="0.3">
      <c r="A16" s="1">
        <f>исходники!A8</f>
        <v>108</v>
      </c>
      <c r="B16" s="6">
        <f>$B$8/6*((исходники!C8*исходники!D8)+(исходники!E8*исходники!F8)+(исходники!C8+исходники!E8)*(исходники!D8+исходники!F8))</f>
        <v>2212.0120733333338</v>
      </c>
      <c r="C16" s="1">
        <f>исходники!C8*исходники!D8</f>
        <v>1694.6687999999999</v>
      </c>
      <c r="D16" s="1">
        <f t="shared" si="0"/>
        <v>84.733440000000002</v>
      </c>
      <c r="E16" s="6">
        <f>POWER((A16/2000),2)*исходники!B8*PI()</f>
        <v>21.921995837637734</v>
      </c>
      <c r="F16" s="6">
        <f t="shared" si="1"/>
        <v>2274.8235174956958</v>
      </c>
      <c r="G16" s="6">
        <f t="shared" si="2"/>
        <v>2127.2786333333338</v>
      </c>
      <c r="H16" s="1">
        <f t="shared" si="3"/>
        <v>2161.0823416209109</v>
      </c>
      <c r="I16" s="6">
        <f t="shared" si="4"/>
        <v>113.74117587478486</v>
      </c>
      <c r="J16" s="6">
        <f t="shared" si="5"/>
        <v>2274.8235174956958</v>
      </c>
      <c r="K16">
        <f>исходники!B8/исходники!$B$18</f>
        <v>299.125</v>
      </c>
      <c r="L16" s="230">
        <f t="shared" si="6"/>
        <v>300</v>
      </c>
    </row>
    <row r="17" spans="1:12" x14ac:dyDescent="0.3">
      <c r="A17" s="1">
        <f>исходники!A9</f>
        <v>325</v>
      </c>
      <c r="B17" s="6">
        <f>$B$8/6*((исходники!C9*исходники!D9)+(исходники!E9*исходники!F9)+(исходники!C9+исходники!E9)*(исходники!D9+исходники!F9))</f>
        <v>11939.762695833335</v>
      </c>
      <c r="C17" s="1">
        <f>исходники!C9*исходники!D9</f>
        <v>9790.755000000001</v>
      </c>
      <c r="D17" s="1">
        <f t="shared" si="0"/>
        <v>489.53775000000007</v>
      </c>
      <c r="E17" s="6">
        <f>POWER((A17/2000),2)*исходники!B9*PI()</f>
        <v>878.02409579772643</v>
      </c>
      <c r="F17" s="6">
        <f t="shared" si="1"/>
        <v>11551.276350035609</v>
      </c>
      <c r="G17" s="6">
        <f t="shared" si="2"/>
        <v>11450.224945833335</v>
      </c>
      <c r="H17" s="1">
        <f t="shared" si="3"/>
        <v>10973.712532533827</v>
      </c>
      <c r="I17" s="6">
        <f t="shared" si="4"/>
        <v>577.56381750178116</v>
      </c>
      <c r="J17" s="6">
        <f t="shared" si="5"/>
        <v>11551.276350035609</v>
      </c>
      <c r="K17">
        <f>исходники!B9/исходники!$B$18</f>
        <v>1323</v>
      </c>
      <c r="L17" s="230">
        <f t="shared" si="6"/>
        <v>1324</v>
      </c>
    </row>
    <row r="18" spans="1:12" x14ac:dyDescent="0.3">
      <c r="A18" s="4" t="s">
        <v>10</v>
      </c>
      <c r="B18" s="1">
        <f t="shared" ref="B18:J18" si="7">SUM(B11:B17)</f>
        <v>15006.946317833335</v>
      </c>
      <c r="C18" s="1">
        <f t="shared" si="7"/>
        <v>12129.754800000001</v>
      </c>
      <c r="D18" s="1">
        <f t="shared" si="7"/>
        <v>606.48774000000003</v>
      </c>
      <c r="E18" s="6">
        <f t="shared" si="7"/>
        <v>903.89940632843468</v>
      </c>
      <c r="F18" s="6">
        <f t="shared" si="7"/>
        <v>14709.5346515049</v>
      </c>
      <c r="G18" s="6">
        <f t="shared" si="7"/>
        <v>14400.458577833335</v>
      </c>
      <c r="H18" s="6">
        <f t="shared" si="7"/>
        <v>13974.057918929655</v>
      </c>
      <c r="I18" s="6">
        <f t="shared" si="7"/>
        <v>735.47673257524593</v>
      </c>
      <c r="J18" s="6">
        <f t="shared" si="7"/>
        <v>14709.5346515049</v>
      </c>
      <c r="K18">
        <f>исходники!B10/исходники!$B$18</f>
        <v>1741.7562499999999</v>
      </c>
      <c r="L18" s="230">
        <f>ROUND(K18,0)+1</f>
        <v>1743</v>
      </c>
    </row>
    <row r="22" spans="1:12" x14ac:dyDescent="0.3">
      <c r="B22" s="1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D008-3CC3-4CF9-93DA-647CD52762FF}">
  <dimension ref="A1:AC38"/>
  <sheetViews>
    <sheetView topLeftCell="A15" zoomScale="68" zoomScaleNormal="68" workbookViewId="0">
      <selection activeCell="H20" sqref="A19:H20"/>
    </sheetView>
  </sheetViews>
  <sheetFormatPr defaultRowHeight="14.4" x14ac:dyDescent="0.3"/>
  <cols>
    <col min="1" max="1" width="20" customWidth="1"/>
    <col min="2" max="2" width="55" customWidth="1"/>
    <col min="3" max="3" width="12.5546875" customWidth="1"/>
    <col min="4" max="4" width="16.6640625" customWidth="1"/>
    <col min="5" max="5" width="11.88671875" bestFit="1" customWidth="1"/>
    <col min="6" max="6" width="14.6640625" bestFit="1" customWidth="1"/>
    <col min="7" max="7" width="10.109375" customWidth="1"/>
    <col min="8" max="8" width="14.6640625" bestFit="1" customWidth="1"/>
    <col min="10" max="10" width="18.44140625" customWidth="1"/>
    <col min="11" max="11" width="15.6640625" customWidth="1"/>
    <col min="12" max="12" width="16.33203125" customWidth="1"/>
  </cols>
  <sheetData>
    <row r="1" spans="1:29" ht="55.5" customHeight="1" thickBot="1" x14ac:dyDescent="0.45">
      <c r="A1" s="182" t="s">
        <v>30</v>
      </c>
      <c r="B1" s="184" t="s">
        <v>31</v>
      </c>
      <c r="C1" s="184" t="s">
        <v>32</v>
      </c>
      <c r="D1" s="184" t="s">
        <v>33</v>
      </c>
      <c r="E1" s="180" t="s">
        <v>34</v>
      </c>
      <c r="F1" s="180"/>
      <c r="G1" s="180" t="s">
        <v>35</v>
      </c>
      <c r="H1" s="181"/>
      <c r="I1" s="21"/>
      <c r="J1" s="177" t="s">
        <v>36</v>
      </c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9"/>
    </row>
    <row r="2" spans="1:29" ht="30" customHeight="1" thickTop="1" x14ac:dyDescent="0.4">
      <c r="A2" s="183"/>
      <c r="B2" s="185"/>
      <c r="C2" s="185"/>
      <c r="D2" s="185"/>
      <c r="E2" s="7" t="s">
        <v>37</v>
      </c>
      <c r="F2" s="8" t="s">
        <v>38</v>
      </c>
      <c r="G2" s="8" t="s">
        <v>37</v>
      </c>
      <c r="H2" s="27" t="s">
        <v>38</v>
      </c>
      <c r="I2" s="22"/>
      <c r="J2" s="16"/>
      <c r="K2" s="9"/>
      <c r="L2" s="10"/>
      <c r="M2" s="9"/>
      <c r="N2" s="9"/>
      <c r="O2" s="11"/>
      <c r="P2" s="11"/>
      <c r="Q2" s="11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7"/>
    </row>
    <row r="3" spans="1:29" ht="21.6" thickBot="1" x14ac:dyDescent="0.35">
      <c r="A3" s="52">
        <v>1</v>
      </c>
      <c r="B3" s="53">
        <v>2</v>
      </c>
      <c r="C3" s="53">
        <v>3</v>
      </c>
      <c r="D3" s="53">
        <v>4</v>
      </c>
      <c r="E3" s="53">
        <v>5</v>
      </c>
      <c r="F3" s="53">
        <v>6</v>
      </c>
      <c r="G3" s="53">
        <v>7</v>
      </c>
      <c r="H3" s="54">
        <v>8</v>
      </c>
      <c r="I3" s="23">
        <v>9</v>
      </c>
      <c r="J3" s="18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9">
        <v>29</v>
      </c>
    </row>
    <row r="4" spans="1:29" ht="58.2" thickTop="1" x14ac:dyDescent="0.45">
      <c r="A4" s="55" t="s">
        <v>39</v>
      </c>
      <c r="B4" s="56" t="s">
        <v>64</v>
      </c>
      <c r="C4" s="57" t="s">
        <v>40</v>
      </c>
      <c r="D4" s="58">
        <f>'земляные работы'!B4/1000</f>
        <v>15.338455</v>
      </c>
      <c r="E4" s="58">
        <v>11.44</v>
      </c>
      <c r="F4" s="58">
        <f t="shared" ref="F4:F9" si="0">D4*E4</f>
        <v>175.47192519999999</v>
      </c>
      <c r="G4" s="58">
        <f>E4</f>
        <v>11.44</v>
      </c>
      <c r="H4" s="59">
        <f>D4*G4</f>
        <v>175.47192519999999</v>
      </c>
      <c r="I4" s="24"/>
      <c r="J4" s="30"/>
      <c r="K4" s="175"/>
      <c r="L4" s="17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</row>
    <row r="5" spans="1:29" ht="38.4" x14ac:dyDescent="0.45">
      <c r="A5" s="39" t="s">
        <v>41</v>
      </c>
      <c r="B5" s="28" t="s">
        <v>65</v>
      </c>
      <c r="C5" s="43" t="s">
        <v>75</v>
      </c>
      <c r="D5" s="44">
        <f>'земляные работы'!B6/1000</f>
        <v>557.76199999999994</v>
      </c>
      <c r="E5" s="44">
        <v>0.41</v>
      </c>
      <c r="F5" s="44">
        <f t="shared" si="0"/>
        <v>228.68241999999995</v>
      </c>
      <c r="G5" s="44">
        <f>E5</f>
        <v>0.41</v>
      </c>
      <c r="H5" s="45">
        <f>D5*G5</f>
        <v>228.68241999999995</v>
      </c>
      <c r="I5" s="25"/>
      <c r="J5" s="33"/>
      <c r="K5" s="175"/>
      <c r="L5" s="175"/>
      <c r="M5" s="13"/>
      <c r="N5" s="13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34"/>
    </row>
    <row r="6" spans="1:29" ht="76.8" x14ac:dyDescent="0.45">
      <c r="A6" s="39" t="s">
        <v>42</v>
      </c>
      <c r="B6" s="28" t="s">
        <v>62</v>
      </c>
      <c r="C6" s="43" t="s">
        <v>40</v>
      </c>
      <c r="D6" s="44">
        <f>'земляные работы'!G18/1000</f>
        <v>14.400458577833335</v>
      </c>
      <c r="E6" s="44">
        <f>10.75+23.36</f>
        <v>34.11</v>
      </c>
      <c r="F6" s="44">
        <f t="shared" si="0"/>
        <v>491.19964208989506</v>
      </c>
      <c r="G6" s="44">
        <v>23.36</v>
      </c>
      <c r="H6" s="45">
        <f>D6*G6</f>
        <v>336.39471237818668</v>
      </c>
      <c r="I6" s="25"/>
      <c r="J6" s="33"/>
      <c r="K6" s="175"/>
      <c r="L6" s="175"/>
      <c r="M6" s="13"/>
      <c r="N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34"/>
    </row>
    <row r="7" spans="1:29" ht="76.8" x14ac:dyDescent="0.45">
      <c r="A7" s="39" t="s">
        <v>43</v>
      </c>
      <c r="B7" s="28" t="s">
        <v>63</v>
      </c>
      <c r="C7" s="43" t="s">
        <v>40</v>
      </c>
      <c r="D7" s="44">
        <f>'земляные работы'!D18/1000</f>
        <v>0.60648774000000005</v>
      </c>
      <c r="E7" s="44">
        <f>12.3+35.73</f>
        <v>48.03</v>
      </c>
      <c r="F7" s="44">
        <f t="shared" si="0"/>
        <v>29.129606152200004</v>
      </c>
      <c r="G7" s="44">
        <f>27.26+8.47</f>
        <v>35.730000000000004</v>
      </c>
      <c r="H7" s="45">
        <f>D7*G7</f>
        <v>21.669806950200005</v>
      </c>
      <c r="I7" s="25"/>
      <c r="J7" s="33"/>
      <c r="K7" s="175"/>
      <c r="L7" s="175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34"/>
    </row>
    <row r="8" spans="1:29" ht="57.6" x14ac:dyDescent="0.45">
      <c r="A8" s="39" t="s">
        <v>44</v>
      </c>
      <c r="B8" s="28" t="s">
        <v>66</v>
      </c>
      <c r="C8" s="43" t="s">
        <v>76</v>
      </c>
      <c r="D8" s="44">
        <f>'земляные работы'!D18/100</f>
        <v>6.0648774000000003</v>
      </c>
      <c r="E8" s="44">
        <v>137.22999999999999</v>
      </c>
      <c r="F8" s="44">
        <f t="shared" si="0"/>
        <v>832.28312560199993</v>
      </c>
      <c r="G8" s="44"/>
      <c r="H8" s="45"/>
      <c r="I8" s="25"/>
      <c r="J8" s="33"/>
      <c r="K8" s="175"/>
      <c r="L8" s="175"/>
      <c r="M8" s="13"/>
      <c r="N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34"/>
    </row>
    <row r="9" spans="1:29" ht="22.2" thickBot="1" x14ac:dyDescent="0.5">
      <c r="A9" s="60" t="s">
        <v>70</v>
      </c>
      <c r="B9" s="61" t="s">
        <v>71</v>
      </c>
      <c r="C9" s="62" t="s">
        <v>77</v>
      </c>
      <c r="D9" s="63">
        <f>'земляные работы'!D18</f>
        <v>606.48774000000003</v>
      </c>
      <c r="E9" s="63">
        <f>3.41+0.22</f>
        <v>3.6300000000000003</v>
      </c>
      <c r="F9" s="63">
        <f t="shared" si="0"/>
        <v>2201.5504962000005</v>
      </c>
      <c r="G9" s="63">
        <f>0.44</f>
        <v>0.44</v>
      </c>
      <c r="H9" s="64">
        <f>D9*G9</f>
        <v>266.85460560000001</v>
      </c>
      <c r="I9" s="25"/>
      <c r="J9" s="33"/>
      <c r="K9" s="175"/>
      <c r="L9" s="175"/>
      <c r="M9" s="13"/>
      <c r="N9" s="13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34"/>
    </row>
    <row r="10" spans="1:29" ht="21.6" thickBot="1" x14ac:dyDescent="0.45">
      <c r="A10" s="65"/>
      <c r="B10" s="66"/>
      <c r="C10" s="67"/>
      <c r="D10" s="68"/>
      <c r="E10" s="82"/>
      <c r="F10" s="83">
        <f t="shared" ref="F10" si="1">SUM(F4:F9)</f>
        <v>3958.3172152440957</v>
      </c>
      <c r="G10" s="69"/>
      <c r="H10" s="69">
        <f>SUM(H4:H9)</f>
        <v>1029.0734701283868</v>
      </c>
      <c r="I10" s="25"/>
      <c r="J10" s="33"/>
      <c r="K10" s="175"/>
      <c r="L10" s="175"/>
      <c r="M10" s="13"/>
      <c r="N10" s="1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</row>
    <row r="11" spans="1:29" ht="72" customHeight="1" x14ac:dyDescent="0.45">
      <c r="A11" s="221" t="s">
        <v>50</v>
      </c>
      <c r="B11" s="222" t="s">
        <v>51</v>
      </c>
      <c r="C11" s="76" t="s">
        <v>78</v>
      </c>
      <c r="D11" s="77">
        <f>SUM(исходники!B3:B5)/1000</f>
        <v>0.21784999999999999</v>
      </c>
      <c r="E11" s="77">
        <v>477.25</v>
      </c>
      <c r="F11" s="77">
        <f>D11*E11</f>
        <v>103.96891249999999</v>
      </c>
      <c r="G11" s="77">
        <v>117.27</v>
      </c>
      <c r="H11" s="78">
        <f>D11*G11</f>
        <v>25.547269499999999</v>
      </c>
      <c r="I11" s="25"/>
      <c r="J11" s="33"/>
      <c r="K11" s="175"/>
      <c r="L11" s="175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34"/>
    </row>
    <row r="12" spans="1:29" ht="72" customHeight="1" x14ac:dyDescent="0.45">
      <c r="A12" s="40" t="s">
        <v>52</v>
      </c>
      <c r="B12" s="29" t="s">
        <v>53</v>
      </c>
      <c r="C12" s="46" t="s">
        <v>78</v>
      </c>
      <c r="D12" s="47">
        <f>исходники!B6/1000</f>
        <v>0.62379999999999991</v>
      </c>
      <c r="E12" s="47">
        <v>483</v>
      </c>
      <c r="F12" s="47">
        <f>D12*E12</f>
        <v>301.29539999999997</v>
      </c>
      <c r="G12" s="47">
        <v>117.31</v>
      </c>
      <c r="H12" s="48">
        <f>D12*G12</f>
        <v>73.177977999999996</v>
      </c>
      <c r="I12" s="25"/>
      <c r="J12" s="33"/>
      <c r="K12" s="175"/>
      <c r="L12" s="175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34"/>
    </row>
    <row r="13" spans="1:29" ht="76.8" x14ac:dyDescent="0.45">
      <c r="A13" s="40" t="s">
        <v>55</v>
      </c>
      <c r="B13" s="29" t="s">
        <v>54</v>
      </c>
      <c r="C13" s="46" t="s">
        <v>78</v>
      </c>
      <c r="D13" s="47">
        <f>исходники!B7/1000</f>
        <v>0.1154</v>
      </c>
      <c r="E13" s="47">
        <v>494.48</v>
      </c>
      <c r="F13" s="47">
        <f>D13*E13</f>
        <v>57.062992000000001</v>
      </c>
      <c r="G13" s="47">
        <v>117.38</v>
      </c>
      <c r="H13" s="48">
        <f>D13*G13</f>
        <v>13.545652</v>
      </c>
      <c r="I13" s="25"/>
      <c r="J13" s="33"/>
      <c r="K13" s="175"/>
      <c r="L13" s="175"/>
      <c r="M13" s="13"/>
      <c r="N13" s="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</row>
    <row r="14" spans="1:29" ht="76.8" x14ac:dyDescent="0.45">
      <c r="A14" s="40" t="s">
        <v>109</v>
      </c>
      <c r="B14" s="29" t="s">
        <v>110</v>
      </c>
      <c r="C14" s="46" t="s">
        <v>78</v>
      </c>
      <c r="D14" s="47">
        <f>исходники!B8/1000</f>
        <v>2.3929999999999998</v>
      </c>
      <c r="E14" s="47">
        <v>554.29999999999995</v>
      </c>
      <c r="F14" s="47">
        <f>D14*E14</f>
        <v>1326.4398999999999</v>
      </c>
      <c r="G14" s="47">
        <v>117.49</v>
      </c>
      <c r="H14" s="48">
        <f>D14*G14</f>
        <v>281.15356999999995</v>
      </c>
      <c r="I14" s="25"/>
      <c r="J14" s="33"/>
      <c r="K14" s="175"/>
      <c r="L14" s="175"/>
      <c r="M14" s="13"/>
      <c r="N14" s="13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34"/>
    </row>
    <row r="15" spans="1:29" ht="76.8" x14ac:dyDescent="0.45">
      <c r="A15" s="40" t="s">
        <v>111</v>
      </c>
      <c r="B15" s="29" t="s">
        <v>112</v>
      </c>
      <c r="C15" s="46" t="s">
        <v>78</v>
      </c>
      <c r="D15" s="47">
        <f>исходники!B9/1000</f>
        <v>10.584</v>
      </c>
      <c r="E15" s="47">
        <v>1009.66</v>
      </c>
      <c r="F15" s="47">
        <f>D15*E15</f>
        <v>10686.24144</v>
      </c>
      <c r="G15" s="47">
        <v>210.34</v>
      </c>
      <c r="H15" s="48">
        <f>D15*G15</f>
        <v>2226.2385599999998</v>
      </c>
      <c r="I15" s="25"/>
      <c r="J15" s="33"/>
      <c r="K15" s="175"/>
      <c r="L15" s="175"/>
      <c r="M15" s="13"/>
      <c r="N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34"/>
    </row>
    <row r="16" spans="1:29" s="15" customFormat="1" ht="76.8" x14ac:dyDescent="0.45">
      <c r="A16" s="223" t="s">
        <v>74</v>
      </c>
      <c r="B16" s="224" t="s">
        <v>60</v>
      </c>
      <c r="C16" s="225" t="s">
        <v>78</v>
      </c>
      <c r="D16" s="226">
        <f>SUM(исходники!B3:B5)/1000</f>
        <v>0.21784999999999999</v>
      </c>
      <c r="E16" s="226">
        <v>128</v>
      </c>
      <c r="F16" s="226">
        <f>E16*D16</f>
        <v>27.884799999999998</v>
      </c>
      <c r="G16" s="226">
        <v>40.26</v>
      </c>
      <c r="H16" s="227">
        <f>G16*D16</f>
        <v>8.7706409999999995</v>
      </c>
      <c r="I16" s="26"/>
      <c r="J16" s="33"/>
      <c r="K16" s="175"/>
      <c r="L16" s="175"/>
      <c r="M16" s="13"/>
      <c r="N16" s="13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</row>
    <row r="17" spans="1:29" s="15" customFormat="1" ht="76.8" x14ac:dyDescent="0.45">
      <c r="A17" s="223" t="s">
        <v>73</v>
      </c>
      <c r="B17" s="228" t="s">
        <v>59</v>
      </c>
      <c r="C17" s="225" t="s">
        <v>78</v>
      </c>
      <c r="D17" s="226">
        <f>SUM(исходники!B6:B8)/1000</f>
        <v>3.1321999999999997</v>
      </c>
      <c r="E17" s="226">
        <v>129</v>
      </c>
      <c r="F17" s="226">
        <f>E17*D17</f>
        <v>404.05379999999997</v>
      </c>
      <c r="G17" s="226">
        <v>42.34</v>
      </c>
      <c r="H17" s="227">
        <f>G17*D17</f>
        <v>132.61734799999999</v>
      </c>
      <c r="I17" s="26"/>
      <c r="J17" s="33"/>
      <c r="K17" s="175"/>
      <c r="L17" s="175"/>
      <c r="M17" s="13"/>
      <c r="N17" s="13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34"/>
    </row>
    <row r="18" spans="1:29" s="15" customFormat="1" ht="76.8" x14ac:dyDescent="0.45">
      <c r="A18" s="223" t="s">
        <v>72</v>
      </c>
      <c r="B18" s="224" t="s">
        <v>61</v>
      </c>
      <c r="C18" s="225" t="s">
        <v>78</v>
      </c>
      <c r="D18" s="226">
        <f>исходники!B9/1000</f>
        <v>10.584</v>
      </c>
      <c r="E18" s="226">
        <v>216</v>
      </c>
      <c r="F18" s="226">
        <f>E18*D18</f>
        <v>2286.1439999999998</v>
      </c>
      <c r="G18" s="226">
        <v>127.32</v>
      </c>
      <c r="H18" s="227">
        <f>G18*D18</f>
        <v>1347.5548799999999</v>
      </c>
      <c r="I18" s="26"/>
      <c r="J18" s="33"/>
      <c r="K18" s="175"/>
      <c r="L18" s="175"/>
      <c r="M18" s="13"/>
      <c r="N18" s="13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34"/>
    </row>
    <row r="19" spans="1:29" ht="57.6" x14ac:dyDescent="0.45">
      <c r="A19" s="40" t="s">
        <v>45</v>
      </c>
      <c r="B19" s="29" t="s">
        <v>56</v>
      </c>
      <c r="C19" s="46" t="s">
        <v>78</v>
      </c>
      <c r="D19" s="47">
        <f>SUM(исходники!B3:B8)/1000</f>
        <v>3.35005</v>
      </c>
      <c r="E19" s="47">
        <v>135</v>
      </c>
      <c r="F19" s="47">
        <f>D19*E19</f>
        <v>452.25675000000001</v>
      </c>
      <c r="G19" s="47">
        <v>16</v>
      </c>
      <c r="H19" s="48">
        <f>D19*G19</f>
        <v>53.6008</v>
      </c>
      <c r="I19" s="25"/>
      <c r="J19" s="33"/>
      <c r="K19" s="175"/>
      <c r="L19" s="175"/>
      <c r="M19" s="13"/>
      <c r="N19" s="13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</row>
    <row r="20" spans="1:29" ht="58.2" thickBot="1" x14ac:dyDescent="0.5">
      <c r="A20" s="70" t="s">
        <v>58</v>
      </c>
      <c r="B20" s="229" t="s">
        <v>57</v>
      </c>
      <c r="C20" s="49" t="s">
        <v>78</v>
      </c>
      <c r="D20" s="50">
        <f>исходники!B9/1000</f>
        <v>10.584</v>
      </c>
      <c r="E20" s="50">
        <v>180</v>
      </c>
      <c r="F20" s="50">
        <f>D20*E20</f>
        <v>1905.12</v>
      </c>
      <c r="G20" s="50">
        <v>67</v>
      </c>
      <c r="H20" s="51">
        <f>D20*G20</f>
        <v>709.12799999999993</v>
      </c>
      <c r="I20" s="25"/>
      <c r="J20" s="33"/>
      <c r="K20" s="175"/>
      <c r="L20" s="175"/>
      <c r="M20" s="13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34"/>
    </row>
    <row r="21" spans="1:29" ht="21.6" thickBot="1" x14ac:dyDescent="0.45">
      <c r="A21" s="71"/>
      <c r="B21" s="72"/>
      <c r="C21" s="73"/>
      <c r="D21" s="74"/>
      <c r="E21" s="79"/>
      <c r="F21" s="80">
        <f>SUM(F11:F20)</f>
        <v>17550.467994499999</v>
      </c>
      <c r="G21" s="81"/>
      <c r="H21" s="80">
        <f>SUM(H11:H20)</f>
        <v>4871.3346984999989</v>
      </c>
      <c r="I21" s="25"/>
      <c r="J21" s="33"/>
      <c r="K21" s="175"/>
      <c r="L21" s="175"/>
      <c r="M21" s="13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34"/>
    </row>
    <row r="22" spans="1:29" ht="76.8" x14ac:dyDescent="0.45">
      <c r="A22" s="75" t="s">
        <v>46</v>
      </c>
      <c r="B22" s="56" t="s">
        <v>69</v>
      </c>
      <c r="C22" s="76" t="s">
        <v>40</v>
      </c>
      <c r="D22" s="77">
        <f>'земляные работы'!H18/1000</f>
        <v>13.974057918929654</v>
      </c>
      <c r="E22" s="77">
        <f>G22</f>
        <v>8.0299999999999994</v>
      </c>
      <c r="F22" s="77">
        <f>D22*E22</f>
        <v>112.21168508900512</v>
      </c>
      <c r="G22" s="77">
        <v>8.0299999999999994</v>
      </c>
      <c r="H22" s="78">
        <f>D22*G22</f>
        <v>112.21168508900512</v>
      </c>
      <c r="I22" s="25"/>
      <c r="J22" s="33"/>
      <c r="K22" s="175"/>
      <c r="L22" s="175"/>
      <c r="M22" s="13"/>
      <c r="N22" s="13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34"/>
    </row>
    <row r="23" spans="1:29" ht="38.4" x14ac:dyDescent="0.45">
      <c r="A23" s="20" t="s">
        <v>47</v>
      </c>
      <c r="B23" s="28" t="s">
        <v>67</v>
      </c>
      <c r="C23" s="46" t="s">
        <v>76</v>
      </c>
      <c r="D23" s="47">
        <f>'земляные работы'!I18/100</f>
        <v>7.3547673257524595</v>
      </c>
      <c r="E23" s="47">
        <v>102.91</v>
      </c>
      <c r="F23" s="47">
        <f>D23*E23</f>
        <v>756.87910549318553</v>
      </c>
      <c r="G23" s="47"/>
      <c r="H23" s="48"/>
      <c r="I23" s="25"/>
      <c r="J23" s="33"/>
      <c r="K23" s="175"/>
      <c r="L23" s="175"/>
      <c r="M23" s="13"/>
      <c r="N23" s="1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34"/>
    </row>
    <row r="24" spans="1:29" ht="39" thickBot="1" x14ac:dyDescent="0.5">
      <c r="A24" s="41" t="s">
        <v>48</v>
      </c>
      <c r="B24" s="42" t="s">
        <v>68</v>
      </c>
      <c r="C24" s="49" t="s">
        <v>76</v>
      </c>
      <c r="D24" s="50">
        <f>'земляные работы'!J18/100</f>
        <v>147.09534651504902</v>
      </c>
      <c r="E24" s="50">
        <v>12.53</v>
      </c>
      <c r="F24" s="50">
        <f>D24*E24</f>
        <v>1843.1046918335642</v>
      </c>
      <c r="G24" s="50">
        <v>12.18</v>
      </c>
      <c r="H24" s="51">
        <f>D24*G24</f>
        <v>1791.621320553297</v>
      </c>
      <c r="I24" s="25"/>
      <c r="J24" s="35"/>
      <c r="K24" s="175"/>
      <c r="L24" s="175"/>
      <c r="M24" s="36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8"/>
    </row>
    <row r="25" spans="1:29" ht="23.25" customHeight="1" thickBot="1" x14ac:dyDescent="0.35">
      <c r="A25" s="84"/>
      <c r="B25" s="85"/>
      <c r="C25" s="85"/>
      <c r="D25" s="85"/>
      <c r="E25" s="85"/>
      <c r="F25" s="80">
        <f>SUM(F22:F24)</f>
        <v>2712.1954824157547</v>
      </c>
      <c r="G25" s="86"/>
      <c r="H25" s="80">
        <f t="shared" ref="H25" si="2">SUM(H22:H24)</f>
        <v>1903.8330056423022</v>
      </c>
    </row>
    <row r="30" spans="1:29" ht="24.75" customHeight="1" x14ac:dyDescent="0.3">
      <c r="E30" s="87" t="s">
        <v>10</v>
      </c>
      <c r="F30" s="88">
        <f>SUM(F10,F21,F25)</f>
        <v>24220.98069215985</v>
      </c>
      <c r="G30" s="88"/>
      <c r="H30" s="88">
        <f>SUM(H10,H21,H25)</f>
        <v>7804.2411742706881</v>
      </c>
    </row>
    <row r="31" spans="1:29" ht="24.75" customHeight="1" x14ac:dyDescent="0.3"/>
    <row r="32" spans="1:29" ht="21" x14ac:dyDescent="0.4">
      <c r="E32" s="176" t="s">
        <v>105</v>
      </c>
      <c r="F32" s="176"/>
      <c r="G32" s="176"/>
      <c r="H32" s="94">
        <f>F30*0.06</f>
        <v>1453.2588415295909</v>
      </c>
    </row>
    <row r="33" spans="5:8" ht="18" x14ac:dyDescent="0.35">
      <c r="E33" s="95"/>
      <c r="F33" s="95"/>
      <c r="G33" s="95"/>
      <c r="H33" s="93"/>
    </row>
    <row r="34" spans="5:8" ht="21" x14ac:dyDescent="0.4">
      <c r="E34" s="176" t="s">
        <v>106</v>
      </c>
      <c r="F34" s="176"/>
      <c r="G34" s="176"/>
      <c r="H34" s="94">
        <f>F30*0.05</f>
        <v>1211.0490346079926</v>
      </c>
    </row>
    <row r="35" spans="5:8" ht="21" x14ac:dyDescent="0.4">
      <c r="E35" s="96"/>
      <c r="F35" s="95"/>
      <c r="G35" s="95"/>
      <c r="H35" s="93"/>
    </row>
    <row r="36" spans="5:8" ht="21" x14ac:dyDescent="0.4">
      <c r="E36" s="176" t="s">
        <v>102</v>
      </c>
      <c r="F36" s="176"/>
      <c r="G36" s="176"/>
      <c r="H36" s="94">
        <f>F30*0.07</f>
        <v>1695.4686484511897</v>
      </c>
    </row>
    <row r="37" spans="5:8" ht="21" x14ac:dyDescent="0.4">
      <c r="E37" s="96"/>
      <c r="F37" s="95"/>
      <c r="G37" s="95"/>
      <c r="H37" s="93"/>
    </row>
    <row r="38" spans="5:8" ht="21" x14ac:dyDescent="0.4">
      <c r="E38" s="176" t="s">
        <v>103</v>
      </c>
      <c r="F38" s="176"/>
      <c r="G38" s="176"/>
      <c r="H38" s="94">
        <f>F30*0.06</f>
        <v>1453.2588415295909</v>
      </c>
    </row>
  </sheetData>
  <mergeCells count="11">
    <mergeCell ref="A1:A2"/>
    <mergeCell ref="B1:B2"/>
    <mergeCell ref="C1:C2"/>
    <mergeCell ref="D1:D2"/>
    <mergeCell ref="E1:F1"/>
    <mergeCell ref="E32:G32"/>
    <mergeCell ref="E34:G34"/>
    <mergeCell ref="E36:G36"/>
    <mergeCell ref="E38:G38"/>
    <mergeCell ref="J1:AC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D238-66E2-4586-9621-468FEA87056B}">
  <dimension ref="A1:GW37"/>
  <sheetViews>
    <sheetView zoomScale="85" zoomScaleNormal="85" workbookViewId="0">
      <selection activeCell="H9" sqref="H9"/>
    </sheetView>
  </sheetViews>
  <sheetFormatPr defaultRowHeight="14.4" x14ac:dyDescent="0.3"/>
  <cols>
    <col min="1" max="1" width="28.5546875" customWidth="1"/>
    <col min="2" max="3" width="8.109375" customWidth="1"/>
    <col min="4" max="4" width="7.88671875" customWidth="1"/>
    <col min="5" max="5" width="8.109375" customWidth="1"/>
    <col min="6" max="6" width="11" customWidth="1"/>
    <col min="8" max="8" width="8.33203125" customWidth="1"/>
    <col min="9" max="9" width="5.44140625" customWidth="1"/>
    <col min="10" max="10" width="5.88671875" customWidth="1"/>
    <col min="11" max="11" width="18.44140625" customWidth="1"/>
    <col min="12" max="148" width="5.6640625" customWidth="1"/>
    <col min="149" max="205" width="3.6640625" customWidth="1"/>
  </cols>
  <sheetData>
    <row r="1" spans="1:205" ht="43.5" customHeight="1" x14ac:dyDescent="0.3">
      <c r="A1" s="200" t="s">
        <v>79</v>
      </c>
      <c r="B1" s="189" t="s">
        <v>80</v>
      </c>
      <c r="C1" s="202" t="s">
        <v>81</v>
      </c>
      <c r="D1" s="204" t="s">
        <v>82</v>
      </c>
      <c r="E1" s="205"/>
      <c r="F1" s="204" t="s">
        <v>83</v>
      </c>
      <c r="G1" s="205"/>
      <c r="H1" s="189" t="s">
        <v>88</v>
      </c>
      <c r="I1" s="189" t="s">
        <v>89</v>
      </c>
      <c r="J1" s="189" t="s">
        <v>90</v>
      </c>
      <c r="K1" s="191" t="s">
        <v>91</v>
      </c>
      <c r="L1" s="10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ht="58.5" customHeight="1" x14ac:dyDescent="0.3">
      <c r="A2" s="201"/>
      <c r="B2" s="190"/>
      <c r="C2" s="203"/>
      <c r="D2" s="90" t="s">
        <v>84</v>
      </c>
      <c r="E2" s="90" t="s">
        <v>85</v>
      </c>
      <c r="F2" s="90" t="s">
        <v>86</v>
      </c>
      <c r="G2" s="125" t="s">
        <v>87</v>
      </c>
      <c r="H2" s="190"/>
      <c r="I2" s="190"/>
      <c r="J2" s="190"/>
      <c r="K2" s="192"/>
      <c r="L2" s="171">
        <v>1</v>
      </c>
      <c r="M2" s="172">
        <v>2</v>
      </c>
      <c r="N2" s="172">
        <v>3</v>
      </c>
      <c r="O2" s="172">
        <v>4</v>
      </c>
      <c r="P2" s="172">
        <v>5</v>
      </c>
      <c r="Q2" s="172">
        <v>6</v>
      </c>
      <c r="R2" s="172">
        <v>7</v>
      </c>
      <c r="S2" s="172">
        <v>8</v>
      </c>
      <c r="T2" s="172">
        <v>9</v>
      </c>
      <c r="U2" s="172">
        <v>10</v>
      </c>
      <c r="V2" s="172">
        <v>11</v>
      </c>
      <c r="W2" s="172">
        <v>12</v>
      </c>
      <c r="X2" s="172">
        <v>13</v>
      </c>
      <c r="Y2" s="172">
        <v>14</v>
      </c>
      <c r="Z2" s="172">
        <v>15</v>
      </c>
      <c r="AA2" s="172">
        <v>16</v>
      </c>
      <c r="AB2" s="172">
        <v>17</v>
      </c>
      <c r="AC2" s="172">
        <v>18</v>
      </c>
      <c r="AD2" s="172">
        <v>19</v>
      </c>
      <c r="AE2" s="172">
        <v>20</v>
      </c>
      <c r="AF2" s="172">
        <v>21</v>
      </c>
      <c r="AG2" s="172">
        <v>22</v>
      </c>
      <c r="AH2" s="172">
        <v>23</v>
      </c>
      <c r="AI2" s="172">
        <v>24</v>
      </c>
      <c r="AJ2" s="172">
        <v>25</v>
      </c>
      <c r="AK2" s="172">
        <v>26</v>
      </c>
      <c r="AL2" s="172">
        <v>27</v>
      </c>
      <c r="AM2" s="172">
        <v>28</v>
      </c>
      <c r="AN2" s="172">
        <v>29</v>
      </c>
      <c r="AO2" s="172">
        <v>30</v>
      </c>
      <c r="AP2" s="172">
        <v>31</v>
      </c>
      <c r="AQ2" s="172">
        <v>32</v>
      </c>
      <c r="AR2" s="172">
        <v>33</v>
      </c>
      <c r="AS2" s="172">
        <v>34</v>
      </c>
      <c r="AT2" s="172">
        <v>35</v>
      </c>
      <c r="AU2" s="172">
        <v>36</v>
      </c>
      <c r="AV2" s="172">
        <v>37</v>
      </c>
      <c r="AW2" s="172">
        <v>38</v>
      </c>
      <c r="AX2" s="172">
        <v>39</v>
      </c>
      <c r="AY2" s="172">
        <v>40</v>
      </c>
      <c r="AZ2" s="172">
        <v>41</v>
      </c>
      <c r="BA2" s="172">
        <v>42</v>
      </c>
      <c r="BB2" s="172">
        <v>43</v>
      </c>
      <c r="BC2" s="172">
        <v>44</v>
      </c>
      <c r="BD2" s="172">
        <v>45</v>
      </c>
      <c r="BE2" s="172">
        <v>46</v>
      </c>
      <c r="BF2" s="172">
        <v>47</v>
      </c>
      <c r="BG2" s="172">
        <v>48</v>
      </c>
      <c r="BH2" s="172">
        <v>49</v>
      </c>
      <c r="BI2" s="172">
        <v>50</v>
      </c>
      <c r="BJ2" s="172">
        <v>51</v>
      </c>
      <c r="BK2" s="172">
        <v>52</v>
      </c>
      <c r="BL2" s="172">
        <v>53</v>
      </c>
      <c r="BM2" s="172">
        <v>54</v>
      </c>
      <c r="BN2" s="172">
        <v>55</v>
      </c>
      <c r="BO2" s="172">
        <v>56</v>
      </c>
      <c r="BP2" s="172">
        <v>57</v>
      </c>
      <c r="BQ2" s="172">
        <v>58</v>
      </c>
      <c r="BR2" s="172">
        <v>59</v>
      </c>
      <c r="BS2" s="172">
        <v>60</v>
      </c>
      <c r="BT2" s="172">
        <v>61</v>
      </c>
      <c r="BU2" s="172">
        <v>62</v>
      </c>
      <c r="BV2" s="172">
        <v>63</v>
      </c>
      <c r="BW2" s="172">
        <v>64</v>
      </c>
      <c r="BX2" s="172">
        <v>65</v>
      </c>
      <c r="BY2" s="172">
        <v>66</v>
      </c>
      <c r="BZ2" s="172">
        <v>67</v>
      </c>
      <c r="CA2" s="172">
        <v>68</v>
      </c>
      <c r="CB2" s="172">
        <v>69</v>
      </c>
      <c r="CC2" s="172">
        <v>70</v>
      </c>
      <c r="CD2" s="172">
        <v>71</v>
      </c>
      <c r="CE2" s="172">
        <v>72</v>
      </c>
      <c r="CF2" s="172">
        <v>73</v>
      </c>
      <c r="CG2" s="172">
        <v>74</v>
      </c>
      <c r="CH2" s="172">
        <v>75</v>
      </c>
      <c r="CI2" s="172">
        <v>76</v>
      </c>
      <c r="CJ2" s="172">
        <v>77</v>
      </c>
      <c r="CK2" s="172">
        <v>78</v>
      </c>
      <c r="CL2" s="172">
        <v>79</v>
      </c>
      <c r="CM2" s="172">
        <v>80</v>
      </c>
      <c r="CN2" s="172">
        <v>81</v>
      </c>
      <c r="CO2" s="172">
        <v>82</v>
      </c>
      <c r="CP2" s="172">
        <v>83</v>
      </c>
      <c r="CQ2" s="172">
        <v>84</v>
      </c>
      <c r="CR2" s="172">
        <v>85</v>
      </c>
      <c r="CS2" s="172">
        <v>86</v>
      </c>
      <c r="CT2" s="172">
        <v>87</v>
      </c>
      <c r="CU2" s="172">
        <v>88</v>
      </c>
      <c r="CV2" s="172">
        <v>89</v>
      </c>
      <c r="CW2" s="172">
        <v>90</v>
      </c>
      <c r="CX2" s="172">
        <v>91</v>
      </c>
      <c r="CY2" s="172">
        <v>92</v>
      </c>
      <c r="CZ2" s="172">
        <v>93</v>
      </c>
      <c r="DA2" s="172">
        <v>94</v>
      </c>
      <c r="DB2" s="172">
        <v>95</v>
      </c>
      <c r="DC2" s="172">
        <v>96</v>
      </c>
      <c r="DD2" s="172">
        <v>97</v>
      </c>
      <c r="DE2" s="172">
        <v>98</v>
      </c>
      <c r="DF2" s="172">
        <v>99</v>
      </c>
      <c r="DG2" s="172">
        <v>100</v>
      </c>
      <c r="DH2" s="172">
        <v>101</v>
      </c>
      <c r="DI2" s="172">
        <v>102</v>
      </c>
      <c r="DJ2" s="172">
        <v>103</v>
      </c>
      <c r="DK2" s="172">
        <v>104</v>
      </c>
      <c r="DL2" s="172">
        <v>105</v>
      </c>
      <c r="DM2" s="172">
        <v>106</v>
      </c>
      <c r="DN2" s="172">
        <v>107</v>
      </c>
      <c r="DO2" s="172">
        <v>108</v>
      </c>
      <c r="DP2" s="172">
        <v>109</v>
      </c>
      <c r="DQ2" s="172">
        <v>110</v>
      </c>
      <c r="DR2" s="172">
        <v>111</v>
      </c>
      <c r="DS2" s="172">
        <v>112</v>
      </c>
      <c r="DT2" s="172">
        <v>113</v>
      </c>
      <c r="DU2" s="172">
        <v>114</v>
      </c>
      <c r="DV2" s="172">
        <v>115</v>
      </c>
      <c r="DW2" s="172">
        <v>116</v>
      </c>
      <c r="DX2" s="172">
        <v>117</v>
      </c>
      <c r="DY2" s="172">
        <v>118</v>
      </c>
      <c r="DZ2" s="172">
        <v>119</v>
      </c>
      <c r="EA2" s="172">
        <v>120</v>
      </c>
      <c r="EB2" s="172">
        <v>121</v>
      </c>
      <c r="EC2" s="172">
        <v>122</v>
      </c>
      <c r="ED2" s="172">
        <v>123</v>
      </c>
      <c r="EE2" s="172">
        <v>124</v>
      </c>
      <c r="EF2" s="172">
        <v>125</v>
      </c>
      <c r="EG2" s="172">
        <v>126</v>
      </c>
      <c r="EH2" s="172">
        <v>127</v>
      </c>
      <c r="EI2" s="172">
        <v>128</v>
      </c>
      <c r="EJ2" s="172">
        <v>129</v>
      </c>
      <c r="EK2" s="172">
        <v>130</v>
      </c>
      <c r="EL2" s="106">
        <v>131</v>
      </c>
      <c r="EM2" s="106">
        <v>132</v>
      </c>
      <c r="EN2" s="106">
        <v>133</v>
      </c>
      <c r="EO2" s="106">
        <v>134</v>
      </c>
      <c r="EP2" s="106">
        <v>135</v>
      </c>
      <c r="EQ2" s="106">
        <v>136</v>
      </c>
      <c r="ER2" s="106">
        <v>137</v>
      </c>
      <c r="ES2" s="106">
        <v>138</v>
      </c>
      <c r="ET2" s="106">
        <v>139</v>
      </c>
      <c r="EU2" s="106">
        <v>140</v>
      </c>
      <c r="EV2" s="106">
        <v>141</v>
      </c>
      <c r="EW2" s="106">
        <v>142</v>
      </c>
      <c r="EX2" s="106">
        <v>143</v>
      </c>
      <c r="EY2" s="106">
        <v>144</v>
      </c>
      <c r="EZ2" s="106">
        <v>145</v>
      </c>
      <c r="FA2" s="106">
        <v>146</v>
      </c>
      <c r="FB2" s="106">
        <v>147</v>
      </c>
      <c r="FC2" s="106">
        <v>148</v>
      </c>
      <c r="FD2" s="106">
        <v>149</v>
      </c>
      <c r="FE2" s="106">
        <v>150</v>
      </c>
      <c r="FF2" s="106">
        <v>151</v>
      </c>
      <c r="FG2" s="106">
        <v>152</v>
      </c>
      <c r="FH2" s="106">
        <v>153</v>
      </c>
      <c r="FI2" s="106">
        <v>154</v>
      </c>
      <c r="FJ2" s="106">
        <v>155</v>
      </c>
      <c r="FK2" s="106">
        <v>156</v>
      </c>
      <c r="FL2" s="106">
        <v>157</v>
      </c>
      <c r="FM2" s="106">
        <v>158</v>
      </c>
      <c r="FN2" s="106">
        <v>159</v>
      </c>
      <c r="FO2" s="106">
        <v>160</v>
      </c>
      <c r="FP2" s="106">
        <v>161</v>
      </c>
      <c r="FQ2" s="106">
        <v>162</v>
      </c>
      <c r="FR2" s="106">
        <v>163</v>
      </c>
      <c r="FS2" s="106">
        <v>164</v>
      </c>
      <c r="FT2" s="106">
        <v>165</v>
      </c>
      <c r="FU2" s="106">
        <v>166</v>
      </c>
      <c r="FV2" s="106">
        <v>167</v>
      </c>
      <c r="FW2" s="106">
        <v>168</v>
      </c>
      <c r="FX2" s="106">
        <v>169</v>
      </c>
      <c r="FY2" s="106">
        <v>170</v>
      </c>
      <c r="FZ2" s="106">
        <v>171</v>
      </c>
      <c r="GA2" s="106">
        <v>172</v>
      </c>
      <c r="GB2" s="106">
        <v>173</v>
      </c>
      <c r="GC2" s="106">
        <v>174</v>
      </c>
      <c r="GD2" s="106">
        <v>175</v>
      </c>
      <c r="GE2" s="106">
        <v>176</v>
      </c>
      <c r="GF2" s="106">
        <v>177</v>
      </c>
      <c r="GG2" s="106">
        <v>178</v>
      </c>
      <c r="GH2" s="106">
        <v>179</v>
      </c>
      <c r="GI2" s="106">
        <v>180</v>
      </c>
      <c r="GJ2" s="106">
        <v>181</v>
      </c>
      <c r="GK2" s="106">
        <v>182</v>
      </c>
      <c r="GL2" s="106">
        <v>183</v>
      </c>
      <c r="GM2" s="106">
        <v>184</v>
      </c>
      <c r="GN2" s="106">
        <v>185</v>
      </c>
      <c r="GO2" s="106">
        <v>186</v>
      </c>
      <c r="GP2" s="106">
        <v>187</v>
      </c>
      <c r="GQ2" s="106">
        <v>188</v>
      </c>
      <c r="GR2" s="106">
        <v>189</v>
      </c>
      <c r="GS2" s="106">
        <v>190</v>
      </c>
      <c r="GT2" s="106">
        <v>191</v>
      </c>
      <c r="GU2" s="106">
        <v>192</v>
      </c>
      <c r="GV2" s="106">
        <v>193</v>
      </c>
      <c r="GW2" s="106">
        <v>194</v>
      </c>
    </row>
    <row r="3" spans="1:205" ht="15" thickBot="1" x14ac:dyDescent="0.35">
      <c r="A3" s="109"/>
      <c r="B3" s="89"/>
      <c r="C3" s="89"/>
      <c r="D3" s="89"/>
      <c r="E3" s="89"/>
      <c r="F3" s="89"/>
      <c r="G3" s="89"/>
      <c r="H3" s="89"/>
      <c r="I3" s="89"/>
      <c r="J3" s="89"/>
      <c r="K3" s="110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</row>
    <row r="4" spans="1:205" ht="34.5" customHeight="1" thickTop="1" x14ac:dyDescent="0.3">
      <c r="A4" s="111" t="s">
        <v>92</v>
      </c>
      <c r="B4" s="97" t="s">
        <v>107</v>
      </c>
      <c r="C4" s="97">
        <v>6</v>
      </c>
      <c r="D4" s="98">
        <f>'объемы работ'!H32/8</f>
        <v>181.65735519119886</v>
      </c>
      <c r="E4" s="97">
        <f>I4*J4*H4</f>
        <v>190</v>
      </c>
      <c r="F4" s="121" t="s">
        <v>108</v>
      </c>
      <c r="G4" s="121" t="s">
        <v>108</v>
      </c>
      <c r="H4" s="101">
        <f>ROUNDUP(D4/(J4*I4),0)</f>
        <v>19</v>
      </c>
      <c r="I4" s="97">
        <v>2</v>
      </c>
      <c r="J4" s="97">
        <v>5</v>
      </c>
      <c r="K4" s="118"/>
      <c r="L4" s="134"/>
      <c r="M4" s="135"/>
      <c r="N4" s="135"/>
      <c r="O4" s="135"/>
      <c r="P4" s="135"/>
      <c r="Q4" s="135"/>
      <c r="R4" s="135"/>
      <c r="S4" s="135"/>
      <c r="T4" s="135"/>
      <c r="U4" s="135">
        <f>J4*I4</f>
        <v>10</v>
      </c>
      <c r="V4" s="136"/>
      <c r="W4" s="136"/>
      <c r="X4" s="136"/>
      <c r="Y4" s="136"/>
      <c r="Z4" s="136"/>
      <c r="AA4" s="136"/>
      <c r="AB4" s="136"/>
      <c r="AC4" s="136"/>
      <c r="AD4" s="136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8"/>
      <c r="EC4" s="128"/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8"/>
      <c r="EY4" s="128"/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8"/>
      <c r="FV4" s="128"/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8"/>
      <c r="GP4" s="128"/>
      <c r="GQ4" s="128"/>
      <c r="GR4" s="128"/>
      <c r="GS4" s="128"/>
      <c r="GT4" s="128"/>
      <c r="GU4" s="128"/>
      <c r="GV4" s="128"/>
      <c r="GW4" s="128"/>
    </row>
    <row r="5" spans="1:205" ht="17.399999999999999" customHeight="1" x14ac:dyDescent="0.3">
      <c r="A5" s="112" t="s">
        <v>104</v>
      </c>
      <c r="B5" s="99" t="str">
        <f>'объемы работ'!C4</f>
        <v>1000м^3</v>
      </c>
      <c r="C5" s="99">
        <f>'объемы работ'!D4</f>
        <v>15.338455</v>
      </c>
      <c r="D5" s="196">
        <f>SUM('объемы работ'!F4,'объемы работ'!F5)/8</f>
        <v>50.519293149999996</v>
      </c>
      <c r="E5" s="197">
        <f>H5*I5*J5</f>
        <v>56</v>
      </c>
      <c r="F5" s="199"/>
      <c r="G5" s="199">
        <f>SUM('объемы работ'!H4,'объемы работ'!H5)/8</f>
        <v>50.519293149999996</v>
      </c>
      <c r="H5" s="197">
        <f>ROUNDUP(D5/(J5*I5),0)</f>
        <v>7</v>
      </c>
      <c r="I5" s="193">
        <v>2</v>
      </c>
      <c r="J5" s="193">
        <v>4</v>
      </c>
      <c r="K5" s="194"/>
      <c r="L5" s="195"/>
      <c r="M5" s="186"/>
      <c r="N5" s="186"/>
      <c r="O5" s="188"/>
      <c r="P5" s="188"/>
      <c r="Q5" s="188"/>
      <c r="R5" s="188">
        <f>J5*I5</f>
        <v>8</v>
      </c>
      <c r="S5" s="188"/>
      <c r="T5" s="187"/>
      <c r="U5" s="18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91"/>
      <c r="EC5" s="91"/>
      <c r="ED5" s="91"/>
      <c r="EE5" s="91"/>
      <c r="EF5" s="91"/>
      <c r="EG5" s="91"/>
      <c r="EH5" s="91"/>
      <c r="EI5" s="91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1"/>
      <c r="EX5" s="91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1"/>
      <c r="FM5" s="91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1"/>
      <c r="GB5" s="91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1"/>
      <c r="GQ5" s="91"/>
      <c r="GR5" s="91"/>
      <c r="GS5" s="91"/>
      <c r="GT5" s="91"/>
      <c r="GU5" s="91"/>
      <c r="GV5" s="91"/>
      <c r="GW5" s="91"/>
    </row>
    <row r="6" spans="1:205" ht="15" customHeight="1" x14ac:dyDescent="0.3">
      <c r="A6" s="113" t="s">
        <v>93</v>
      </c>
      <c r="B6" s="100" t="str">
        <f>'объемы работ'!C5</f>
        <v>1000м^2</v>
      </c>
      <c r="C6" s="100">
        <f>'объемы работ'!D5</f>
        <v>557.76199999999994</v>
      </c>
      <c r="D6" s="196"/>
      <c r="E6" s="198"/>
      <c r="F6" s="199"/>
      <c r="G6" s="199"/>
      <c r="H6" s="198"/>
      <c r="I6" s="193"/>
      <c r="J6" s="193"/>
      <c r="K6" s="194"/>
      <c r="L6" s="195"/>
      <c r="M6" s="186"/>
      <c r="N6" s="186"/>
      <c r="O6" s="188"/>
      <c r="P6" s="188"/>
      <c r="Q6" s="188"/>
      <c r="R6" s="188"/>
      <c r="S6" s="188"/>
      <c r="T6" s="187"/>
      <c r="U6" s="188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  <c r="BG6" s="186"/>
      <c r="BH6" s="186"/>
      <c r="BI6" s="186"/>
      <c r="BJ6" s="186"/>
      <c r="BK6" s="186"/>
      <c r="BL6" s="186"/>
      <c r="BM6" s="186"/>
      <c r="BN6" s="186"/>
      <c r="BO6" s="186"/>
      <c r="BP6" s="186"/>
      <c r="BQ6" s="186"/>
      <c r="BR6" s="186"/>
      <c r="BS6" s="186"/>
      <c r="BT6" s="186"/>
      <c r="BU6" s="186"/>
      <c r="BV6" s="186"/>
      <c r="BW6" s="186"/>
      <c r="BX6" s="186"/>
      <c r="BY6" s="186"/>
      <c r="BZ6" s="186"/>
      <c r="CA6" s="186"/>
      <c r="CB6" s="186"/>
      <c r="CC6" s="186"/>
      <c r="CD6" s="186"/>
      <c r="CE6" s="186"/>
      <c r="CF6" s="186"/>
      <c r="CG6" s="186"/>
      <c r="CH6" s="186"/>
      <c r="CI6" s="186"/>
      <c r="CJ6" s="186"/>
      <c r="CK6" s="186"/>
      <c r="CL6" s="186"/>
      <c r="CM6" s="186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91"/>
      <c r="EC6" s="91"/>
      <c r="ED6" s="91"/>
      <c r="EE6" s="91"/>
      <c r="EF6" s="91"/>
      <c r="EG6" s="91"/>
      <c r="EH6" s="91"/>
      <c r="EI6" s="91"/>
      <c r="EJ6" s="91"/>
      <c r="EK6" s="91"/>
      <c r="EL6" s="91"/>
      <c r="EM6" s="91"/>
      <c r="EN6" s="91"/>
      <c r="EO6" s="91"/>
      <c r="EP6" s="91"/>
      <c r="EQ6" s="91"/>
      <c r="ER6" s="91"/>
      <c r="ES6" s="91"/>
      <c r="ET6" s="91"/>
      <c r="EU6" s="91"/>
      <c r="EV6" s="91"/>
      <c r="EW6" s="91"/>
      <c r="EX6" s="91"/>
      <c r="EY6" s="91"/>
      <c r="EZ6" s="91"/>
      <c r="FA6" s="91"/>
      <c r="FB6" s="91"/>
      <c r="FC6" s="91"/>
      <c r="FD6" s="91"/>
      <c r="FE6" s="91"/>
      <c r="FF6" s="91"/>
      <c r="FG6" s="91"/>
      <c r="FH6" s="91"/>
      <c r="FI6" s="91"/>
      <c r="FJ6" s="91"/>
      <c r="FK6" s="91"/>
      <c r="FL6" s="91"/>
      <c r="FM6" s="91"/>
      <c r="FN6" s="91"/>
      <c r="FO6" s="91"/>
      <c r="FP6" s="91"/>
      <c r="FQ6" s="91"/>
      <c r="FR6" s="91"/>
      <c r="FS6" s="91"/>
      <c r="FT6" s="91"/>
      <c r="FU6" s="91"/>
      <c r="FV6" s="91"/>
      <c r="FW6" s="91"/>
      <c r="FX6" s="91"/>
      <c r="FY6" s="91"/>
      <c r="FZ6" s="91"/>
      <c r="GA6" s="91"/>
      <c r="GB6" s="91"/>
      <c r="GC6" s="91"/>
      <c r="GD6" s="91"/>
      <c r="GE6" s="91"/>
      <c r="GF6" s="91"/>
      <c r="GG6" s="91"/>
      <c r="GH6" s="91"/>
      <c r="GI6" s="91"/>
      <c r="GJ6" s="91"/>
      <c r="GK6" s="91"/>
      <c r="GL6" s="91"/>
      <c r="GM6" s="91"/>
      <c r="GN6" s="91"/>
      <c r="GO6" s="91"/>
      <c r="GP6" s="91"/>
      <c r="GQ6" s="91"/>
      <c r="GR6" s="91"/>
      <c r="GS6" s="91"/>
      <c r="GT6" s="91"/>
      <c r="GU6" s="91"/>
      <c r="GV6" s="91"/>
      <c r="GW6" s="91"/>
    </row>
    <row r="7" spans="1:205" ht="15.6" x14ac:dyDescent="0.3">
      <c r="A7" s="113" t="s">
        <v>94</v>
      </c>
      <c r="B7" s="100" t="str">
        <f>'объемы работ'!C7</f>
        <v>1000м^3</v>
      </c>
      <c r="C7" s="102">
        <f>('объемы работ'!D6+'объемы работ'!D7)</f>
        <v>15.006946317833336</v>
      </c>
      <c r="D7" s="102">
        <f>SUM('объемы работ'!F6,'объемы работ'!F7)/8</f>
        <v>65.041156030261888</v>
      </c>
      <c r="E7" s="103">
        <f>I7*J7*H7</f>
        <v>72</v>
      </c>
      <c r="F7" s="122"/>
      <c r="G7" s="122">
        <f>SUM('объемы работ'!H6,'объемы работ'!H7)/8</f>
        <v>44.758064916048333</v>
      </c>
      <c r="H7" s="101">
        <f>ROUNDUP(D7/(J7*I7),0)</f>
        <v>9</v>
      </c>
      <c r="I7" s="101">
        <v>2</v>
      </c>
      <c r="J7" s="101">
        <v>4</v>
      </c>
      <c r="K7" s="119"/>
      <c r="L7" s="129"/>
      <c r="M7" s="130"/>
      <c r="N7" s="130"/>
      <c r="O7" s="130"/>
      <c r="P7" s="130"/>
      <c r="Q7" s="130"/>
      <c r="R7" s="130"/>
      <c r="S7" s="130"/>
      <c r="T7" s="130"/>
      <c r="U7" s="130"/>
      <c r="V7" s="131"/>
      <c r="W7" s="131"/>
      <c r="X7" s="131"/>
      <c r="Y7" s="131"/>
      <c r="Z7" s="131"/>
      <c r="AA7" s="131">
        <f>J7*I7</f>
        <v>8</v>
      </c>
      <c r="AB7" s="131"/>
      <c r="AC7" s="132"/>
      <c r="AD7" s="131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91"/>
      <c r="EC7" s="91"/>
      <c r="ED7" s="91"/>
      <c r="EE7" s="91"/>
      <c r="EF7" s="91"/>
      <c r="EG7" s="91"/>
      <c r="EH7" s="91"/>
      <c r="EI7" s="91"/>
      <c r="EJ7" s="91"/>
      <c r="EK7" s="91"/>
      <c r="EL7" s="91"/>
      <c r="EM7" s="91"/>
      <c r="EN7" s="91"/>
      <c r="EO7" s="91"/>
      <c r="EP7" s="91"/>
      <c r="EQ7" s="91"/>
      <c r="ER7" s="91"/>
      <c r="ES7" s="91"/>
      <c r="ET7" s="91"/>
      <c r="EU7" s="91"/>
      <c r="EV7" s="91"/>
      <c r="EW7" s="91"/>
      <c r="EX7" s="91"/>
      <c r="EY7" s="91"/>
      <c r="EZ7" s="91"/>
      <c r="FA7" s="91"/>
      <c r="FB7" s="91"/>
      <c r="FC7" s="91"/>
      <c r="FD7" s="91"/>
      <c r="FE7" s="91"/>
      <c r="FF7" s="91"/>
      <c r="FG7" s="91"/>
      <c r="FH7" s="91"/>
      <c r="FI7" s="91"/>
      <c r="FJ7" s="91"/>
      <c r="FK7" s="91"/>
      <c r="FL7" s="91"/>
      <c r="FM7" s="91"/>
      <c r="FN7" s="91"/>
      <c r="FO7" s="91"/>
      <c r="FP7" s="91"/>
      <c r="FQ7" s="91"/>
      <c r="FR7" s="91"/>
      <c r="FS7" s="91"/>
      <c r="FT7" s="91"/>
      <c r="FU7" s="91"/>
      <c r="FV7" s="91"/>
      <c r="FW7" s="91"/>
      <c r="FX7" s="91"/>
      <c r="FY7" s="91"/>
      <c r="FZ7" s="91"/>
      <c r="GA7" s="91"/>
      <c r="GB7" s="91"/>
      <c r="GC7" s="91"/>
      <c r="GD7" s="91"/>
      <c r="GE7" s="91"/>
      <c r="GF7" s="91"/>
      <c r="GG7" s="91"/>
      <c r="GH7" s="91"/>
      <c r="GI7" s="91"/>
      <c r="GJ7" s="91"/>
      <c r="GK7" s="91"/>
      <c r="GL7" s="91"/>
      <c r="GM7" s="91"/>
      <c r="GN7" s="91"/>
      <c r="GO7" s="91"/>
      <c r="GP7" s="91"/>
      <c r="GQ7" s="91"/>
      <c r="GR7" s="91"/>
      <c r="GS7" s="91"/>
      <c r="GT7" s="91"/>
      <c r="GU7" s="91"/>
      <c r="GV7" s="91"/>
      <c r="GW7" s="91"/>
    </row>
    <row r="8" spans="1:205" ht="15.6" x14ac:dyDescent="0.3">
      <c r="A8" s="114" t="s">
        <v>93</v>
      </c>
      <c r="B8" s="105" t="str">
        <f>'объемы работ'!C8</f>
        <v>100м^3</v>
      </c>
      <c r="C8" s="105">
        <f>'объемы работ'!D8</f>
        <v>6.0648774000000003</v>
      </c>
      <c r="D8" s="104">
        <f>'объемы работ'!F8/8</f>
        <v>104.03539070024999</v>
      </c>
      <c r="E8" s="103">
        <f t="shared" ref="E8:E18" si="0">I8*J8*H8</f>
        <v>108</v>
      </c>
      <c r="F8" s="123" t="s">
        <v>108</v>
      </c>
      <c r="G8" s="123" t="s">
        <v>108</v>
      </c>
      <c r="H8" s="101">
        <f t="shared" ref="H8:H18" si="1">ROUNDUP(D8/(J8*I8),0)</f>
        <v>6</v>
      </c>
      <c r="I8" s="103">
        <v>2</v>
      </c>
      <c r="J8" s="103">
        <v>9</v>
      </c>
      <c r="K8" s="120"/>
      <c r="L8" s="129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2"/>
      <c r="AF8" s="131"/>
      <c r="AG8" s="131">
        <f>J8*I8</f>
        <v>18</v>
      </c>
      <c r="AH8" s="131"/>
      <c r="AI8" s="131"/>
      <c r="AJ8" s="131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91"/>
      <c r="EC8" s="91"/>
      <c r="ED8" s="91"/>
      <c r="EE8" s="91"/>
      <c r="EF8" s="91"/>
      <c r="EG8" s="91"/>
      <c r="EH8" s="91"/>
      <c r="EI8" s="91"/>
      <c r="EJ8" s="91"/>
      <c r="EK8" s="91"/>
      <c r="EL8" s="91"/>
      <c r="EM8" s="91"/>
      <c r="EN8" s="91"/>
      <c r="EO8" s="91"/>
      <c r="EP8" s="91"/>
      <c r="EQ8" s="91"/>
      <c r="ER8" s="91"/>
      <c r="ES8" s="91"/>
      <c r="ET8" s="91"/>
      <c r="EU8" s="91"/>
      <c r="EV8" s="91"/>
      <c r="EW8" s="91"/>
      <c r="EX8" s="91"/>
      <c r="EY8" s="91"/>
      <c r="EZ8" s="91"/>
      <c r="FA8" s="91"/>
      <c r="FB8" s="91"/>
      <c r="FC8" s="91"/>
      <c r="FD8" s="91"/>
      <c r="FE8" s="91"/>
      <c r="FF8" s="91"/>
      <c r="FG8" s="91"/>
      <c r="FH8" s="91"/>
      <c r="FI8" s="91"/>
      <c r="FJ8" s="91"/>
      <c r="FK8" s="91"/>
      <c r="FL8" s="91"/>
      <c r="FM8" s="91"/>
      <c r="FN8" s="91"/>
      <c r="FO8" s="91"/>
      <c r="FP8" s="91"/>
      <c r="FQ8" s="91"/>
      <c r="FR8" s="91"/>
      <c r="FS8" s="91"/>
      <c r="FT8" s="91"/>
      <c r="FU8" s="91"/>
      <c r="FV8" s="91"/>
      <c r="FW8" s="91"/>
      <c r="FX8" s="91"/>
      <c r="FY8" s="91"/>
      <c r="FZ8" s="91"/>
      <c r="GA8" s="91"/>
      <c r="GB8" s="91"/>
      <c r="GC8" s="91"/>
      <c r="GD8" s="91"/>
      <c r="GE8" s="91"/>
      <c r="GF8" s="91"/>
      <c r="GG8" s="91"/>
      <c r="GH8" s="91"/>
      <c r="GI8" s="91"/>
      <c r="GJ8" s="91"/>
      <c r="GK8" s="91"/>
      <c r="GL8" s="91"/>
      <c r="GM8" s="91"/>
      <c r="GN8" s="91"/>
      <c r="GO8" s="91"/>
      <c r="GP8" s="91"/>
      <c r="GQ8" s="91"/>
      <c r="GR8" s="91"/>
      <c r="GS8" s="91"/>
      <c r="GT8" s="91"/>
      <c r="GU8" s="91"/>
      <c r="GV8" s="91"/>
      <c r="GW8" s="91"/>
    </row>
    <row r="9" spans="1:205" ht="15.6" x14ac:dyDescent="0.3">
      <c r="A9" s="114" t="s">
        <v>95</v>
      </c>
      <c r="B9" s="105" t="str">
        <f>'объемы работ'!C9</f>
        <v>1м^3</v>
      </c>
      <c r="C9" s="105">
        <f>'объемы работ'!D9</f>
        <v>606.48774000000003</v>
      </c>
      <c r="D9" s="104">
        <f>'объемы работ'!F9/8</f>
        <v>275.19381202500006</v>
      </c>
      <c r="E9" s="103">
        <f t="shared" si="0"/>
        <v>288</v>
      </c>
      <c r="F9" s="123"/>
      <c r="G9" s="123">
        <f>'объемы работ'!H9/8</f>
        <v>33.356825700000002</v>
      </c>
      <c r="H9" s="101">
        <f t="shared" si="1"/>
        <v>16</v>
      </c>
      <c r="I9" s="103">
        <v>2</v>
      </c>
      <c r="J9" s="103">
        <v>9</v>
      </c>
      <c r="K9" s="120"/>
      <c r="L9" s="129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46"/>
      <c r="AI9" s="146">
        <f>AG8+AO9</f>
        <v>36</v>
      </c>
      <c r="AJ9" s="147"/>
      <c r="AK9" s="131"/>
      <c r="AL9" s="131"/>
      <c r="AM9" s="131"/>
      <c r="AN9" s="131"/>
      <c r="AO9" s="131">
        <f>J9*I9</f>
        <v>18</v>
      </c>
      <c r="AP9" s="131"/>
      <c r="AQ9" s="131"/>
      <c r="AR9" s="131"/>
      <c r="AS9" s="131"/>
      <c r="AT9" s="131"/>
      <c r="AU9" s="131"/>
      <c r="AV9" s="131"/>
      <c r="AW9" s="131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  <c r="GS9" s="91"/>
      <c r="GT9" s="91"/>
      <c r="GU9" s="91"/>
      <c r="GV9" s="91"/>
      <c r="GW9" s="91"/>
    </row>
    <row r="10" spans="1:205" ht="50.4" customHeight="1" x14ac:dyDescent="0.3">
      <c r="A10" s="114" t="s">
        <v>113</v>
      </c>
      <c r="B10" s="105" t="str">
        <f>'объемы работ'!C11</f>
        <v>1км</v>
      </c>
      <c r="C10" s="104">
        <f>('объемы работ'!D11+'объемы работ'!D12+'объемы работ'!D13+'объемы работ'!D14+'объемы работ'!D15)</f>
        <v>13.934049999999999</v>
      </c>
      <c r="D10" s="104">
        <f>SUM('объемы работ'!F11:F15)/8</f>
        <v>1559.3760805625</v>
      </c>
      <c r="E10" s="103">
        <f t="shared" si="0"/>
        <v>1560</v>
      </c>
      <c r="F10" s="123"/>
      <c r="G10" s="126">
        <f>SUM('объемы работ'!H11:H15)/8</f>
        <v>327.45787868749994</v>
      </c>
      <c r="H10" s="101">
        <f t="shared" si="1"/>
        <v>60</v>
      </c>
      <c r="I10" s="103">
        <v>2</v>
      </c>
      <c r="J10" s="103">
        <v>13</v>
      </c>
      <c r="K10" s="120"/>
      <c r="L10" s="129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46"/>
      <c r="AL10" s="146"/>
      <c r="AM10" s="146"/>
      <c r="AN10" s="146"/>
      <c r="AO10" s="146"/>
      <c r="AP10" s="146"/>
      <c r="AQ10" s="146">
        <f>AO9+BJ10</f>
        <v>44</v>
      </c>
      <c r="AR10" s="147"/>
      <c r="AS10" s="146"/>
      <c r="AT10" s="146"/>
      <c r="AU10" s="146"/>
      <c r="AV10" s="146"/>
      <c r="AW10" s="146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>
        <f>J10*I10</f>
        <v>26</v>
      </c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</row>
    <row r="11" spans="1:205" ht="28.8" x14ac:dyDescent="0.3">
      <c r="A11" s="114" t="s">
        <v>96</v>
      </c>
      <c r="B11" s="105" t="str">
        <f>'объемы работ'!C16</f>
        <v>1км</v>
      </c>
      <c r="C11" s="104">
        <f>SUM('объемы работ'!D16:D18)</f>
        <v>13.934049999999999</v>
      </c>
      <c r="D11" s="104">
        <f>SUM('объемы работ'!F16:F18)/8</f>
        <v>339.76032499999997</v>
      </c>
      <c r="E11" s="103">
        <f t="shared" si="0"/>
        <v>344</v>
      </c>
      <c r="F11" s="123"/>
      <c r="G11" s="123">
        <f>SUM('объемы работ'!H16:H18)/8</f>
        <v>186.117858625</v>
      </c>
      <c r="H11" s="101">
        <f t="shared" si="1"/>
        <v>43</v>
      </c>
      <c r="I11" s="103">
        <v>2</v>
      </c>
      <c r="J11" s="103">
        <v>4</v>
      </c>
      <c r="K11" s="120"/>
      <c r="L11" s="129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1"/>
      <c r="AY11" s="146"/>
      <c r="AZ11" s="146"/>
      <c r="BA11" s="146"/>
      <c r="BB11" s="146">
        <f>BJ10+BV11</f>
        <v>34</v>
      </c>
      <c r="BC11" s="146"/>
      <c r="BD11" s="146"/>
      <c r="BE11" s="146"/>
      <c r="BF11" s="146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>
        <f>J11*I11</f>
        <v>8</v>
      </c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</row>
    <row r="12" spans="1:205" ht="31.5" customHeight="1" x14ac:dyDescent="0.3">
      <c r="A12" s="114" t="s">
        <v>97</v>
      </c>
      <c r="B12" s="105" t="str">
        <f>'объемы работ'!C19</f>
        <v>1км</v>
      </c>
      <c r="C12" s="104">
        <f>SUM('объемы работ'!D19:D20)</f>
        <v>13.934049999999999</v>
      </c>
      <c r="D12" s="104">
        <f>SUM('объемы работ'!F19:F20)/8</f>
        <v>294.67209374999999</v>
      </c>
      <c r="E12" s="103">
        <f t="shared" si="0"/>
        <v>308</v>
      </c>
      <c r="F12" s="123"/>
      <c r="G12" s="123">
        <f>SUM('объемы работ'!H19:H20)/8</f>
        <v>95.341099999999997</v>
      </c>
      <c r="H12" s="101">
        <f t="shared" si="1"/>
        <v>14</v>
      </c>
      <c r="I12" s="103">
        <v>2</v>
      </c>
      <c r="J12" s="103">
        <v>11</v>
      </c>
      <c r="K12" s="120"/>
      <c r="L12" s="129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1"/>
      <c r="CT12" s="131"/>
      <c r="CU12" s="131"/>
      <c r="CV12" s="131"/>
      <c r="CW12" s="131"/>
      <c r="CX12" s="131"/>
      <c r="CY12" s="131">
        <v>22</v>
      </c>
      <c r="CZ12" s="131"/>
      <c r="DA12" s="131"/>
      <c r="DB12" s="131"/>
      <c r="DC12" s="131"/>
      <c r="DD12" s="131"/>
      <c r="DE12" s="131"/>
      <c r="DF12" s="131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  <c r="GS12" s="91"/>
      <c r="GT12" s="91"/>
      <c r="GU12" s="91"/>
      <c r="GV12" s="91"/>
      <c r="GW12" s="91"/>
    </row>
    <row r="13" spans="1:205" ht="28.8" x14ac:dyDescent="0.3">
      <c r="A13" s="114" t="s">
        <v>98</v>
      </c>
      <c r="B13" s="105" t="str">
        <f>'объемы работ'!C22</f>
        <v>1000м^3</v>
      </c>
      <c r="C13" s="105">
        <f>'объемы работ'!D22</f>
        <v>13.974057918929654</v>
      </c>
      <c r="D13" s="104">
        <f>'объемы работ'!F22/8</f>
        <v>14.026460636125639</v>
      </c>
      <c r="E13" s="103">
        <f t="shared" si="0"/>
        <v>15</v>
      </c>
      <c r="F13" s="123"/>
      <c r="G13" s="123">
        <f>'объемы работ'!H22/8</f>
        <v>14.026460636125639</v>
      </c>
      <c r="H13" s="101">
        <f t="shared" si="1"/>
        <v>5</v>
      </c>
      <c r="I13" s="103">
        <v>1</v>
      </c>
      <c r="J13" s="103">
        <v>3</v>
      </c>
      <c r="K13" s="120"/>
      <c r="L13" s="129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1"/>
      <c r="DH13" s="131"/>
      <c r="DI13" s="131">
        <v>3</v>
      </c>
      <c r="DJ13" s="131"/>
      <c r="DK13" s="131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  <c r="GS13" s="91"/>
      <c r="GT13" s="91"/>
      <c r="GU13" s="91"/>
      <c r="GV13" s="91"/>
      <c r="GW13" s="91"/>
    </row>
    <row r="14" spans="1:205" ht="21.75" customHeight="1" x14ac:dyDescent="0.3">
      <c r="A14" s="114" t="s">
        <v>99</v>
      </c>
      <c r="B14" s="105" t="str">
        <f>'объемы работ'!C23</f>
        <v>100м^3</v>
      </c>
      <c r="C14" s="105">
        <f>'объемы работ'!D23</f>
        <v>7.3547673257524595</v>
      </c>
      <c r="D14" s="104">
        <f>'объемы работ'!F23/8</f>
        <v>94.609888186648192</v>
      </c>
      <c r="E14" s="103">
        <f t="shared" si="0"/>
        <v>95</v>
      </c>
      <c r="F14" s="123" t="s">
        <v>108</v>
      </c>
      <c r="G14" s="123" t="s">
        <v>108</v>
      </c>
      <c r="H14" s="101">
        <f>ROUNDUP(D14/(J14*I14),0)</f>
        <v>5</v>
      </c>
      <c r="I14" s="103">
        <v>1</v>
      </c>
      <c r="J14" s="103">
        <v>19</v>
      </c>
      <c r="K14" s="120"/>
      <c r="L14" s="129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1"/>
      <c r="DH14" s="131"/>
      <c r="DI14" s="131">
        <v>19</v>
      </c>
      <c r="DJ14" s="131"/>
      <c r="DK14" s="131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</row>
    <row r="15" spans="1:205" x14ac:dyDescent="0.3">
      <c r="A15" s="114" t="s">
        <v>100</v>
      </c>
      <c r="B15" s="105" t="str">
        <f>'объемы работ'!C24</f>
        <v>100м^3</v>
      </c>
      <c r="C15" s="105">
        <f>'объемы работ'!D24</f>
        <v>147.09534651504902</v>
      </c>
      <c r="D15" s="104">
        <f>'объемы работ'!F24/8</f>
        <v>230.38808647919552</v>
      </c>
      <c r="E15" s="103">
        <f t="shared" si="0"/>
        <v>242</v>
      </c>
      <c r="F15" s="123"/>
      <c r="G15" s="126">
        <f>'объемы работ'!H24/8</f>
        <v>223.95266506916212</v>
      </c>
      <c r="H15" s="101">
        <f t="shared" si="1"/>
        <v>11</v>
      </c>
      <c r="I15" s="103">
        <v>2</v>
      </c>
      <c r="J15" s="103">
        <v>11</v>
      </c>
      <c r="K15" s="120"/>
      <c r="L15" s="129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1"/>
      <c r="DM15" s="131"/>
      <c r="DN15" s="131"/>
      <c r="DO15" s="131"/>
      <c r="DP15" s="131"/>
      <c r="DQ15" s="131"/>
      <c r="DR15" s="131">
        <v>22</v>
      </c>
      <c r="DS15" s="131"/>
      <c r="DT15" s="131"/>
      <c r="DU15" s="131"/>
      <c r="DV15" s="131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</row>
    <row r="16" spans="1:205" x14ac:dyDescent="0.3">
      <c r="A16" s="114" t="s">
        <v>101</v>
      </c>
      <c r="B16" s="103" t="s">
        <v>107</v>
      </c>
      <c r="C16" s="103">
        <v>5</v>
      </c>
      <c r="D16" s="104">
        <f>'объемы работ'!H34/8</f>
        <v>151.38112932599907</v>
      </c>
      <c r="E16" s="103">
        <f t="shared" si="0"/>
        <v>152</v>
      </c>
      <c r="F16" s="123" t="s">
        <v>108</v>
      </c>
      <c r="G16" s="123" t="s">
        <v>108</v>
      </c>
      <c r="H16" s="101">
        <f t="shared" si="1"/>
        <v>38</v>
      </c>
      <c r="I16" s="103">
        <v>1</v>
      </c>
      <c r="J16" s="103">
        <v>4</v>
      </c>
      <c r="K16" s="120"/>
      <c r="L16" s="129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>
        <v>4</v>
      </c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0"/>
      <c r="EF16" s="130"/>
      <c r="EG16" s="130"/>
      <c r="EH16" s="130"/>
      <c r="EI16" s="130"/>
      <c r="EJ16" s="130"/>
      <c r="EK16" s="130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</row>
    <row r="17" spans="1:205" x14ac:dyDescent="0.3">
      <c r="A17" s="114" t="s">
        <v>102</v>
      </c>
      <c r="B17" s="103" t="s">
        <v>107</v>
      </c>
      <c r="C17" s="103">
        <v>7</v>
      </c>
      <c r="D17" s="104">
        <f>'объемы работ'!H36/8</f>
        <v>211.93358105639871</v>
      </c>
      <c r="E17" s="103">
        <f t="shared" si="0"/>
        <v>220</v>
      </c>
      <c r="F17" s="123" t="s">
        <v>108</v>
      </c>
      <c r="G17" s="123" t="s">
        <v>108</v>
      </c>
      <c r="H17" s="101">
        <f t="shared" si="1"/>
        <v>10</v>
      </c>
      <c r="I17" s="103">
        <v>2</v>
      </c>
      <c r="J17" s="103">
        <v>11</v>
      </c>
      <c r="K17" s="120"/>
      <c r="L17" s="129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1"/>
      <c r="DX17" s="131"/>
      <c r="DY17" s="131"/>
      <c r="DZ17" s="131"/>
      <c r="EA17" s="131"/>
      <c r="EB17" s="131">
        <v>22</v>
      </c>
      <c r="EC17" s="131"/>
      <c r="ED17" s="131"/>
      <c r="EE17" s="131"/>
      <c r="EF17" s="131"/>
      <c r="EG17" s="130"/>
      <c r="EH17" s="130"/>
      <c r="EI17" s="130"/>
      <c r="EJ17" s="130"/>
      <c r="EK17" s="130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</row>
    <row r="18" spans="1:205" ht="15" thickBot="1" x14ac:dyDescent="0.35">
      <c r="A18" s="115" t="s">
        <v>103</v>
      </c>
      <c r="B18" s="116" t="s">
        <v>107</v>
      </c>
      <c r="C18" s="116">
        <v>6</v>
      </c>
      <c r="D18" s="117">
        <f>'объемы работ'!H38/8</f>
        <v>181.65735519119886</v>
      </c>
      <c r="E18" s="116">
        <f t="shared" si="0"/>
        <v>198</v>
      </c>
      <c r="F18" s="124" t="s">
        <v>108</v>
      </c>
      <c r="G18" s="124" t="s">
        <v>108</v>
      </c>
      <c r="H18" s="101">
        <f t="shared" si="1"/>
        <v>9</v>
      </c>
      <c r="I18" s="116">
        <v>2</v>
      </c>
      <c r="J18" s="116">
        <v>11</v>
      </c>
      <c r="K18" s="120"/>
      <c r="L18" s="144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37"/>
      <c r="EH18" s="137"/>
      <c r="EI18" s="137"/>
      <c r="EJ18" s="137"/>
      <c r="EK18" s="137">
        <v>22</v>
      </c>
      <c r="EL18" s="137"/>
      <c r="EM18" s="137"/>
      <c r="EN18" s="137"/>
      <c r="EO18" s="137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</row>
    <row r="26" spans="1:205" x14ac:dyDescent="0.3"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W26" s="170"/>
      <c r="CX26" s="170"/>
      <c r="CY26" s="170"/>
      <c r="CZ26" s="170"/>
      <c r="DA26" s="170"/>
      <c r="DB26" s="170"/>
      <c r="DC26" s="170"/>
      <c r="DD26" s="170"/>
      <c r="DE26" s="170"/>
      <c r="DF26" s="170"/>
      <c r="DG26" s="170"/>
      <c r="DH26" s="170"/>
      <c r="DI26" s="170"/>
      <c r="DJ26" s="170"/>
      <c r="DK26" s="170"/>
      <c r="DL26" s="170"/>
      <c r="DM26" s="170"/>
      <c r="DN26" s="170"/>
      <c r="DO26" s="170"/>
      <c r="DP26" s="170"/>
      <c r="DQ26" s="170"/>
      <c r="DR26" s="170"/>
      <c r="DS26" s="170"/>
      <c r="DT26" s="170"/>
      <c r="DU26" s="170"/>
      <c r="DV26" s="170"/>
      <c r="DW26" s="170"/>
      <c r="DX26" s="170"/>
      <c r="DY26" s="170"/>
      <c r="DZ26" s="170"/>
      <c r="EA26" s="170"/>
    </row>
    <row r="27" spans="1:205" x14ac:dyDescent="0.3">
      <c r="L27" s="170"/>
      <c r="M27" s="170"/>
      <c r="N27" s="170"/>
      <c r="O27" s="170"/>
      <c r="P27" s="170"/>
      <c r="Q27" s="170" t="s">
        <v>114</v>
      </c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17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W27" s="170"/>
      <c r="CX27" s="170"/>
      <c r="CY27" s="170"/>
      <c r="CZ27" s="170"/>
      <c r="DA27" s="170"/>
      <c r="DB27" s="170"/>
      <c r="DC27" s="170"/>
      <c r="DD27" s="170"/>
      <c r="DE27" s="170"/>
      <c r="DF27" s="170"/>
      <c r="DG27" s="170"/>
      <c r="DH27" s="170"/>
      <c r="DI27" s="170"/>
      <c r="DJ27" s="170"/>
      <c r="DK27" s="170"/>
      <c r="DL27" s="170"/>
      <c r="DM27" s="170"/>
      <c r="DN27" s="170"/>
      <c r="DO27" s="170"/>
      <c r="DP27" s="170"/>
      <c r="DQ27" s="170"/>
      <c r="DR27" s="170"/>
      <c r="DS27" s="170"/>
      <c r="DT27" s="170"/>
      <c r="DU27" s="170"/>
      <c r="DV27" s="170"/>
      <c r="DW27" s="170"/>
      <c r="DX27" s="170"/>
      <c r="DY27" s="170"/>
      <c r="DZ27" s="170"/>
      <c r="EA27" s="170"/>
    </row>
    <row r="28" spans="1:205" x14ac:dyDescent="0.3"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W28" s="170"/>
      <c r="CX28" s="170"/>
      <c r="CY28" s="170"/>
      <c r="CZ28" s="170"/>
      <c r="DA28" s="170"/>
      <c r="DB28" s="170"/>
      <c r="DC28" s="170"/>
      <c r="DD28" s="170"/>
      <c r="DE28" s="170"/>
      <c r="DF28" s="170"/>
      <c r="DG28" s="170"/>
      <c r="DH28" s="170"/>
      <c r="DI28" s="170"/>
      <c r="DJ28" s="170"/>
      <c r="DK28" s="170"/>
      <c r="DL28" s="170"/>
      <c r="DM28" s="170"/>
      <c r="DN28" s="170"/>
      <c r="DO28" s="170"/>
      <c r="DP28" s="170"/>
      <c r="DQ28" s="170"/>
      <c r="DR28" s="170"/>
      <c r="DS28" s="170"/>
      <c r="DT28" s="170"/>
      <c r="DU28" s="170"/>
      <c r="DV28" s="170"/>
      <c r="DW28" s="170"/>
      <c r="DX28" s="170"/>
      <c r="DY28" s="170"/>
      <c r="DZ28" s="170"/>
      <c r="EA28" s="170"/>
    </row>
    <row r="29" spans="1:205" x14ac:dyDescent="0.3"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  <c r="DJ29" s="170"/>
      <c r="DK29" s="170"/>
      <c r="DL29" s="170"/>
      <c r="DM29" s="170"/>
      <c r="DN29" s="170"/>
      <c r="DO29" s="170"/>
      <c r="DP29" s="170"/>
      <c r="DQ29" s="170"/>
      <c r="DR29" s="170"/>
      <c r="DS29" s="170"/>
      <c r="DT29" s="170"/>
      <c r="DU29" s="170"/>
      <c r="DV29" s="170"/>
      <c r="DW29" s="170"/>
      <c r="DX29" s="170"/>
      <c r="DY29" s="170"/>
      <c r="DZ29" s="170"/>
      <c r="EA29" s="170"/>
    </row>
    <row r="30" spans="1:205" x14ac:dyDescent="0.3"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70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W30" s="170"/>
      <c r="CX30" s="170"/>
      <c r="CY30" s="170"/>
      <c r="CZ30" s="170"/>
      <c r="DA30" s="170"/>
      <c r="DB30" s="170"/>
      <c r="DC30" s="170"/>
      <c r="DD30" s="170"/>
      <c r="DE30" s="170"/>
      <c r="DF30" s="170"/>
      <c r="DG30" s="170"/>
      <c r="DH30" s="170"/>
      <c r="DI30" s="170"/>
      <c r="DJ30" s="170"/>
      <c r="DK30" s="170"/>
      <c r="DL30" s="170"/>
      <c r="DM30" s="170"/>
      <c r="DN30" s="170"/>
      <c r="DO30" s="170"/>
      <c r="DP30" s="170"/>
      <c r="DQ30" s="170"/>
      <c r="DR30" s="170"/>
      <c r="DS30" s="170"/>
      <c r="DT30" s="170"/>
      <c r="DU30" s="170"/>
      <c r="DV30" s="170"/>
      <c r="DW30" s="170"/>
      <c r="DX30" s="170"/>
      <c r="DY30" s="170"/>
      <c r="DZ30" s="170"/>
      <c r="EA30" s="170"/>
    </row>
    <row r="31" spans="1:205" x14ac:dyDescent="0.3"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  <c r="DE31" s="170"/>
      <c r="DF31" s="170"/>
      <c r="DG31" s="170"/>
      <c r="DH31" s="170"/>
      <c r="DI31" s="170"/>
      <c r="DJ31" s="170"/>
      <c r="DK31" s="170"/>
      <c r="DL31" s="170"/>
      <c r="DM31" s="170"/>
      <c r="DN31" s="170"/>
      <c r="DO31" s="170"/>
      <c r="DP31" s="170"/>
      <c r="DQ31" s="170"/>
      <c r="DR31" s="170"/>
      <c r="DS31" s="170"/>
      <c r="DT31" s="170"/>
      <c r="DU31" s="170"/>
      <c r="DV31" s="170"/>
      <c r="DW31" s="170"/>
      <c r="DX31" s="170"/>
      <c r="DY31" s="170"/>
      <c r="DZ31" s="170"/>
      <c r="EA31" s="170"/>
    </row>
    <row r="32" spans="1:205" x14ac:dyDescent="0.3"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0"/>
      <c r="CY32" s="170"/>
      <c r="CZ32" s="170"/>
      <c r="DA32" s="170"/>
      <c r="DB32" s="170"/>
      <c r="DC32" s="170"/>
      <c r="DD32" s="170"/>
      <c r="DE32" s="170"/>
      <c r="DF32" s="170"/>
      <c r="DG32" s="170"/>
      <c r="DH32" s="170"/>
      <c r="DI32" s="170"/>
      <c r="DJ32" s="170"/>
      <c r="DK32" s="170"/>
      <c r="DL32" s="170"/>
      <c r="DM32" s="170"/>
      <c r="DN32" s="170"/>
      <c r="DO32" s="170"/>
      <c r="DP32" s="170"/>
      <c r="DQ32" s="170"/>
      <c r="DR32" s="170"/>
      <c r="DS32" s="170"/>
      <c r="DT32" s="170"/>
      <c r="DU32" s="170"/>
      <c r="DV32" s="170"/>
      <c r="DW32" s="170"/>
      <c r="DX32" s="170"/>
      <c r="DY32" s="170"/>
      <c r="DZ32" s="170"/>
      <c r="EA32" s="170"/>
    </row>
    <row r="33" spans="12:141" x14ac:dyDescent="0.3"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0"/>
      <c r="CY33" s="170"/>
      <c r="CZ33" s="170"/>
      <c r="DA33" s="170"/>
      <c r="DB33" s="170"/>
      <c r="DC33" s="170"/>
      <c r="DD33" s="170"/>
      <c r="DE33" s="170"/>
      <c r="DF33" s="170"/>
      <c r="DG33" s="170"/>
      <c r="DH33" s="170"/>
      <c r="DI33" s="170"/>
      <c r="DJ33" s="170"/>
      <c r="DK33" s="170"/>
      <c r="DL33" s="170"/>
      <c r="DM33" s="170"/>
      <c r="DN33" s="170"/>
      <c r="DO33" s="170"/>
      <c r="DP33" s="170"/>
      <c r="DQ33" s="170"/>
      <c r="DR33" s="170"/>
      <c r="DS33" s="170"/>
      <c r="DT33" s="170"/>
      <c r="DU33" s="170"/>
      <c r="DV33" s="170"/>
      <c r="DW33" s="170"/>
      <c r="DX33" s="170"/>
      <c r="DY33" s="170"/>
      <c r="DZ33" s="170"/>
      <c r="EA33" s="170"/>
    </row>
    <row r="34" spans="12:141" x14ac:dyDescent="0.3"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  <c r="DE34" s="170"/>
      <c r="DF34" s="170"/>
      <c r="DG34" s="170"/>
      <c r="DH34" s="170"/>
      <c r="DI34" s="170"/>
      <c r="DJ34" s="170"/>
      <c r="DK34" s="170"/>
      <c r="DL34" s="170"/>
      <c r="DM34" s="170"/>
      <c r="DN34" s="170"/>
      <c r="DO34" s="170"/>
      <c r="DP34" s="170"/>
      <c r="DQ34" s="170"/>
      <c r="DR34" s="170"/>
      <c r="DS34" s="170"/>
      <c r="DT34" s="170"/>
      <c r="DU34" s="170"/>
      <c r="DV34" s="170"/>
      <c r="DW34" s="170"/>
      <c r="DX34" s="170"/>
      <c r="DY34" s="170"/>
      <c r="DZ34" s="170"/>
      <c r="EA34" s="170"/>
    </row>
    <row r="35" spans="12:141" x14ac:dyDescent="0.3"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17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W35" s="170"/>
      <c r="CX35" s="170"/>
      <c r="CY35" s="170"/>
      <c r="CZ35" s="170"/>
      <c r="DA35" s="170"/>
      <c r="DB35" s="170"/>
      <c r="DC35" s="170"/>
      <c r="DD35" s="170"/>
      <c r="DE35" s="170"/>
      <c r="DF35" s="170"/>
      <c r="DG35" s="170"/>
      <c r="DH35" s="170"/>
      <c r="DI35" s="170"/>
      <c r="DJ35" s="170"/>
      <c r="DK35" s="170"/>
      <c r="DL35" s="170"/>
      <c r="DM35" s="170"/>
      <c r="DN35" s="170"/>
      <c r="DO35" s="170"/>
      <c r="DP35" s="170"/>
      <c r="DQ35" s="170"/>
      <c r="DR35" s="170"/>
      <c r="DS35" s="170"/>
      <c r="DT35" s="170"/>
      <c r="DU35" s="170"/>
      <c r="DV35" s="170"/>
      <c r="DW35" s="170"/>
      <c r="DX35" s="170"/>
      <c r="DY35" s="170"/>
      <c r="DZ35" s="170"/>
      <c r="EA35" s="170"/>
    </row>
    <row r="36" spans="12:141" x14ac:dyDescent="0.3"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</row>
    <row r="37" spans="12:141" x14ac:dyDescent="0.3">
      <c r="L37" s="173">
        <v>1</v>
      </c>
      <c r="M37" s="173">
        <v>2</v>
      </c>
      <c r="N37" s="173">
        <v>3</v>
      </c>
      <c r="O37" s="173">
        <v>4</v>
      </c>
      <c r="P37" s="173">
        <v>5</v>
      </c>
      <c r="Q37" s="173">
        <v>6</v>
      </c>
      <c r="R37" s="173">
        <v>7</v>
      </c>
      <c r="S37" s="173">
        <v>8</v>
      </c>
      <c r="T37" s="173">
        <v>9</v>
      </c>
      <c r="U37" s="173">
        <v>10</v>
      </c>
      <c r="V37" s="173">
        <v>11</v>
      </c>
      <c r="W37" s="173">
        <v>12</v>
      </c>
      <c r="X37" s="173">
        <v>13</v>
      </c>
      <c r="Y37" s="173">
        <v>14</v>
      </c>
      <c r="Z37" s="173">
        <v>15</v>
      </c>
      <c r="AA37" s="173">
        <v>16</v>
      </c>
      <c r="AB37" s="173">
        <v>17</v>
      </c>
      <c r="AC37" s="173">
        <v>18</v>
      </c>
      <c r="AD37" s="173">
        <v>19</v>
      </c>
      <c r="AE37" s="173">
        <v>20</v>
      </c>
      <c r="AF37" s="173">
        <v>21</v>
      </c>
      <c r="AG37" s="173">
        <v>22</v>
      </c>
      <c r="AH37" s="173">
        <v>23</v>
      </c>
      <c r="AI37" s="173">
        <v>24</v>
      </c>
      <c r="AJ37" s="173">
        <v>25</v>
      </c>
      <c r="AK37" s="173">
        <v>26</v>
      </c>
      <c r="AL37" s="173">
        <v>27</v>
      </c>
      <c r="AM37" s="173">
        <v>28</v>
      </c>
      <c r="AN37" s="173">
        <v>29</v>
      </c>
      <c r="AO37" s="173">
        <v>30</v>
      </c>
      <c r="AP37" s="173">
        <v>31</v>
      </c>
      <c r="AQ37" s="173">
        <v>32</v>
      </c>
      <c r="AR37" s="173">
        <v>33</v>
      </c>
      <c r="AS37" s="173">
        <v>34</v>
      </c>
      <c r="AT37" s="173">
        <v>35</v>
      </c>
      <c r="AU37" s="173">
        <v>36</v>
      </c>
      <c r="AV37" s="173">
        <v>37</v>
      </c>
      <c r="AW37" s="173">
        <v>38</v>
      </c>
      <c r="AX37" s="173">
        <v>39</v>
      </c>
      <c r="AY37" s="173">
        <v>40</v>
      </c>
      <c r="AZ37" s="173">
        <v>41</v>
      </c>
      <c r="BA37" s="173">
        <v>42</v>
      </c>
      <c r="BB37" s="173">
        <v>43</v>
      </c>
      <c r="BC37" s="173">
        <v>44</v>
      </c>
      <c r="BD37" s="173">
        <v>45</v>
      </c>
      <c r="BE37" s="173">
        <v>46</v>
      </c>
      <c r="BF37" s="173">
        <v>47</v>
      </c>
      <c r="BG37" s="173">
        <v>48</v>
      </c>
      <c r="BH37" s="173">
        <v>49</v>
      </c>
      <c r="BI37" s="173">
        <v>50</v>
      </c>
      <c r="BJ37" s="173">
        <v>51</v>
      </c>
      <c r="BK37" s="173">
        <v>52</v>
      </c>
      <c r="BL37" s="173">
        <v>53</v>
      </c>
      <c r="BM37" s="173">
        <v>54</v>
      </c>
      <c r="BN37" s="173">
        <v>55</v>
      </c>
      <c r="BO37" s="173">
        <v>56</v>
      </c>
      <c r="BP37" s="173">
        <v>57</v>
      </c>
      <c r="BQ37" s="173">
        <v>58</v>
      </c>
      <c r="BR37" s="173">
        <v>59</v>
      </c>
      <c r="BS37" s="173">
        <v>60</v>
      </c>
      <c r="BT37" s="173">
        <v>61</v>
      </c>
      <c r="BU37" s="173">
        <v>62</v>
      </c>
      <c r="BV37" s="173">
        <v>63</v>
      </c>
      <c r="BW37" s="173">
        <v>64</v>
      </c>
      <c r="BX37" s="173">
        <v>65</v>
      </c>
      <c r="BY37" s="173">
        <v>66</v>
      </c>
      <c r="BZ37" s="173">
        <v>67</v>
      </c>
      <c r="CA37" s="173">
        <v>68</v>
      </c>
      <c r="CB37" s="173">
        <v>69</v>
      </c>
      <c r="CC37" s="173">
        <v>70</v>
      </c>
      <c r="CD37" s="173">
        <v>71</v>
      </c>
      <c r="CE37" s="173">
        <v>72</v>
      </c>
      <c r="CF37" s="173">
        <v>73</v>
      </c>
      <c r="CG37" s="173">
        <v>74</v>
      </c>
      <c r="CH37" s="173">
        <v>75</v>
      </c>
      <c r="CI37" s="173">
        <v>76</v>
      </c>
      <c r="CJ37" s="173">
        <v>77</v>
      </c>
      <c r="CK37" s="173">
        <v>78</v>
      </c>
      <c r="CL37" s="173">
        <v>79</v>
      </c>
      <c r="CM37" s="173">
        <v>80</v>
      </c>
      <c r="CN37" s="173">
        <v>81</v>
      </c>
      <c r="CO37" s="173">
        <v>82</v>
      </c>
      <c r="CP37" s="173">
        <v>83</v>
      </c>
      <c r="CQ37" s="173">
        <v>84</v>
      </c>
      <c r="CR37" s="173">
        <v>85</v>
      </c>
      <c r="CS37" s="173">
        <v>86</v>
      </c>
      <c r="CT37" s="173">
        <v>87</v>
      </c>
      <c r="CU37" s="173">
        <v>88</v>
      </c>
      <c r="CV37" s="173">
        <v>89</v>
      </c>
      <c r="CW37" s="173">
        <v>90</v>
      </c>
      <c r="CX37" s="173">
        <v>91</v>
      </c>
      <c r="CY37" s="173">
        <v>92</v>
      </c>
      <c r="CZ37" s="173">
        <v>93</v>
      </c>
      <c r="DA37" s="173">
        <v>94</v>
      </c>
      <c r="DB37" s="173">
        <v>95</v>
      </c>
      <c r="DC37" s="173">
        <v>96</v>
      </c>
      <c r="DD37" s="173">
        <v>97</v>
      </c>
      <c r="DE37" s="173">
        <v>98</v>
      </c>
      <c r="DF37" s="173">
        <v>99</v>
      </c>
      <c r="DG37" s="173">
        <v>100</v>
      </c>
      <c r="DH37" s="173">
        <v>101</v>
      </c>
      <c r="DI37" s="173">
        <v>102</v>
      </c>
      <c r="DJ37" s="173">
        <v>103</v>
      </c>
      <c r="DK37" s="173">
        <v>104</v>
      </c>
      <c r="DL37" s="173">
        <v>105</v>
      </c>
      <c r="DM37" s="173">
        <v>106</v>
      </c>
      <c r="DN37" s="173">
        <v>107</v>
      </c>
      <c r="DO37" s="173">
        <v>108</v>
      </c>
      <c r="DP37" s="173">
        <v>109</v>
      </c>
      <c r="DQ37" s="173">
        <v>110</v>
      </c>
      <c r="DR37" s="173">
        <v>111</v>
      </c>
      <c r="DS37" s="173">
        <v>112</v>
      </c>
      <c r="DT37" s="173">
        <v>113</v>
      </c>
      <c r="DU37" s="173">
        <v>114</v>
      </c>
      <c r="DV37" s="173">
        <v>115</v>
      </c>
      <c r="DW37" s="173">
        <v>116</v>
      </c>
      <c r="DX37" s="173">
        <v>117</v>
      </c>
      <c r="DY37" s="173">
        <v>118</v>
      </c>
      <c r="DZ37" s="173">
        <v>119</v>
      </c>
      <c r="EA37" s="173">
        <v>120</v>
      </c>
      <c r="EB37" s="173">
        <v>121</v>
      </c>
      <c r="EC37" s="173">
        <v>122</v>
      </c>
      <c r="ED37" s="173">
        <v>123</v>
      </c>
      <c r="EE37" s="173">
        <v>124</v>
      </c>
      <c r="EF37" s="173">
        <v>125</v>
      </c>
      <c r="EG37" s="173">
        <v>126</v>
      </c>
      <c r="EH37" s="173">
        <v>127</v>
      </c>
      <c r="EI37" s="173">
        <v>128</v>
      </c>
      <c r="EJ37" s="173">
        <v>129</v>
      </c>
      <c r="EK37" s="173">
        <v>130</v>
      </c>
    </row>
  </sheetData>
  <mergeCells count="97">
    <mergeCell ref="H1:H2"/>
    <mergeCell ref="A1:A2"/>
    <mergeCell ref="B1:B2"/>
    <mergeCell ref="C1:C2"/>
    <mergeCell ref="D1:E1"/>
    <mergeCell ref="F1:G1"/>
    <mergeCell ref="D5:D6"/>
    <mergeCell ref="E5:E6"/>
    <mergeCell ref="F5:F6"/>
    <mergeCell ref="G5:G6"/>
    <mergeCell ref="H5:H6"/>
    <mergeCell ref="P5:P6"/>
    <mergeCell ref="Q5:Q6"/>
    <mergeCell ref="R5:R6"/>
    <mergeCell ref="S5:S6"/>
    <mergeCell ref="I1:I2"/>
    <mergeCell ref="J1:J2"/>
    <mergeCell ref="K1:K2"/>
    <mergeCell ref="I5:I6"/>
    <mergeCell ref="J5:J6"/>
    <mergeCell ref="K5:K6"/>
    <mergeCell ref="L5:L6"/>
    <mergeCell ref="M5:M6"/>
    <mergeCell ref="N5:N6"/>
    <mergeCell ref="O5:O6"/>
    <mergeCell ref="AE5:AE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Q5:AQ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BC5:BC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O5:BO6"/>
    <mergeCell ref="BD5:BD6"/>
    <mergeCell ref="BE5:BE6"/>
    <mergeCell ref="BF5:BF6"/>
    <mergeCell ref="BG5:BG6"/>
    <mergeCell ref="BH5:BH6"/>
    <mergeCell ref="BI5:BI6"/>
    <mergeCell ref="BJ5:BJ6"/>
    <mergeCell ref="BK5:BK6"/>
    <mergeCell ref="BL5:BL6"/>
    <mergeCell ref="BM5:BM6"/>
    <mergeCell ref="BN5:BN6"/>
    <mergeCell ref="CA5:CA6"/>
    <mergeCell ref="BP5:BP6"/>
    <mergeCell ref="BQ5:BQ6"/>
    <mergeCell ref="BR5:BR6"/>
    <mergeCell ref="BS5:BS6"/>
    <mergeCell ref="BT5:BT6"/>
    <mergeCell ref="BU5:BU6"/>
    <mergeCell ref="BV5:BV6"/>
    <mergeCell ref="BW5:BW6"/>
    <mergeCell ref="BX5:BX6"/>
    <mergeCell ref="BY5:BY6"/>
    <mergeCell ref="BZ5:BZ6"/>
    <mergeCell ref="CM5:CM6"/>
    <mergeCell ref="CB5:CB6"/>
    <mergeCell ref="CC5:CC6"/>
    <mergeCell ref="CD5:CD6"/>
    <mergeCell ref="CE5:CE6"/>
    <mergeCell ref="CF5:CF6"/>
    <mergeCell ref="CG5:CG6"/>
    <mergeCell ref="CH5:CH6"/>
    <mergeCell ref="CI5:CI6"/>
    <mergeCell ref="CJ5:CJ6"/>
    <mergeCell ref="CK5:CK6"/>
    <mergeCell ref="CL5:C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6340-A71F-4F5F-8111-1FB939294B99}">
  <dimension ref="A1:K10"/>
  <sheetViews>
    <sheetView workbookViewId="0">
      <selection activeCell="C3" sqref="C3"/>
    </sheetView>
  </sheetViews>
  <sheetFormatPr defaultRowHeight="14.4" x14ac:dyDescent="0.3"/>
  <cols>
    <col min="1" max="1" width="24.6640625" customWidth="1"/>
    <col min="2" max="2" width="15.6640625" customWidth="1"/>
    <col min="3" max="3" width="15.33203125" customWidth="1"/>
    <col min="4" max="4" width="20.33203125" customWidth="1"/>
  </cols>
  <sheetData>
    <row r="1" spans="1:11" ht="28.8" x14ac:dyDescent="0.3">
      <c r="A1" s="138" t="s">
        <v>115</v>
      </c>
      <c r="B1" s="138" t="s">
        <v>116</v>
      </c>
      <c r="C1" s="138" t="s">
        <v>117</v>
      </c>
      <c r="D1" s="138" t="s">
        <v>118</v>
      </c>
    </row>
    <row r="2" spans="1:11" ht="28.8" x14ac:dyDescent="0.3">
      <c r="A2" s="139" t="s">
        <v>131</v>
      </c>
      <c r="B2" s="140" t="s">
        <v>119</v>
      </c>
      <c r="C2" s="140">
        <v>134</v>
      </c>
      <c r="D2" s="140" t="s">
        <v>123</v>
      </c>
    </row>
    <row r="3" spans="1:11" ht="28.8" x14ac:dyDescent="0.3">
      <c r="A3" s="139" t="s">
        <v>132</v>
      </c>
      <c r="B3" s="140" t="s">
        <v>120</v>
      </c>
      <c r="C3" s="140">
        <f>исходники!B10</f>
        <v>13934.05</v>
      </c>
      <c r="D3" s="140" t="s">
        <v>124</v>
      </c>
    </row>
    <row r="4" spans="1:11" ht="15.6" x14ac:dyDescent="0.3">
      <c r="A4" s="139" t="s">
        <v>133</v>
      </c>
      <c r="B4" s="140" t="s">
        <v>121</v>
      </c>
      <c r="C4" s="140">
        <f>SUM('календарный план'!E4:E18)</f>
        <v>3848</v>
      </c>
      <c r="D4" s="140" t="s">
        <v>125</v>
      </c>
    </row>
    <row r="5" spans="1:11" ht="28.8" x14ac:dyDescent="0.3">
      <c r="A5" s="139" t="s">
        <v>134</v>
      </c>
      <c r="B5" s="140" t="s">
        <v>121</v>
      </c>
      <c r="C5" s="143">
        <f>C4/C3</f>
        <v>0.2761580445024957</v>
      </c>
      <c r="D5" s="140" t="s">
        <v>126</v>
      </c>
    </row>
    <row r="6" spans="1:11" ht="28.8" x14ac:dyDescent="0.3">
      <c r="A6" s="139" t="s">
        <v>135</v>
      </c>
      <c r="B6" s="140" t="s">
        <v>122</v>
      </c>
      <c r="C6" s="140">
        <v>44</v>
      </c>
      <c r="D6" s="140" t="s">
        <v>127</v>
      </c>
    </row>
    <row r="7" spans="1:11" ht="28.8" x14ac:dyDescent="0.3">
      <c r="A7" s="139" t="s">
        <v>136</v>
      </c>
      <c r="B7" s="140" t="s">
        <v>122</v>
      </c>
      <c r="C7" s="140">
        <f>ROUNDUP(C4/C2,0)</f>
        <v>29</v>
      </c>
      <c r="D7" s="140" t="s">
        <v>128</v>
      </c>
    </row>
    <row r="8" spans="1:11" ht="37.950000000000003" customHeight="1" x14ac:dyDescent="0.3">
      <c r="A8" s="139" t="s">
        <v>137</v>
      </c>
      <c r="B8" s="140" t="s">
        <v>108</v>
      </c>
      <c r="C8" s="140">
        <f>(K8*H8+K9*H9)/H10</f>
        <v>1.8095238095238095</v>
      </c>
      <c r="D8" s="140" t="s">
        <v>129</v>
      </c>
      <c r="G8" t="s">
        <v>139</v>
      </c>
      <c r="H8">
        <f>SUMIF('календарный план'!$I$4:$I$18,1,'календарный план'!$H$4:$H$18)</f>
        <v>48</v>
      </c>
      <c r="J8" t="s">
        <v>142</v>
      </c>
      <c r="K8">
        <v>1</v>
      </c>
    </row>
    <row r="9" spans="1:11" ht="29.4" thickBot="1" x14ac:dyDescent="0.35">
      <c r="A9" s="141" t="s">
        <v>138</v>
      </c>
      <c r="B9" s="142" t="s">
        <v>108</v>
      </c>
      <c r="C9" s="142">
        <f>H10/C2</f>
        <v>1.8805970149253732</v>
      </c>
      <c r="D9" s="142" t="s">
        <v>130</v>
      </c>
      <c r="G9" t="s">
        <v>140</v>
      </c>
      <c r="H9">
        <f>SUMIF('календарный план'!$I$4:$I$18,2,'календарный план'!$H$4:$H$18)</f>
        <v>204</v>
      </c>
      <c r="J9" t="s">
        <v>143</v>
      </c>
      <c r="K9">
        <v>2</v>
      </c>
    </row>
    <row r="10" spans="1:11" ht="15" thickTop="1" x14ac:dyDescent="0.3">
      <c r="G10" t="s">
        <v>141</v>
      </c>
      <c r="H10">
        <f>SUM(H8:H9)</f>
        <v>252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EEA4-C61B-41BF-936E-9CF4B872A9F7}">
  <dimension ref="A1:H31"/>
  <sheetViews>
    <sheetView workbookViewId="0">
      <selection activeCell="I23" sqref="I23"/>
    </sheetView>
  </sheetViews>
  <sheetFormatPr defaultRowHeight="14.4" x14ac:dyDescent="0.3"/>
  <cols>
    <col min="1" max="1" width="17.33203125" customWidth="1"/>
    <col min="2" max="2" width="15.5546875" customWidth="1"/>
    <col min="3" max="3" width="14.109375" customWidth="1"/>
    <col min="4" max="4" width="20.109375" customWidth="1"/>
    <col min="5" max="5" width="19.33203125" customWidth="1"/>
    <col min="6" max="6" width="16.109375" customWidth="1"/>
    <col min="7" max="7" width="13" customWidth="1"/>
    <col min="8" max="8" width="15.6640625" customWidth="1"/>
  </cols>
  <sheetData>
    <row r="1" spans="1:2" x14ac:dyDescent="0.3">
      <c r="A1" t="s">
        <v>144</v>
      </c>
      <c r="B1">
        <f>1.05*(B4+SUM(B5:B7)*1.3*0.5)</f>
        <v>50.977499999999999</v>
      </c>
    </row>
    <row r="4" spans="1:2" x14ac:dyDescent="0.3">
      <c r="A4" t="s">
        <v>145</v>
      </c>
      <c r="B4">
        <f>ТЭП!C6</f>
        <v>44</v>
      </c>
    </row>
    <row r="5" spans="1:2" x14ac:dyDescent="0.3">
      <c r="A5" t="s">
        <v>148</v>
      </c>
      <c r="B5">
        <f>ROUND($B$4*0.08,0)</f>
        <v>4</v>
      </c>
    </row>
    <row r="6" spans="1:2" x14ac:dyDescent="0.3">
      <c r="A6" t="s">
        <v>147</v>
      </c>
      <c r="B6">
        <f>ROUND($B$4*0.05,0)</f>
        <v>2</v>
      </c>
    </row>
    <row r="7" spans="1:2" x14ac:dyDescent="0.3">
      <c r="A7" t="s">
        <v>146</v>
      </c>
      <c r="B7">
        <f>ROUND($B$4*0.03,0)</f>
        <v>1</v>
      </c>
    </row>
    <row r="10" spans="1:2" x14ac:dyDescent="0.3">
      <c r="A10" t="s">
        <v>149</v>
      </c>
      <c r="B10">
        <f>ROUND(B1*0.3,0)</f>
        <v>15</v>
      </c>
    </row>
    <row r="11" spans="1:2" x14ac:dyDescent="0.3">
      <c r="A11" t="s">
        <v>150</v>
      </c>
      <c r="B11">
        <f>ROUND(B1*0.7,0)</f>
        <v>36</v>
      </c>
    </row>
    <row r="13" spans="1:2" x14ac:dyDescent="0.3">
      <c r="A13" t="s">
        <v>152</v>
      </c>
      <c r="B13">
        <f>1.04*B11</f>
        <v>37.44</v>
      </c>
    </row>
    <row r="14" spans="1:2" x14ac:dyDescent="0.3">
      <c r="A14" t="s">
        <v>151</v>
      </c>
      <c r="B14">
        <f>1.04*B10</f>
        <v>15.600000000000001</v>
      </c>
    </row>
    <row r="17" spans="1:8" ht="72.599999999999994" thickBot="1" x14ac:dyDescent="0.35">
      <c r="A17" s="156" t="s">
        <v>153</v>
      </c>
      <c r="B17" s="156" t="s">
        <v>154</v>
      </c>
      <c r="C17" s="156" t="s">
        <v>155</v>
      </c>
      <c r="D17" s="156" t="s">
        <v>156</v>
      </c>
      <c r="E17" s="156" t="s">
        <v>157</v>
      </c>
      <c r="F17" s="156" t="s">
        <v>158</v>
      </c>
      <c r="G17" s="156" t="s">
        <v>159</v>
      </c>
      <c r="H17" s="156" t="s">
        <v>160</v>
      </c>
    </row>
    <row r="18" spans="1:8" ht="15.6" x14ac:dyDescent="0.3">
      <c r="A18" s="150" t="s">
        <v>161</v>
      </c>
      <c r="B18" s="151"/>
      <c r="C18" s="206">
        <v>1.5</v>
      </c>
      <c r="D18" s="151"/>
      <c r="E18" s="157"/>
      <c r="F18" s="206" t="s">
        <v>164</v>
      </c>
      <c r="G18" s="157"/>
      <c r="H18" s="158"/>
    </row>
    <row r="19" spans="1:8" ht="15.6" x14ac:dyDescent="0.3">
      <c r="A19" s="152" t="s">
        <v>162</v>
      </c>
      <c r="B19" s="148">
        <f>B11</f>
        <v>36</v>
      </c>
      <c r="C19" s="207"/>
      <c r="D19" s="148">
        <f>B19*C18</f>
        <v>54</v>
      </c>
      <c r="E19" s="149">
        <v>14.4</v>
      </c>
      <c r="F19" s="207"/>
      <c r="G19" s="149" t="s">
        <v>178</v>
      </c>
      <c r="H19" s="159">
        <v>2</v>
      </c>
    </row>
    <row r="20" spans="1:8" ht="16.2" thickBot="1" x14ac:dyDescent="0.35">
      <c r="A20" s="153" t="s">
        <v>163</v>
      </c>
      <c r="B20" s="160">
        <f>B10</f>
        <v>15</v>
      </c>
      <c r="C20" s="208"/>
      <c r="D20" s="155">
        <f>B20*C18</f>
        <v>22.5</v>
      </c>
      <c r="E20" s="161">
        <v>24.5</v>
      </c>
      <c r="F20" s="208"/>
      <c r="G20" s="161" t="s">
        <v>177</v>
      </c>
      <c r="H20" s="162">
        <v>2</v>
      </c>
    </row>
    <row r="21" spans="1:8" ht="15.6" x14ac:dyDescent="0.3">
      <c r="A21" s="150" t="s">
        <v>166</v>
      </c>
      <c r="B21" s="151"/>
      <c r="C21" s="206">
        <v>0.54</v>
      </c>
      <c r="D21" s="151"/>
      <c r="E21" s="206">
        <v>24.4</v>
      </c>
      <c r="F21" s="206" t="s">
        <v>164</v>
      </c>
      <c r="G21" s="206" t="s">
        <v>167</v>
      </c>
      <c r="H21" s="209">
        <v>1</v>
      </c>
    </row>
    <row r="22" spans="1:8" ht="15.6" x14ac:dyDescent="0.3">
      <c r="A22" s="152" t="s">
        <v>162</v>
      </c>
      <c r="B22" s="148">
        <f>B11</f>
        <v>36</v>
      </c>
      <c r="C22" s="207"/>
      <c r="D22" s="148">
        <f>B22*C21</f>
        <v>19.440000000000001</v>
      </c>
      <c r="E22" s="207"/>
      <c r="F22" s="207"/>
      <c r="G22" s="207"/>
      <c r="H22" s="210"/>
    </row>
    <row r="23" spans="1:8" ht="16.2" thickBot="1" x14ac:dyDescent="0.35">
      <c r="A23" s="153" t="s">
        <v>163</v>
      </c>
      <c r="B23" s="154">
        <f>B10</f>
        <v>15</v>
      </c>
      <c r="C23" s="208"/>
      <c r="D23" s="155">
        <f>B23*C21</f>
        <v>8.1000000000000014</v>
      </c>
      <c r="E23" s="208"/>
      <c r="F23" s="208"/>
      <c r="G23" s="208"/>
      <c r="H23" s="211"/>
    </row>
    <row r="24" spans="1:8" ht="31.8" thickBot="1" x14ac:dyDescent="0.35">
      <c r="A24" s="163" t="s">
        <v>168</v>
      </c>
      <c r="B24" s="164">
        <v>2</v>
      </c>
      <c r="C24" s="164" t="s">
        <v>169</v>
      </c>
      <c r="D24" s="164">
        <v>9</v>
      </c>
      <c r="E24" s="164" t="s">
        <v>170</v>
      </c>
      <c r="F24" s="164" t="s">
        <v>171</v>
      </c>
      <c r="G24" s="164" t="s">
        <v>165</v>
      </c>
      <c r="H24" s="165">
        <v>1</v>
      </c>
    </row>
    <row r="25" spans="1:8" ht="15.6" customHeight="1" x14ac:dyDescent="0.3">
      <c r="A25" s="215" t="s">
        <v>172</v>
      </c>
      <c r="B25" s="206">
        <f>ROUND(B1,0)</f>
        <v>51</v>
      </c>
      <c r="C25" s="206">
        <v>0.2</v>
      </c>
      <c r="D25" s="206">
        <f>C25*B25</f>
        <v>10.200000000000001</v>
      </c>
      <c r="E25" s="206" t="s">
        <v>173</v>
      </c>
      <c r="F25" s="206" t="s">
        <v>164</v>
      </c>
      <c r="G25" s="206" t="s">
        <v>174</v>
      </c>
      <c r="H25" s="209">
        <v>1</v>
      </c>
    </row>
    <row r="26" spans="1:8" ht="15.6" customHeight="1" thickBot="1" x14ac:dyDescent="0.35">
      <c r="A26" s="216"/>
      <c r="B26" s="208"/>
      <c r="C26" s="208"/>
      <c r="D26" s="208"/>
      <c r="E26" s="208"/>
      <c r="F26" s="208"/>
      <c r="G26" s="208"/>
      <c r="H26" s="211"/>
    </row>
    <row r="27" spans="1:8" ht="15.6" x14ac:dyDescent="0.3">
      <c r="A27" s="150" t="s">
        <v>175</v>
      </c>
      <c r="B27" s="157"/>
      <c r="C27" s="206">
        <v>0.1</v>
      </c>
      <c r="D27" s="151"/>
      <c r="E27" s="206">
        <v>2.1</v>
      </c>
      <c r="F27" s="206" t="s">
        <v>164</v>
      </c>
      <c r="G27" s="206" t="s">
        <v>176</v>
      </c>
      <c r="H27" s="212">
        <v>3</v>
      </c>
    </row>
    <row r="28" spans="1:8" ht="15.6" x14ac:dyDescent="0.3">
      <c r="A28" s="152" t="s">
        <v>162</v>
      </c>
      <c r="B28" s="149">
        <f>B11</f>
        <v>36</v>
      </c>
      <c r="C28" s="207"/>
      <c r="D28" s="148">
        <f>B28*$C$27</f>
        <v>3.6</v>
      </c>
      <c r="E28" s="207"/>
      <c r="F28" s="207"/>
      <c r="G28" s="207"/>
      <c r="H28" s="213"/>
    </row>
    <row r="29" spans="1:8" ht="16.2" thickBot="1" x14ac:dyDescent="0.35">
      <c r="A29" s="153" t="s">
        <v>163</v>
      </c>
      <c r="B29" s="161">
        <f>B10</f>
        <v>15</v>
      </c>
      <c r="C29" s="208"/>
      <c r="D29" s="160">
        <f>B29*$C$27</f>
        <v>1.5</v>
      </c>
      <c r="E29" s="208"/>
      <c r="F29" s="208"/>
      <c r="G29" s="208"/>
      <c r="H29" s="214"/>
    </row>
    <row r="30" spans="1:8" ht="31.2" customHeight="1" x14ac:dyDescent="0.3">
      <c r="A30" s="217" t="s">
        <v>179</v>
      </c>
      <c r="B30" s="206">
        <f>ROUND(B1,0)</f>
        <v>51</v>
      </c>
      <c r="C30" s="219">
        <v>1</v>
      </c>
      <c r="D30" s="219">
        <f>B30*C30</f>
        <v>51</v>
      </c>
      <c r="E30" s="166">
        <v>14.4</v>
      </c>
      <c r="F30" s="206" t="s">
        <v>164</v>
      </c>
      <c r="G30" s="166" t="s">
        <v>178</v>
      </c>
      <c r="H30" s="167">
        <v>2</v>
      </c>
    </row>
    <row r="31" spans="1:8" ht="15" thickBot="1" x14ac:dyDescent="0.35">
      <c r="A31" s="218"/>
      <c r="B31" s="208"/>
      <c r="C31" s="220"/>
      <c r="D31" s="220"/>
      <c r="E31" s="168">
        <v>23.5</v>
      </c>
      <c r="F31" s="208"/>
      <c r="G31" s="168" t="s">
        <v>180</v>
      </c>
      <c r="H31" s="169">
        <v>1</v>
      </c>
    </row>
  </sheetData>
  <mergeCells count="25">
    <mergeCell ref="A30:A31"/>
    <mergeCell ref="C27:C29"/>
    <mergeCell ref="G27:G29"/>
    <mergeCell ref="F27:F29"/>
    <mergeCell ref="E27:E29"/>
    <mergeCell ref="B30:B31"/>
    <mergeCell ref="C30:C31"/>
    <mergeCell ref="D30:D31"/>
    <mergeCell ref="F30:F31"/>
    <mergeCell ref="H27:H29"/>
    <mergeCell ref="H25:H26"/>
    <mergeCell ref="F25:F26"/>
    <mergeCell ref="A25:A26"/>
    <mergeCell ref="B25:B26"/>
    <mergeCell ref="C25:C26"/>
    <mergeCell ref="D25:D26"/>
    <mergeCell ref="E25:E26"/>
    <mergeCell ref="G25:G26"/>
    <mergeCell ref="C18:C20"/>
    <mergeCell ref="G21:G23"/>
    <mergeCell ref="H21:H23"/>
    <mergeCell ref="F18:F20"/>
    <mergeCell ref="F21:F23"/>
    <mergeCell ref="C21:C23"/>
    <mergeCell ref="E21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исходники</vt:lpstr>
      <vt:lpstr>земляные работы</vt:lpstr>
      <vt:lpstr>объемы работ</vt:lpstr>
      <vt:lpstr>календарный план</vt:lpstr>
      <vt:lpstr>ТЭП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2021-06-10T11:04:58Z</dcterms:modified>
</cp:coreProperties>
</file>