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iplom\ASK_Diplom\BaMWPart\documentation\calculation\"/>
    </mc:Choice>
  </mc:AlternateContent>
  <xr:revisionPtr revIDLastSave="0" documentId="13_ncr:1_{C3987651-3494-4569-ADD6-55F9C8DA2BB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исходники" sheetId="1" r:id="rId1"/>
    <sheet name="земляные работы" sheetId="2" r:id="rId2"/>
    <sheet name="объемы работ" sheetId="3" r:id="rId3"/>
    <sheet name="календарный план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W18" i="4" l="1"/>
  <c r="DI17" i="4"/>
  <c r="DI16" i="4"/>
  <c r="CU15" i="4"/>
  <c r="H14" i="4"/>
  <c r="CO14" i="4"/>
  <c r="CO13" i="4"/>
  <c r="E23" i="3"/>
  <c r="F23" i="3"/>
  <c r="D13" i="4"/>
  <c r="CG12" i="4"/>
  <c r="AZ11" i="4"/>
  <c r="BK11" i="4"/>
  <c r="AP10" i="4"/>
  <c r="AI9" i="4"/>
  <c r="BG10" i="4"/>
  <c r="AO9" i="4"/>
  <c r="AH8" i="4"/>
  <c r="H8" i="4"/>
  <c r="AA7" i="4"/>
  <c r="R5" i="4"/>
  <c r="T4" i="4"/>
  <c r="B24" i="1"/>
  <c r="B3" i="1"/>
  <c r="D14" i="1"/>
  <c r="B14" i="4"/>
  <c r="B15" i="4"/>
  <c r="B13" i="4"/>
  <c r="D20" i="3"/>
  <c r="C12" i="4" s="1"/>
  <c r="B12" i="4"/>
  <c r="B11" i="4"/>
  <c r="B10" i="4"/>
  <c r="B9" i="4"/>
  <c r="B8" i="4"/>
  <c r="B7" i="4"/>
  <c r="B6" i="4"/>
  <c r="B5" i="4"/>
  <c r="C4" i="1" l="1"/>
  <c r="C5" i="1"/>
  <c r="C6" i="1"/>
  <c r="C7" i="1"/>
  <c r="C8" i="1"/>
  <c r="C9" i="1"/>
  <c r="C17" i="2" s="1"/>
  <c r="D17" i="2" s="1"/>
  <c r="C3" i="1"/>
  <c r="E17" i="2"/>
  <c r="A17" i="2"/>
  <c r="E16" i="2"/>
  <c r="C16" i="2"/>
  <c r="D16" i="2" s="1"/>
  <c r="A16" i="2"/>
  <c r="E15" i="2"/>
  <c r="C15" i="2"/>
  <c r="D15" i="2" s="1"/>
  <c r="A15" i="2"/>
  <c r="E14" i="2"/>
  <c r="A14" i="2"/>
  <c r="E13" i="2"/>
  <c r="D13" i="2"/>
  <c r="C13" i="2"/>
  <c r="A13" i="2"/>
  <c r="E12" i="2"/>
  <c r="D12" i="2"/>
  <c r="C12" i="2"/>
  <c r="A12" i="2"/>
  <c r="A11" i="2"/>
  <c r="E11" i="2" s="1"/>
  <c r="B8" i="2"/>
  <c r="D19" i="3"/>
  <c r="H19" i="3" s="1"/>
  <c r="D18" i="3"/>
  <c r="H18" i="3" s="1"/>
  <c r="D17" i="3"/>
  <c r="C11" i="4" s="1"/>
  <c r="F19" i="3"/>
  <c r="D21" i="3"/>
  <c r="H21" i="3" s="1"/>
  <c r="D15" i="3"/>
  <c r="H15" i="3" s="1"/>
  <c r="D14" i="3"/>
  <c r="H14" i="3" s="1"/>
  <c r="D13" i="3"/>
  <c r="H13" i="3" s="1"/>
  <c r="D12" i="3"/>
  <c r="H12" i="3" s="1"/>
  <c r="D11" i="3"/>
  <c r="C10" i="4" s="1"/>
  <c r="G5" i="3"/>
  <c r="G4" i="3"/>
  <c r="F16" i="3"/>
  <c r="G9" i="3"/>
  <c r="E9" i="3"/>
  <c r="G7" i="3"/>
  <c r="E7" i="3"/>
  <c r="E6" i="3"/>
  <c r="E18" i="2" l="1"/>
  <c r="C14" i="2"/>
  <c r="D14" i="2" s="1"/>
  <c r="F18" i="3"/>
  <c r="F21" i="3"/>
  <c r="F12" i="3"/>
  <c r="F20" i="3"/>
  <c r="F15" i="3"/>
  <c r="F14" i="3"/>
  <c r="F13" i="3"/>
  <c r="H11" i="3"/>
  <c r="G10" i="4" s="1"/>
  <c r="H17" i="3"/>
  <c r="G11" i="4" s="1"/>
  <c r="F17" i="3"/>
  <c r="D11" i="4" s="1"/>
  <c r="H11" i="4" s="1"/>
  <c r="E11" i="4" s="1"/>
  <c r="H20" i="3"/>
  <c r="F11" i="3"/>
  <c r="D10" i="4" s="1"/>
  <c r="H10" i="4" s="1"/>
  <c r="E10" i="4" s="1"/>
  <c r="F22" i="3" l="1"/>
  <c r="D12" i="4"/>
  <c r="H12" i="4" s="1"/>
  <c r="E12" i="4" s="1"/>
  <c r="H22" i="3"/>
  <c r="G12" i="4"/>
  <c r="B8" i="1"/>
  <c r="D8" i="1" s="1"/>
  <c r="B9" i="1"/>
  <c r="D9" i="1" s="1"/>
  <c r="D4" i="1"/>
  <c r="D5" i="1"/>
  <c r="D6" i="1"/>
  <c r="D7" i="1"/>
  <c r="D3" i="1"/>
  <c r="F5" i="1"/>
  <c r="B6" i="1"/>
  <c r="B7" i="1"/>
  <c r="B5" i="1"/>
  <c r="B4" i="1"/>
  <c r="E3" i="1" l="1"/>
  <c r="E4" i="1"/>
  <c r="E9" i="1"/>
  <c r="F7" i="1"/>
  <c r="E7" i="1"/>
  <c r="B15" i="2" s="1"/>
  <c r="G15" i="2" s="1"/>
  <c r="F4" i="1"/>
  <c r="E6" i="1"/>
  <c r="F6" i="1"/>
  <c r="E5" i="1"/>
  <c r="B13" i="2" s="1"/>
  <c r="E8" i="1"/>
  <c r="F3" i="1"/>
  <c r="C11" i="2"/>
  <c r="B11" i="2"/>
  <c r="F13" i="2"/>
  <c r="G13" i="2"/>
  <c r="F8" i="1"/>
  <c r="F9" i="1"/>
  <c r="B10" i="1"/>
  <c r="B2" i="2" s="1"/>
  <c r="F15" i="2" l="1"/>
  <c r="B14" i="2"/>
  <c r="B17" i="2"/>
  <c r="B16" i="2"/>
  <c r="B12" i="2"/>
  <c r="B18" i="2"/>
  <c r="D11" i="2"/>
  <c r="C18" i="2"/>
  <c r="B6" i="2"/>
  <c r="D5" i="3" s="1"/>
  <c r="B4" i="2"/>
  <c r="D4" i="3" s="1"/>
  <c r="J13" i="2"/>
  <c r="H13" i="2"/>
  <c r="I13" i="2" s="1"/>
  <c r="J15" i="2"/>
  <c r="H15" i="2"/>
  <c r="I15" i="2" s="1"/>
  <c r="F16" i="2" l="1"/>
  <c r="G16" i="2"/>
  <c r="G17" i="2"/>
  <c r="F17" i="2"/>
  <c r="G12" i="2"/>
  <c r="F12" i="2"/>
  <c r="G14" i="2"/>
  <c r="F14" i="2"/>
  <c r="H4" i="3"/>
  <c r="C5" i="4"/>
  <c r="F4" i="3"/>
  <c r="F5" i="3"/>
  <c r="C6" i="4"/>
  <c r="H5" i="3"/>
  <c r="D18" i="2"/>
  <c r="G11" i="2"/>
  <c r="F11" i="2"/>
  <c r="G18" i="2" l="1"/>
  <c r="D6" i="3" s="1"/>
  <c r="H6" i="3" s="1"/>
  <c r="J17" i="2"/>
  <c r="H17" i="2"/>
  <c r="I17" i="2"/>
  <c r="H14" i="2"/>
  <c r="I14" i="2" s="1"/>
  <c r="J14" i="2"/>
  <c r="J12" i="2"/>
  <c r="H12" i="2"/>
  <c r="I12" i="2" s="1"/>
  <c r="H16" i="2"/>
  <c r="I16" i="2" s="1"/>
  <c r="J16" i="2"/>
  <c r="D5" i="4"/>
  <c r="H5" i="4" s="1"/>
  <c r="E5" i="4" s="1"/>
  <c r="D7" i="3"/>
  <c r="D9" i="3"/>
  <c r="D8" i="3"/>
  <c r="J11" i="2"/>
  <c r="F18" i="2"/>
  <c r="H11" i="2"/>
  <c r="G5" i="4"/>
  <c r="C7" i="4" l="1"/>
  <c r="F6" i="3"/>
  <c r="H18" i="2"/>
  <c r="D23" i="3" s="1"/>
  <c r="C13" i="4" s="1"/>
  <c r="J18" i="2"/>
  <c r="D25" i="3" s="1"/>
  <c r="C9" i="4"/>
  <c r="F9" i="3"/>
  <c r="D9" i="4" s="1"/>
  <c r="H9" i="4" s="1"/>
  <c r="E9" i="4" s="1"/>
  <c r="H9" i="3"/>
  <c r="G9" i="4" s="1"/>
  <c r="F7" i="3"/>
  <c r="F10" i="3" s="1"/>
  <c r="H7" i="3"/>
  <c r="C8" i="4"/>
  <c r="F8" i="3"/>
  <c r="D8" i="4" s="1"/>
  <c r="E8" i="4" s="1"/>
  <c r="I11" i="2"/>
  <c r="I18" i="2" s="1"/>
  <c r="D24" i="3" s="1"/>
  <c r="D7" i="4" l="1"/>
  <c r="H7" i="4" s="1"/>
  <c r="E7" i="4" s="1"/>
  <c r="H13" i="4"/>
  <c r="E13" i="4" s="1"/>
  <c r="H23" i="3"/>
  <c r="G13" i="4" s="1"/>
  <c r="C15" i="4"/>
  <c r="F25" i="3"/>
  <c r="D15" i="4" s="1"/>
  <c r="H15" i="4" s="1"/>
  <c r="E15" i="4" s="1"/>
  <c r="H25" i="3"/>
  <c r="C14" i="4"/>
  <c r="F24" i="3"/>
  <c r="G7" i="4"/>
  <c r="H10" i="3"/>
  <c r="G15" i="4" l="1"/>
  <c r="H26" i="3"/>
  <c r="H31" i="3" s="1"/>
  <c r="D14" i="4"/>
  <c r="E14" i="4" s="1"/>
  <c r="F26" i="3"/>
  <c r="F31" i="3" s="1"/>
  <c r="H35" i="3" l="1"/>
  <c r="D16" i="4" s="1"/>
  <c r="H16" i="4" s="1"/>
  <c r="E16" i="4" s="1"/>
  <c r="H39" i="3"/>
  <c r="D18" i="4" s="1"/>
  <c r="H18" i="4" s="1"/>
  <c r="E18" i="4" s="1"/>
  <c r="H33" i="3"/>
  <c r="D4" i="4" s="1"/>
  <c r="H4" i="4" s="1"/>
  <c r="E4" i="4" s="1"/>
  <c r="H37" i="3"/>
  <c r="D17" i="4" s="1"/>
  <c r="H17" i="4" s="1"/>
  <c r="E17" i="4" s="1"/>
</calcChain>
</file>

<file path=xl/sharedStrings.xml><?xml version="1.0" encoding="utf-8"?>
<sst xmlns="http://schemas.openxmlformats.org/spreadsheetml/2006/main" count="155" uniqueCount="117">
  <si>
    <t>диаметр</t>
  </si>
  <si>
    <t>длина</t>
  </si>
  <si>
    <t>глубина =</t>
  </si>
  <si>
    <t>толщина растительного слоя</t>
  </si>
  <si>
    <t>м</t>
  </si>
  <si>
    <t>грунт =</t>
  </si>
  <si>
    <t>супесь 1гр.</t>
  </si>
  <si>
    <t xml:space="preserve">длина трубы = </t>
  </si>
  <si>
    <t>Sср =</t>
  </si>
  <si>
    <t>м^2</t>
  </si>
  <si>
    <t>∑</t>
  </si>
  <si>
    <t>Vср =</t>
  </si>
  <si>
    <t>м^3</t>
  </si>
  <si>
    <t>Sпл =</t>
  </si>
  <si>
    <t>число проходок бульдозером =</t>
  </si>
  <si>
    <t>a</t>
  </si>
  <si>
    <t>b</t>
  </si>
  <si>
    <t>c</t>
  </si>
  <si>
    <t>d</t>
  </si>
  <si>
    <t>B =</t>
  </si>
  <si>
    <t>m =</t>
  </si>
  <si>
    <t>Vтр</t>
  </si>
  <si>
    <t>H =</t>
  </si>
  <si>
    <t>Sпл</t>
  </si>
  <si>
    <t>Vрд</t>
  </si>
  <si>
    <t>Vоз</t>
  </si>
  <si>
    <t>Vотв</t>
  </si>
  <si>
    <t>Vоз мех</t>
  </si>
  <si>
    <t>Vоз ручн</t>
  </si>
  <si>
    <t>Vдш</t>
  </si>
  <si>
    <t>Основание HPP</t>
  </si>
  <si>
    <t>Наименование</t>
  </si>
  <si>
    <t>Ед. измер</t>
  </si>
  <si>
    <t>Объем работ</t>
  </si>
  <si>
    <t>затраты труда чел/час</t>
  </si>
  <si>
    <t>затраты машин времени маш/час</t>
  </si>
  <si>
    <t>Наименование единиц материалов и изделий</t>
  </si>
  <si>
    <t>на ед.</t>
  </si>
  <si>
    <t>всего</t>
  </si>
  <si>
    <t>Е1-24-1</t>
  </si>
  <si>
    <t>1000м^3</t>
  </si>
  <si>
    <t>Е1-30-1</t>
  </si>
  <si>
    <t>Е1-12-13</t>
  </si>
  <si>
    <t>Е1-17-13</t>
  </si>
  <si>
    <t>E1-164-1</t>
  </si>
  <si>
    <t>100м</t>
  </si>
  <si>
    <t>Е16-29-1</t>
  </si>
  <si>
    <t>гидравлические испытания</t>
  </si>
  <si>
    <t>Е24-118-1</t>
  </si>
  <si>
    <t>Е1-27-1</t>
  </si>
  <si>
    <t>Е1-166-1</t>
  </si>
  <si>
    <t>Е1-134-1</t>
  </si>
  <si>
    <t>Vтрубы</t>
  </si>
  <si>
    <t>Е24-1-1</t>
  </si>
  <si>
    <t>ПРОКЛАДКА ТРУБОПРОВОДОВ В КАНАЛАХ И НАДЗЕМНАЯ ПРИ УСЛОВНОМ ДАВЛЕНИИ 0,6 МПА, ТЕМПЕРАТУРЕ 115 ГРАД.С, ДИАМЕТРОМ ТРУБ 50 ММ</t>
  </si>
  <si>
    <t>Е24-1-2</t>
  </si>
  <si>
    <t>ПРОКЛАДКА ТРУБОПРОВОДОВ В КАНАЛАХ И НАДЗЕМНАЯ ПРИ УСЛОВНОМ ДАВЛЕНИИ 0,6 МПА, ТЕМПЕРАТУРЕ 115 ГРАД.С, ДИАМЕТРОМ ТРУБ 70 ММ</t>
  </si>
  <si>
    <t>ПРОКЛАДКА ТРУБОПРОВОДОВ В КАНАЛАХ И НАДЗЕМНАЯ ПРИ УСЛОВНОМ ДАВЛЕНИИ 0,6 МПА, ТЕМПЕРАТУРЕ 115 ГРАД.С, ДИАМЕТРОМ ТРУБ 80 ММ</t>
  </si>
  <si>
    <t>Е24-1-3</t>
  </si>
  <si>
    <t>ПРОДУВКА И ПНЕВМАТИЧЕСКОЕ ИСПЫТАНИЕ ТРУБОПРОВОДА (ПРОЧНОСТЬ И ГЕРМЕТИЧНОСТЬ) ДИАМЕТРОМ ДО 100 ММ</t>
  </si>
  <si>
    <t>ПРОДУВКА И ПНЕВМАТИЧЕСКОЕ ИСПЫТАНИЕ ТРУБОПРОВОДА (ПРОЧНОСТЬ И ГЕРМЕТИЧНОСТЬ) ДИАМЕТРОМ ДО 300 ММ</t>
  </si>
  <si>
    <t>Е24-118-3</t>
  </si>
  <si>
    <t>НАНЕСЕНИЕ НОРМАЛЬНОЙ АНТИКОРРОЗИОННОЙ БИТУМНО-ПОЛИМЕРНОЙ ИЗОЛЯЦИИ НА СТАЛЬНЫЕ ТРУБОПРОВОДЫ ДИАМЕТРОМ 100 ММ</t>
  </si>
  <si>
    <t>НАНЕСЕНИЕ НОРМАЛЬНОЙ АНТИКОРРОЗИОННОЙ БИТУМНО-ПОЛИМЕРНОЙ ИЗОЛЯЦИИ НА СТАЛЬНЫЕ ТРУБОПРОВОДЫ ДИАМЕТРОМ 50 ММ</t>
  </si>
  <si>
    <t>НАНЕСЕНИЕ НОРМАЛЬНОЙ АНТИКОРРОЗИОННОЙ БИТУМНО-ПОЛИМЕРНОЙ ИЗОЛЯЦИИ НА СТАЛЬНЫЕ ТРУБОПРОВОДЫ ДИАМЕТРОМ 300 ММ</t>
  </si>
  <si>
    <t>РАЗРАБОТКА ГРУНТА В ОТВАЛ ЭКСКАВАТОРАМИ "ДРАГЛАЙН" ИЛИ "ОБРАТНАЯ ЛОПАТА" С КОВШОМ ВМЕСТИМОСТЬЮ 0,5 (0,5-0,63) М3, ГРУНТ 1 ГРУППЫ</t>
  </si>
  <si>
    <t>РАЗРАБОТКА ГРУНТА С ПОГРУЗКОЙ НА АВТОМОБИЛИ-САМОСВАЛЫ ЭКСКАВАТОРАМИ С КОВШОМ ВМЕСТИМОСТЬЮ 0,5 (0,5-0,63) М3, ГРУНТ 1 ГРУППЫ</t>
  </si>
  <si>
    <t>РАЗРАБОТКА ГРУНТА БУЛЬДОЗЕРАМИ МОЩНОСТЬЮ 59 (80) КВТ (Л.С.) ПРИ ПЕРЕМЕЩЕНИИ ГРУНТА ДО 10 М, ГРУНТ 1 ГРУППЫ</t>
  </si>
  <si>
    <t>ПЛАНИРОВКА ПЛОЩАДЕЙ БУЛЬДОЗЕРАМИ МОЩНОСТЬЮ 59 (80) КВТ (Л.С.)</t>
  </si>
  <si>
    <t>РАЗРАБОТКА ГРУНТА ВРУЧНУЮ В ТРАНШЕЯХ ГЛУБИНОЙ ДО 2 М БЕЗ КРЕПЛЕНИЙ С ОТКОСАМИ, ГРУНТ 1 ГРУППЫ</t>
  </si>
  <si>
    <t>ЗАСЫПКА ВРУЧНУЮ ТРАНШЕЙ, ПАЗУХ КОТЛОВАНОВ И ЯМ, ГРУНТ 1 ГРУППЫ</t>
  </si>
  <si>
    <t>УПЛОТНЕНИЕ ГРУНТА ПНЕВМАТИЧЕСКИМИ ТРАМБОВКАМИ, ГРУНТ 1-2 ГРУППЫ</t>
  </si>
  <si>
    <t>ЗАСЫПКА ТРАНШЕЙ И КОТЛОВАНОВ БУЛЬДОЗЕРАМИ МОЩНОСТЬЮ 59 (80) КВТ (Л.С.) ПРИ ПЕРЕМЕЩЕНИИ ГРУНТА ДО 5 М, ГРУНТ 1 ГРУППЫ</t>
  </si>
  <si>
    <t>E11-2-1</t>
  </si>
  <si>
    <t>УСТРОЙСТВО ПОДСТИЛАЮЩИХ СЛОЕВ ПЕСЧАНЫХ</t>
  </si>
  <si>
    <t>Е22-18-8</t>
  </si>
  <si>
    <t>Е22-18-3</t>
  </si>
  <si>
    <t>Е22-18-1</t>
  </si>
  <si>
    <t>1000м^2</t>
  </si>
  <si>
    <t>100м^3</t>
  </si>
  <si>
    <t>1м^3</t>
  </si>
  <si>
    <t>1км</t>
  </si>
  <si>
    <t>Наименование работ</t>
  </si>
  <si>
    <t>единицы измерения</t>
  </si>
  <si>
    <t>объем работ</t>
  </si>
  <si>
    <t>затраты труда чел-дн</t>
  </si>
  <si>
    <t>требуемые машины</t>
  </si>
  <si>
    <t>по норме</t>
  </si>
  <si>
    <t>по плану</t>
  </si>
  <si>
    <t>наименование</t>
  </si>
  <si>
    <t>затраты машинного времени</t>
  </si>
  <si>
    <t>продолжительность работ</t>
  </si>
  <si>
    <t>число смен</t>
  </si>
  <si>
    <t>количество работников</t>
  </si>
  <si>
    <t>состав бригады</t>
  </si>
  <si>
    <t>подготовка территории строительной площадки</t>
  </si>
  <si>
    <t>разработка грунта вручную</t>
  </si>
  <si>
    <t>разработка грунта в траншее</t>
  </si>
  <si>
    <t>песчаная подготовка</t>
  </si>
  <si>
    <t>гидроизоляция сварных стыков</t>
  </si>
  <si>
    <t>продувка и пневматические испытания</t>
  </si>
  <si>
    <t>обратная засыпка механическая</t>
  </si>
  <si>
    <t>обратная засыпка вручную</t>
  </si>
  <si>
    <t>уплотнение обратной засыпки</t>
  </si>
  <si>
    <t>прочиен работы</t>
  </si>
  <si>
    <t>благоустройство</t>
  </si>
  <si>
    <t>сдача объекта</t>
  </si>
  <si>
    <t>срезка растительного слоя</t>
  </si>
  <si>
    <t>подготовка территорий</t>
  </si>
  <si>
    <t>прочие работы</t>
  </si>
  <si>
    <t>%</t>
  </si>
  <si>
    <t>-</t>
  </si>
  <si>
    <t>Е24-1-4</t>
  </si>
  <si>
    <t>ПРОКЛАДКА ТРУБОПРОВОДОВ В КАНАЛАХ И НАДЗЕМНАЯ ПРИ УСЛОВНОМ ДАВЛЕНИИ 0,6 МПА, ТЕМПЕРАТУРЕ 115 ГРАД.С, ДИАМЕТРОМ ТРУБ 100 ММ</t>
  </si>
  <si>
    <t>Е24-1-9</t>
  </si>
  <si>
    <t>ПРОКЛАДКА ТРУБОПРОВОДОВ В КАНАЛАХ И НАДЗЕМНАЯ ПРИ УСЛОВНОМ ДАВЛЕНИИ 0,6 МПА, ТЕМПЕРАТУРЕ 115 ГРАД.С, ДИАМЕТРОМ ТРУБ 300 ММ</t>
  </si>
  <si>
    <t>укладка труб со сваркой стыков и гидравлические испытания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</si>
</sst>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Times New Roman"/>
      <family val="1"/>
      <charset val="204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212529"/>
      <name val="Segoe UI"/>
      <family val="2"/>
    </font>
    <font>
      <sz val="18"/>
      <color theme="1"/>
      <name val="Calibri"/>
      <family val="2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F85E"/>
        <bgColor indexed="64"/>
      </patternFill>
    </fill>
    <fill>
      <patternFill patternType="solid">
        <fgColor theme="8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Fill="1" applyBorder="1"/>
    <xf numFmtId="164" fontId="0" fillId="0" borderId="1" xfId="0" applyNumberFormat="1" applyBorder="1"/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49" fontId="3" fillId="0" borderId="8" xfId="0" applyNumberFormat="1" applyFont="1" applyBorder="1"/>
    <xf numFmtId="0" fontId="3" fillId="0" borderId="8" xfId="0" applyFont="1" applyBorder="1"/>
    <xf numFmtId="49" fontId="3" fillId="0" borderId="8" xfId="0" applyNumberFormat="1" applyFont="1" applyBorder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/>
    <xf numFmtId="0" fontId="0" fillId="0" borderId="0" xfId="0" applyFont="1" applyFill="1"/>
    <xf numFmtId="49" fontId="3" fillId="0" borderId="12" xfId="0" applyNumberFormat="1" applyFont="1" applyBorder="1"/>
    <xf numFmtId="49" fontId="3" fillId="0" borderId="13" xfId="0" applyNumberFormat="1" applyFont="1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49" fontId="3" fillId="0" borderId="18" xfId="0" applyNumberFormat="1" applyFont="1" applyFill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49" fontId="5" fillId="0" borderId="25" xfId="0" applyNumberFormat="1" applyFont="1" applyFill="1" applyBorder="1"/>
    <xf numFmtId="49" fontId="5" fillId="0" borderId="26" xfId="0" applyNumberFormat="1" applyFont="1" applyFill="1" applyBorder="1" applyAlignment="1">
      <alignment wrapText="1"/>
    </xf>
    <xf numFmtId="49" fontId="3" fillId="0" borderId="26" xfId="0" applyNumberFormat="1" applyFont="1" applyFill="1" applyBorder="1" applyAlignment="1">
      <alignment wrapText="1"/>
    </xf>
    <xf numFmtId="0" fontId="2" fillId="0" borderId="28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49" fontId="3" fillId="3" borderId="1" xfId="0" applyNumberFormat="1" applyFont="1" applyFill="1" applyBorder="1" applyAlignment="1">
      <alignment horizontal="left" wrapText="1"/>
    </xf>
    <xf numFmtId="0" fontId="6" fillId="0" borderId="1" xfId="0" applyFont="1" applyFill="1" applyBorder="1" applyAlignment="1">
      <alignment wrapText="1"/>
    </xf>
    <xf numFmtId="0" fontId="0" fillId="2" borderId="16" xfId="0" applyFill="1" applyBorder="1"/>
    <xf numFmtId="0" fontId="0" fillId="2" borderId="2" xfId="0" applyFill="1" applyBorder="1"/>
    <xf numFmtId="0" fontId="0" fillId="2" borderId="17" xfId="0" applyFill="1" applyBorder="1"/>
    <xf numFmtId="49" fontId="3" fillId="2" borderId="18" xfId="0" applyNumberFormat="1" applyFont="1" applyFill="1" applyBorder="1" applyAlignment="1">
      <alignment wrapText="1"/>
    </xf>
    <xf numFmtId="49" fontId="3" fillId="2" borderId="19" xfId="0" applyNumberFormat="1" applyFont="1" applyFill="1" applyBorder="1"/>
    <xf numFmtId="0" fontId="3" fillId="2" borderId="0" xfId="0" applyFont="1" applyFill="1" applyBorder="1"/>
    <xf numFmtId="49" fontId="3" fillId="2" borderId="20" xfId="0" applyNumberFormat="1" applyFont="1" applyFill="1" applyBorder="1" applyAlignment="1">
      <alignment wrapText="1"/>
    </xf>
    <xf numFmtId="49" fontId="3" fillId="2" borderId="21" xfId="0" applyNumberFormat="1" applyFont="1" applyFill="1" applyBorder="1" applyAlignment="1">
      <alignment wrapText="1"/>
    </xf>
    <xf numFmtId="49" fontId="3" fillId="2" borderId="21" xfId="0" applyNumberFormat="1" applyFont="1" applyFill="1" applyBorder="1"/>
    <xf numFmtId="49" fontId="3" fillId="2" borderId="22" xfId="0" applyNumberFormat="1" applyFont="1" applyFill="1" applyBorder="1"/>
    <xf numFmtId="0" fontId="6" fillId="0" borderId="0" xfId="0" applyFont="1" applyBorder="1" applyAlignment="1">
      <alignment wrapText="1"/>
    </xf>
    <xf numFmtId="49" fontId="3" fillId="0" borderId="18" xfId="0" applyNumberFormat="1" applyFont="1" applyBorder="1" applyAlignment="1">
      <alignment horizontal="left" wrapText="1"/>
    </xf>
    <xf numFmtId="49" fontId="3" fillId="3" borderId="18" xfId="0" applyNumberFormat="1" applyFont="1" applyFill="1" applyBorder="1" applyAlignment="1">
      <alignment horizontal="left" wrapText="1"/>
    </xf>
    <xf numFmtId="49" fontId="3" fillId="0" borderId="18" xfId="0" applyNumberFormat="1" applyFont="1" applyFill="1" applyBorder="1" applyAlignment="1">
      <alignment horizontal="left" wrapText="1"/>
    </xf>
    <xf numFmtId="49" fontId="3" fillId="0" borderId="20" xfId="0" applyNumberFormat="1" applyFont="1" applyFill="1" applyBorder="1" applyAlignment="1">
      <alignment wrapText="1"/>
    </xf>
    <xf numFmtId="0" fontId="6" fillId="0" borderId="29" xfId="0" applyFont="1" applyBorder="1" applyAlignment="1">
      <alignment wrapText="1"/>
    </xf>
    <xf numFmtId="49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2" fontId="3" fillId="3" borderId="19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2" fontId="3" fillId="0" borderId="19" xfId="0" applyNumberFormat="1" applyFont="1" applyFill="1" applyBorder="1" applyAlignment="1">
      <alignment horizontal="center" vertical="center" wrapText="1"/>
    </xf>
    <xf numFmtId="49" fontId="3" fillId="0" borderId="21" xfId="0" applyNumberFormat="1" applyFont="1" applyFill="1" applyBorder="1" applyAlignment="1">
      <alignment horizontal="center" vertical="center" wrapText="1"/>
    </xf>
    <xf numFmtId="2" fontId="3" fillId="0" borderId="21" xfId="0" applyNumberFormat="1" applyFont="1" applyFill="1" applyBorder="1" applyAlignment="1">
      <alignment horizontal="center" vertical="center" wrapText="1"/>
    </xf>
    <xf numFmtId="2" fontId="3" fillId="0" borderId="22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left"/>
    </xf>
    <xf numFmtId="0" fontId="6" fillId="0" borderId="31" xfId="0" applyFont="1" applyBorder="1" applyAlignment="1">
      <alignment wrapText="1"/>
    </xf>
    <xf numFmtId="49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left" wrapText="1"/>
    </xf>
    <xf numFmtId="0" fontId="6" fillId="0" borderId="21" xfId="0" applyFont="1" applyBorder="1" applyAlignment="1">
      <alignment wrapText="1"/>
    </xf>
    <xf numFmtId="49" fontId="3" fillId="0" borderId="21" xfId="0" applyNumberFormat="1" applyFont="1" applyBorder="1" applyAlignment="1">
      <alignment horizontal="center" vertical="center" wrapText="1"/>
    </xf>
    <xf numFmtId="2" fontId="3" fillId="0" borderId="21" xfId="0" applyNumberFormat="1" applyFont="1" applyBorder="1" applyAlignment="1">
      <alignment horizontal="center" vertical="center" wrapText="1"/>
    </xf>
    <xf numFmtId="2" fontId="3" fillId="0" borderId="22" xfId="0" applyNumberFormat="1" applyFont="1" applyBorder="1" applyAlignment="1">
      <alignment horizontal="center" vertical="center" wrapText="1"/>
    </xf>
    <xf numFmtId="49" fontId="3" fillId="0" borderId="32" xfId="0" applyNumberFormat="1" applyFont="1" applyBorder="1" applyAlignment="1">
      <alignment horizontal="left" wrapText="1"/>
    </xf>
    <xf numFmtId="49" fontId="3" fillId="0" borderId="33" xfId="0" applyNumberFormat="1" applyFont="1" applyFill="1" applyBorder="1" applyAlignment="1">
      <alignment horizontal="left" wrapText="1"/>
    </xf>
    <xf numFmtId="49" fontId="3" fillId="0" borderId="33" xfId="0" applyNumberFormat="1" applyFont="1" applyBorder="1" applyAlignment="1">
      <alignment horizontal="center" vertical="center" wrapText="1"/>
    </xf>
    <xf numFmtId="2" fontId="3" fillId="0" borderId="33" xfId="0" applyNumberFormat="1" applyFont="1" applyBorder="1" applyAlignment="1">
      <alignment horizontal="center" vertical="center" wrapText="1"/>
    </xf>
    <xf numFmtId="2" fontId="3" fillId="0" borderId="34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left" wrapText="1"/>
    </xf>
    <xf numFmtId="0" fontId="6" fillId="0" borderId="4" xfId="0" applyFont="1" applyBorder="1" applyAlignment="1">
      <alignment wrapText="1"/>
    </xf>
    <xf numFmtId="49" fontId="3" fillId="0" borderId="4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3" fillId="0" borderId="27" xfId="0" applyNumberFormat="1" applyFont="1" applyBorder="1" applyAlignment="1">
      <alignment horizontal="center" vertical="center" wrapText="1"/>
    </xf>
    <xf numFmtId="49" fontId="3" fillId="0" borderId="20" xfId="0" applyNumberFormat="1" applyFont="1" applyFill="1" applyBorder="1" applyAlignment="1">
      <alignment horizontal="left" wrapText="1"/>
    </xf>
    <xf numFmtId="49" fontId="3" fillId="0" borderId="32" xfId="0" applyNumberFormat="1" applyFont="1" applyFill="1" applyBorder="1" applyAlignment="1">
      <alignment wrapText="1"/>
    </xf>
    <xf numFmtId="49" fontId="3" fillId="0" borderId="33" xfId="0" applyNumberFormat="1" applyFont="1" applyFill="1" applyBorder="1" applyAlignment="1">
      <alignment wrapText="1"/>
    </xf>
    <xf numFmtId="49" fontId="3" fillId="0" borderId="33" xfId="0" applyNumberFormat="1" applyFont="1" applyFill="1" applyBorder="1" applyAlignment="1">
      <alignment horizontal="center" vertical="center" wrapText="1"/>
    </xf>
    <xf numFmtId="2" fontId="3" fillId="0" borderId="33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wrapText="1"/>
    </xf>
    <xf numFmtId="49" fontId="3" fillId="0" borderId="4" xfId="0" applyNumberFormat="1" applyFont="1" applyFill="1" applyBorder="1" applyAlignment="1">
      <alignment horizontal="center" vertical="center" wrapText="1"/>
    </xf>
    <xf numFmtId="2" fontId="3" fillId="0" borderId="4" xfId="0" applyNumberFormat="1" applyFont="1" applyFill="1" applyBorder="1" applyAlignment="1">
      <alignment horizontal="center" vertical="center" wrapText="1"/>
    </xf>
    <xf numFmtId="2" fontId="3" fillId="0" borderId="27" xfId="0" applyNumberFormat="1" applyFont="1" applyFill="1" applyBorder="1" applyAlignment="1">
      <alignment horizontal="center" vertical="center" wrapText="1"/>
    </xf>
    <xf numFmtId="2" fontId="3" fillId="0" borderId="35" xfId="0" applyNumberFormat="1" applyFont="1" applyFill="1" applyBorder="1" applyAlignment="1">
      <alignment horizontal="center" vertical="center" wrapText="1"/>
    </xf>
    <xf numFmtId="2" fontId="3" fillId="0" borderId="3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2" fontId="3" fillId="0" borderId="35" xfId="0" applyNumberFormat="1" applyFont="1" applyBorder="1" applyAlignment="1">
      <alignment horizontal="center" vertical="center" wrapText="1"/>
    </xf>
    <xf numFmtId="2" fontId="3" fillId="0" borderId="30" xfId="0" applyNumberFormat="1" applyFont="1" applyBorder="1" applyAlignment="1">
      <alignment horizontal="center" vertical="center" wrapText="1"/>
    </xf>
    <xf numFmtId="0" fontId="0" fillId="0" borderId="36" xfId="0" applyBorder="1"/>
    <xf numFmtId="0" fontId="0" fillId="0" borderId="37" xfId="0" applyBorder="1"/>
    <xf numFmtId="2" fontId="0" fillId="0" borderId="30" xfId="0" applyNumberFormat="1" applyBorder="1"/>
    <xf numFmtId="0" fontId="7" fillId="0" borderId="1" xfId="0" applyFont="1" applyBorder="1" applyAlignment="1">
      <alignment vertical="center"/>
    </xf>
    <xf numFmtId="2" fontId="8" fillId="0" borderId="1" xfId="0" applyNumberFormat="1" applyFont="1" applyBorder="1" applyAlignment="1">
      <alignment vertical="center"/>
    </xf>
    <xf numFmtId="0" fontId="0" fillId="0" borderId="9" xfId="0" applyBorder="1"/>
    <xf numFmtId="0" fontId="0" fillId="0" borderId="1" xfId="0" applyBorder="1" applyAlignment="1">
      <alignment vertical="center" wrapText="1"/>
    </xf>
    <xf numFmtId="0" fontId="0" fillId="0" borderId="0" xfId="0" applyBorder="1"/>
    <xf numFmtId="0" fontId="0" fillId="0" borderId="25" xfId="0" applyBorder="1"/>
    <xf numFmtId="0" fontId="4" fillId="0" borderId="0" xfId="0" applyFont="1"/>
    <xf numFmtId="0" fontId="4" fillId="0" borderId="1" xfId="0" applyFont="1" applyBorder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33" xfId="0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9" fillId="0" borderId="1" xfId="0" applyFont="1" applyBorder="1"/>
    <xf numFmtId="0" fontId="0" fillId="0" borderId="24" xfId="0" applyBorder="1"/>
    <xf numFmtId="0" fontId="0" fillId="0" borderId="38" xfId="0" applyBorder="1"/>
    <xf numFmtId="0" fontId="9" fillId="0" borderId="38" xfId="0" applyFont="1" applyBorder="1"/>
    <xf numFmtId="0" fontId="0" fillId="0" borderId="14" xfId="0" applyBorder="1"/>
    <xf numFmtId="0" fontId="0" fillId="0" borderId="15" xfId="0" applyBorder="1"/>
    <xf numFmtId="0" fontId="0" fillId="0" borderId="3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4" borderId="34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3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0" borderId="1" xfId="0" applyBorder="1" applyAlignment="1">
      <alignment vertical="center" textRotation="90" wrapText="1"/>
    </xf>
    <xf numFmtId="2" fontId="0" fillId="4" borderId="1" xfId="0" applyNumberFormat="1" applyFill="1" applyBorder="1" applyAlignment="1">
      <alignment horizontal="center" vertical="center"/>
    </xf>
    <xf numFmtId="0" fontId="0" fillId="0" borderId="45" xfId="0" applyFill="1" applyBorder="1"/>
    <xf numFmtId="0" fontId="0" fillId="0" borderId="45" xfId="0" applyBorder="1"/>
    <xf numFmtId="0" fontId="0" fillId="0" borderId="46" xfId="0" applyFill="1" applyBorder="1"/>
    <xf numFmtId="0" fontId="0" fillId="0" borderId="0" xfId="0" applyFill="1" applyBorder="1"/>
    <xf numFmtId="0" fontId="0" fillId="0" borderId="46" xfId="0" applyBorder="1"/>
    <xf numFmtId="0" fontId="0" fillId="0" borderId="47" xfId="0" applyBorder="1"/>
    <xf numFmtId="0" fontId="0" fillId="5" borderId="0" xfId="0" applyFill="1" applyBorder="1"/>
    <xf numFmtId="0" fontId="10" fillId="5" borderId="0" xfId="0" applyFont="1" applyFill="1" applyBorder="1"/>
    <xf numFmtId="0" fontId="3" fillId="0" borderId="1" xfId="0" applyFont="1" applyBorder="1" applyAlignment="1">
      <alignment horizontal="left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0" fillId="0" borderId="40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 wrapText="1"/>
    </xf>
    <xf numFmtId="0" fontId="0" fillId="0" borderId="4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164" fontId="0" fillId="0" borderId="0" xfId="0" applyNumberFormat="1"/>
    <xf numFmtId="0" fontId="0" fillId="5" borderId="44" xfId="0" applyFill="1" applyBorder="1" applyAlignment="1">
      <alignment vertical="center"/>
    </xf>
    <xf numFmtId="0" fontId="0" fillId="5" borderId="45" xfId="0" applyFill="1" applyBorder="1" applyAlignment="1">
      <alignment vertical="center"/>
    </xf>
    <xf numFmtId="0" fontId="0" fillId="5" borderId="45" xfId="0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5" borderId="25" xfId="0" applyFill="1" applyBorder="1"/>
    <xf numFmtId="0" fontId="0" fillId="3" borderId="0" xfId="0" applyFill="1" applyBorder="1"/>
    <xf numFmtId="0" fontId="10" fillId="3" borderId="0" xfId="0" applyFont="1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8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4"/>
  <sheetViews>
    <sheetView tabSelected="1" workbookViewId="0">
      <selection activeCell="H15" sqref="H15"/>
    </sheetView>
  </sheetViews>
  <sheetFormatPr defaultRowHeight="14.4" x14ac:dyDescent="0.3"/>
  <cols>
    <col min="1" max="1" width="15.109375" customWidth="1"/>
    <col min="2" max="2" width="14.44140625" customWidth="1"/>
  </cols>
  <sheetData>
    <row r="2" spans="1:6" x14ac:dyDescent="0.3">
      <c r="A2" s="1" t="s">
        <v>0</v>
      </c>
      <c r="B2" s="1" t="s">
        <v>1</v>
      </c>
      <c r="C2" s="1" t="s">
        <v>15</v>
      </c>
      <c r="D2" s="1" t="s">
        <v>16</v>
      </c>
      <c r="E2" s="5" t="s">
        <v>17</v>
      </c>
      <c r="F2" s="5" t="s">
        <v>18</v>
      </c>
    </row>
    <row r="3" spans="1:6" x14ac:dyDescent="0.3">
      <c r="A3" s="2">
        <v>32</v>
      </c>
      <c r="B3" s="2">
        <f>20.2+20.2</f>
        <v>40.4</v>
      </c>
      <c r="C3" s="1">
        <f>A3/1000+2*0.3</f>
        <v>0.63200000000000001</v>
      </c>
      <c r="D3" s="1">
        <f>B3+2*0.3</f>
        <v>41</v>
      </c>
      <c r="E3" s="1">
        <f>C3+2*$B$24</f>
        <v>1.1819999999999999</v>
      </c>
      <c r="F3" s="1">
        <f>D3+2*$B$24</f>
        <v>41.55</v>
      </c>
    </row>
    <row r="4" spans="1:6" x14ac:dyDescent="0.3">
      <c r="A4" s="3">
        <v>48</v>
      </c>
      <c r="B4" s="3">
        <f>46.24+61.21</f>
        <v>107.45</v>
      </c>
      <c r="C4" s="1">
        <f t="shared" ref="C4:C9" si="0">A4/1000+2*0.3</f>
        <v>0.64800000000000002</v>
      </c>
      <c r="D4" s="1">
        <f t="shared" ref="D4:D8" si="1">B4+2*0.3</f>
        <v>108.05</v>
      </c>
      <c r="E4" s="1">
        <f t="shared" ref="E4:E8" si="2">C4+2*$B$24</f>
        <v>1.198</v>
      </c>
      <c r="F4" s="1">
        <f t="shared" ref="F4:F9" si="3">D4+2*$B$24</f>
        <v>108.6</v>
      </c>
    </row>
    <row r="5" spans="1:6" x14ac:dyDescent="0.3">
      <c r="A5" s="3">
        <v>57</v>
      </c>
      <c r="B5" s="3">
        <f>12.4+27.4+30.2</f>
        <v>70</v>
      </c>
      <c r="C5" s="1">
        <f t="shared" si="0"/>
        <v>0.65700000000000003</v>
      </c>
      <c r="D5" s="1">
        <f t="shared" si="1"/>
        <v>70.599999999999994</v>
      </c>
      <c r="E5" s="1">
        <f t="shared" si="2"/>
        <v>1.2070000000000001</v>
      </c>
      <c r="F5" s="1">
        <f t="shared" si="3"/>
        <v>71.149999999999991</v>
      </c>
    </row>
    <row r="6" spans="1:6" x14ac:dyDescent="0.3">
      <c r="A6" s="3">
        <v>76</v>
      </c>
      <c r="B6" s="3">
        <f>30.8+155.6+27.4+410</f>
        <v>623.79999999999995</v>
      </c>
      <c r="C6" s="1">
        <f t="shared" si="0"/>
        <v>0.67599999999999993</v>
      </c>
      <c r="D6" s="1">
        <f t="shared" si="1"/>
        <v>624.4</v>
      </c>
      <c r="E6" s="1">
        <f t="shared" si="2"/>
        <v>1.226</v>
      </c>
      <c r="F6" s="1">
        <f t="shared" si="3"/>
        <v>624.94999999999993</v>
      </c>
    </row>
    <row r="7" spans="1:6" x14ac:dyDescent="0.3">
      <c r="A7" s="3">
        <v>89</v>
      </c>
      <c r="B7" s="3">
        <f>26.6+26.6+62.2</f>
        <v>115.4</v>
      </c>
      <c r="C7" s="1">
        <f t="shared" si="0"/>
        <v>0.68899999999999995</v>
      </c>
      <c r="D7" s="1">
        <f t="shared" si="1"/>
        <v>116</v>
      </c>
      <c r="E7" s="1">
        <f t="shared" si="2"/>
        <v>1.2389999999999999</v>
      </c>
      <c r="F7" s="1">
        <f t="shared" si="3"/>
        <v>116.55</v>
      </c>
    </row>
    <row r="8" spans="1:6" x14ac:dyDescent="0.3">
      <c r="A8" s="3">
        <v>108</v>
      </c>
      <c r="B8" s="3">
        <f>1032+564+79+298+269+79+72</f>
        <v>2393</v>
      </c>
      <c r="C8" s="1">
        <f t="shared" si="0"/>
        <v>0.70799999999999996</v>
      </c>
      <c r="D8" s="1">
        <f t="shared" si="1"/>
        <v>2393.6</v>
      </c>
      <c r="E8" s="1">
        <f t="shared" si="2"/>
        <v>1.258</v>
      </c>
      <c r="F8" s="1">
        <f t="shared" si="3"/>
        <v>2394.15</v>
      </c>
    </row>
    <row r="9" spans="1:6" x14ac:dyDescent="0.3">
      <c r="A9" s="3">
        <v>325</v>
      </c>
      <c r="B9" s="3">
        <f>500+672+1224+1420+1379+2047+1311+1080+951</f>
        <v>10584</v>
      </c>
      <c r="C9" s="1">
        <f t="shared" si="0"/>
        <v>0.92500000000000004</v>
      </c>
      <c r="D9" s="1">
        <f>B9+2*0.3</f>
        <v>10584.6</v>
      </c>
      <c r="E9" s="1">
        <f>C9+2*$B$24</f>
        <v>1.4750000000000001</v>
      </c>
      <c r="F9" s="1">
        <f t="shared" si="3"/>
        <v>10585.15</v>
      </c>
    </row>
    <row r="10" spans="1:6" x14ac:dyDescent="0.3">
      <c r="A10" s="4" t="s">
        <v>10</v>
      </c>
      <c r="B10" s="1">
        <f>SUM(B3:B9)</f>
        <v>13934.05</v>
      </c>
      <c r="C10" s="1"/>
      <c r="D10" s="1"/>
      <c r="E10" s="1"/>
      <c r="F10" s="1"/>
    </row>
    <row r="12" spans="1:6" x14ac:dyDescent="0.3">
      <c r="A12" t="s">
        <v>2</v>
      </c>
      <c r="B12">
        <v>1.1000000000000001</v>
      </c>
      <c r="C12" t="s">
        <v>4</v>
      </c>
    </row>
    <row r="14" spans="1:6" x14ac:dyDescent="0.3">
      <c r="A14" t="s">
        <v>3</v>
      </c>
      <c r="D14">
        <f>11/100</f>
        <v>0.11</v>
      </c>
      <c r="E14" t="s">
        <v>4</v>
      </c>
    </row>
    <row r="16" spans="1:6" x14ac:dyDescent="0.3">
      <c r="A16" t="s">
        <v>5</v>
      </c>
      <c r="B16" t="s">
        <v>6</v>
      </c>
    </row>
    <row r="18" spans="1:3" x14ac:dyDescent="0.3">
      <c r="A18" t="s">
        <v>7</v>
      </c>
      <c r="B18">
        <v>8</v>
      </c>
      <c r="C18" t="s">
        <v>4</v>
      </c>
    </row>
    <row r="20" spans="1:3" x14ac:dyDescent="0.3">
      <c r="A20" t="s">
        <v>14</v>
      </c>
      <c r="C20">
        <v>4</v>
      </c>
    </row>
    <row r="22" spans="1:3" x14ac:dyDescent="0.3">
      <c r="A22" t="s">
        <v>20</v>
      </c>
      <c r="B22">
        <v>0.25</v>
      </c>
    </row>
    <row r="24" spans="1:3" x14ac:dyDescent="0.3">
      <c r="A24" t="s">
        <v>19</v>
      </c>
      <c r="B24">
        <f>B22*B12</f>
        <v>0.27500000000000002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88E8-3ED6-41C0-AD99-BDEDEDD62A18}">
  <dimension ref="A2:J22"/>
  <sheetViews>
    <sheetView workbookViewId="0">
      <selection activeCell="H19" sqref="H19"/>
    </sheetView>
  </sheetViews>
  <sheetFormatPr defaultRowHeight="14.4" x14ac:dyDescent="0.3"/>
  <cols>
    <col min="2" max="2" width="14.109375" customWidth="1"/>
    <col min="3" max="3" width="11.33203125" customWidth="1"/>
    <col min="5" max="5" width="12.5546875" customWidth="1"/>
    <col min="6" max="6" width="12" customWidth="1"/>
    <col min="7" max="7" width="12.5546875" bestFit="1" customWidth="1"/>
    <col min="8" max="8" width="11.5546875" bestFit="1" customWidth="1"/>
    <col min="9" max="9" width="11.44140625" customWidth="1"/>
    <col min="10" max="10" width="12.33203125" customWidth="1"/>
  </cols>
  <sheetData>
    <row r="2" spans="1:10" x14ac:dyDescent="0.3">
      <c r="A2" t="s">
        <v>8</v>
      </c>
      <c r="B2">
        <f>(исходники!B10 + 10)*10</f>
        <v>139440.5</v>
      </c>
      <c r="C2" t="s">
        <v>9</v>
      </c>
    </row>
    <row r="4" spans="1:10" x14ac:dyDescent="0.3">
      <c r="A4" t="s">
        <v>11</v>
      </c>
      <c r="B4">
        <f>B2*исходники!D14</f>
        <v>15338.455</v>
      </c>
      <c r="C4" t="s">
        <v>12</v>
      </c>
    </row>
    <row r="6" spans="1:10" x14ac:dyDescent="0.3">
      <c r="A6" t="s">
        <v>13</v>
      </c>
      <c r="B6">
        <f>B2*исходники!C20</f>
        <v>557762</v>
      </c>
    </row>
    <row r="8" spans="1:10" x14ac:dyDescent="0.3">
      <c r="A8" t="s">
        <v>22</v>
      </c>
      <c r="B8">
        <f>исходники!B12-исходники!D14-0.05</f>
        <v>0.94000000000000006</v>
      </c>
    </row>
    <row r="10" spans="1:10" x14ac:dyDescent="0.3">
      <c r="A10" s="1" t="s">
        <v>0</v>
      </c>
      <c r="B10" s="1" t="s">
        <v>21</v>
      </c>
      <c r="C10" s="1" t="s">
        <v>23</v>
      </c>
      <c r="D10" s="1" t="s">
        <v>24</v>
      </c>
      <c r="E10" s="5" t="s">
        <v>52</v>
      </c>
      <c r="F10" s="5" t="s">
        <v>25</v>
      </c>
      <c r="G10" s="5" t="s">
        <v>26</v>
      </c>
      <c r="H10" s="5" t="s">
        <v>27</v>
      </c>
      <c r="I10" s="5" t="s">
        <v>28</v>
      </c>
      <c r="J10" s="1" t="s">
        <v>29</v>
      </c>
    </row>
    <row r="11" spans="1:10" x14ac:dyDescent="0.3">
      <c r="A11" s="1">
        <f>исходники!A3</f>
        <v>32</v>
      </c>
      <c r="B11" s="6">
        <f>$B$8/6*((исходники!C3*исходники!D3)+(исходники!E3*исходники!F3)+(исходники!C3+исходники!E3)*(исходники!D3+исходники!F3))</f>
        <v>35.213935333333332</v>
      </c>
      <c r="C11" s="1">
        <f>исходники!C3*исходники!D3</f>
        <v>25.911999999999999</v>
      </c>
      <c r="D11" s="1">
        <f t="shared" ref="D11:D17" si="0">C11*0.05</f>
        <v>1.2956000000000001</v>
      </c>
      <c r="E11" s="6">
        <f>POWER((A11/2000),2)*исходники!B3*PI()</f>
        <v>3.2491607860487076E-2</v>
      </c>
      <c r="F11" s="6">
        <f t="shared" ref="F11:F17" si="1">B11+D11-E11</f>
        <v>36.477043725472846</v>
      </c>
      <c r="G11" s="6">
        <f t="shared" ref="G11:G17" si="2">B11-D11</f>
        <v>33.918335333333332</v>
      </c>
      <c r="H11" s="1">
        <f t="shared" ref="H11:H17" si="3">F11*0.95</f>
        <v>34.653191539199206</v>
      </c>
      <c r="I11" s="6">
        <f t="shared" ref="I11:I17" si="4">F11-H11</f>
        <v>1.8238521862736405</v>
      </c>
      <c r="J11" s="6">
        <f t="shared" ref="J11:J17" si="5">F11</f>
        <v>36.477043725472846</v>
      </c>
    </row>
    <row r="12" spans="1:10" x14ac:dyDescent="0.3">
      <c r="A12" s="1">
        <f>исходники!A4</f>
        <v>48</v>
      </c>
      <c r="B12" s="6">
        <f>$B$8/6*((исходники!C4*исходники!D4)+(исходники!E4*исходники!F4)+(исходники!C4+исходники!E4)*(исходники!D4+исходники!F4))</f>
        <v>94.008632333333338</v>
      </c>
      <c r="C12" s="1">
        <f>исходники!C4*исходники!D4</f>
        <v>70.016400000000004</v>
      </c>
      <c r="D12" s="1">
        <f t="shared" si="0"/>
        <v>3.5008200000000005</v>
      </c>
      <c r="E12" s="6">
        <f>POWER((A12/2000),2)*исходники!B4*PI()</f>
        <v>0.19443693924185659</v>
      </c>
      <c r="F12" s="6">
        <f t="shared" si="1"/>
        <v>97.315015394091489</v>
      </c>
      <c r="G12" s="6">
        <f t="shared" si="2"/>
        <v>90.507812333333334</v>
      </c>
      <c r="H12" s="1">
        <f t="shared" si="3"/>
        <v>92.449264624386913</v>
      </c>
      <c r="I12" s="6">
        <f t="shared" si="4"/>
        <v>4.8657507697045759</v>
      </c>
      <c r="J12" s="6">
        <f t="shared" si="5"/>
        <v>97.315015394091489</v>
      </c>
    </row>
    <row r="13" spans="1:10" x14ac:dyDescent="0.3">
      <c r="A13" s="1">
        <f>исходники!A5</f>
        <v>57</v>
      </c>
      <c r="B13" s="6">
        <f>$B$8/6*((исходники!C5*исходники!D5)+(исходники!E5*исходники!F5)+(исходники!C5+исходники!E5)*(исходники!D5+исходники!F5))</f>
        <v>62.115865833333345</v>
      </c>
      <c r="C13" s="1">
        <f>исходники!C5*исходники!D5</f>
        <v>46.3842</v>
      </c>
      <c r="D13" s="1">
        <f t="shared" si="0"/>
        <v>2.31921</v>
      </c>
      <c r="E13" s="6">
        <f>POWER((A13/2000),2)*исходники!B5*PI()</f>
        <v>0.17862310430148168</v>
      </c>
      <c r="F13" s="6">
        <f t="shared" si="1"/>
        <v>64.256452729031864</v>
      </c>
      <c r="G13" s="6">
        <f t="shared" si="2"/>
        <v>59.796655833333347</v>
      </c>
      <c r="H13" s="1">
        <f t="shared" si="3"/>
        <v>61.043630092580266</v>
      </c>
      <c r="I13" s="6">
        <f t="shared" si="4"/>
        <v>3.2128226364515982</v>
      </c>
      <c r="J13" s="6">
        <f t="shared" si="5"/>
        <v>64.256452729031864</v>
      </c>
    </row>
    <row r="14" spans="1:10" x14ac:dyDescent="0.3">
      <c r="A14" s="1">
        <f>исходники!A6</f>
        <v>76</v>
      </c>
      <c r="B14" s="6">
        <f>$B$8/6*((исходники!C6*исходники!D6)+(исходники!E6*исходники!F6)+(исходники!C6+исходники!E6)*(исходники!D6+исходники!F6))</f>
        <v>558.44566533333318</v>
      </c>
      <c r="C14" s="1">
        <f>исходники!C6*исходники!D6</f>
        <v>422.09439999999995</v>
      </c>
      <c r="D14" s="1">
        <f t="shared" si="0"/>
        <v>21.10472</v>
      </c>
      <c r="E14" s="6">
        <f>POWER((A14/2000),2)*исходники!B6*PI()</f>
        <v>2.8298436181146474</v>
      </c>
      <c r="F14" s="6">
        <f t="shared" si="1"/>
        <v>576.72054171521859</v>
      </c>
      <c r="G14" s="6">
        <f t="shared" si="2"/>
        <v>537.34094533333314</v>
      </c>
      <c r="H14" s="1">
        <f t="shared" si="3"/>
        <v>547.88451462945761</v>
      </c>
      <c r="I14" s="6">
        <f t="shared" si="4"/>
        <v>28.836027085760975</v>
      </c>
      <c r="J14" s="6">
        <f t="shared" si="5"/>
        <v>576.72054171521859</v>
      </c>
    </row>
    <row r="15" spans="1:10" x14ac:dyDescent="0.3">
      <c r="A15" s="1">
        <f>исходники!A7</f>
        <v>89</v>
      </c>
      <c r="B15" s="6">
        <f>$B$8/6*((исходники!C7*исходники!D7)+(исходники!E7*исходники!F7)+(исходники!C7+исходники!E7)*(исходники!D7+исходники!F7))</f>
        <v>105.38744983333333</v>
      </c>
      <c r="C15" s="1">
        <f>исходники!C7*исходники!D7</f>
        <v>79.923999999999992</v>
      </c>
      <c r="D15" s="1">
        <f t="shared" si="0"/>
        <v>3.9962</v>
      </c>
      <c r="E15" s="6">
        <f>POWER((A15/2000),2)*исходники!B7*PI()</f>
        <v>0.71791942355209504</v>
      </c>
      <c r="F15" s="6">
        <f t="shared" si="1"/>
        <v>108.66573040978125</v>
      </c>
      <c r="G15" s="6">
        <f t="shared" si="2"/>
        <v>101.39124983333333</v>
      </c>
      <c r="H15" s="1">
        <f t="shared" si="3"/>
        <v>103.23244388929218</v>
      </c>
      <c r="I15" s="6">
        <f t="shared" si="4"/>
        <v>5.4332865204890624</v>
      </c>
      <c r="J15" s="6">
        <f t="shared" si="5"/>
        <v>108.66573040978125</v>
      </c>
    </row>
    <row r="16" spans="1:10" x14ac:dyDescent="0.3">
      <c r="A16" s="1">
        <f>исходники!A8</f>
        <v>108</v>
      </c>
      <c r="B16" s="6">
        <f>$B$8/6*((исходники!C8*исходники!D8)+(исходники!E8*исходники!F8)+(исходники!C8+исходники!E8)*(исходники!D8+исходники!F8))</f>
        <v>2212.0120733333338</v>
      </c>
      <c r="C16" s="1">
        <f>исходники!C8*исходники!D8</f>
        <v>1694.6687999999999</v>
      </c>
      <c r="D16" s="1">
        <f t="shared" si="0"/>
        <v>84.733440000000002</v>
      </c>
      <c r="E16" s="6">
        <f>POWER((A16/2000),2)*исходники!B8*PI()</f>
        <v>21.921995837637734</v>
      </c>
      <c r="F16" s="6">
        <f t="shared" si="1"/>
        <v>2274.8235174956958</v>
      </c>
      <c r="G16" s="6">
        <f t="shared" si="2"/>
        <v>2127.2786333333338</v>
      </c>
      <c r="H16" s="1">
        <f t="shared" si="3"/>
        <v>2161.0823416209109</v>
      </c>
      <c r="I16" s="6">
        <f t="shared" si="4"/>
        <v>113.74117587478486</v>
      </c>
      <c r="J16" s="6">
        <f t="shared" si="5"/>
        <v>2274.8235174956958</v>
      </c>
    </row>
    <row r="17" spans="1:10" x14ac:dyDescent="0.3">
      <c r="A17" s="1">
        <f>исходники!A9</f>
        <v>325</v>
      </c>
      <c r="B17" s="6">
        <f>$B$8/6*((исходники!C9*исходники!D9)+(исходники!E9*исходники!F9)+(исходники!C9+исходники!E9)*(исходники!D9+исходники!F9))</f>
        <v>11939.762695833335</v>
      </c>
      <c r="C17" s="1">
        <f>исходники!C9*исходники!D9</f>
        <v>9790.755000000001</v>
      </c>
      <c r="D17" s="1">
        <f t="shared" si="0"/>
        <v>489.53775000000007</v>
      </c>
      <c r="E17" s="6">
        <f>POWER((A17/2000),2)*исходники!B9*PI()</f>
        <v>878.02409579772643</v>
      </c>
      <c r="F17" s="6">
        <f t="shared" si="1"/>
        <v>11551.276350035609</v>
      </c>
      <c r="G17" s="6">
        <f t="shared" si="2"/>
        <v>11450.224945833335</v>
      </c>
      <c r="H17" s="1">
        <f t="shared" si="3"/>
        <v>10973.712532533827</v>
      </c>
      <c r="I17" s="6">
        <f t="shared" si="4"/>
        <v>577.56381750178116</v>
      </c>
      <c r="J17" s="6">
        <f t="shared" si="5"/>
        <v>11551.276350035609</v>
      </c>
    </row>
    <row r="18" spans="1:10" x14ac:dyDescent="0.3">
      <c r="A18" s="4" t="s">
        <v>10</v>
      </c>
      <c r="B18" s="1">
        <f t="shared" ref="B18:J18" si="6">SUM(B11:B17)</f>
        <v>15006.946317833335</v>
      </c>
      <c r="C18" s="1">
        <f t="shared" si="6"/>
        <v>12129.754800000001</v>
      </c>
      <c r="D18" s="1">
        <f t="shared" si="6"/>
        <v>606.48774000000003</v>
      </c>
      <c r="E18" s="6">
        <f t="shared" si="6"/>
        <v>903.89940632843468</v>
      </c>
      <c r="F18" s="6">
        <f t="shared" si="6"/>
        <v>14709.5346515049</v>
      </c>
      <c r="G18" s="6">
        <f t="shared" si="6"/>
        <v>14400.458577833335</v>
      </c>
      <c r="H18" s="6">
        <f t="shared" si="6"/>
        <v>13974.057918929655</v>
      </c>
      <c r="I18" s="6">
        <f t="shared" si="6"/>
        <v>735.47673257524593</v>
      </c>
      <c r="J18" s="6">
        <f t="shared" si="6"/>
        <v>14709.5346515049</v>
      </c>
    </row>
    <row r="22" spans="1:10" x14ac:dyDescent="0.3">
      <c r="B22" s="17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D008-3CC3-4CF9-93DA-647CD52762FF}">
  <dimension ref="A1:AC39"/>
  <sheetViews>
    <sheetView topLeftCell="A19" zoomScale="68" zoomScaleNormal="68" workbookViewId="0">
      <selection activeCell="F23" sqref="F23"/>
    </sheetView>
  </sheetViews>
  <sheetFormatPr defaultRowHeight="14.4" x14ac:dyDescent="0.3"/>
  <cols>
    <col min="1" max="1" width="20" customWidth="1"/>
    <col min="2" max="2" width="55" customWidth="1"/>
    <col min="3" max="3" width="12.5546875" customWidth="1"/>
    <col min="4" max="4" width="16.6640625" customWidth="1"/>
    <col min="5" max="5" width="11.88671875" bestFit="1" customWidth="1"/>
    <col min="6" max="6" width="14.6640625" bestFit="1" customWidth="1"/>
    <col min="7" max="7" width="10.109375" customWidth="1"/>
    <col min="8" max="8" width="14.6640625" bestFit="1" customWidth="1"/>
    <col min="10" max="10" width="18.44140625" customWidth="1"/>
    <col min="11" max="11" width="15.6640625" customWidth="1"/>
    <col min="12" max="12" width="16.33203125" customWidth="1"/>
  </cols>
  <sheetData>
    <row r="1" spans="1:29" ht="55.5" customHeight="1" thickBot="1" x14ac:dyDescent="0.45">
      <c r="A1" s="152" t="s">
        <v>30</v>
      </c>
      <c r="B1" s="154" t="s">
        <v>31</v>
      </c>
      <c r="C1" s="154" t="s">
        <v>32</v>
      </c>
      <c r="D1" s="154" t="s">
        <v>33</v>
      </c>
      <c r="E1" s="156" t="s">
        <v>34</v>
      </c>
      <c r="F1" s="156"/>
      <c r="G1" s="156" t="s">
        <v>35</v>
      </c>
      <c r="H1" s="157"/>
      <c r="I1" s="21"/>
      <c r="J1" s="149" t="s">
        <v>36</v>
      </c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1"/>
    </row>
    <row r="2" spans="1:29" ht="30" customHeight="1" thickTop="1" x14ac:dyDescent="0.4">
      <c r="A2" s="153"/>
      <c r="B2" s="155"/>
      <c r="C2" s="155"/>
      <c r="D2" s="155"/>
      <c r="E2" s="7" t="s">
        <v>37</v>
      </c>
      <c r="F2" s="8" t="s">
        <v>38</v>
      </c>
      <c r="G2" s="8" t="s">
        <v>37</v>
      </c>
      <c r="H2" s="27" t="s">
        <v>38</v>
      </c>
      <c r="I2" s="22"/>
      <c r="J2" s="16"/>
      <c r="K2" s="9"/>
      <c r="L2" s="10"/>
      <c r="M2" s="9"/>
      <c r="N2" s="9"/>
      <c r="O2" s="11"/>
      <c r="P2" s="11"/>
      <c r="Q2" s="11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7"/>
    </row>
    <row r="3" spans="1:29" ht="21.6" thickBot="1" x14ac:dyDescent="0.35">
      <c r="A3" s="59">
        <v>1</v>
      </c>
      <c r="B3" s="60">
        <v>2</v>
      </c>
      <c r="C3" s="60">
        <v>3</v>
      </c>
      <c r="D3" s="60">
        <v>4</v>
      </c>
      <c r="E3" s="60">
        <v>5</v>
      </c>
      <c r="F3" s="60">
        <v>6</v>
      </c>
      <c r="G3" s="60">
        <v>7</v>
      </c>
      <c r="H3" s="61">
        <v>8</v>
      </c>
      <c r="I3" s="23">
        <v>9</v>
      </c>
      <c r="J3" s="18">
        <v>10</v>
      </c>
      <c r="K3" s="12">
        <v>11</v>
      </c>
      <c r="L3" s="12">
        <v>12</v>
      </c>
      <c r="M3" s="12">
        <v>13</v>
      </c>
      <c r="N3" s="12">
        <v>14</v>
      </c>
      <c r="O3" s="12">
        <v>15</v>
      </c>
      <c r="P3" s="12">
        <v>16</v>
      </c>
      <c r="Q3" s="12">
        <v>17</v>
      </c>
      <c r="R3" s="12">
        <v>18</v>
      </c>
      <c r="S3" s="12">
        <v>19</v>
      </c>
      <c r="T3" s="12">
        <v>20</v>
      </c>
      <c r="U3" s="12">
        <v>21</v>
      </c>
      <c r="V3" s="12">
        <v>22</v>
      </c>
      <c r="W3" s="12">
        <v>23</v>
      </c>
      <c r="X3" s="12">
        <v>24</v>
      </c>
      <c r="Y3" s="12">
        <v>25</v>
      </c>
      <c r="Z3" s="12">
        <v>26</v>
      </c>
      <c r="AA3" s="12">
        <v>27</v>
      </c>
      <c r="AB3" s="12">
        <v>28</v>
      </c>
      <c r="AC3" s="19">
        <v>29</v>
      </c>
    </row>
    <row r="4" spans="1:29" ht="58.2" thickTop="1" x14ac:dyDescent="0.45">
      <c r="A4" s="62" t="s">
        <v>39</v>
      </c>
      <c r="B4" s="63" t="s">
        <v>67</v>
      </c>
      <c r="C4" s="64" t="s">
        <v>40</v>
      </c>
      <c r="D4" s="65">
        <f>'земляные работы'!B4/1000</f>
        <v>15.338455</v>
      </c>
      <c r="E4" s="65">
        <v>11.44</v>
      </c>
      <c r="F4" s="65">
        <f t="shared" ref="F4:F9" si="0">D4*E4</f>
        <v>175.47192519999999</v>
      </c>
      <c r="G4" s="65">
        <f>E4</f>
        <v>11.44</v>
      </c>
      <c r="H4" s="66">
        <f>D4*G4</f>
        <v>175.47192519999999</v>
      </c>
      <c r="I4" s="24"/>
      <c r="J4" s="31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/>
    </row>
    <row r="5" spans="1:29" ht="38.4" x14ac:dyDescent="0.45">
      <c r="A5" s="42" t="s">
        <v>41</v>
      </c>
      <c r="B5" s="28" t="s">
        <v>68</v>
      </c>
      <c r="C5" s="47" t="s">
        <v>78</v>
      </c>
      <c r="D5" s="48">
        <f>'земляные работы'!B6/1000</f>
        <v>557.76199999999994</v>
      </c>
      <c r="E5" s="48">
        <v>0.41</v>
      </c>
      <c r="F5" s="48">
        <f t="shared" si="0"/>
        <v>228.68241999999995</v>
      </c>
      <c r="G5" s="48">
        <f>E5</f>
        <v>0.41</v>
      </c>
      <c r="H5" s="49">
        <f>D5*G5</f>
        <v>228.68241999999995</v>
      </c>
      <c r="I5" s="25"/>
      <c r="J5" s="34"/>
      <c r="K5" s="13"/>
      <c r="L5" s="13"/>
      <c r="M5" s="13"/>
      <c r="N5" s="13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35"/>
    </row>
    <row r="6" spans="1:29" ht="76.8" x14ac:dyDescent="0.45">
      <c r="A6" s="42" t="s">
        <v>42</v>
      </c>
      <c r="B6" s="28" t="s">
        <v>65</v>
      </c>
      <c r="C6" s="47" t="s">
        <v>40</v>
      </c>
      <c r="D6" s="48">
        <f>'земляные работы'!G18/1000</f>
        <v>14.400458577833335</v>
      </c>
      <c r="E6" s="48">
        <f>10.75+23.36</f>
        <v>34.11</v>
      </c>
      <c r="F6" s="48">
        <f t="shared" si="0"/>
        <v>491.19964208989506</v>
      </c>
      <c r="G6" s="48">
        <v>23.36</v>
      </c>
      <c r="H6" s="49">
        <f>D6*G6</f>
        <v>336.39471237818668</v>
      </c>
      <c r="I6" s="25"/>
      <c r="J6" s="34"/>
      <c r="K6" s="13"/>
      <c r="L6" s="13"/>
      <c r="M6" s="13"/>
      <c r="N6" s="13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35"/>
    </row>
    <row r="7" spans="1:29" ht="76.8" x14ac:dyDescent="0.45">
      <c r="A7" s="42" t="s">
        <v>43</v>
      </c>
      <c r="B7" s="28" t="s">
        <v>66</v>
      </c>
      <c r="C7" s="47" t="s">
        <v>40</v>
      </c>
      <c r="D7" s="48">
        <f>'земляные работы'!D18/1000</f>
        <v>0.60648774000000005</v>
      </c>
      <c r="E7" s="48">
        <f>12.3+35.73</f>
        <v>48.03</v>
      </c>
      <c r="F7" s="48">
        <f t="shared" si="0"/>
        <v>29.129606152200004</v>
      </c>
      <c r="G7" s="48">
        <f>27.26+8.47</f>
        <v>35.730000000000004</v>
      </c>
      <c r="H7" s="49">
        <f>D7*G7</f>
        <v>21.669806950200005</v>
      </c>
      <c r="I7" s="25"/>
      <c r="J7" s="34"/>
      <c r="K7" s="13"/>
      <c r="L7" s="13"/>
      <c r="M7" s="13"/>
      <c r="N7" s="13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35"/>
    </row>
    <row r="8" spans="1:29" ht="57.6" x14ac:dyDescent="0.45">
      <c r="A8" s="42" t="s">
        <v>44</v>
      </c>
      <c r="B8" s="28" t="s">
        <v>69</v>
      </c>
      <c r="C8" s="47" t="s">
        <v>79</v>
      </c>
      <c r="D8" s="48">
        <f>'земляные работы'!D18/100</f>
        <v>6.0648774000000003</v>
      </c>
      <c r="E8" s="48">
        <v>137.22999999999999</v>
      </c>
      <c r="F8" s="48">
        <f t="shared" si="0"/>
        <v>832.28312560199993</v>
      </c>
      <c r="G8" s="48"/>
      <c r="H8" s="49"/>
      <c r="I8" s="25"/>
      <c r="J8" s="34"/>
      <c r="K8" s="13"/>
      <c r="L8" s="13"/>
      <c r="M8" s="13"/>
      <c r="N8" s="13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35"/>
    </row>
    <row r="9" spans="1:29" ht="22.2" thickBot="1" x14ac:dyDescent="0.5">
      <c r="A9" s="67" t="s">
        <v>73</v>
      </c>
      <c r="B9" s="68" t="s">
        <v>74</v>
      </c>
      <c r="C9" s="69" t="s">
        <v>80</v>
      </c>
      <c r="D9" s="70">
        <f>'земляные работы'!D18</f>
        <v>606.48774000000003</v>
      </c>
      <c r="E9" s="70">
        <f>3.41+0.22</f>
        <v>3.6300000000000003</v>
      </c>
      <c r="F9" s="70">
        <f t="shared" si="0"/>
        <v>2201.5504962000005</v>
      </c>
      <c r="G9" s="70">
        <f>0.44</f>
        <v>0.44</v>
      </c>
      <c r="H9" s="71">
        <f>D9*G9</f>
        <v>266.85460560000001</v>
      </c>
      <c r="I9" s="25"/>
      <c r="J9" s="34"/>
      <c r="K9" s="13"/>
      <c r="L9" s="36"/>
      <c r="M9" s="13"/>
      <c r="N9" s="13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35"/>
    </row>
    <row r="10" spans="1:29" ht="21.6" thickBot="1" x14ac:dyDescent="0.45">
      <c r="A10" s="72"/>
      <c r="B10" s="73"/>
      <c r="C10" s="74"/>
      <c r="D10" s="75"/>
      <c r="E10" s="94"/>
      <c r="F10" s="95">
        <f t="shared" ref="F10" si="1">SUM(F4:F9)</f>
        <v>3958.3172152440957</v>
      </c>
      <c r="G10" s="76"/>
      <c r="H10" s="76">
        <f>SUM(H4:H9)</f>
        <v>1029.0734701283868</v>
      </c>
      <c r="I10" s="25"/>
      <c r="J10" s="34"/>
      <c r="K10" s="13"/>
      <c r="L10" s="13"/>
      <c r="M10" s="13"/>
      <c r="N10" s="13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35"/>
    </row>
    <row r="11" spans="1:29" ht="72" customHeight="1" x14ac:dyDescent="0.45">
      <c r="A11" s="77" t="s">
        <v>53</v>
      </c>
      <c r="B11" s="78" t="s">
        <v>54</v>
      </c>
      <c r="C11" s="79" t="s">
        <v>81</v>
      </c>
      <c r="D11" s="80">
        <f>SUM(исходники!B3:B5)/1000</f>
        <v>0.21784999999999999</v>
      </c>
      <c r="E11" s="80">
        <v>477.25</v>
      </c>
      <c r="F11" s="80">
        <f>D11*E11</f>
        <v>103.96891249999999</v>
      </c>
      <c r="G11" s="80">
        <v>117.27</v>
      </c>
      <c r="H11" s="81">
        <f>D11*G11</f>
        <v>25.547269499999999</v>
      </c>
      <c r="I11" s="25"/>
      <c r="J11" s="34"/>
      <c r="K11" s="13"/>
      <c r="L11" s="13"/>
      <c r="M11" s="13"/>
      <c r="N11" s="13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35"/>
    </row>
    <row r="12" spans="1:29" ht="72" customHeight="1" x14ac:dyDescent="0.45">
      <c r="A12" s="42" t="s">
        <v>55</v>
      </c>
      <c r="B12" s="28" t="s">
        <v>56</v>
      </c>
      <c r="C12" s="47" t="s">
        <v>81</v>
      </c>
      <c r="D12" s="48">
        <f>исходники!B6/1000</f>
        <v>0.62379999999999991</v>
      </c>
      <c r="E12" s="48">
        <v>483</v>
      </c>
      <c r="F12" s="48">
        <f>D12*E12</f>
        <v>301.29539999999997</v>
      </c>
      <c r="G12" s="48">
        <v>117.31</v>
      </c>
      <c r="H12" s="49">
        <f>D12*G12</f>
        <v>73.177977999999996</v>
      </c>
      <c r="I12" s="25"/>
      <c r="J12" s="34"/>
      <c r="K12" s="13"/>
      <c r="L12" s="13"/>
      <c r="M12" s="13"/>
      <c r="N12" s="13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35"/>
    </row>
    <row r="13" spans="1:29" ht="76.8" x14ac:dyDescent="0.45">
      <c r="A13" s="42" t="s">
        <v>58</v>
      </c>
      <c r="B13" s="28" t="s">
        <v>57</v>
      </c>
      <c r="C13" s="47" t="s">
        <v>81</v>
      </c>
      <c r="D13" s="48">
        <f>исходники!B7/1000</f>
        <v>0.1154</v>
      </c>
      <c r="E13" s="48">
        <v>494.48</v>
      </c>
      <c r="F13" s="48">
        <f>D13*E13</f>
        <v>57.062992000000001</v>
      </c>
      <c r="G13" s="48">
        <v>117.38</v>
      </c>
      <c r="H13" s="49">
        <f>D13*G13</f>
        <v>13.545652</v>
      </c>
      <c r="I13" s="25"/>
      <c r="J13" s="34"/>
      <c r="K13" s="13"/>
      <c r="L13" s="13"/>
      <c r="M13" s="13"/>
      <c r="N13" s="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35"/>
    </row>
    <row r="14" spans="1:29" ht="76.8" x14ac:dyDescent="0.45">
      <c r="A14" s="42" t="s">
        <v>112</v>
      </c>
      <c r="B14" s="28" t="s">
        <v>113</v>
      </c>
      <c r="C14" s="47" t="s">
        <v>81</v>
      </c>
      <c r="D14" s="48">
        <f>исходники!B8/1000</f>
        <v>2.3929999999999998</v>
      </c>
      <c r="E14" s="48">
        <v>554.29999999999995</v>
      </c>
      <c r="F14" s="48">
        <f>D14*E14</f>
        <v>1326.4398999999999</v>
      </c>
      <c r="G14" s="48">
        <v>117.49</v>
      </c>
      <c r="H14" s="49">
        <f>D14*G14</f>
        <v>281.15356999999995</v>
      </c>
      <c r="I14" s="25"/>
      <c r="J14" s="34"/>
      <c r="K14" s="13"/>
      <c r="L14" s="13"/>
      <c r="M14" s="13"/>
      <c r="N14" s="13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35"/>
    </row>
    <row r="15" spans="1:29" ht="76.8" x14ac:dyDescent="0.45">
      <c r="A15" s="42" t="s">
        <v>114</v>
      </c>
      <c r="B15" s="28" t="s">
        <v>115</v>
      </c>
      <c r="C15" s="47" t="s">
        <v>81</v>
      </c>
      <c r="D15" s="48">
        <f>исходники!B9/1000</f>
        <v>10.584</v>
      </c>
      <c r="E15" s="48">
        <v>1009.66</v>
      </c>
      <c r="F15" s="48">
        <f>D15*E15</f>
        <v>10686.24144</v>
      </c>
      <c r="G15" s="48">
        <v>210.34</v>
      </c>
      <c r="H15" s="49">
        <f>D15*G15</f>
        <v>2226.2385599999998</v>
      </c>
      <c r="I15" s="25"/>
      <c r="J15" s="34"/>
      <c r="K15" s="13"/>
      <c r="L15" s="13"/>
      <c r="M15" s="13"/>
      <c r="N15" s="13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35"/>
    </row>
    <row r="16" spans="1:29" ht="44.25" customHeight="1" x14ac:dyDescent="0.4">
      <c r="A16" s="43" t="s">
        <v>46</v>
      </c>
      <c r="B16" s="29" t="s">
        <v>47</v>
      </c>
      <c r="C16" s="50" t="s">
        <v>45</v>
      </c>
      <c r="D16" s="51">
        <v>10.199999999999999</v>
      </c>
      <c r="E16" s="51">
        <v>5.99</v>
      </c>
      <c r="F16" s="51">
        <f>E16*D16</f>
        <v>61.097999999999999</v>
      </c>
      <c r="G16" s="51"/>
      <c r="H16" s="52"/>
      <c r="I16" s="25"/>
      <c r="J16" s="34"/>
      <c r="K16" s="13"/>
      <c r="L16" s="13"/>
      <c r="M16" s="13"/>
      <c r="N16" s="13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35"/>
    </row>
    <row r="17" spans="1:29" s="15" customFormat="1" ht="76.8" x14ac:dyDescent="0.45">
      <c r="A17" s="44" t="s">
        <v>77</v>
      </c>
      <c r="B17" s="41" t="s">
        <v>63</v>
      </c>
      <c r="C17" s="53" t="s">
        <v>81</v>
      </c>
      <c r="D17" s="54">
        <f>SUM(исходники!B3:B5)/1000</f>
        <v>0.21784999999999999</v>
      </c>
      <c r="E17" s="54">
        <v>128</v>
      </c>
      <c r="F17" s="54">
        <f>E17*D17</f>
        <v>27.884799999999998</v>
      </c>
      <c r="G17" s="54">
        <v>40.26</v>
      </c>
      <c r="H17" s="55">
        <f>G17*D17</f>
        <v>8.7706409999999995</v>
      </c>
      <c r="I17" s="26"/>
      <c r="J17" s="34"/>
      <c r="K17" s="13"/>
      <c r="L17" s="13"/>
      <c r="M17" s="13"/>
      <c r="N17" s="13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35"/>
    </row>
    <row r="18" spans="1:29" s="15" customFormat="1" ht="76.8" x14ac:dyDescent="0.45">
      <c r="A18" s="44" t="s">
        <v>76</v>
      </c>
      <c r="B18" s="30" t="s">
        <v>62</v>
      </c>
      <c r="C18" s="53" t="s">
        <v>81</v>
      </c>
      <c r="D18" s="54">
        <f>SUM(исходники!B6:B8)/1000</f>
        <v>3.1321999999999997</v>
      </c>
      <c r="E18" s="54">
        <v>129</v>
      </c>
      <c r="F18" s="54">
        <f>E18*D18</f>
        <v>404.05379999999997</v>
      </c>
      <c r="G18" s="54">
        <v>42.34</v>
      </c>
      <c r="H18" s="55">
        <f>G18*D18</f>
        <v>132.61734799999999</v>
      </c>
      <c r="I18" s="26"/>
      <c r="J18" s="34"/>
      <c r="K18" s="13"/>
      <c r="L18" s="13"/>
      <c r="M18" s="13"/>
      <c r="N18" s="13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35"/>
    </row>
    <row r="19" spans="1:29" s="15" customFormat="1" ht="76.8" x14ac:dyDescent="0.45">
      <c r="A19" s="44" t="s">
        <v>75</v>
      </c>
      <c r="B19" s="41" t="s">
        <v>64</v>
      </c>
      <c r="C19" s="53" t="s">
        <v>81</v>
      </c>
      <c r="D19" s="54">
        <f>исходники!B9/1000</f>
        <v>10.584</v>
      </c>
      <c r="E19" s="54">
        <v>216</v>
      </c>
      <c r="F19" s="54">
        <f>E19*D19</f>
        <v>2286.1439999999998</v>
      </c>
      <c r="G19" s="54">
        <v>127.32</v>
      </c>
      <c r="H19" s="55">
        <f>G19*D19</f>
        <v>1347.5548799999999</v>
      </c>
      <c r="I19" s="26"/>
      <c r="J19" s="34"/>
      <c r="K19" s="13"/>
      <c r="L19" s="13"/>
      <c r="M19" s="13"/>
      <c r="N19" s="13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35"/>
    </row>
    <row r="20" spans="1:29" ht="57.6" x14ac:dyDescent="0.45">
      <c r="A20" s="44" t="s">
        <v>48</v>
      </c>
      <c r="B20" s="30" t="s">
        <v>59</v>
      </c>
      <c r="C20" s="53" t="s">
        <v>81</v>
      </c>
      <c r="D20" s="54">
        <f>SUM(исходники!B3:B8)/1000</f>
        <v>3.35005</v>
      </c>
      <c r="E20" s="54">
        <v>135</v>
      </c>
      <c r="F20" s="54">
        <f>D20*E20</f>
        <v>452.25675000000001</v>
      </c>
      <c r="G20" s="54">
        <v>16</v>
      </c>
      <c r="H20" s="55">
        <f>D20*G20</f>
        <v>53.6008</v>
      </c>
      <c r="I20" s="25"/>
      <c r="J20" s="34"/>
      <c r="K20" s="13"/>
      <c r="L20" s="13"/>
      <c r="M20" s="13"/>
      <c r="N20" s="13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35"/>
    </row>
    <row r="21" spans="1:29" ht="58.2" thickBot="1" x14ac:dyDescent="0.5">
      <c r="A21" s="82" t="s">
        <v>61</v>
      </c>
      <c r="B21" s="46" t="s">
        <v>60</v>
      </c>
      <c r="C21" s="56" t="s">
        <v>81</v>
      </c>
      <c r="D21" s="57">
        <f>исходники!B9/1000</f>
        <v>10.584</v>
      </c>
      <c r="E21" s="57">
        <v>180</v>
      </c>
      <c r="F21" s="57">
        <f>D21*E21</f>
        <v>1905.12</v>
      </c>
      <c r="G21" s="57">
        <v>67</v>
      </c>
      <c r="H21" s="58">
        <f>D21*G21</f>
        <v>709.12799999999993</v>
      </c>
      <c r="I21" s="25"/>
      <c r="J21" s="34"/>
      <c r="K21" s="13"/>
      <c r="L21" s="13"/>
      <c r="M21" s="13"/>
      <c r="N21" s="13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35"/>
    </row>
    <row r="22" spans="1:29" ht="21.6" thickBot="1" x14ac:dyDescent="0.45">
      <c r="A22" s="83"/>
      <c r="B22" s="84"/>
      <c r="C22" s="85"/>
      <c r="D22" s="86"/>
      <c r="E22" s="91"/>
      <c r="F22" s="92">
        <f>SUM(F11:F21)</f>
        <v>17611.565994500001</v>
      </c>
      <c r="G22" s="93"/>
      <c r="H22" s="92">
        <f t="shared" ref="H22" si="2">SUM(H11:H21)</f>
        <v>4871.3346984999989</v>
      </c>
      <c r="I22" s="25"/>
      <c r="J22" s="34"/>
      <c r="K22" s="13"/>
      <c r="L22" s="13"/>
      <c r="M22" s="13"/>
      <c r="N22" s="13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35"/>
    </row>
    <row r="23" spans="1:29" ht="76.8" x14ac:dyDescent="0.45">
      <c r="A23" s="87" t="s">
        <v>49</v>
      </c>
      <c r="B23" s="63" t="s">
        <v>72</v>
      </c>
      <c r="C23" s="88" t="s">
        <v>40</v>
      </c>
      <c r="D23" s="89">
        <f>'земляные работы'!H18/1000</f>
        <v>13.974057918929654</v>
      </c>
      <c r="E23" s="89">
        <f>G23</f>
        <v>8.0299999999999994</v>
      </c>
      <c r="F23" s="89">
        <f>D23*E23</f>
        <v>112.21168508900512</v>
      </c>
      <c r="G23" s="89">
        <v>8.0299999999999994</v>
      </c>
      <c r="H23" s="90">
        <f>D23*G23</f>
        <v>112.21168508900512</v>
      </c>
      <c r="I23" s="25"/>
      <c r="J23" s="34"/>
      <c r="K23" s="13"/>
      <c r="L23" s="13"/>
      <c r="M23" s="13"/>
      <c r="N23" s="1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35"/>
    </row>
    <row r="24" spans="1:29" ht="38.4" x14ac:dyDescent="0.45">
      <c r="A24" s="20" t="s">
        <v>50</v>
      </c>
      <c r="B24" s="28" t="s">
        <v>70</v>
      </c>
      <c r="C24" s="53" t="s">
        <v>79</v>
      </c>
      <c r="D24" s="54">
        <f>'земляные работы'!I18/100</f>
        <v>7.3547673257524595</v>
      </c>
      <c r="E24" s="54">
        <v>102.91</v>
      </c>
      <c r="F24" s="54">
        <f>D24*E24</f>
        <v>756.87910549318553</v>
      </c>
      <c r="G24" s="54"/>
      <c r="H24" s="55"/>
      <c r="I24" s="25"/>
      <c r="J24" s="34"/>
      <c r="K24" s="13"/>
      <c r="L24" s="13"/>
      <c r="M24" s="13"/>
      <c r="N24" s="13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35"/>
    </row>
    <row r="25" spans="1:29" ht="39" thickBot="1" x14ac:dyDescent="0.5">
      <c r="A25" s="45" t="s">
        <v>51</v>
      </c>
      <c r="B25" s="46" t="s">
        <v>71</v>
      </c>
      <c r="C25" s="56" t="s">
        <v>79</v>
      </c>
      <c r="D25" s="57">
        <f>'земляные работы'!J18/100</f>
        <v>147.09534651504902</v>
      </c>
      <c r="E25" s="57">
        <v>12.53</v>
      </c>
      <c r="F25" s="57">
        <f>D25*E25</f>
        <v>1843.1046918335642</v>
      </c>
      <c r="G25" s="57">
        <v>12.18</v>
      </c>
      <c r="H25" s="58">
        <f>D25*G25</f>
        <v>1791.621320553297</v>
      </c>
      <c r="I25" s="25"/>
      <c r="J25" s="37"/>
      <c r="K25" s="38"/>
      <c r="L25" s="38"/>
      <c r="M25" s="38"/>
      <c r="N25" s="38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40"/>
    </row>
    <row r="26" spans="1:29" ht="23.25" customHeight="1" thickBot="1" x14ac:dyDescent="0.35">
      <c r="A26" s="96"/>
      <c r="B26" s="97"/>
      <c r="C26" s="97"/>
      <c r="D26" s="97"/>
      <c r="E26" s="97"/>
      <c r="F26" s="92">
        <f>SUM(F23:F25)</f>
        <v>2712.1954824157547</v>
      </c>
      <c r="G26" s="98"/>
      <c r="H26" s="92">
        <f t="shared" ref="H26" si="3">SUM(H23:H25)</f>
        <v>1903.8330056423022</v>
      </c>
    </row>
    <row r="31" spans="1:29" ht="24.75" customHeight="1" x14ac:dyDescent="0.3">
      <c r="E31" s="99" t="s">
        <v>10</v>
      </c>
      <c r="F31" s="100">
        <f>SUM(F10,F22,F26)</f>
        <v>24282.078692159852</v>
      </c>
      <c r="G31" s="100"/>
      <c r="H31" s="100">
        <f t="shared" ref="H31" si="4">SUM(H10,H22,H26)</f>
        <v>7804.2411742706881</v>
      </c>
    </row>
    <row r="32" spans="1:29" ht="24.75" customHeight="1" x14ac:dyDescent="0.3"/>
    <row r="33" spans="5:8" ht="21" x14ac:dyDescent="0.4">
      <c r="E33" s="148" t="s">
        <v>108</v>
      </c>
      <c r="F33" s="148"/>
      <c r="G33" s="148"/>
      <c r="H33" s="106">
        <f>F31*0.06</f>
        <v>1456.9247215295911</v>
      </c>
    </row>
    <row r="34" spans="5:8" ht="18" x14ac:dyDescent="0.35">
      <c r="E34" s="107"/>
      <c r="F34" s="107"/>
      <c r="G34" s="107"/>
      <c r="H34" s="105"/>
    </row>
    <row r="35" spans="5:8" ht="21" x14ac:dyDescent="0.4">
      <c r="E35" s="148" t="s">
        <v>109</v>
      </c>
      <c r="F35" s="148"/>
      <c r="G35" s="148"/>
      <c r="H35" s="106">
        <f>F31*0.05</f>
        <v>1214.1039346079926</v>
      </c>
    </row>
    <row r="36" spans="5:8" ht="21" x14ac:dyDescent="0.4">
      <c r="E36" s="108"/>
      <c r="F36" s="107"/>
      <c r="G36" s="107"/>
      <c r="H36" s="105"/>
    </row>
    <row r="37" spans="5:8" ht="21" x14ac:dyDescent="0.4">
      <c r="E37" s="148" t="s">
        <v>105</v>
      </c>
      <c r="F37" s="148"/>
      <c r="G37" s="148"/>
      <c r="H37" s="106">
        <f>F31*0.07</f>
        <v>1699.7455084511898</v>
      </c>
    </row>
    <row r="38" spans="5:8" ht="21" x14ac:dyDescent="0.4">
      <c r="E38" s="108"/>
      <c r="F38" s="107"/>
      <c r="G38" s="107"/>
      <c r="H38" s="105"/>
    </row>
    <row r="39" spans="5:8" ht="21" x14ac:dyDescent="0.4">
      <c r="E39" s="148" t="s">
        <v>106</v>
      </c>
      <c r="F39" s="148"/>
      <c r="G39" s="148"/>
      <c r="H39" s="106">
        <f>F31*0.06</f>
        <v>1456.9247215295911</v>
      </c>
    </row>
  </sheetData>
  <mergeCells count="11">
    <mergeCell ref="A1:A2"/>
    <mergeCell ref="B1:B2"/>
    <mergeCell ref="C1:C2"/>
    <mergeCell ref="D1:D2"/>
    <mergeCell ref="E1:F1"/>
    <mergeCell ref="E33:G33"/>
    <mergeCell ref="E35:G35"/>
    <mergeCell ref="E37:G37"/>
    <mergeCell ref="E39:G39"/>
    <mergeCell ref="J1:AC1"/>
    <mergeCell ref="G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FD238-66E2-4586-9621-468FEA87056B}">
  <dimension ref="A1:GW36"/>
  <sheetViews>
    <sheetView zoomScale="85" zoomScaleNormal="85" workbookViewId="0">
      <selection activeCell="Q27" sqref="Q27"/>
    </sheetView>
  </sheetViews>
  <sheetFormatPr defaultRowHeight="14.4" x14ac:dyDescent="0.3"/>
  <cols>
    <col min="1" max="1" width="28.5546875" customWidth="1"/>
    <col min="2" max="3" width="8.109375" customWidth="1"/>
    <col min="4" max="4" width="7.88671875" customWidth="1"/>
    <col min="5" max="5" width="8.109375" customWidth="1"/>
    <col min="6" max="6" width="11" customWidth="1"/>
    <col min="8" max="8" width="8.33203125" customWidth="1"/>
    <col min="9" max="9" width="5.44140625" customWidth="1"/>
    <col min="10" max="10" width="5.88671875" customWidth="1"/>
    <col min="11" max="11" width="18.44140625" customWidth="1"/>
    <col min="12" max="205" width="3.6640625" customWidth="1"/>
  </cols>
  <sheetData>
    <row r="1" spans="1:205" ht="43.5" customHeight="1" x14ac:dyDescent="0.3">
      <c r="A1" s="170" t="s">
        <v>82</v>
      </c>
      <c r="B1" s="161" t="s">
        <v>83</v>
      </c>
      <c r="C1" s="172" t="s">
        <v>84</v>
      </c>
      <c r="D1" s="174" t="s">
        <v>85</v>
      </c>
      <c r="E1" s="175"/>
      <c r="F1" s="174" t="s">
        <v>86</v>
      </c>
      <c r="G1" s="175"/>
      <c r="H1" s="161" t="s">
        <v>91</v>
      </c>
      <c r="I1" s="161" t="s">
        <v>92</v>
      </c>
      <c r="J1" s="161" t="s">
        <v>93</v>
      </c>
      <c r="K1" s="163" t="s">
        <v>94</v>
      </c>
      <c r="L1" s="120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</row>
    <row r="2" spans="1:205" ht="58.5" customHeight="1" x14ac:dyDescent="0.3">
      <c r="A2" s="171"/>
      <c r="B2" s="162"/>
      <c r="C2" s="173"/>
      <c r="D2" s="102" t="s">
        <v>87</v>
      </c>
      <c r="E2" s="102" t="s">
        <v>88</v>
      </c>
      <c r="F2" s="102" t="s">
        <v>89</v>
      </c>
      <c r="G2" s="138" t="s">
        <v>90</v>
      </c>
      <c r="H2" s="162"/>
      <c r="I2" s="162"/>
      <c r="J2" s="162"/>
      <c r="K2" s="164"/>
      <c r="L2" s="121">
        <v>1</v>
      </c>
      <c r="M2" s="118">
        <v>2</v>
      </c>
      <c r="N2" s="118">
        <v>3</v>
      </c>
      <c r="O2" s="118">
        <v>4</v>
      </c>
      <c r="P2" s="118">
        <v>5</v>
      </c>
      <c r="Q2" s="118">
        <v>6</v>
      </c>
      <c r="R2" s="118">
        <v>7</v>
      </c>
      <c r="S2" s="118">
        <v>8</v>
      </c>
      <c r="T2" s="118">
        <v>9</v>
      </c>
      <c r="U2" s="118">
        <v>10</v>
      </c>
      <c r="V2" s="118">
        <v>11</v>
      </c>
      <c r="W2" s="118">
        <v>12</v>
      </c>
      <c r="X2" s="118">
        <v>13</v>
      </c>
      <c r="Y2" s="118">
        <v>14</v>
      </c>
      <c r="Z2" s="118">
        <v>15</v>
      </c>
      <c r="AA2" s="118">
        <v>16</v>
      </c>
      <c r="AB2" s="118">
        <v>17</v>
      </c>
      <c r="AC2" s="118">
        <v>18</v>
      </c>
      <c r="AD2" s="118">
        <v>19</v>
      </c>
      <c r="AE2" s="118">
        <v>20</v>
      </c>
      <c r="AF2" s="118">
        <v>21</v>
      </c>
      <c r="AG2" s="118">
        <v>22</v>
      </c>
      <c r="AH2" s="118">
        <v>23</v>
      </c>
      <c r="AI2" s="118">
        <v>24</v>
      </c>
      <c r="AJ2" s="118">
        <v>25</v>
      </c>
      <c r="AK2" s="118">
        <v>26</v>
      </c>
      <c r="AL2" s="118">
        <v>27</v>
      </c>
      <c r="AM2" s="118">
        <v>28</v>
      </c>
      <c r="AN2" s="118">
        <v>29</v>
      </c>
      <c r="AO2" s="118">
        <v>30</v>
      </c>
      <c r="AP2" s="118">
        <v>31</v>
      </c>
      <c r="AQ2" s="118">
        <v>32</v>
      </c>
      <c r="AR2" s="118">
        <v>33</v>
      </c>
      <c r="AS2" s="118">
        <v>34</v>
      </c>
      <c r="AT2" s="118">
        <v>35</v>
      </c>
      <c r="AU2" s="118">
        <v>36</v>
      </c>
      <c r="AV2" s="118">
        <v>37</v>
      </c>
      <c r="AW2" s="118">
        <v>38</v>
      </c>
      <c r="AX2" s="118">
        <v>39</v>
      </c>
      <c r="AY2" s="118">
        <v>40</v>
      </c>
      <c r="AZ2" s="118">
        <v>41</v>
      </c>
      <c r="BA2" s="118">
        <v>42</v>
      </c>
      <c r="BB2" s="118">
        <v>43</v>
      </c>
      <c r="BC2" s="118">
        <v>44</v>
      </c>
      <c r="BD2" s="118">
        <v>45</v>
      </c>
      <c r="BE2" s="118">
        <v>46</v>
      </c>
      <c r="BF2" s="118">
        <v>47</v>
      </c>
      <c r="BG2" s="118">
        <v>48</v>
      </c>
      <c r="BH2" s="118">
        <v>49</v>
      </c>
      <c r="BI2" s="118">
        <v>50</v>
      </c>
      <c r="BJ2" s="118">
        <v>51</v>
      </c>
      <c r="BK2" s="118">
        <v>52</v>
      </c>
      <c r="BL2" s="118">
        <v>53</v>
      </c>
      <c r="BM2" s="118">
        <v>54</v>
      </c>
      <c r="BN2" s="118">
        <v>55</v>
      </c>
      <c r="BO2" s="118">
        <v>56</v>
      </c>
      <c r="BP2" s="118">
        <v>57</v>
      </c>
      <c r="BQ2" s="118">
        <v>58</v>
      </c>
      <c r="BR2" s="118">
        <v>59</v>
      </c>
      <c r="BS2" s="118">
        <v>60</v>
      </c>
      <c r="BT2" s="118">
        <v>61</v>
      </c>
      <c r="BU2" s="118">
        <v>62</v>
      </c>
      <c r="BV2" s="118">
        <v>63</v>
      </c>
      <c r="BW2" s="118">
        <v>64</v>
      </c>
      <c r="BX2" s="118">
        <v>65</v>
      </c>
      <c r="BY2" s="118">
        <v>66</v>
      </c>
      <c r="BZ2" s="118">
        <v>67</v>
      </c>
      <c r="CA2" s="118">
        <v>68</v>
      </c>
      <c r="CB2" s="118">
        <v>69</v>
      </c>
      <c r="CC2" s="118">
        <v>70</v>
      </c>
      <c r="CD2" s="118">
        <v>71</v>
      </c>
      <c r="CE2" s="118">
        <v>72</v>
      </c>
      <c r="CF2" s="118">
        <v>73</v>
      </c>
      <c r="CG2" s="118">
        <v>74</v>
      </c>
      <c r="CH2" s="118">
        <v>75</v>
      </c>
      <c r="CI2" s="118">
        <v>76</v>
      </c>
      <c r="CJ2" s="118">
        <v>77</v>
      </c>
      <c r="CK2" s="118">
        <v>78</v>
      </c>
      <c r="CL2" s="118">
        <v>79</v>
      </c>
      <c r="CM2" s="118">
        <v>80</v>
      </c>
      <c r="CN2" s="118">
        <v>81</v>
      </c>
      <c r="CO2" s="118">
        <v>82</v>
      </c>
      <c r="CP2" s="118">
        <v>83</v>
      </c>
      <c r="CQ2" s="118">
        <v>84</v>
      </c>
      <c r="CR2" s="118">
        <v>85</v>
      </c>
      <c r="CS2" s="118">
        <v>86</v>
      </c>
      <c r="CT2" s="118">
        <v>87</v>
      </c>
      <c r="CU2" s="118">
        <v>88</v>
      </c>
      <c r="CV2" s="118">
        <v>89</v>
      </c>
      <c r="CW2" s="118">
        <v>90</v>
      </c>
      <c r="CX2" s="118">
        <v>91</v>
      </c>
      <c r="CY2" s="118">
        <v>92</v>
      </c>
      <c r="CZ2" s="118">
        <v>93</v>
      </c>
      <c r="DA2" s="118">
        <v>94</v>
      </c>
      <c r="DB2" s="118">
        <v>95</v>
      </c>
      <c r="DC2" s="118">
        <v>96</v>
      </c>
      <c r="DD2" s="118">
        <v>97</v>
      </c>
      <c r="DE2" s="118">
        <v>98</v>
      </c>
      <c r="DF2" s="118">
        <v>99</v>
      </c>
      <c r="DG2" s="118">
        <v>100</v>
      </c>
      <c r="DH2" s="118">
        <v>101</v>
      </c>
      <c r="DI2" s="118">
        <v>102</v>
      </c>
      <c r="DJ2" s="118">
        <v>103</v>
      </c>
      <c r="DK2" s="118">
        <v>104</v>
      </c>
      <c r="DL2" s="118">
        <v>105</v>
      </c>
      <c r="DM2" s="118">
        <v>106</v>
      </c>
      <c r="DN2" s="118">
        <v>107</v>
      </c>
      <c r="DO2" s="118">
        <v>108</v>
      </c>
      <c r="DP2" s="118">
        <v>109</v>
      </c>
      <c r="DQ2" s="118">
        <v>110</v>
      </c>
      <c r="DR2" s="118">
        <v>111</v>
      </c>
      <c r="DS2" s="118">
        <v>112</v>
      </c>
      <c r="DT2" s="118">
        <v>113</v>
      </c>
      <c r="DU2" s="118">
        <v>114</v>
      </c>
      <c r="DV2" s="118">
        <v>115</v>
      </c>
      <c r="DW2" s="118">
        <v>116</v>
      </c>
      <c r="DX2" s="118">
        <v>117</v>
      </c>
      <c r="DY2" s="118">
        <v>118</v>
      </c>
      <c r="DZ2" s="118">
        <v>119</v>
      </c>
      <c r="EA2" s="118">
        <v>120</v>
      </c>
      <c r="EB2" s="118">
        <v>121</v>
      </c>
      <c r="EC2" s="118">
        <v>122</v>
      </c>
      <c r="ED2" s="118">
        <v>123</v>
      </c>
      <c r="EE2" s="118">
        <v>124</v>
      </c>
      <c r="EF2" s="118">
        <v>125</v>
      </c>
      <c r="EG2" s="118">
        <v>126</v>
      </c>
      <c r="EH2" s="118">
        <v>127</v>
      </c>
      <c r="EI2" s="118">
        <v>128</v>
      </c>
      <c r="EJ2" s="118">
        <v>129</v>
      </c>
      <c r="EK2" s="118">
        <v>130</v>
      </c>
      <c r="EL2" s="118">
        <v>131</v>
      </c>
      <c r="EM2" s="118">
        <v>132</v>
      </c>
      <c r="EN2" s="118">
        <v>133</v>
      </c>
      <c r="EO2" s="118">
        <v>134</v>
      </c>
      <c r="EP2" s="118">
        <v>135</v>
      </c>
      <c r="EQ2" s="118">
        <v>136</v>
      </c>
      <c r="ER2" s="118">
        <v>137</v>
      </c>
      <c r="ES2" s="118">
        <v>138</v>
      </c>
      <c r="ET2" s="118">
        <v>139</v>
      </c>
      <c r="EU2" s="118">
        <v>140</v>
      </c>
      <c r="EV2" s="118">
        <v>141</v>
      </c>
      <c r="EW2" s="118">
        <v>142</v>
      </c>
      <c r="EX2" s="118">
        <v>143</v>
      </c>
      <c r="EY2" s="118">
        <v>144</v>
      </c>
      <c r="EZ2" s="118">
        <v>145</v>
      </c>
      <c r="FA2" s="118">
        <v>146</v>
      </c>
      <c r="FB2" s="118">
        <v>147</v>
      </c>
      <c r="FC2" s="118">
        <v>148</v>
      </c>
      <c r="FD2" s="118">
        <v>149</v>
      </c>
      <c r="FE2" s="118">
        <v>150</v>
      </c>
      <c r="FF2" s="118">
        <v>151</v>
      </c>
      <c r="FG2" s="118">
        <v>152</v>
      </c>
      <c r="FH2" s="118">
        <v>153</v>
      </c>
      <c r="FI2" s="118">
        <v>154</v>
      </c>
      <c r="FJ2" s="118">
        <v>155</v>
      </c>
      <c r="FK2" s="118">
        <v>156</v>
      </c>
      <c r="FL2" s="118">
        <v>157</v>
      </c>
      <c r="FM2" s="118">
        <v>158</v>
      </c>
      <c r="FN2" s="118">
        <v>159</v>
      </c>
      <c r="FO2" s="118">
        <v>160</v>
      </c>
      <c r="FP2" s="118">
        <v>161</v>
      </c>
      <c r="FQ2" s="118">
        <v>162</v>
      </c>
      <c r="FR2" s="118">
        <v>163</v>
      </c>
      <c r="FS2" s="118">
        <v>164</v>
      </c>
      <c r="FT2" s="118">
        <v>165</v>
      </c>
      <c r="FU2" s="118">
        <v>166</v>
      </c>
      <c r="FV2" s="118">
        <v>167</v>
      </c>
      <c r="FW2" s="118">
        <v>168</v>
      </c>
      <c r="FX2" s="118">
        <v>169</v>
      </c>
      <c r="FY2" s="118">
        <v>170</v>
      </c>
      <c r="FZ2" s="118">
        <v>171</v>
      </c>
      <c r="GA2" s="118">
        <v>172</v>
      </c>
      <c r="GB2" s="118">
        <v>173</v>
      </c>
      <c r="GC2" s="118">
        <v>174</v>
      </c>
      <c r="GD2" s="118">
        <v>175</v>
      </c>
      <c r="GE2" s="118">
        <v>176</v>
      </c>
      <c r="GF2" s="118">
        <v>177</v>
      </c>
      <c r="GG2" s="118">
        <v>178</v>
      </c>
      <c r="GH2" s="118">
        <v>179</v>
      </c>
      <c r="GI2" s="118">
        <v>180</v>
      </c>
      <c r="GJ2" s="118">
        <v>181</v>
      </c>
      <c r="GK2" s="118">
        <v>182</v>
      </c>
      <c r="GL2" s="118">
        <v>183</v>
      </c>
      <c r="GM2" s="118">
        <v>184</v>
      </c>
      <c r="GN2" s="118">
        <v>185</v>
      </c>
      <c r="GO2" s="118">
        <v>186</v>
      </c>
      <c r="GP2" s="118">
        <v>187</v>
      </c>
      <c r="GQ2" s="118">
        <v>188</v>
      </c>
      <c r="GR2" s="118">
        <v>189</v>
      </c>
      <c r="GS2" s="118">
        <v>190</v>
      </c>
      <c r="GT2" s="118">
        <v>191</v>
      </c>
      <c r="GU2" s="118">
        <v>192</v>
      </c>
      <c r="GV2" s="118">
        <v>193</v>
      </c>
      <c r="GW2" s="118">
        <v>194</v>
      </c>
    </row>
    <row r="3" spans="1:205" ht="15" thickBot="1" x14ac:dyDescent="0.35">
      <c r="A3" s="122"/>
      <c r="B3" s="101"/>
      <c r="C3" s="101"/>
      <c r="D3" s="101"/>
      <c r="E3" s="101"/>
      <c r="F3" s="101"/>
      <c r="G3" s="101"/>
      <c r="H3" s="101"/>
      <c r="I3" s="101"/>
      <c r="J3" s="101"/>
      <c r="K3" s="123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M3" s="119"/>
      <c r="CN3" s="119"/>
      <c r="CO3" s="119"/>
      <c r="CP3" s="119"/>
      <c r="CQ3" s="119"/>
      <c r="CR3" s="119"/>
      <c r="CS3" s="119"/>
      <c r="CT3" s="119"/>
      <c r="CU3" s="119"/>
      <c r="CV3" s="119"/>
      <c r="CW3" s="119"/>
      <c r="CX3" s="119"/>
      <c r="CY3" s="119"/>
      <c r="CZ3" s="119"/>
      <c r="DA3" s="119"/>
      <c r="DB3" s="119"/>
      <c r="DC3" s="119"/>
      <c r="DD3" s="119"/>
      <c r="DE3" s="119"/>
      <c r="DF3" s="119"/>
      <c r="DG3" s="119"/>
      <c r="DH3" s="119"/>
      <c r="DI3" s="119"/>
      <c r="DJ3" s="119"/>
      <c r="DK3" s="119"/>
      <c r="DL3" s="119"/>
      <c r="DM3" s="119"/>
      <c r="DN3" s="119"/>
      <c r="DO3" s="119"/>
      <c r="DP3" s="119"/>
      <c r="DQ3" s="119"/>
      <c r="DR3" s="119"/>
      <c r="DS3" s="119"/>
      <c r="DT3" s="119"/>
      <c r="DU3" s="119"/>
      <c r="DV3" s="119"/>
      <c r="DW3" s="119"/>
      <c r="DX3" s="119"/>
      <c r="DY3" s="119"/>
      <c r="DZ3" s="119"/>
      <c r="EA3" s="119"/>
      <c r="EB3" s="119"/>
      <c r="EC3" s="119"/>
      <c r="ED3" s="119"/>
      <c r="EE3" s="119"/>
      <c r="EF3" s="119"/>
      <c r="EG3" s="119"/>
      <c r="EH3" s="119"/>
      <c r="EI3" s="119"/>
      <c r="EJ3" s="119"/>
      <c r="EK3" s="119"/>
      <c r="EL3" s="119"/>
      <c r="EM3" s="119"/>
      <c r="EN3" s="119"/>
      <c r="EO3" s="119"/>
      <c r="EP3" s="119"/>
      <c r="EQ3" s="119"/>
      <c r="ER3" s="119"/>
      <c r="ES3" s="119"/>
      <c r="ET3" s="119"/>
      <c r="EU3" s="119"/>
      <c r="EV3" s="119"/>
      <c r="EW3" s="119"/>
      <c r="EX3" s="119"/>
      <c r="EY3" s="119"/>
      <c r="EZ3" s="119"/>
      <c r="FA3" s="119"/>
      <c r="FB3" s="119"/>
      <c r="FC3" s="119"/>
      <c r="FD3" s="119"/>
      <c r="FE3" s="119"/>
      <c r="FF3" s="119"/>
      <c r="FG3" s="119"/>
      <c r="FH3" s="119"/>
      <c r="FI3" s="119"/>
      <c r="FJ3" s="119"/>
      <c r="FK3" s="119"/>
      <c r="FL3" s="119"/>
      <c r="FM3" s="119"/>
      <c r="FN3" s="119"/>
      <c r="FO3" s="119"/>
      <c r="FP3" s="119"/>
      <c r="FQ3" s="119"/>
      <c r="FR3" s="119"/>
      <c r="FS3" s="119"/>
      <c r="FT3" s="119"/>
      <c r="FU3" s="119"/>
      <c r="FV3" s="119"/>
      <c r="FW3" s="119"/>
      <c r="FX3" s="119"/>
      <c r="FY3" s="119"/>
      <c r="FZ3" s="119"/>
      <c r="GA3" s="119"/>
      <c r="GB3" s="119"/>
      <c r="GC3" s="119"/>
      <c r="GD3" s="119"/>
      <c r="GE3" s="119"/>
      <c r="GF3" s="119"/>
      <c r="GG3" s="119"/>
      <c r="GH3" s="119"/>
      <c r="GI3" s="119"/>
      <c r="GJ3" s="119"/>
      <c r="GK3" s="119"/>
      <c r="GL3" s="119"/>
      <c r="GM3" s="119"/>
      <c r="GN3" s="119"/>
      <c r="GO3" s="119"/>
      <c r="GP3" s="119"/>
      <c r="GQ3" s="119"/>
      <c r="GR3" s="119"/>
      <c r="GS3" s="119"/>
      <c r="GT3" s="119"/>
      <c r="GU3" s="119"/>
      <c r="GV3" s="119"/>
      <c r="GW3" s="119"/>
    </row>
    <row r="4" spans="1:205" ht="34.5" customHeight="1" thickTop="1" x14ac:dyDescent="0.3">
      <c r="A4" s="124" t="s">
        <v>95</v>
      </c>
      <c r="B4" s="109" t="s">
        <v>110</v>
      </c>
      <c r="C4" s="109">
        <v>6</v>
      </c>
      <c r="D4" s="110">
        <f>'объемы работ'!H33/8</f>
        <v>182.11559019119889</v>
      </c>
      <c r="E4" s="109">
        <f>I4*J4*H4</f>
        <v>190</v>
      </c>
      <c r="F4" s="134" t="s">
        <v>111</v>
      </c>
      <c r="G4" s="134" t="s">
        <v>111</v>
      </c>
      <c r="H4" s="113">
        <f>ROUNDUP(D4/(J4*I4),0)</f>
        <v>19</v>
      </c>
      <c r="I4" s="109">
        <v>2</v>
      </c>
      <c r="J4" s="109">
        <v>5</v>
      </c>
      <c r="K4" s="131"/>
      <c r="L4" s="177"/>
      <c r="M4" s="178"/>
      <c r="N4" s="178"/>
      <c r="O4" s="178"/>
      <c r="P4" s="178"/>
      <c r="Q4" s="178"/>
      <c r="R4" s="178"/>
      <c r="S4" s="178"/>
      <c r="T4" s="178">
        <f>J4*I4</f>
        <v>10</v>
      </c>
      <c r="U4" s="178"/>
      <c r="V4" s="179"/>
      <c r="W4" s="179"/>
      <c r="X4" s="179"/>
      <c r="Y4" s="179"/>
      <c r="Z4" s="179"/>
      <c r="AA4" s="179"/>
      <c r="AB4" s="179"/>
      <c r="AC4" s="179"/>
      <c r="AD4" s="179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140"/>
      <c r="CE4" s="140"/>
      <c r="CF4" s="140"/>
      <c r="CG4" s="140"/>
      <c r="CH4" s="140"/>
      <c r="CI4" s="140"/>
      <c r="CJ4" s="140"/>
      <c r="CK4" s="140"/>
      <c r="CL4" s="140"/>
      <c r="CM4" s="140"/>
      <c r="CN4" s="141"/>
      <c r="CO4" s="141"/>
      <c r="CP4" s="141"/>
      <c r="CQ4" s="141"/>
      <c r="CR4" s="141"/>
      <c r="CS4" s="141"/>
      <c r="CT4" s="141"/>
      <c r="CU4" s="141"/>
      <c r="CV4" s="141"/>
      <c r="CW4" s="141"/>
      <c r="CX4" s="141"/>
      <c r="CY4" s="141"/>
      <c r="CZ4" s="141"/>
      <c r="DA4" s="141"/>
      <c r="DB4" s="141"/>
      <c r="DC4" s="141"/>
      <c r="DD4" s="141"/>
      <c r="DE4" s="141"/>
      <c r="DF4" s="141"/>
      <c r="DG4" s="141"/>
      <c r="DH4" s="141"/>
      <c r="DI4" s="141"/>
      <c r="DJ4" s="141"/>
      <c r="DK4" s="141"/>
      <c r="DL4" s="141"/>
      <c r="DM4" s="141"/>
      <c r="DN4" s="141"/>
      <c r="DO4" s="141"/>
      <c r="DP4" s="141"/>
      <c r="DQ4" s="141"/>
      <c r="DR4" s="141"/>
      <c r="DS4" s="141"/>
      <c r="DT4" s="141"/>
      <c r="DU4" s="141"/>
      <c r="DV4" s="141"/>
      <c r="DW4" s="141"/>
      <c r="DX4" s="141"/>
      <c r="DY4" s="141"/>
      <c r="DZ4" s="141"/>
      <c r="EA4" s="141"/>
      <c r="EB4" s="141"/>
      <c r="EC4" s="141"/>
      <c r="ED4" s="141"/>
      <c r="EE4" s="141"/>
      <c r="EF4" s="141"/>
      <c r="EG4" s="141"/>
      <c r="EH4" s="141"/>
      <c r="EI4" s="141"/>
      <c r="EJ4" s="141"/>
      <c r="EK4" s="141"/>
      <c r="EL4" s="141"/>
      <c r="EM4" s="141"/>
      <c r="EN4" s="141"/>
      <c r="EO4" s="141"/>
      <c r="EP4" s="141"/>
      <c r="EQ4" s="141"/>
      <c r="ER4" s="141"/>
      <c r="ES4" s="141"/>
      <c r="ET4" s="141"/>
      <c r="EU4" s="141"/>
      <c r="EV4" s="141"/>
      <c r="EW4" s="141"/>
      <c r="EX4" s="141"/>
      <c r="EY4" s="141"/>
      <c r="EZ4" s="141"/>
      <c r="FA4" s="141"/>
      <c r="FB4" s="141"/>
      <c r="FC4" s="141"/>
      <c r="FD4" s="141"/>
      <c r="FE4" s="141"/>
      <c r="FF4" s="141"/>
      <c r="FG4" s="141"/>
      <c r="FH4" s="141"/>
      <c r="FI4" s="141"/>
      <c r="FJ4" s="141"/>
      <c r="FK4" s="141"/>
      <c r="FL4" s="141"/>
      <c r="FM4" s="141"/>
      <c r="FN4" s="141"/>
      <c r="FO4" s="141"/>
      <c r="FP4" s="141"/>
      <c r="FQ4" s="141"/>
      <c r="FR4" s="141"/>
      <c r="FS4" s="141"/>
      <c r="FT4" s="141"/>
      <c r="FU4" s="141"/>
      <c r="FV4" s="141"/>
      <c r="FW4" s="141"/>
      <c r="FX4" s="141"/>
      <c r="FY4" s="141"/>
      <c r="FZ4" s="141"/>
      <c r="GA4" s="141"/>
      <c r="GB4" s="141"/>
      <c r="GC4" s="141"/>
      <c r="GD4" s="141"/>
      <c r="GE4" s="141"/>
      <c r="GF4" s="141"/>
      <c r="GG4" s="141"/>
      <c r="GH4" s="141"/>
      <c r="GI4" s="141"/>
      <c r="GJ4" s="141"/>
      <c r="GK4" s="141"/>
      <c r="GL4" s="141"/>
      <c r="GM4" s="141"/>
      <c r="GN4" s="141"/>
      <c r="GO4" s="141"/>
      <c r="GP4" s="141"/>
      <c r="GQ4" s="141"/>
      <c r="GR4" s="141"/>
      <c r="GS4" s="141"/>
      <c r="GT4" s="141"/>
      <c r="GU4" s="141"/>
      <c r="GV4" s="141"/>
      <c r="GW4" s="141"/>
    </row>
    <row r="5" spans="1:205" ht="17.399999999999999" customHeight="1" x14ac:dyDescent="0.3">
      <c r="A5" s="125" t="s">
        <v>107</v>
      </c>
      <c r="B5" s="111" t="str">
        <f>'объемы работ'!C4</f>
        <v>1000м^3</v>
      </c>
      <c r="C5" s="111">
        <f>'объемы работ'!D4</f>
        <v>15.338455</v>
      </c>
      <c r="D5" s="165">
        <f>SUM('объемы работ'!F4,'объемы работ'!F5)/8</f>
        <v>50.519293149999996</v>
      </c>
      <c r="E5" s="166">
        <f>H5*I5*J5</f>
        <v>56</v>
      </c>
      <c r="F5" s="168"/>
      <c r="G5" s="168">
        <f>SUM('объемы работ'!H4,'объемы работ'!H5)/8</f>
        <v>50.519293149999996</v>
      </c>
      <c r="H5" s="166">
        <f>ROUNDUP(D5/(J5*I5),0)</f>
        <v>7</v>
      </c>
      <c r="I5" s="169">
        <v>2</v>
      </c>
      <c r="J5" s="169">
        <v>4</v>
      </c>
      <c r="K5" s="159"/>
      <c r="L5" s="160"/>
      <c r="M5" s="158"/>
      <c r="N5" s="158"/>
      <c r="O5" s="180"/>
      <c r="P5" s="180"/>
      <c r="Q5" s="180"/>
      <c r="R5" s="180">
        <f>J5*I5</f>
        <v>8</v>
      </c>
      <c r="S5" s="180"/>
      <c r="T5" s="181"/>
      <c r="U5" s="180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158"/>
      <c r="BL5" s="158"/>
      <c r="BM5" s="158"/>
      <c r="BN5" s="158"/>
      <c r="BO5" s="158"/>
      <c r="BP5" s="158"/>
      <c r="BQ5" s="158"/>
      <c r="BR5" s="158"/>
      <c r="BS5" s="158"/>
      <c r="BT5" s="158"/>
      <c r="BU5" s="158"/>
      <c r="BV5" s="158"/>
      <c r="BW5" s="158"/>
      <c r="BX5" s="158"/>
      <c r="BY5" s="158"/>
      <c r="BZ5" s="158"/>
      <c r="CA5" s="158"/>
      <c r="CB5" s="158"/>
      <c r="CC5" s="158"/>
      <c r="CD5" s="158"/>
      <c r="CE5" s="158"/>
      <c r="CF5" s="158"/>
      <c r="CG5" s="158"/>
      <c r="CH5" s="158"/>
      <c r="CI5" s="158"/>
      <c r="CJ5" s="158"/>
      <c r="CK5" s="158"/>
      <c r="CL5" s="158"/>
      <c r="CM5" s="158"/>
      <c r="CN5" s="103"/>
      <c r="CO5" s="103"/>
      <c r="CP5" s="103"/>
      <c r="CQ5" s="103"/>
      <c r="CR5" s="103"/>
      <c r="CS5" s="103"/>
      <c r="CT5" s="103"/>
      <c r="CU5" s="103"/>
      <c r="CV5" s="103"/>
      <c r="CW5" s="103"/>
      <c r="CX5" s="103"/>
      <c r="CY5" s="103"/>
      <c r="CZ5" s="103"/>
      <c r="DA5" s="103"/>
      <c r="DB5" s="103"/>
      <c r="DC5" s="103"/>
      <c r="DD5" s="103"/>
      <c r="DE5" s="103"/>
      <c r="DF5" s="103"/>
      <c r="DG5" s="103"/>
      <c r="DH5" s="103"/>
      <c r="DI5" s="103"/>
      <c r="DJ5" s="103"/>
      <c r="DK5" s="103"/>
      <c r="DL5" s="103"/>
      <c r="DM5" s="103"/>
      <c r="DN5" s="103"/>
      <c r="DO5" s="103"/>
      <c r="DP5" s="103"/>
      <c r="DQ5" s="103"/>
      <c r="DR5" s="103"/>
      <c r="DS5" s="103"/>
      <c r="DT5" s="103"/>
      <c r="DU5" s="103"/>
      <c r="DV5" s="103"/>
      <c r="DW5" s="103"/>
      <c r="DX5" s="103"/>
      <c r="DY5" s="103"/>
      <c r="DZ5" s="103"/>
      <c r="EA5" s="103"/>
      <c r="EB5" s="103"/>
      <c r="EC5" s="103"/>
      <c r="ED5" s="103"/>
      <c r="EE5" s="103"/>
      <c r="EF5" s="103"/>
      <c r="EG5" s="103"/>
      <c r="EH5" s="103"/>
      <c r="EI5" s="103"/>
      <c r="EJ5" s="103"/>
      <c r="EK5" s="103"/>
      <c r="EL5" s="103"/>
      <c r="EM5" s="103"/>
      <c r="EN5" s="103"/>
      <c r="EO5" s="103"/>
      <c r="EP5" s="103"/>
      <c r="EQ5" s="103"/>
      <c r="ER5" s="103"/>
      <c r="ES5" s="103"/>
      <c r="ET5" s="103"/>
      <c r="EU5" s="103"/>
      <c r="EV5" s="103"/>
      <c r="EW5" s="103"/>
      <c r="EX5" s="103"/>
      <c r="EY5" s="103"/>
      <c r="EZ5" s="103"/>
      <c r="FA5" s="103"/>
      <c r="FB5" s="103"/>
      <c r="FC5" s="103"/>
      <c r="FD5" s="103"/>
      <c r="FE5" s="103"/>
      <c r="FF5" s="103"/>
      <c r="FG5" s="103"/>
      <c r="FH5" s="103"/>
      <c r="FI5" s="103"/>
      <c r="FJ5" s="103"/>
      <c r="FK5" s="103"/>
      <c r="FL5" s="103"/>
      <c r="FM5" s="103"/>
      <c r="FN5" s="103"/>
      <c r="FO5" s="103"/>
      <c r="FP5" s="103"/>
      <c r="FQ5" s="103"/>
      <c r="FR5" s="103"/>
      <c r="FS5" s="103"/>
      <c r="FT5" s="103"/>
      <c r="FU5" s="103"/>
      <c r="FV5" s="103"/>
      <c r="FW5" s="103"/>
      <c r="FX5" s="103"/>
      <c r="FY5" s="103"/>
      <c r="FZ5" s="103"/>
      <c r="GA5" s="103"/>
      <c r="GB5" s="103"/>
      <c r="GC5" s="103"/>
      <c r="GD5" s="103"/>
      <c r="GE5" s="103"/>
      <c r="GF5" s="103"/>
      <c r="GG5" s="103"/>
      <c r="GH5" s="103"/>
      <c r="GI5" s="103"/>
      <c r="GJ5" s="103"/>
      <c r="GK5" s="103"/>
      <c r="GL5" s="103"/>
      <c r="GM5" s="103"/>
      <c r="GN5" s="103"/>
      <c r="GO5" s="103"/>
      <c r="GP5" s="103"/>
      <c r="GQ5" s="103"/>
      <c r="GR5" s="103"/>
      <c r="GS5" s="103"/>
      <c r="GT5" s="103"/>
      <c r="GU5" s="103"/>
      <c r="GV5" s="103"/>
      <c r="GW5" s="103"/>
    </row>
    <row r="6" spans="1:205" ht="15" customHeight="1" x14ac:dyDescent="0.3">
      <c r="A6" s="126" t="s">
        <v>96</v>
      </c>
      <c r="B6" s="112" t="str">
        <f>'объемы работ'!C5</f>
        <v>1000м^2</v>
      </c>
      <c r="C6" s="112">
        <f>'объемы работ'!D5</f>
        <v>557.76199999999994</v>
      </c>
      <c r="D6" s="165"/>
      <c r="E6" s="167"/>
      <c r="F6" s="168"/>
      <c r="G6" s="168"/>
      <c r="H6" s="167"/>
      <c r="I6" s="169"/>
      <c r="J6" s="169"/>
      <c r="K6" s="159"/>
      <c r="L6" s="160"/>
      <c r="M6" s="158"/>
      <c r="N6" s="158"/>
      <c r="O6" s="180"/>
      <c r="P6" s="180"/>
      <c r="Q6" s="180"/>
      <c r="R6" s="180"/>
      <c r="S6" s="180"/>
      <c r="T6" s="181"/>
      <c r="U6" s="180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158"/>
      <c r="BL6" s="158"/>
      <c r="BM6" s="158"/>
      <c r="BN6" s="158"/>
      <c r="BO6" s="158"/>
      <c r="BP6" s="158"/>
      <c r="BQ6" s="158"/>
      <c r="BR6" s="158"/>
      <c r="BS6" s="158"/>
      <c r="BT6" s="158"/>
      <c r="BU6" s="158"/>
      <c r="BV6" s="158"/>
      <c r="BW6" s="158"/>
      <c r="BX6" s="158"/>
      <c r="BY6" s="158"/>
      <c r="BZ6" s="158"/>
      <c r="CA6" s="158"/>
      <c r="CB6" s="158"/>
      <c r="CC6" s="158"/>
      <c r="CD6" s="158"/>
      <c r="CE6" s="158"/>
      <c r="CF6" s="158"/>
      <c r="CG6" s="158"/>
      <c r="CH6" s="158"/>
      <c r="CI6" s="158"/>
      <c r="CJ6" s="158"/>
      <c r="CK6" s="158"/>
      <c r="CL6" s="158"/>
      <c r="CM6" s="158"/>
      <c r="CN6" s="103"/>
      <c r="CO6" s="103"/>
      <c r="CP6" s="103"/>
      <c r="CQ6" s="103"/>
      <c r="CR6" s="103"/>
      <c r="CS6" s="103"/>
      <c r="CT6" s="103"/>
      <c r="CU6" s="103"/>
      <c r="CV6" s="103"/>
      <c r="CW6" s="103"/>
      <c r="CX6" s="103"/>
      <c r="CY6" s="103"/>
      <c r="CZ6" s="103"/>
      <c r="DA6" s="103"/>
      <c r="DB6" s="103"/>
      <c r="DC6" s="103"/>
      <c r="DD6" s="103"/>
      <c r="DE6" s="103"/>
      <c r="DF6" s="103"/>
      <c r="DG6" s="103"/>
      <c r="DH6" s="103"/>
      <c r="DI6" s="103"/>
      <c r="DJ6" s="103"/>
      <c r="DK6" s="103"/>
      <c r="DL6" s="103"/>
      <c r="DM6" s="103"/>
      <c r="DN6" s="103"/>
      <c r="DO6" s="103"/>
      <c r="DP6" s="103"/>
      <c r="DQ6" s="103"/>
      <c r="DR6" s="103"/>
      <c r="DS6" s="103"/>
      <c r="DT6" s="103"/>
      <c r="DU6" s="103"/>
      <c r="DV6" s="103"/>
      <c r="DW6" s="103"/>
      <c r="DX6" s="103"/>
      <c r="DY6" s="103"/>
      <c r="DZ6" s="103"/>
      <c r="EA6" s="103"/>
      <c r="EB6" s="103"/>
      <c r="EC6" s="103"/>
      <c r="ED6" s="103"/>
      <c r="EE6" s="103"/>
      <c r="EF6" s="103"/>
      <c r="EG6" s="103"/>
      <c r="EH6" s="103"/>
      <c r="EI6" s="103"/>
      <c r="EJ6" s="103"/>
      <c r="EK6" s="103"/>
      <c r="EL6" s="103"/>
      <c r="EM6" s="103"/>
      <c r="EN6" s="103"/>
      <c r="EO6" s="103"/>
      <c r="EP6" s="103"/>
      <c r="EQ6" s="103"/>
      <c r="ER6" s="103"/>
      <c r="ES6" s="103"/>
      <c r="ET6" s="103"/>
      <c r="EU6" s="103"/>
      <c r="EV6" s="103"/>
      <c r="EW6" s="103"/>
      <c r="EX6" s="103"/>
      <c r="EY6" s="103"/>
      <c r="EZ6" s="103"/>
      <c r="FA6" s="103"/>
      <c r="FB6" s="103"/>
      <c r="FC6" s="103"/>
      <c r="FD6" s="103"/>
      <c r="FE6" s="103"/>
      <c r="FF6" s="103"/>
      <c r="FG6" s="103"/>
      <c r="FH6" s="103"/>
      <c r="FI6" s="103"/>
      <c r="FJ6" s="103"/>
      <c r="FK6" s="103"/>
      <c r="FL6" s="103"/>
      <c r="FM6" s="103"/>
      <c r="FN6" s="103"/>
      <c r="FO6" s="103"/>
      <c r="FP6" s="103"/>
      <c r="FQ6" s="103"/>
      <c r="FR6" s="103"/>
      <c r="FS6" s="103"/>
      <c r="FT6" s="103"/>
      <c r="FU6" s="103"/>
      <c r="FV6" s="103"/>
      <c r="FW6" s="103"/>
      <c r="FX6" s="103"/>
      <c r="FY6" s="103"/>
      <c r="FZ6" s="103"/>
      <c r="GA6" s="103"/>
      <c r="GB6" s="103"/>
      <c r="GC6" s="103"/>
      <c r="GD6" s="103"/>
      <c r="GE6" s="103"/>
      <c r="GF6" s="103"/>
      <c r="GG6" s="103"/>
      <c r="GH6" s="103"/>
      <c r="GI6" s="103"/>
      <c r="GJ6" s="103"/>
      <c r="GK6" s="103"/>
      <c r="GL6" s="103"/>
      <c r="GM6" s="103"/>
      <c r="GN6" s="103"/>
      <c r="GO6" s="103"/>
      <c r="GP6" s="103"/>
      <c r="GQ6" s="103"/>
      <c r="GR6" s="103"/>
      <c r="GS6" s="103"/>
      <c r="GT6" s="103"/>
      <c r="GU6" s="103"/>
      <c r="GV6" s="103"/>
      <c r="GW6" s="103"/>
    </row>
    <row r="7" spans="1:205" ht="15.6" x14ac:dyDescent="0.3">
      <c r="A7" s="126" t="s">
        <v>97</v>
      </c>
      <c r="B7" s="112" t="str">
        <f>'объемы работ'!C7</f>
        <v>1000м^3</v>
      </c>
      <c r="C7" s="114">
        <f>('объемы работ'!D6+'объемы работ'!D7)</f>
        <v>15.006946317833336</v>
      </c>
      <c r="D7" s="114">
        <f>SUM('объемы работ'!F6,'объемы работ'!F7)/8</f>
        <v>65.041156030261888</v>
      </c>
      <c r="E7" s="115">
        <f>I7*J7*H7</f>
        <v>72</v>
      </c>
      <c r="F7" s="135"/>
      <c r="G7" s="135">
        <f>SUM('объемы работ'!H6,'объемы работ'!H7)/8</f>
        <v>44.758064916048333</v>
      </c>
      <c r="H7" s="113">
        <f>ROUNDUP(D7/(J7*I7),0)</f>
        <v>9</v>
      </c>
      <c r="I7" s="113">
        <v>2</v>
      </c>
      <c r="J7" s="113">
        <v>4</v>
      </c>
      <c r="K7" s="132"/>
      <c r="L7" s="142"/>
      <c r="M7" s="143"/>
      <c r="N7" s="143"/>
      <c r="O7" s="143"/>
      <c r="P7" s="143"/>
      <c r="Q7" s="143"/>
      <c r="R7" s="143"/>
      <c r="S7" s="143"/>
      <c r="T7" s="143"/>
      <c r="U7" s="143"/>
      <c r="V7" s="146"/>
      <c r="W7" s="146"/>
      <c r="X7" s="146"/>
      <c r="Y7" s="146"/>
      <c r="Z7" s="146"/>
      <c r="AA7" s="146">
        <f>J7*I7</f>
        <v>8</v>
      </c>
      <c r="AB7" s="146"/>
      <c r="AC7" s="147"/>
      <c r="AD7" s="146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143"/>
      <c r="BD7" s="143"/>
      <c r="BE7" s="143"/>
      <c r="BF7" s="143"/>
      <c r="BG7" s="143"/>
      <c r="BH7" s="143"/>
      <c r="BI7" s="143"/>
      <c r="BJ7" s="143"/>
      <c r="BK7" s="143"/>
      <c r="BL7" s="143"/>
      <c r="BM7" s="143"/>
      <c r="BN7" s="143"/>
      <c r="BO7" s="143"/>
      <c r="BP7" s="143"/>
      <c r="BQ7" s="143"/>
      <c r="BR7" s="143"/>
      <c r="BS7" s="143"/>
      <c r="BT7" s="143"/>
      <c r="BU7" s="143"/>
      <c r="BV7" s="143"/>
      <c r="BW7" s="143"/>
      <c r="BX7" s="143"/>
      <c r="BY7" s="143"/>
      <c r="BZ7" s="143"/>
      <c r="CA7" s="143"/>
      <c r="CB7" s="143"/>
      <c r="CC7" s="143"/>
      <c r="CD7" s="143"/>
      <c r="CE7" s="143"/>
      <c r="CF7" s="143"/>
      <c r="CG7" s="143"/>
      <c r="CH7" s="143"/>
      <c r="CI7" s="143"/>
      <c r="CJ7" s="143"/>
      <c r="CK7" s="143"/>
      <c r="CL7" s="143"/>
      <c r="CM7" s="143"/>
      <c r="CN7" s="103"/>
      <c r="CO7" s="103"/>
      <c r="CP7" s="103"/>
      <c r="CQ7" s="103"/>
      <c r="CR7" s="103"/>
      <c r="CS7" s="103"/>
      <c r="CT7" s="103"/>
      <c r="CU7" s="103"/>
      <c r="CV7" s="103"/>
      <c r="CW7" s="103"/>
      <c r="CX7" s="103"/>
      <c r="CY7" s="103"/>
      <c r="CZ7" s="103"/>
      <c r="DA7" s="103"/>
      <c r="DB7" s="103"/>
      <c r="DC7" s="103"/>
      <c r="DD7" s="103"/>
      <c r="DE7" s="103"/>
      <c r="DF7" s="103"/>
      <c r="DG7" s="103"/>
      <c r="DH7" s="103"/>
      <c r="DI7" s="103"/>
      <c r="DJ7" s="103"/>
      <c r="DK7" s="103"/>
      <c r="DL7" s="103"/>
      <c r="DM7" s="103"/>
      <c r="DN7" s="103"/>
      <c r="DO7" s="103"/>
      <c r="DP7" s="103"/>
      <c r="DQ7" s="103"/>
      <c r="DR7" s="103"/>
      <c r="DS7" s="103"/>
      <c r="DT7" s="103"/>
      <c r="DU7" s="103"/>
      <c r="DV7" s="103"/>
      <c r="DW7" s="103"/>
      <c r="DX7" s="103"/>
      <c r="DY7" s="103"/>
      <c r="DZ7" s="103"/>
      <c r="EA7" s="103"/>
      <c r="EB7" s="103"/>
      <c r="EC7" s="103"/>
      <c r="ED7" s="103"/>
      <c r="EE7" s="103"/>
      <c r="EF7" s="103"/>
      <c r="EG7" s="103"/>
      <c r="EH7" s="103"/>
      <c r="EI7" s="103"/>
      <c r="EJ7" s="103"/>
      <c r="EK7" s="103"/>
      <c r="EL7" s="103"/>
      <c r="EM7" s="103"/>
      <c r="EN7" s="103"/>
      <c r="EO7" s="103"/>
      <c r="EP7" s="103"/>
      <c r="EQ7" s="103"/>
      <c r="ER7" s="103"/>
      <c r="ES7" s="103"/>
      <c r="ET7" s="103"/>
      <c r="EU7" s="103"/>
      <c r="EV7" s="103"/>
      <c r="EW7" s="103"/>
      <c r="EX7" s="103"/>
      <c r="EY7" s="103"/>
      <c r="EZ7" s="103"/>
      <c r="FA7" s="103"/>
      <c r="FB7" s="103"/>
      <c r="FC7" s="103"/>
      <c r="FD7" s="103"/>
      <c r="FE7" s="103"/>
      <c r="FF7" s="103"/>
      <c r="FG7" s="103"/>
      <c r="FH7" s="103"/>
      <c r="FI7" s="103"/>
      <c r="FJ7" s="103"/>
      <c r="FK7" s="103"/>
      <c r="FL7" s="103"/>
      <c r="FM7" s="103"/>
      <c r="FN7" s="103"/>
      <c r="FO7" s="103"/>
      <c r="FP7" s="103"/>
      <c r="FQ7" s="103"/>
      <c r="FR7" s="103"/>
      <c r="FS7" s="103"/>
      <c r="FT7" s="103"/>
      <c r="FU7" s="103"/>
      <c r="FV7" s="103"/>
      <c r="FW7" s="103"/>
      <c r="FX7" s="103"/>
      <c r="FY7" s="103"/>
      <c r="FZ7" s="103"/>
      <c r="GA7" s="103"/>
      <c r="GB7" s="103"/>
      <c r="GC7" s="103"/>
      <c r="GD7" s="103"/>
      <c r="GE7" s="103"/>
      <c r="GF7" s="103"/>
      <c r="GG7" s="103"/>
      <c r="GH7" s="103"/>
      <c r="GI7" s="103"/>
      <c r="GJ7" s="103"/>
      <c r="GK7" s="103"/>
      <c r="GL7" s="103"/>
      <c r="GM7" s="103"/>
      <c r="GN7" s="103"/>
      <c r="GO7" s="103"/>
      <c r="GP7" s="103"/>
      <c r="GQ7" s="103"/>
      <c r="GR7" s="103"/>
      <c r="GS7" s="103"/>
      <c r="GT7" s="103"/>
      <c r="GU7" s="103"/>
      <c r="GV7" s="103"/>
      <c r="GW7" s="103"/>
    </row>
    <row r="8" spans="1:205" ht="15.6" x14ac:dyDescent="0.3">
      <c r="A8" s="127" t="s">
        <v>96</v>
      </c>
      <c r="B8" s="117" t="str">
        <f>'объемы работ'!C8</f>
        <v>100м^3</v>
      </c>
      <c r="C8" s="117">
        <f>'объемы работ'!D8</f>
        <v>6.0648774000000003</v>
      </c>
      <c r="D8" s="116">
        <f>'объемы работ'!F8/8</f>
        <v>104.03539070024999</v>
      </c>
      <c r="E8" s="115">
        <f t="shared" ref="E8:E18" si="0">I8*J8*H8</f>
        <v>108</v>
      </c>
      <c r="F8" s="136" t="s">
        <v>111</v>
      </c>
      <c r="G8" s="136" t="s">
        <v>111</v>
      </c>
      <c r="H8" s="113">
        <f t="shared" ref="H8:H18" si="1">ROUNDUP(D8/(J8*I8),0)</f>
        <v>6</v>
      </c>
      <c r="I8" s="115">
        <v>2</v>
      </c>
      <c r="J8" s="115">
        <v>9</v>
      </c>
      <c r="K8" s="133"/>
      <c r="L8" s="142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7"/>
      <c r="AF8" s="146"/>
      <c r="AG8" s="146"/>
      <c r="AH8" s="146">
        <f>J8*I8</f>
        <v>18</v>
      </c>
      <c r="AI8" s="146"/>
      <c r="AJ8" s="146"/>
      <c r="AK8" s="143"/>
      <c r="AL8" s="143"/>
      <c r="AM8" s="143"/>
      <c r="AN8" s="143"/>
      <c r="AO8" s="143"/>
      <c r="AP8" s="143"/>
      <c r="AQ8" s="143"/>
      <c r="AR8" s="143"/>
      <c r="AS8" s="143"/>
      <c r="AT8" s="143"/>
      <c r="AU8" s="143"/>
      <c r="AV8" s="143"/>
      <c r="AW8" s="143"/>
      <c r="AX8" s="143"/>
      <c r="AY8" s="143"/>
      <c r="AZ8" s="143"/>
      <c r="BA8" s="143"/>
      <c r="BB8" s="143"/>
      <c r="BC8" s="143"/>
      <c r="BD8" s="143"/>
      <c r="BE8" s="143"/>
      <c r="BF8" s="143"/>
      <c r="BG8" s="143"/>
      <c r="BH8" s="143"/>
      <c r="BI8" s="143"/>
      <c r="BJ8" s="143"/>
      <c r="BK8" s="143"/>
      <c r="BL8" s="143"/>
      <c r="BM8" s="143"/>
      <c r="BN8" s="143"/>
      <c r="BO8" s="143"/>
      <c r="BP8" s="143"/>
      <c r="BQ8" s="143"/>
      <c r="BR8" s="143"/>
      <c r="BS8" s="143"/>
      <c r="BT8" s="143"/>
      <c r="BU8" s="143"/>
      <c r="BV8" s="143"/>
      <c r="BW8" s="143"/>
      <c r="BX8" s="143"/>
      <c r="BY8" s="143"/>
      <c r="BZ8" s="143"/>
      <c r="CA8" s="143"/>
      <c r="CB8" s="143"/>
      <c r="CC8" s="143"/>
      <c r="CD8" s="143"/>
      <c r="CE8" s="143"/>
      <c r="CF8" s="143"/>
      <c r="CG8" s="143"/>
      <c r="CH8" s="143"/>
      <c r="CI8" s="143"/>
      <c r="CJ8" s="143"/>
      <c r="CK8" s="143"/>
      <c r="CL8" s="143"/>
      <c r="CM8" s="143"/>
      <c r="CN8" s="103"/>
      <c r="CO8" s="103"/>
      <c r="CP8" s="103"/>
      <c r="CQ8" s="103"/>
      <c r="CR8" s="103"/>
      <c r="CS8" s="103"/>
      <c r="CT8" s="103"/>
      <c r="CU8" s="103"/>
      <c r="CV8" s="103"/>
      <c r="CW8" s="103"/>
      <c r="CX8" s="103"/>
      <c r="CY8" s="103"/>
      <c r="CZ8" s="103"/>
      <c r="DA8" s="103"/>
      <c r="DB8" s="103"/>
      <c r="DC8" s="103"/>
      <c r="DD8" s="103"/>
      <c r="DE8" s="103"/>
      <c r="DF8" s="103"/>
      <c r="DG8" s="103"/>
      <c r="DH8" s="103"/>
      <c r="DI8" s="103"/>
      <c r="DJ8" s="103"/>
      <c r="DK8" s="103"/>
      <c r="DL8" s="103"/>
      <c r="DM8" s="103"/>
      <c r="DN8" s="103"/>
      <c r="DO8" s="103"/>
      <c r="DP8" s="103"/>
      <c r="DQ8" s="103"/>
      <c r="DR8" s="103"/>
      <c r="DS8" s="103"/>
      <c r="DT8" s="103"/>
      <c r="DU8" s="103"/>
      <c r="DV8" s="103"/>
      <c r="DW8" s="103"/>
      <c r="DX8" s="103"/>
      <c r="DY8" s="103"/>
      <c r="DZ8" s="103"/>
      <c r="EA8" s="103"/>
      <c r="EB8" s="103"/>
      <c r="EC8" s="103"/>
      <c r="ED8" s="103"/>
      <c r="EE8" s="103"/>
      <c r="EF8" s="103"/>
      <c r="EG8" s="103"/>
      <c r="EH8" s="103"/>
      <c r="EI8" s="103"/>
      <c r="EJ8" s="103"/>
      <c r="EK8" s="103"/>
      <c r="EL8" s="103"/>
      <c r="EM8" s="103"/>
      <c r="EN8" s="103"/>
      <c r="EO8" s="103"/>
      <c r="EP8" s="103"/>
      <c r="EQ8" s="103"/>
      <c r="ER8" s="103"/>
      <c r="ES8" s="103"/>
      <c r="ET8" s="103"/>
      <c r="EU8" s="103"/>
      <c r="EV8" s="103"/>
      <c r="EW8" s="103"/>
      <c r="EX8" s="103"/>
      <c r="EY8" s="103"/>
      <c r="EZ8" s="103"/>
      <c r="FA8" s="103"/>
      <c r="FB8" s="103"/>
      <c r="FC8" s="103"/>
      <c r="FD8" s="103"/>
      <c r="FE8" s="103"/>
      <c r="FF8" s="103"/>
      <c r="FG8" s="103"/>
      <c r="FH8" s="103"/>
      <c r="FI8" s="103"/>
      <c r="FJ8" s="103"/>
      <c r="FK8" s="103"/>
      <c r="FL8" s="103"/>
      <c r="FM8" s="103"/>
      <c r="FN8" s="103"/>
      <c r="FO8" s="103"/>
      <c r="FP8" s="103"/>
      <c r="FQ8" s="103"/>
      <c r="FR8" s="103"/>
      <c r="FS8" s="103"/>
      <c r="FT8" s="103"/>
      <c r="FU8" s="103"/>
      <c r="FV8" s="103"/>
      <c r="FW8" s="103"/>
      <c r="FX8" s="103"/>
      <c r="FY8" s="103"/>
      <c r="FZ8" s="103"/>
      <c r="GA8" s="103"/>
      <c r="GB8" s="103"/>
      <c r="GC8" s="103"/>
      <c r="GD8" s="103"/>
      <c r="GE8" s="103"/>
      <c r="GF8" s="103"/>
      <c r="GG8" s="103"/>
      <c r="GH8" s="103"/>
      <c r="GI8" s="103"/>
      <c r="GJ8" s="103"/>
      <c r="GK8" s="103"/>
      <c r="GL8" s="103"/>
      <c r="GM8" s="103"/>
      <c r="GN8" s="103"/>
      <c r="GO8" s="103"/>
      <c r="GP8" s="103"/>
      <c r="GQ8" s="103"/>
      <c r="GR8" s="103"/>
      <c r="GS8" s="103"/>
      <c r="GT8" s="103"/>
      <c r="GU8" s="103"/>
      <c r="GV8" s="103"/>
      <c r="GW8" s="103"/>
    </row>
    <row r="9" spans="1:205" ht="15.6" x14ac:dyDescent="0.3">
      <c r="A9" s="127" t="s">
        <v>98</v>
      </c>
      <c r="B9" s="117" t="str">
        <f>'объемы работ'!C9</f>
        <v>1м^3</v>
      </c>
      <c r="C9" s="117">
        <f>'объемы работ'!D9</f>
        <v>606.48774000000003</v>
      </c>
      <c r="D9" s="116">
        <f>'объемы работ'!F9/8</f>
        <v>275.19381202500006</v>
      </c>
      <c r="E9" s="115">
        <f t="shared" si="0"/>
        <v>288</v>
      </c>
      <c r="F9" s="136"/>
      <c r="G9" s="136">
        <f>'объемы работ'!H9/8</f>
        <v>33.356825700000002</v>
      </c>
      <c r="H9" s="113">
        <f t="shared" si="1"/>
        <v>18</v>
      </c>
      <c r="I9" s="115">
        <v>2</v>
      </c>
      <c r="J9" s="115">
        <v>8</v>
      </c>
      <c r="K9" s="133"/>
      <c r="L9" s="142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83"/>
      <c r="AI9" s="183">
        <f>AO9+AH8</f>
        <v>34</v>
      </c>
      <c r="AJ9" s="184"/>
      <c r="AK9" s="146"/>
      <c r="AL9" s="146"/>
      <c r="AM9" s="146"/>
      <c r="AN9" s="146"/>
      <c r="AO9" s="146">
        <f>J9*I9</f>
        <v>16</v>
      </c>
      <c r="AP9" s="146"/>
      <c r="AQ9" s="146"/>
      <c r="AR9" s="146"/>
      <c r="AS9" s="146"/>
      <c r="AT9" s="146"/>
      <c r="AU9" s="146"/>
      <c r="AV9" s="143"/>
      <c r="AW9" s="143"/>
      <c r="AX9" s="143"/>
      <c r="AY9" s="143"/>
      <c r="AZ9" s="143"/>
      <c r="BA9" s="143"/>
      <c r="BB9" s="143"/>
      <c r="BC9" s="143"/>
      <c r="BD9" s="143"/>
      <c r="BE9" s="143"/>
      <c r="BF9" s="143"/>
      <c r="BG9" s="143"/>
      <c r="BH9" s="143"/>
      <c r="BI9" s="143"/>
      <c r="BJ9" s="143"/>
      <c r="BK9" s="143"/>
      <c r="BL9" s="143"/>
      <c r="BM9" s="143"/>
      <c r="BN9" s="143"/>
      <c r="BO9" s="143"/>
      <c r="BP9" s="143"/>
      <c r="BQ9" s="143"/>
      <c r="BR9" s="143"/>
      <c r="BS9" s="143"/>
      <c r="BT9" s="143"/>
      <c r="BU9" s="143"/>
      <c r="BV9" s="143"/>
      <c r="BW9" s="143"/>
      <c r="BX9" s="143"/>
      <c r="BY9" s="143"/>
      <c r="BZ9" s="143"/>
      <c r="CA9" s="143"/>
      <c r="CB9" s="143"/>
      <c r="CC9" s="143"/>
      <c r="CD9" s="143"/>
      <c r="CE9" s="143"/>
      <c r="CF9" s="143"/>
      <c r="CG9" s="143"/>
      <c r="CH9" s="143"/>
      <c r="CI9" s="143"/>
      <c r="CJ9" s="143"/>
      <c r="CK9" s="143"/>
      <c r="CL9" s="143"/>
      <c r="CM9" s="143"/>
      <c r="CN9" s="103"/>
      <c r="CO9" s="103"/>
      <c r="CP9" s="103"/>
      <c r="CQ9" s="103"/>
      <c r="CR9" s="103"/>
      <c r="CS9" s="103"/>
      <c r="CT9" s="103"/>
      <c r="CU9" s="103"/>
      <c r="CV9" s="103"/>
      <c r="CW9" s="103"/>
      <c r="CX9" s="103"/>
      <c r="CY9" s="103"/>
      <c r="CZ9" s="103"/>
      <c r="DA9" s="103"/>
      <c r="DB9" s="103"/>
      <c r="DC9" s="103"/>
      <c r="DD9" s="103"/>
      <c r="DE9" s="103"/>
      <c r="DF9" s="103"/>
      <c r="DG9" s="103"/>
      <c r="DH9" s="103"/>
      <c r="DI9" s="103"/>
      <c r="DJ9" s="103"/>
      <c r="DK9" s="103"/>
      <c r="DL9" s="103"/>
      <c r="DM9" s="103"/>
      <c r="DN9" s="103"/>
      <c r="DO9" s="103"/>
      <c r="DP9" s="103"/>
      <c r="DQ9" s="103"/>
      <c r="DR9" s="103"/>
      <c r="DS9" s="103"/>
      <c r="DT9" s="103"/>
      <c r="DU9" s="103"/>
      <c r="DV9" s="103"/>
      <c r="DW9" s="103"/>
      <c r="DX9" s="103"/>
      <c r="DY9" s="103"/>
      <c r="DZ9" s="103"/>
      <c r="EA9" s="103"/>
      <c r="EB9" s="103"/>
      <c r="EC9" s="103"/>
      <c r="ED9" s="103"/>
      <c r="EE9" s="103"/>
      <c r="EF9" s="103"/>
      <c r="EG9" s="103"/>
      <c r="EH9" s="103"/>
      <c r="EI9" s="103"/>
      <c r="EJ9" s="103"/>
      <c r="EK9" s="103"/>
      <c r="EL9" s="103"/>
      <c r="EM9" s="103"/>
      <c r="EN9" s="103"/>
      <c r="EO9" s="103"/>
      <c r="EP9" s="103"/>
      <c r="EQ9" s="103"/>
      <c r="ER9" s="103"/>
      <c r="ES9" s="103"/>
      <c r="ET9" s="103"/>
      <c r="EU9" s="103"/>
      <c r="EV9" s="103"/>
      <c r="EW9" s="103"/>
      <c r="EX9" s="103"/>
      <c r="EY9" s="103"/>
      <c r="EZ9" s="103"/>
      <c r="FA9" s="103"/>
      <c r="FB9" s="103"/>
      <c r="FC9" s="103"/>
      <c r="FD9" s="103"/>
      <c r="FE9" s="103"/>
      <c r="FF9" s="103"/>
      <c r="FG9" s="103"/>
      <c r="FH9" s="103"/>
      <c r="FI9" s="103"/>
      <c r="FJ9" s="103"/>
      <c r="FK9" s="103"/>
      <c r="FL9" s="103"/>
      <c r="FM9" s="103"/>
      <c r="FN9" s="103"/>
      <c r="FO9" s="103"/>
      <c r="FP9" s="103"/>
      <c r="FQ9" s="103"/>
      <c r="FR9" s="103"/>
      <c r="FS9" s="103"/>
      <c r="FT9" s="103"/>
      <c r="FU9" s="103"/>
      <c r="FV9" s="103"/>
      <c r="FW9" s="103"/>
      <c r="FX9" s="103"/>
      <c r="FY9" s="103"/>
      <c r="FZ9" s="103"/>
      <c r="GA9" s="103"/>
      <c r="GB9" s="103"/>
      <c r="GC9" s="103"/>
      <c r="GD9" s="103"/>
      <c r="GE9" s="103"/>
      <c r="GF9" s="103"/>
      <c r="GG9" s="103"/>
      <c r="GH9" s="103"/>
      <c r="GI9" s="103"/>
      <c r="GJ9" s="103"/>
      <c r="GK9" s="103"/>
      <c r="GL9" s="103"/>
      <c r="GM9" s="103"/>
      <c r="GN9" s="103"/>
      <c r="GO9" s="103"/>
      <c r="GP9" s="103"/>
      <c r="GQ9" s="103"/>
      <c r="GR9" s="103"/>
      <c r="GS9" s="103"/>
      <c r="GT9" s="103"/>
      <c r="GU9" s="103"/>
      <c r="GV9" s="103"/>
      <c r="GW9" s="103"/>
    </row>
    <row r="10" spans="1:205" ht="31.2" customHeight="1" x14ac:dyDescent="0.3">
      <c r="A10" s="127" t="s">
        <v>116</v>
      </c>
      <c r="B10" s="117" t="str">
        <f>'объемы работ'!C11</f>
        <v>1км</v>
      </c>
      <c r="C10" s="116">
        <f>('объемы работ'!D11+'объемы работ'!D12+'объемы работ'!D13+'объемы работ'!D14+'объемы работ'!D15)</f>
        <v>13.934049999999999</v>
      </c>
      <c r="D10" s="116">
        <f>SUM('объемы работ'!F11:F15)/8</f>
        <v>1559.3760805625</v>
      </c>
      <c r="E10" s="115">
        <f t="shared" si="0"/>
        <v>1584</v>
      </c>
      <c r="F10" s="136"/>
      <c r="G10" s="139">
        <f>SUM('объемы работ'!H11:H15)/8</f>
        <v>327.45787868749994</v>
      </c>
      <c r="H10" s="113">
        <f t="shared" si="1"/>
        <v>44</v>
      </c>
      <c r="I10" s="115">
        <v>2</v>
      </c>
      <c r="J10" s="115">
        <v>18</v>
      </c>
      <c r="K10" s="133"/>
      <c r="L10" s="142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83"/>
      <c r="AL10" s="183"/>
      <c r="AM10" s="183"/>
      <c r="AN10" s="183"/>
      <c r="AO10" s="183"/>
      <c r="AP10" s="183">
        <f>AO9+BG10</f>
        <v>52</v>
      </c>
      <c r="AQ10" s="183"/>
      <c r="AR10" s="184"/>
      <c r="AS10" s="183"/>
      <c r="AT10" s="183"/>
      <c r="AU10" s="183"/>
      <c r="AV10" s="146"/>
      <c r="AW10" s="146"/>
      <c r="AX10" s="146"/>
      <c r="AY10" s="146"/>
      <c r="AZ10" s="146"/>
      <c r="BA10" s="146"/>
      <c r="BB10" s="146"/>
      <c r="BC10" s="146"/>
      <c r="BD10" s="146"/>
      <c r="BE10" s="146"/>
      <c r="BF10" s="146"/>
      <c r="BG10" s="146">
        <f>J10*I10</f>
        <v>36</v>
      </c>
      <c r="BH10" s="146"/>
      <c r="BI10" s="146"/>
      <c r="BJ10" s="146"/>
      <c r="BK10" s="146"/>
      <c r="BL10" s="146"/>
      <c r="BM10" s="146"/>
      <c r="BN10" s="146"/>
      <c r="BO10" s="146"/>
      <c r="BP10" s="146"/>
      <c r="BQ10" s="146"/>
      <c r="BR10" s="146"/>
      <c r="BS10" s="146"/>
      <c r="BT10" s="146"/>
      <c r="BU10" s="146"/>
      <c r="BV10" s="146"/>
      <c r="BW10" s="146"/>
      <c r="BX10" s="146"/>
      <c r="BY10" s="146"/>
      <c r="BZ10" s="146"/>
      <c r="CA10" s="146"/>
      <c r="CB10" s="146"/>
      <c r="CC10" s="143"/>
      <c r="CD10" s="143"/>
      <c r="CE10" s="143"/>
      <c r="CF10" s="143"/>
      <c r="CG10" s="143"/>
      <c r="CH10" s="143"/>
      <c r="CI10" s="143"/>
      <c r="CJ10" s="143"/>
      <c r="CK10" s="143"/>
      <c r="CL10" s="143"/>
      <c r="CM10" s="143"/>
      <c r="CN10" s="143"/>
      <c r="CO10" s="143"/>
      <c r="CP10" s="143"/>
      <c r="CQ10" s="143"/>
      <c r="CR10" s="103"/>
      <c r="CS10" s="103"/>
      <c r="CT10" s="103"/>
      <c r="CU10" s="103"/>
      <c r="CV10" s="103"/>
      <c r="CW10" s="103"/>
      <c r="CX10" s="103"/>
      <c r="CY10" s="103"/>
      <c r="CZ10" s="103"/>
      <c r="DA10" s="103"/>
      <c r="DB10" s="103"/>
      <c r="DC10" s="103"/>
      <c r="DD10" s="103"/>
      <c r="DE10" s="103"/>
      <c r="DF10" s="103"/>
      <c r="DG10" s="103"/>
      <c r="DH10" s="103"/>
      <c r="DI10" s="103"/>
      <c r="DJ10" s="103"/>
      <c r="DK10" s="103"/>
      <c r="DL10" s="103"/>
      <c r="DM10" s="103"/>
      <c r="DN10" s="103"/>
      <c r="DO10" s="103"/>
      <c r="DP10" s="103"/>
      <c r="DQ10" s="103"/>
      <c r="DR10" s="103"/>
      <c r="DS10" s="103"/>
      <c r="DT10" s="103"/>
      <c r="DU10" s="103"/>
      <c r="DV10" s="103"/>
      <c r="DW10" s="103"/>
      <c r="DX10" s="103"/>
      <c r="DY10" s="103"/>
      <c r="DZ10" s="103"/>
      <c r="EA10" s="103"/>
      <c r="EB10" s="103"/>
      <c r="EC10" s="103"/>
      <c r="ED10" s="103"/>
      <c r="EE10" s="103"/>
      <c r="EF10" s="103"/>
      <c r="EG10" s="103"/>
      <c r="EH10" s="103"/>
      <c r="EI10" s="103"/>
      <c r="EJ10" s="103"/>
      <c r="EK10" s="103"/>
      <c r="EL10" s="103"/>
      <c r="EM10" s="103"/>
      <c r="EN10" s="103"/>
      <c r="EO10" s="103"/>
      <c r="EP10" s="103"/>
      <c r="EQ10" s="103"/>
      <c r="ER10" s="103"/>
      <c r="ES10" s="103"/>
      <c r="ET10" s="103"/>
      <c r="EU10" s="103"/>
      <c r="EV10" s="103"/>
      <c r="EW10" s="103"/>
      <c r="EX10" s="103"/>
      <c r="EY10" s="103"/>
      <c r="EZ10" s="103"/>
      <c r="FA10" s="103"/>
      <c r="FB10" s="103"/>
      <c r="FC10" s="103"/>
      <c r="FD10" s="103"/>
      <c r="FE10" s="103"/>
      <c r="FF10" s="103"/>
      <c r="FG10" s="103"/>
      <c r="FH10" s="103"/>
      <c r="FI10" s="103"/>
      <c r="FJ10" s="103"/>
      <c r="FK10" s="103"/>
      <c r="FL10" s="103"/>
      <c r="FM10" s="103"/>
      <c r="FN10" s="103"/>
      <c r="FO10" s="103"/>
      <c r="FP10" s="103"/>
      <c r="FQ10" s="103"/>
      <c r="FR10" s="103"/>
      <c r="FS10" s="103"/>
      <c r="FT10" s="103"/>
      <c r="FU10" s="103"/>
      <c r="FV10" s="103"/>
      <c r="FW10" s="103"/>
      <c r="FX10" s="103"/>
      <c r="FY10" s="103"/>
      <c r="FZ10" s="103"/>
      <c r="GA10" s="103"/>
      <c r="GB10" s="103"/>
      <c r="GC10" s="103"/>
      <c r="GD10" s="103"/>
      <c r="GE10" s="103"/>
      <c r="GF10" s="103"/>
      <c r="GG10" s="103"/>
      <c r="GH10" s="103"/>
      <c r="GI10" s="103"/>
      <c r="GJ10" s="103"/>
      <c r="GK10" s="103"/>
      <c r="GL10" s="103"/>
      <c r="GM10" s="103"/>
      <c r="GN10" s="103"/>
      <c r="GO10" s="103"/>
      <c r="GP10" s="103"/>
      <c r="GQ10" s="103"/>
      <c r="GR10" s="103"/>
      <c r="GS10" s="103"/>
      <c r="GT10" s="103"/>
      <c r="GU10" s="103"/>
      <c r="GV10" s="103"/>
      <c r="GW10" s="103"/>
    </row>
    <row r="11" spans="1:205" ht="21.6" customHeight="1" x14ac:dyDescent="0.3">
      <c r="A11" s="127" t="s">
        <v>99</v>
      </c>
      <c r="B11" s="117" t="str">
        <f>'объемы работ'!C17</f>
        <v>1км</v>
      </c>
      <c r="C11" s="116">
        <f>SUM('объемы работ'!D17:D19)</f>
        <v>13.934049999999999</v>
      </c>
      <c r="D11" s="116">
        <f>SUM('объемы работ'!F17:F19)/8</f>
        <v>339.76032499999997</v>
      </c>
      <c r="E11" s="115">
        <f t="shared" si="0"/>
        <v>348</v>
      </c>
      <c r="F11" s="136"/>
      <c r="G11" s="136">
        <f>SUM('объемы работ'!H17:H19)/8</f>
        <v>186.117858625</v>
      </c>
      <c r="H11" s="113">
        <f t="shared" si="1"/>
        <v>29</v>
      </c>
      <c r="I11" s="115">
        <v>2</v>
      </c>
      <c r="J11" s="115">
        <v>6</v>
      </c>
      <c r="K11" s="133"/>
      <c r="L11" s="142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143"/>
      <c r="AT11" s="143"/>
      <c r="AU11" s="143"/>
      <c r="AV11" s="183"/>
      <c r="AW11" s="183"/>
      <c r="AX11" s="183"/>
      <c r="AY11" s="183"/>
      <c r="AZ11" s="183">
        <f>BG10+BK11</f>
        <v>48</v>
      </c>
      <c r="BA11" s="183"/>
      <c r="BB11" s="183"/>
      <c r="BC11" s="183"/>
      <c r="BD11" s="183"/>
      <c r="BE11" s="146"/>
      <c r="BF11" s="146"/>
      <c r="BG11" s="146"/>
      <c r="BH11" s="146"/>
      <c r="BI11" s="146"/>
      <c r="BJ11" s="146"/>
      <c r="BK11" s="146">
        <f>J11*I11</f>
        <v>12</v>
      </c>
      <c r="BL11" s="146"/>
      <c r="BM11" s="146"/>
      <c r="BN11" s="146"/>
      <c r="BO11" s="146"/>
      <c r="BP11" s="146"/>
      <c r="BQ11" s="146"/>
      <c r="BR11" s="146"/>
      <c r="BS11" s="146"/>
      <c r="BT11" s="146"/>
      <c r="BU11" s="146"/>
      <c r="BV11" s="146"/>
      <c r="BW11" s="146"/>
      <c r="BX11" s="146"/>
      <c r="BY11" s="143"/>
      <c r="BZ11" s="143"/>
      <c r="CA11" s="143"/>
      <c r="CB11" s="143"/>
      <c r="CC11" s="143"/>
      <c r="CD11" s="143"/>
      <c r="CE11" s="143"/>
      <c r="CF11" s="143"/>
      <c r="CG11" s="143"/>
      <c r="CH11" s="143"/>
      <c r="CI11" s="143"/>
      <c r="CJ11" s="143"/>
      <c r="CK11" s="143"/>
      <c r="CL11" s="143"/>
      <c r="CM11" s="143"/>
      <c r="CN11" s="143"/>
      <c r="CO11" s="143"/>
      <c r="CP11" s="143"/>
      <c r="CQ11" s="143"/>
      <c r="CR11" s="103"/>
      <c r="CS11" s="103"/>
      <c r="CT11" s="103"/>
      <c r="CU11" s="103"/>
      <c r="CV11" s="103"/>
      <c r="CW11" s="103"/>
      <c r="CX11" s="103"/>
      <c r="CY11" s="103"/>
      <c r="CZ11" s="103"/>
      <c r="DA11" s="103"/>
      <c r="DB11" s="103"/>
      <c r="DC11" s="103"/>
      <c r="DD11" s="103"/>
      <c r="DE11" s="103"/>
      <c r="DF11" s="103"/>
      <c r="DG11" s="103"/>
      <c r="DH11" s="103"/>
      <c r="DI11" s="103"/>
      <c r="DJ11" s="103"/>
      <c r="DK11" s="103"/>
      <c r="DL11" s="103"/>
      <c r="DM11" s="103"/>
      <c r="DN11" s="103"/>
      <c r="DO11" s="103"/>
      <c r="DP11" s="103"/>
      <c r="DQ11" s="103"/>
      <c r="DR11" s="103"/>
      <c r="DS11" s="103"/>
      <c r="DT11" s="103"/>
      <c r="DU11" s="103"/>
      <c r="DV11" s="103"/>
      <c r="DW11" s="103"/>
      <c r="DX11" s="103"/>
      <c r="DY11" s="103"/>
      <c r="DZ11" s="103"/>
      <c r="EA11" s="103"/>
      <c r="EB11" s="103"/>
      <c r="EC11" s="103"/>
      <c r="ED11" s="103"/>
      <c r="EE11" s="103"/>
      <c r="EF11" s="103"/>
      <c r="EG11" s="103"/>
      <c r="EH11" s="103"/>
      <c r="EI11" s="103"/>
      <c r="EJ11" s="103"/>
      <c r="EK11" s="103"/>
      <c r="EL11" s="103"/>
      <c r="EM11" s="103"/>
      <c r="EN11" s="103"/>
      <c r="EO11" s="103"/>
      <c r="EP11" s="103"/>
      <c r="EQ11" s="103"/>
      <c r="ER11" s="103"/>
      <c r="ES11" s="103"/>
      <c r="ET11" s="103"/>
      <c r="EU11" s="103"/>
      <c r="EV11" s="103"/>
      <c r="EW11" s="103"/>
      <c r="EX11" s="103"/>
      <c r="EY11" s="103"/>
      <c r="EZ11" s="103"/>
      <c r="FA11" s="103"/>
      <c r="FB11" s="103"/>
      <c r="FC11" s="103"/>
      <c r="FD11" s="103"/>
      <c r="FE11" s="103"/>
      <c r="FF11" s="103"/>
      <c r="FG11" s="103"/>
      <c r="FH11" s="103"/>
      <c r="FI11" s="103"/>
      <c r="FJ11" s="103"/>
      <c r="FK11" s="103"/>
      <c r="FL11" s="103"/>
      <c r="FM11" s="103"/>
      <c r="FN11" s="103"/>
      <c r="FO11" s="103"/>
      <c r="FP11" s="103"/>
      <c r="FQ11" s="103"/>
      <c r="FR11" s="103"/>
      <c r="FS11" s="103"/>
      <c r="FT11" s="103"/>
      <c r="FU11" s="103"/>
      <c r="FV11" s="103"/>
      <c r="FW11" s="103"/>
      <c r="FX11" s="103"/>
      <c r="FY11" s="103"/>
      <c r="FZ11" s="103"/>
      <c r="GA11" s="103"/>
      <c r="GB11" s="103"/>
      <c r="GC11" s="103"/>
      <c r="GD11" s="103"/>
      <c r="GE11" s="103"/>
      <c r="GF11" s="103"/>
      <c r="GG11" s="103"/>
      <c r="GH11" s="103"/>
      <c r="GI11" s="103"/>
      <c r="GJ11" s="103"/>
      <c r="GK11" s="103"/>
      <c r="GL11" s="103"/>
      <c r="GM11" s="103"/>
      <c r="GN11" s="103"/>
      <c r="GO11" s="103"/>
      <c r="GP11" s="103"/>
      <c r="GQ11" s="103"/>
      <c r="GR11" s="103"/>
      <c r="GS11" s="103"/>
      <c r="GT11" s="103"/>
      <c r="GU11" s="103"/>
      <c r="GV11" s="103"/>
      <c r="GW11" s="103"/>
    </row>
    <row r="12" spans="1:205" ht="31.5" customHeight="1" x14ac:dyDescent="0.3">
      <c r="A12" s="127" t="s">
        <v>100</v>
      </c>
      <c r="B12" s="117" t="str">
        <f>'объемы работ'!C20</f>
        <v>1км</v>
      </c>
      <c r="C12" s="116">
        <f>SUM('объемы работ'!D20:D21)</f>
        <v>13.934049999999999</v>
      </c>
      <c r="D12" s="116">
        <f>SUM('объемы работ'!F20:F21)/8</f>
        <v>294.67209374999999</v>
      </c>
      <c r="E12" s="115">
        <f t="shared" si="0"/>
        <v>324</v>
      </c>
      <c r="F12" s="136"/>
      <c r="G12" s="136">
        <f>SUM('объемы работ'!H20:H21)/8</f>
        <v>95.341099999999997</v>
      </c>
      <c r="H12" s="113">
        <f t="shared" si="1"/>
        <v>9</v>
      </c>
      <c r="I12" s="115">
        <v>2</v>
      </c>
      <c r="J12" s="115">
        <v>18</v>
      </c>
      <c r="K12" s="133"/>
      <c r="L12" s="142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  <c r="BA12" s="143"/>
      <c r="BB12" s="143"/>
      <c r="BC12" s="143"/>
      <c r="BD12" s="143"/>
      <c r="BE12" s="143"/>
      <c r="BF12" s="143"/>
      <c r="BG12" s="143"/>
      <c r="BH12" s="143"/>
      <c r="BI12" s="143"/>
      <c r="BJ12" s="143"/>
      <c r="BK12" s="143"/>
      <c r="BL12" s="143"/>
      <c r="BM12" s="143"/>
      <c r="BN12" s="143"/>
      <c r="BO12" s="143"/>
      <c r="BP12" s="143"/>
      <c r="BQ12" s="143"/>
      <c r="BR12" s="143"/>
      <c r="BS12" s="143"/>
      <c r="BT12" s="143"/>
      <c r="BU12" s="143"/>
      <c r="BV12" s="143"/>
      <c r="BW12" s="143"/>
      <c r="BX12" s="143"/>
      <c r="BY12" s="143"/>
      <c r="BZ12" s="143"/>
      <c r="CA12" s="143"/>
      <c r="CB12" s="143"/>
      <c r="CC12" s="146"/>
      <c r="CD12" s="146"/>
      <c r="CE12" s="146"/>
      <c r="CF12" s="146"/>
      <c r="CG12" s="146">
        <f>J12*I12</f>
        <v>36</v>
      </c>
      <c r="CH12" s="146"/>
      <c r="CI12" s="146"/>
      <c r="CJ12" s="146"/>
      <c r="CK12" s="146"/>
      <c r="CL12" s="143"/>
      <c r="CM12" s="143"/>
      <c r="CN12" s="103"/>
      <c r="CO12" s="103"/>
      <c r="CP12" s="103"/>
      <c r="CQ12" s="103"/>
      <c r="CR12" s="103"/>
      <c r="CS12" s="103"/>
      <c r="CT12" s="103"/>
      <c r="CU12" s="103"/>
      <c r="CV12" s="103"/>
      <c r="CW12" s="103"/>
      <c r="CX12" s="103"/>
      <c r="CY12" s="103"/>
      <c r="CZ12" s="103"/>
      <c r="DA12" s="103"/>
      <c r="DB12" s="103"/>
      <c r="DC12" s="103"/>
      <c r="DD12" s="103"/>
      <c r="DE12" s="103"/>
      <c r="DF12" s="103"/>
      <c r="DG12" s="103"/>
      <c r="DH12" s="103"/>
      <c r="DI12" s="103"/>
      <c r="DJ12" s="103"/>
      <c r="DK12" s="103"/>
      <c r="DL12" s="103"/>
      <c r="DM12" s="103"/>
      <c r="DN12" s="103"/>
      <c r="DO12" s="103"/>
      <c r="DP12" s="103"/>
      <c r="DQ12" s="103"/>
      <c r="DR12" s="103"/>
      <c r="DS12" s="103"/>
      <c r="DT12" s="103"/>
      <c r="DU12" s="103"/>
      <c r="DV12" s="103"/>
      <c r="DW12" s="103"/>
      <c r="DX12" s="103"/>
      <c r="DY12" s="103"/>
      <c r="DZ12" s="103"/>
      <c r="EA12" s="103"/>
      <c r="EB12" s="103"/>
      <c r="EC12" s="103"/>
      <c r="ED12" s="103"/>
      <c r="EE12" s="103"/>
      <c r="EF12" s="103"/>
      <c r="EG12" s="103"/>
      <c r="EH12" s="103"/>
      <c r="EI12" s="103"/>
      <c r="EJ12" s="103"/>
      <c r="EK12" s="103"/>
      <c r="EL12" s="103"/>
      <c r="EM12" s="103"/>
      <c r="EN12" s="103"/>
      <c r="EO12" s="103"/>
      <c r="EP12" s="103"/>
      <c r="EQ12" s="103"/>
      <c r="ER12" s="103"/>
      <c r="ES12" s="103"/>
      <c r="ET12" s="103"/>
      <c r="EU12" s="103"/>
      <c r="EV12" s="103"/>
      <c r="EW12" s="103"/>
      <c r="EX12" s="103"/>
      <c r="EY12" s="103"/>
      <c r="EZ12" s="103"/>
      <c r="FA12" s="103"/>
      <c r="FB12" s="103"/>
      <c r="FC12" s="103"/>
      <c r="FD12" s="103"/>
      <c r="FE12" s="103"/>
      <c r="FF12" s="103"/>
      <c r="FG12" s="103"/>
      <c r="FH12" s="103"/>
      <c r="FI12" s="103"/>
      <c r="FJ12" s="103"/>
      <c r="FK12" s="103"/>
      <c r="FL12" s="103"/>
      <c r="FM12" s="103"/>
      <c r="FN12" s="103"/>
      <c r="FO12" s="103"/>
      <c r="FP12" s="103"/>
      <c r="FQ12" s="103"/>
      <c r="FR12" s="103"/>
      <c r="FS12" s="103"/>
      <c r="FT12" s="103"/>
      <c r="FU12" s="103"/>
      <c r="FV12" s="103"/>
      <c r="FW12" s="103"/>
      <c r="FX12" s="103"/>
      <c r="FY12" s="103"/>
      <c r="FZ12" s="103"/>
      <c r="GA12" s="103"/>
      <c r="GB12" s="103"/>
      <c r="GC12" s="103"/>
      <c r="GD12" s="103"/>
      <c r="GE12" s="103"/>
      <c r="GF12" s="103"/>
      <c r="GG12" s="103"/>
      <c r="GH12" s="103"/>
      <c r="GI12" s="103"/>
      <c r="GJ12" s="103"/>
      <c r="GK12" s="103"/>
      <c r="GL12" s="103"/>
      <c r="GM12" s="103"/>
      <c r="GN12" s="103"/>
      <c r="GO12" s="103"/>
      <c r="GP12" s="103"/>
      <c r="GQ12" s="103"/>
      <c r="GR12" s="103"/>
      <c r="GS12" s="103"/>
      <c r="GT12" s="103"/>
      <c r="GU12" s="103"/>
      <c r="GV12" s="103"/>
      <c r="GW12" s="103"/>
    </row>
    <row r="13" spans="1:205" ht="28.8" x14ac:dyDescent="0.3">
      <c r="A13" s="127" t="s">
        <v>101</v>
      </c>
      <c r="B13" s="117" t="str">
        <f>'объемы работ'!C23</f>
        <v>1000м^3</v>
      </c>
      <c r="C13" s="117">
        <f>'объемы работ'!D23</f>
        <v>13.974057918929654</v>
      </c>
      <c r="D13" s="116">
        <f>'объемы работ'!F23/8</f>
        <v>14.026460636125639</v>
      </c>
      <c r="E13" s="115">
        <f t="shared" si="0"/>
        <v>16</v>
      </c>
      <c r="F13" s="136"/>
      <c r="G13" s="136">
        <f>'объемы работ'!H23/8</f>
        <v>14.026460636125639</v>
      </c>
      <c r="H13" s="113">
        <f t="shared" si="1"/>
        <v>4</v>
      </c>
      <c r="I13" s="115">
        <v>1</v>
      </c>
      <c r="J13" s="115">
        <v>4</v>
      </c>
      <c r="K13" s="133"/>
      <c r="L13" s="144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  <c r="BW13" s="103"/>
      <c r="BX13" s="103"/>
      <c r="BY13" s="103"/>
      <c r="BZ13" s="103"/>
      <c r="CA13" s="103"/>
      <c r="CB13" s="103"/>
      <c r="CC13" s="103"/>
      <c r="CD13" s="103"/>
      <c r="CE13" s="103"/>
      <c r="CF13" s="103"/>
      <c r="CG13" s="103"/>
      <c r="CH13" s="103"/>
      <c r="CI13" s="103"/>
      <c r="CJ13" s="103"/>
      <c r="CK13" s="103"/>
      <c r="CL13" s="146"/>
      <c r="CM13" s="146"/>
      <c r="CN13" s="146"/>
      <c r="CO13" s="146">
        <f>J13*I13</f>
        <v>4</v>
      </c>
      <c r="CP13" s="143"/>
      <c r="CQ13" s="143"/>
      <c r="CR13" s="143"/>
      <c r="CS13" s="143"/>
      <c r="CT13" s="143"/>
      <c r="CU13" s="143"/>
      <c r="CV13" s="143"/>
      <c r="CW13" s="143"/>
      <c r="CX13" s="143"/>
      <c r="CY13" s="143"/>
      <c r="CZ13" s="143"/>
      <c r="DA13" s="143"/>
      <c r="DB13" s="143"/>
      <c r="DC13" s="143"/>
      <c r="DD13" s="143"/>
      <c r="DE13" s="143"/>
      <c r="DF13" s="143"/>
      <c r="DG13" s="143"/>
      <c r="DH13" s="143"/>
      <c r="DI13" s="143"/>
      <c r="DJ13" s="143"/>
      <c r="DK13" s="103"/>
      <c r="DL13" s="103"/>
      <c r="DM13" s="103"/>
      <c r="DN13" s="103"/>
      <c r="DO13" s="103"/>
      <c r="DP13" s="103"/>
      <c r="DQ13" s="103"/>
      <c r="DR13" s="103"/>
      <c r="DS13" s="103"/>
      <c r="DT13" s="103"/>
      <c r="DU13" s="103"/>
      <c r="DV13" s="103"/>
      <c r="DW13" s="103"/>
      <c r="DX13" s="103"/>
      <c r="DY13" s="103"/>
      <c r="DZ13" s="103"/>
      <c r="EA13" s="103"/>
      <c r="EB13" s="103"/>
      <c r="EC13" s="103"/>
      <c r="ED13" s="103"/>
      <c r="EE13" s="103"/>
      <c r="EF13" s="103"/>
      <c r="EG13" s="103"/>
      <c r="EH13" s="103"/>
      <c r="EI13" s="103"/>
      <c r="EJ13" s="103"/>
      <c r="EK13" s="103"/>
      <c r="EL13" s="103"/>
      <c r="EM13" s="103"/>
      <c r="EN13" s="103"/>
      <c r="EO13" s="103"/>
      <c r="EP13" s="103"/>
      <c r="EQ13" s="103"/>
      <c r="ER13" s="103"/>
      <c r="ES13" s="103"/>
      <c r="ET13" s="103"/>
      <c r="EU13" s="103"/>
      <c r="EV13" s="103"/>
      <c r="EW13" s="103"/>
      <c r="EX13" s="103"/>
      <c r="EY13" s="103"/>
      <c r="EZ13" s="103"/>
      <c r="FA13" s="103"/>
      <c r="FB13" s="103"/>
      <c r="FC13" s="103"/>
      <c r="FD13" s="103"/>
      <c r="FE13" s="103"/>
      <c r="FF13" s="103"/>
      <c r="FG13" s="103"/>
      <c r="FH13" s="103"/>
      <c r="FI13" s="103"/>
      <c r="FJ13" s="103"/>
      <c r="FK13" s="103"/>
      <c r="FL13" s="103"/>
      <c r="FM13" s="103"/>
      <c r="FN13" s="103"/>
      <c r="FO13" s="103"/>
      <c r="FP13" s="103"/>
      <c r="FQ13" s="103"/>
      <c r="FR13" s="103"/>
      <c r="FS13" s="103"/>
      <c r="FT13" s="103"/>
      <c r="FU13" s="103"/>
      <c r="FV13" s="103"/>
      <c r="FW13" s="103"/>
      <c r="FX13" s="103"/>
      <c r="FY13" s="103"/>
      <c r="FZ13" s="103"/>
      <c r="GA13" s="103"/>
      <c r="GB13" s="103"/>
      <c r="GC13" s="103"/>
      <c r="GD13" s="103"/>
      <c r="GE13" s="103"/>
      <c r="GF13" s="103"/>
      <c r="GG13" s="103"/>
      <c r="GH13" s="103"/>
      <c r="GI13" s="103"/>
      <c r="GJ13" s="103"/>
      <c r="GK13" s="103"/>
      <c r="GL13" s="103"/>
      <c r="GM13" s="103"/>
      <c r="GN13" s="103"/>
      <c r="GO13" s="103"/>
      <c r="GP13" s="103"/>
      <c r="GQ13" s="103"/>
      <c r="GR13" s="103"/>
      <c r="GS13" s="103"/>
      <c r="GT13" s="103"/>
      <c r="GU13" s="103"/>
      <c r="GV13" s="103"/>
      <c r="GW13" s="103"/>
    </row>
    <row r="14" spans="1:205" ht="21.75" customHeight="1" x14ac:dyDescent="0.3">
      <c r="A14" s="127" t="s">
        <v>102</v>
      </c>
      <c r="B14" s="117" t="str">
        <f>'объемы работ'!C24</f>
        <v>100м^3</v>
      </c>
      <c r="C14" s="117">
        <f>'объемы работ'!D24</f>
        <v>7.3547673257524595</v>
      </c>
      <c r="D14" s="116">
        <f>'объемы работ'!F24/8</f>
        <v>94.609888186648192</v>
      </c>
      <c r="E14" s="115">
        <f t="shared" si="0"/>
        <v>96</v>
      </c>
      <c r="F14" s="136" t="s">
        <v>111</v>
      </c>
      <c r="G14" s="136" t="s">
        <v>111</v>
      </c>
      <c r="H14" s="113">
        <f>ROUNDUP(D14/(J14*I14),0)</f>
        <v>4</v>
      </c>
      <c r="I14" s="115">
        <v>2</v>
      </c>
      <c r="J14" s="115">
        <v>12</v>
      </c>
      <c r="K14" s="133"/>
      <c r="L14" s="144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  <c r="BW14" s="103"/>
      <c r="BX14" s="103"/>
      <c r="BY14" s="103"/>
      <c r="BZ14" s="103"/>
      <c r="CA14" s="103"/>
      <c r="CB14" s="103"/>
      <c r="CC14" s="103"/>
      <c r="CD14" s="103"/>
      <c r="CE14" s="103"/>
      <c r="CF14" s="103"/>
      <c r="CG14" s="103"/>
      <c r="CH14" s="103"/>
      <c r="CI14" s="103"/>
      <c r="CJ14" s="103"/>
      <c r="CK14" s="103"/>
      <c r="CL14" s="146"/>
      <c r="CM14" s="146"/>
      <c r="CN14" s="146"/>
      <c r="CO14" s="146">
        <f>J14*I14</f>
        <v>24</v>
      </c>
      <c r="CP14" s="143"/>
      <c r="CQ14" s="143"/>
      <c r="CR14" s="143"/>
      <c r="CS14" s="143"/>
      <c r="CT14" s="143"/>
      <c r="CU14" s="143"/>
      <c r="CV14" s="143"/>
      <c r="CW14" s="143"/>
      <c r="CX14" s="143"/>
      <c r="CY14" s="143"/>
      <c r="CZ14" s="143"/>
      <c r="DA14" s="143"/>
      <c r="DB14" s="143"/>
      <c r="DC14" s="143"/>
      <c r="DD14" s="143"/>
      <c r="DE14" s="143"/>
      <c r="DF14" s="143"/>
      <c r="DG14" s="143"/>
      <c r="DH14" s="143"/>
      <c r="DI14" s="143"/>
      <c r="DJ14" s="143"/>
      <c r="DK14" s="103"/>
      <c r="DL14" s="103"/>
      <c r="DM14" s="103"/>
      <c r="DN14" s="103"/>
      <c r="DO14" s="103"/>
      <c r="DP14" s="103"/>
      <c r="DQ14" s="103"/>
      <c r="DR14" s="103"/>
      <c r="DS14" s="103"/>
      <c r="DT14" s="103"/>
      <c r="DU14" s="103"/>
      <c r="DV14" s="103"/>
      <c r="DW14" s="103"/>
      <c r="DX14" s="103"/>
      <c r="DY14" s="103"/>
      <c r="DZ14" s="103"/>
      <c r="EA14" s="103"/>
      <c r="EB14" s="103"/>
      <c r="EC14" s="103"/>
      <c r="ED14" s="103"/>
      <c r="EE14" s="103"/>
      <c r="EF14" s="103"/>
      <c r="EG14" s="103"/>
      <c r="EH14" s="103"/>
      <c r="EI14" s="103"/>
      <c r="EJ14" s="103"/>
      <c r="EK14" s="103"/>
      <c r="EL14" s="103"/>
      <c r="EM14" s="103"/>
      <c r="EN14" s="103"/>
      <c r="EO14" s="103"/>
      <c r="EP14" s="103"/>
      <c r="EQ14" s="103"/>
      <c r="ER14" s="103"/>
      <c r="ES14" s="103"/>
      <c r="ET14" s="103"/>
      <c r="EU14" s="103"/>
      <c r="EV14" s="103"/>
      <c r="EW14" s="103"/>
      <c r="EX14" s="103"/>
      <c r="EY14" s="103"/>
      <c r="EZ14" s="103"/>
      <c r="FA14" s="103"/>
      <c r="FB14" s="103"/>
      <c r="FC14" s="103"/>
      <c r="FD14" s="103"/>
      <c r="FE14" s="103"/>
      <c r="FF14" s="103"/>
      <c r="FG14" s="103"/>
      <c r="FH14" s="103"/>
      <c r="FI14" s="103"/>
      <c r="FJ14" s="103"/>
      <c r="FK14" s="103"/>
      <c r="FL14" s="103"/>
      <c r="FM14" s="103"/>
      <c r="FN14" s="103"/>
      <c r="FO14" s="103"/>
      <c r="FP14" s="103"/>
      <c r="FQ14" s="103"/>
      <c r="FR14" s="103"/>
      <c r="FS14" s="103"/>
      <c r="FT14" s="103"/>
      <c r="FU14" s="103"/>
      <c r="FV14" s="103"/>
      <c r="FW14" s="103"/>
      <c r="FX14" s="103"/>
      <c r="FY14" s="103"/>
      <c r="FZ14" s="103"/>
      <c r="GA14" s="103"/>
      <c r="GB14" s="103"/>
      <c r="GC14" s="103"/>
      <c r="GD14" s="103"/>
      <c r="GE14" s="103"/>
      <c r="GF14" s="103"/>
      <c r="GG14" s="103"/>
      <c r="GH14" s="103"/>
      <c r="GI14" s="103"/>
      <c r="GJ14" s="103"/>
      <c r="GK14" s="103"/>
      <c r="GL14" s="103"/>
      <c r="GM14" s="103"/>
      <c r="GN14" s="103"/>
      <c r="GO14" s="103"/>
      <c r="GP14" s="103"/>
      <c r="GQ14" s="103"/>
      <c r="GR14" s="103"/>
      <c r="GS14" s="103"/>
      <c r="GT14" s="103"/>
      <c r="GU14" s="103"/>
      <c r="GV14" s="103"/>
      <c r="GW14" s="103"/>
    </row>
    <row r="15" spans="1:205" x14ac:dyDescent="0.3">
      <c r="A15" s="127" t="s">
        <v>103</v>
      </c>
      <c r="B15" s="117" t="str">
        <f>'объемы работ'!C25</f>
        <v>100м^3</v>
      </c>
      <c r="C15" s="117">
        <f>'объемы работ'!D25</f>
        <v>147.09534651504902</v>
      </c>
      <c r="D15" s="116">
        <f>'объемы работ'!F25/8</f>
        <v>230.38808647919552</v>
      </c>
      <c r="E15" s="115">
        <f t="shared" si="0"/>
        <v>242</v>
      </c>
      <c r="F15" s="136"/>
      <c r="G15" s="139">
        <f>'объемы работ'!H25/8</f>
        <v>223.95266506916212</v>
      </c>
      <c r="H15" s="113">
        <f t="shared" si="1"/>
        <v>11</v>
      </c>
      <c r="I15" s="115">
        <v>2</v>
      </c>
      <c r="J15" s="115">
        <v>11</v>
      </c>
      <c r="K15" s="133"/>
      <c r="L15" s="144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  <c r="BW15" s="103"/>
      <c r="BX15" s="103"/>
      <c r="BY15" s="103"/>
      <c r="BZ15" s="103"/>
      <c r="CA15" s="103"/>
      <c r="CB15" s="103"/>
      <c r="CC15" s="103"/>
      <c r="CD15" s="103"/>
      <c r="CE15" s="103"/>
      <c r="CF15" s="103"/>
      <c r="CG15" s="103"/>
      <c r="CH15" s="103"/>
      <c r="CI15" s="103"/>
      <c r="CJ15" s="103"/>
      <c r="CK15" s="103"/>
      <c r="CL15" s="103"/>
      <c r="CM15" s="103"/>
      <c r="CN15" s="103"/>
      <c r="CO15" s="103"/>
      <c r="CP15" s="146"/>
      <c r="CQ15" s="146"/>
      <c r="CR15" s="146"/>
      <c r="CS15" s="146"/>
      <c r="CT15" s="146"/>
      <c r="CU15" s="146">
        <f>J15*I15</f>
        <v>22</v>
      </c>
      <c r="CV15" s="146"/>
      <c r="CW15" s="146"/>
      <c r="CX15" s="146"/>
      <c r="CY15" s="146"/>
      <c r="CZ15" s="146"/>
      <c r="DA15" s="143"/>
      <c r="DB15" s="143"/>
      <c r="DC15" s="143"/>
      <c r="DD15" s="143"/>
      <c r="DE15" s="143"/>
      <c r="DF15" s="143"/>
      <c r="DG15" s="143"/>
      <c r="DH15" s="143"/>
      <c r="DI15" s="143"/>
      <c r="DJ15" s="143"/>
      <c r="DK15" s="143"/>
      <c r="DL15" s="143"/>
      <c r="DM15" s="143"/>
      <c r="DN15" s="143"/>
      <c r="DO15" s="143"/>
      <c r="DP15" s="143"/>
      <c r="DQ15" s="143"/>
      <c r="DR15" s="143"/>
      <c r="DS15" s="143"/>
      <c r="DT15" s="143"/>
      <c r="DU15" s="103"/>
      <c r="DV15" s="103"/>
      <c r="DW15" s="103"/>
      <c r="DX15" s="103"/>
      <c r="DY15" s="103"/>
      <c r="DZ15" s="103"/>
      <c r="EA15" s="103"/>
      <c r="EB15" s="103"/>
      <c r="EC15" s="103"/>
      <c r="ED15" s="103"/>
      <c r="EE15" s="103"/>
      <c r="EF15" s="103"/>
      <c r="EG15" s="103"/>
      <c r="EH15" s="103"/>
      <c r="EI15" s="103"/>
      <c r="EJ15" s="103"/>
      <c r="EK15" s="103"/>
      <c r="EL15" s="103"/>
      <c r="EM15" s="103"/>
      <c r="EN15" s="103"/>
      <c r="EO15" s="103"/>
      <c r="EP15" s="103"/>
      <c r="EQ15" s="103"/>
      <c r="ER15" s="103"/>
      <c r="ES15" s="103"/>
      <c r="ET15" s="103"/>
      <c r="EU15" s="103"/>
      <c r="EV15" s="103"/>
      <c r="EW15" s="103"/>
      <c r="EX15" s="103"/>
      <c r="EY15" s="103"/>
      <c r="EZ15" s="103"/>
      <c r="FA15" s="103"/>
      <c r="FB15" s="103"/>
      <c r="FC15" s="103"/>
      <c r="FD15" s="103"/>
      <c r="FE15" s="103"/>
      <c r="FF15" s="103"/>
      <c r="FG15" s="103"/>
      <c r="FH15" s="103"/>
      <c r="FI15" s="103"/>
      <c r="FJ15" s="103"/>
      <c r="FK15" s="103"/>
      <c r="FL15" s="103"/>
      <c r="FM15" s="103"/>
      <c r="FN15" s="103"/>
      <c r="FO15" s="103"/>
      <c r="FP15" s="103"/>
      <c r="FQ15" s="103"/>
      <c r="FR15" s="103"/>
      <c r="FS15" s="103"/>
      <c r="FT15" s="103"/>
      <c r="FU15" s="103"/>
      <c r="FV15" s="103"/>
      <c r="FW15" s="103"/>
      <c r="FX15" s="103"/>
      <c r="FY15" s="103"/>
      <c r="FZ15" s="103"/>
      <c r="GA15" s="103"/>
      <c r="GB15" s="103"/>
      <c r="GC15" s="103"/>
      <c r="GD15" s="103"/>
      <c r="GE15" s="103"/>
      <c r="GF15" s="103"/>
      <c r="GG15" s="103"/>
      <c r="GH15" s="103"/>
      <c r="GI15" s="103"/>
      <c r="GJ15" s="103"/>
      <c r="GK15" s="103"/>
      <c r="GL15" s="103"/>
      <c r="GM15" s="103"/>
      <c r="GN15" s="103"/>
      <c r="GO15" s="103"/>
      <c r="GP15" s="103"/>
      <c r="GQ15" s="103"/>
      <c r="GR15" s="103"/>
      <c r="GS15" s="103"/>
      <c r="GT15" s="103"/>
      <c r="GU15" s="103"/>
      <c r="GV15" s="103"/>
      <c r="GW15" s="103"/>
    </row>
    <row r="16" spans="1:205" x14ac:dyDescent="0.3">
      <c r="A16" s="127" t="s">
        <v>104</v>
      </c>
      <c r="B16" s="115" t="s">
        <v>110</v>
      </c>
      <c r="C16" s="115">
        <v>5</v>
      </c>
      <c r="D16" s="116">
        <f>'объемы работ'!H35/8</f>
        <v>151.76299182599908</v>
      </c>
      <c r="E16" s="115">
        <f t="shared" si="0"/>
        <v>153</v>
      </c>
      <c r="F16" s="136" t="s">
        <v>111</v>
      </c>
      <c r="G16" s="136" t="s">
        <v>111</v>
      </c>
      <c r="H16" s="113">
        <f t="shared" si="1"/>
        <v>17</v>
      </c>
      <c r="I16" s="115">
        <v>1</v>
      </c>
      <c r="J16" s="115">
        <v>9</v>
      </c>
      <c r="K16" s="133"/>
      <c r="L16" s="144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  <c r="BW16" s="103"/>
      <c r="BX16" s="103"/>
      <c r="BY16" s="103"/>
      <c r="BZ16" s="103"/>
      <c r="CA16" s="103"/>
      <c r="CB16" s="103"/>
      <c r="CC16" s="103"/>
      <c r="CD16" s="103"/>
      <c r="CE16" s="103"/>
      <c r="CF16" s="103"/>
      <c r="CG16" s="103"/>
      <c r="CH16" s="103"/>
      <c r="CI16" s="103"/>
      <c r="CJ16" s="103"/>
      <c r="CK16" s="103"/>
      <c r="CL16" s="103"/>
      <c r="CM16" s="103"/>
      <c r="CN16" s="103"/>
      <c r="CO16" s="103"/>
      <c r="CP16" s="103"/>
      <c r="CQ16" s="103"/>
      <c r="CR16" s="103"/>
      <c r="CS16" s="103"/>
      <c r="CT16" s="143"/>
      <c r="CU16" s="143"/>
      <c r="CV16" s="143"/>
      <c r="CW16" s="143"/>
      <c r="CX16" s="143"/>
      <c r="CY16" s="143"/>
      <c r="CZ16" s="143"/>
      <c r="DA16" s="146"/>
      <c r="DB16" s="146"/>
      <c r="DC16" s="146"/>
      <c r="DD16" s="146"/>
      <c r="DE16" s="146"/>
      <c r="DF16" s="146"/>
      <c r="DG16" s="146"/>
      <c r="DH16" s="146"/>
      <c r="DI16" s="146">
        <f>J16*I16</f>
        <v>9</v>
      </c>
      <c r="DJ16" s="146"/>
      <c r="DK16" s="146"/>
      <c r="DL16" s="146"/>
      <c r="DM16" s="146"/>
      <c r="DN16" s="146"/>
      <c r="DO16" s="146"/>
      <c r="DP16" s="146"/>
      <c r="DQ16" s="146"/>
      <c r="DR16" s="143"/>
      <c r="DS16" s="143"/>
      <c r="DT16" s="143"/>
      <c r="DU16" s="103"/>
      <c r="DV16" s="103"/>
      <c r="DW16" s="103"/>
      <c r="DX16" s="103"/>
      <c r="DY16" s="103"/>
      <c r="DZ16" s="103"/>
      <c r="EA16" s="103"/>
      <c r="EB16" s="103"/>
      <c r="EC16" s="103"/>
      <c r="ED16" s="103"/>
      <c r="EE16" s="103"/>
      <c r="EF16" s="103"/>
      <c r="EG16" s="103"/>
      <c r="EH16" s="103"/>
      <c r="EI16" s="103"/>
      <c r="EJ16" s="103"/>
      <c r="EK16" s="103"/>
      <c r="EL16" s="103"/>
      <c r="EM16" s="103"/>
      <c r="EN16" s="103"/>
      <c r="EO16" s="103"/>
      <c r="EP16" s="103"/>
      <c r="EQ16" s="103"/>
      <c r="ER16" s="103"/>
      <c r="ES16" s="103"/>
      <c r="ET16" s="103"/>
      <c r="EU16" s="103"/>
      <c r="EV16" s="103"/>
      <c r="EW16" s="103"/>
      <c r="EX16" s="103"/>
      <c r="EY16" s="103"/>
      <c r="EZ16" s="103"/>
      <c r="FA16" s="103"/>
      <c r="FB16" s="103"/>
      <c r="FC16" s="103"/>
      <c r="FD16" s="103"/>
      <c r="FE16" s="103"/>
      <c r="FF16" s="103"/>
      <c r="FG16" s="103"/>
      <c r="FH16" s="103"/>
      <c r="FI16" s="103"/>
      <c r="FJ16" s="103"/>
      <c r="FK16" s="103"/>
      <c r="FL16" s="103"/>
      <c r="FM16" s="103"/>
      <c r="FN16" s="103"/>
      <c r="FO16" s="103"/>
      <c r="FP16" s="103"/>
      <c r="FQ16" s="103"/>
      <c r="FR16" s="103"/>
      <c r="FS16" s="103"/>
      <c r="FT16" s="103"/>
      <c r="FU16" s="103"/>
      <c r="FV16" s="103"/>
      <c r="FW16" s="103"/>
      <c r="FX16" s="103"/>
      <c r="FY16" s="103"/>
      <c r="FZ16" s="103"/>
      <c r="GA16" s="103"/>
      <c r="GB16" s="103"/>
      <c r="GC16" s="103"/>
      <c r="GD16" s="103"/>
      <c r="GE16" s="103"/>
      <c r="GF16" s="103"/>
      <c r="GG16" s="103"/>
      <c r="GH16" s="103"/>
      <c r="GI16" s="103"/>
      <c r="GJ16" s="103"/>
      <c r="GK16" s="103"/>
      <c r="GL16" s="103"/>
      <c r="GM16" s="103"/>
      <c r="GN16" s="103"/>
      <c r="GO16" s="103"/>
      <c r="GP16" s="103"/>
      <c r="GQ16" s="103"/>
      <c r="GR16" s="103"/>
      <c r="GS16" s="103"/>
      <c r="GT16" s="103"/>
      <c r="GU16" s="103"/>
      <c r="GV16" s="103"/>
      <c r="GW16" s="103"/>
    </row>
    <row r="17" spans="1:205" x14ac:dyDescent="0.3">
      <c r="A17" s="127" t="s">
        <v>105</v>
      </c>
      <c r="B17" s="115" t="s">
        <v>110</v>
      </c>
      <c r="C17" s="115">
        <v>7</v>
      </c>
      <c r="D17" s="116">
        <f>'объемы работ'!H37/8</f>
        <v>212.46818855639873</v>
      </c>
      <c r="E17" s="115">
        <f t="shared" si="0"/>
        <v>221</v>
      </c>
      <c r="F17" s="136" t="s">
        <v>111</v>
      </c>
      <c r="G17" s="136" t="s">
        <v>111</v>
      </c>
      <c r="H17" s="113">
        <f t="shared" si="1"/>
        <v>17</v>
      </c>
      <c r="I17" s="115">
        <v>1</v>
      </c>
      <c r="J17" s="115">
        <v>13</v>
      </c>
      <c r="K17" s="133"/>
      <c r="L17" s="144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03"/>
      <c r="BV17" s="103"/>
      <c r="BW17" s="103"/>
      <c r="BX17" s="103"/>
      <c r="BY17" s="103"/>
      <c r="BZ17" s="103"/>
      <c r="CA17" s="103"/>
      <c r="CB17" s="103"/>
      <c r="CC17" s="103"/>
      <c r="CD17" s="103"/>
      <c r="CE17" s="103"/>
      <c r="CF17" s="103"/>
      <c r="CG17" s="103"/>
      <c r="CH17" s="103"/>
      <c r="CI17" s="103"/>
      <c r="CJ17" s="103"/>
      <c r="CK17" s="103"/>
      <c r="CL17" s="103"/>
      <c r="CM17" s="103"/>
      <c r="CN17" s="103"/>
      <c r="CO17" s="103"/>
      <c r="CP17" s="103"/>
      <c r="CQ17" s="103"/>
      <c r="CR17" s="103"/>
      <c r="CS17" s="103"/>
      <c r="CT17" s="103"/>
      <c r="CU17" s="103"/>
      <c r="CV17" s="103"/>
      <c r="CW17" s="103"/>
      <c r="CX17" s="103"/>
      <c r="CY17" s="103"/>
      <c r="CZ17" s="103"/>
      <c r="DA17" s="146"/>
      <c r="DB17" s="146"/>
      <c r="DC17" s="146"/>
      <c r="DD17" s="146"/>
      <c r="DE17" s="146"/>
      <c r="DF17" s="146"/>
      <c r="DG17" s="146"/>
      <c r="DH17" s="146"/>
      <c r="DI17" s="146">
        <f>J17*I17</f>
        <v>13</v>
      </c>
      <c r="DJ17" s="146"/>
      <c r="DK17" s="146"/>
      <c r="DL17" s="146"/>
      <c r="DM17" s="146"/>
      <c r="DN17" s="146"/>
      <c r="DO17" s="146"/>
      <c r="DP17" s="146"/>
      <c r="DQ17" s="146"/>
      <c r="DR17" s="103"/>
      <c r="DS17" s="103"/>
      <c r="DT17" s="103"/>
      <c r="DU17" s="103"/>
      <c r="DV17" s="103"/>
      <c r="DW17" s="103"/>
      <c r="DX17" s="103"/>
      <c r="DY17" s="103"/>
      <c r="DZ17" s="103"/>
      <c r="EA17" s="103"/>
      <c r="EB17" s="103"/>
      <c r="EC17" s="103"/>
      <c r="ED17" s="103"/>
      <c r="EE17" s="103"/>
      <c r="EF17" s="103"/>
      <c r="EG17" s="103"/>
      <c r="EH17" s="103"/>
      <c r="EI17" s="103"/>
      <c r="EJ17" s="103"/>
      <c r="EK17" s="103"/>
      <c r="EL17" s="103"/>
      <c r="EM17" s="103"/>
      <c r="EN17" s="103"/>
      <c r="EO17" s="103"/>
      <c r="EP17" s="103"/>
      <c r="EQ17" s="103"/>
      <c r="ER17" s="103"/>
      <c r="ES17" s="103"/>
      <c r="ET17" s="103"/>
      <c r="EU17" s="103"/>
      <c r="EV17" s="103"/>
      <c r="EW17" s="103"/>
      <c r="EX17" s="103"/>
      <c r="EY17" s="103"/>
      <c r="EZ17" s="103"/>
      <c r="FA17" s="103"/>
      <c r="FB17" s="103"/>
      <c r="FC17" s="103"/>
      <c r="FD17" s="103"/>
      <c r="FE17" s="103"/>
      <c r="FF17" s="103"/>
      <c r="FG17" s="103"/>
      <c r="FH17" s="103"/>
      <c r="FI17" s="103"/>
      <c r="FJ17" s="103"/>
      <c r="FK17" s="103"/>
      <c r="FL17" s="103"/>
      <c r="FM17" s="103"/>
      <c r="FN17" s="103"/>
      <c r="FO17" s="103"/>
      <c r="FP17" s="103"/>
      <c r="FQ17" s="103"/>
      <c r="FR17" s="103"/>
      <c r="FS17" s="103"/>
      <c r="FT17" s="103"/>
      <c r="FU17" s="103"/>
      <c r="FV17" s="103"/>
      <c r="FW17" s="103"/>
      <c r="FX17" s="103"/>
      <c r="FY17" s="103"/>
      <c r="FZ17" s="103"/>
      <c r="GA17" s="103"/>
      <c r="GB17" s="103"/>
      <c r="GC17" s="103"/>
      <c r="GD17" s="103"/>
      <c r="GE17" s="103"/>
      <c r="GF17" s="103"/>
      <c r="GG17" s="103"/>
      <c r="GH17" s="103"/>
      <c r="GI17" s="103"/>
      <c r="GJ17" s="103"/>
      <c r="GK17" s="103"/>
      <c r="GL17" s="103"/>
      <c r="GM17" s="103"/>
      <c r="GN17" s="103"/>
      <c r="GO17" s="103"/>
      <c r="GP17" s="103"/>
      <c r="GQ17" s="103"/>
      <c r="GR17" s="103"/>
      <c r="GS17" s="103"/>
      <c r="GT17" s="103"/>
      <c r="GU17" s="103"/>
      <c r="GV17" s="103"/>
      <c r="GW17" s="103"/>
    </row>
    <row r="18" spans="1:205" ht="15" thickBot="1" x14ac:dyDescent="0.35">
      <c r="A18" s="128" t="s">
        <v>106</v>
      </c>
      <c r="B18" s="129" t="s">
        <v>110</v>
      </c>
      <c r="C18" s="129">
        <v>6</v>
      </c>
      <c r="D18" s="130">
        <f>'объемы работ'!H39/8</f>
        <v>182.11559019119889</v>
      </c>
      <c r="E18" s="129">
        <f t="shared" si="0"/>
        <v>200</v>
      </c>
      <c r="F18" s="137" t="s">
        <v>111</v>
      </c>
      <c r="G18" s="137" t="s">
        <v>111</v>
      </c>
      <c r="H18" s="113">
        <f t="shared" si="1"/>
        <v>10</v>
      </c>
      <c r="I18" s="129">
        <v>2</v>
      </c>
      <c r="J18" s="129">
        <v>10</v>
      </c>
      <c r="K18" s="133"/>
      <c r="L18" s="145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04"/>
      <c r="BW18" s="104"/>
      <c r="BX18" s="104"/>
      <c r="BY18" s="104"/>
      <c r="BZ18" s="104"/>
      <c r="CA18" s="104"/>
      <c r="CB18" s="104"/>
      <c r="CC18" s="104"/>
      <c r="CD18" s="104"/>
      <c r="CE18" s="104"/>
      <c r="CF18" s="104"/>
      <c r="CG18" s="104"/>
      <c r="CH18" s="104"/>
      <c r="CI18" s="104"/>
      <c r="CJ18" s="104"/>
      <c r="CK18" s="104"/>
      <c r="CL18" s="104"/>
      <c r="CM18" s="104"/>
      <c r="CN18" s="104"/>
      <c r="CO18" s="104"/>
      <c r="CP18" s="104"/>
      <c r="CQ18" s="104"/>
      <c r="CR18" s="104"/>
      <c r="CS18" s="104"/>
      <c r="CT18" s="104"/>
      <c r="CU18" s="104"/>
      <c r="CV18" s="104"/>
      <c r="CW18" s="104"/>
      <c r="CX18" s="104"/>
      <c r="CY18" s="104"/>
      <c r="CZ18" s="104"/>
      <c r="DA18" s="104"/>
      <c r="DB18" s="104"/>
      <c r="DC18" s="104"/>
      <c r="DD18" s="104"/>
      <c r="DE18" s="104"/>
      <c r="DF18" s="104"/>
      <c r="DG18" s="104"/>
      <c r="DH18" s="104"/>
      <c r="DI18" s="104"/>
      <c r="DJ18" s="104"/>
      <c r="DK18" s="104"/>
      <c r="DL18" s="104"/>
      <c r="DM18" s="104"/>
      <c r="DN18" s="104"/>
      <c r="DO18" s="104"/>
      <c r="DP18" s="104"/>
      <c r="DQ18" s="104"/>
      <c r="DR18" s="182"/>
      <c r="DS18" s="182"/>
      <c r="DT18" s="182"/>
      <c r="DU18" s="182"/>
      <c r="DV18" s="182"/>
      <c r="DW18" s="182">
        <f>I18*J18</f>
        <v>20</v>
      </c>
      <c r="DX18" s="182"/>
      <c r="DY18" s="182"/>
      <c r="DZ18" s="182"/>
      <c r="EA18" s="182"/>
      <c r="EB18" s="104"/>
      <c r="EC18" s="104"/>
      <c r="ED18" s="104"/>
      <c r="EE18" s="104"/>
      <c r="EF18" s="104"/>
      <c r="EG18" s="104"/>
      <c r="EH18" s="104"/>
      <c r="EI18" s="104"/>
      <c r="EJ18" s="104"/>
      <c r="EK18" s="104"/>
      <c r="EL18" s="104"/>
      <c r="EM18" s="104"/>
      <c r="EN18" s="104"/>
      <c r="EO18" s="104"/>
      <c r="EP18" s="104"/>
      <c r="EQ18" s="104"/>
      <c r="ER18" s="104"/>
      <c r="ES18" s="104"/>
      <c r="ET18" s="104"/>
      <c r="EU18" s="104"/>
      <c r="EV18" s="104"/>
      <c r="EW18" s="104"/>
      <c r="EX18" s="104"/>
      <c r="EY18" s="104"/>
      <c r="EZ18" s="104"/>
      <c r="FA18" s="104"/>
      <c r="FB18" s="104"/>
      <c r="FC18" s="104"/>
      <c r="FD18" s="104"/>
      <c r="FE18" s="104"/>
      <c r="FF18" s="104"/>
      <c r="FG18" s="104"/>
      <c r="FH18" s="104"/>
      <c r="FI18" s="104"/>
      <c r="FJ18" s="104"/>
      <c r="FK18" s="104"/>
      <c r="FL18" s="104"/>
      <c r="FM18" s="104"/>
      <c r="FN18" s="104"/>
      <c r="FO18" s="104"/>
      <c r="FP18" s="104"/>
      <c r="FQ18" s="104"/>
      <c r="FR18" s="104"/>
      <c r="FS18" s="104"/>
      <c r="FT18" s="104"/>
      <c r="FU18" s="104"/>
      <c r="FV18" s="104"/>
      <c r="FW18" s="104"/>
      <c r="FX18" s="104"/>
      <c r="FY18" s="104"/>
      <c r="FZ18" s="104"/>
      <c r="GA18" s="104"/>
      <c r="GB18" s="104"/>
      <c r="GC18" s="104"/>
      <c r="GD18" s="104"/>
      <c r="GE18" s="104"/>
      <c r="GF18" s="104"/>
      <c r="GG18" s="104"/>
      <c r="GH18" s="104"/>
      <c r="GI18" s="104"/>
      <c r="GJ18" s="104"/>
      <c r="GK18" s="104"/>
      <c r="GL18" s="104"/>
      <c r="GM18" s="104"/>
      <c r="GN18" s="104"/>
      <c r="GO18" s="104"/>
      <c r="GP18" s="104"/>
      <c r="GQ18" s="104"/>
      <c r="GR18" s="104"/>
      <c r="GS18" s="104"/>
      <c r="GT18" s="104"/>
      <c r="GU18" s="104"/>
      <c r="GV18" s="104"/>
      <c r="GW18" s="104"/>
    </row>
    <row r="26" spans="1:205" x14ac:dyDescent="0.3">
      <c r="AK26" s="185"/>
      <c r="AL26" s="185"/>
      <c r="AM26" s="185"/>
      <c r="AN26" s="185"/>
      <c r="AO26" s="185"/>
      <c r="AP26" s="185"/>
      <c r="AQ26" s="185"/>
      <c r="AR26" s="185"/>
      <c r="AS26" s="185"/>
      <c r="AT26" s="185"/>
      <c r="AU26" s="185"/>
    </row>
    <row r="27" spans="1:205" x14ac:dyDescent="0.3">
      <c r="AK27" s="185"/>
      <c r="AL27" s="185"/>
      <c r="AM27" s="185"/>
      <c r="AN27" s="185"/>
      <c r="AO27" s="185"/>
      <c r="AP27" s="185"/>
      <c r="AQ27" s="185"/>
      <c r="AR27" s="185"/>
      <c r="AS27" s="185"/>
      <c r="AT27" s="185"/>
      <c r="AU27" s="185"/>
      <c r="AV27" s="185"/>
      <c r="AW27" s="185"/>
      <c r="AX27" s="185"/>
      <c r="AY27" s="185"/>
      <c r="AZ27" s="185"/>
      <c r="BA27" s="185"/>
      <c r="BB27" s="185"/>
      <c r="BC27" s="185"/>
      <c r="BD27" s="185"/>
      <c r="BE27" s="185"/>
      <c r="BF27" s="185"/>
      <c r="BG27" s="185"/>
      <c r="BH27" s="185"/>
      <c r="BI27" s="185"/>
      <c r="BJ27" s="185"/>
      <c r="BK27" s="185"/>
      <c r="BL27" s="185"/>
      <c r="BM27" s="185"/>
      <c r="BN27" s="185"/>
      <c r="BO27" s="185"/>
      <c r="BP27" s="185"/>
      <c r="BQ27" s="185"/>
      <c r="BR27" s="185"/>
      <c r="BS27" s="185"/>
      <c r="BT27" s="185"/>
      <c r="BU27" s="185"/>
      <c r="BV27" s="185"/>
      <c r="BW27" s="185"/>
      <c r="BX27" s="185"/>
    </row>
    <row r="28" spans="1:205" x14ac:dyDescent="0.3">
      <c r="AK28" s="185"/>
      <c r="AL28" s="185"/>
      <c r="AM28" s="185"/>
      <c r="AN28" s="185"/>
      <c r="AO28" s="185"/>
      <c r="AP28" s="185"/>
      <c r="AQ28" s="185"/>
      <c r="AR28" s="185"/>
      <c r="AS28" s="185"/>
      <c r="AT28" s="185"/>
      <c r="AU28" s="185"/>
      <c r="AV28" s="185"/>
      <c r="AW28" s="185"/>
      <c r="AX28" s="185"/>
      <c r="AY28" s="185"/>
      <c r="AZ28" s="185"/>
      <c r="BA28" s="185"/>
      <c r="BB28" s="185"/>
      <c r="BC28" s="185"/>
      <c r="BD28" s="185"/>
      <c r="BE28" s="185"/>
      <c r="BF28" s="185"/>
      <c r="BG28" s="185"/>
      <c r="BH28" s="185"/>
      <c r="BI28" s="185"/>
      <c r="BJ28" s="185"/>
      <c r="BK28" s="185"/>
      <c r="BL28" s="185"/>
      <c r="BM28" s="185"/>
      <c r="BN28" s="185"/>
      <c r="BO28" s="185"/>
      <c r="BP28" s="185"/>
      <c r="BQ28" s="185"/>
      <c r="BR28" s="185"/>
      <c r="BS28" s="185"/>
      <c r="BT28" s="185"/>
      <c r="BU28" s="185"/>
      <c r="BV28" s="185"/>
      <c r="BW28" s="185"/>
      <c r="BX28" s="185"/>
    </row>
    <row r="29" spans="1:205" x14ac:dyDescent="0.3">
      <c r="AK29" s="185"/>
      <c r="AL29" s="185"/>
      <c r="AM29" s="185"/>
      <c r="AN29" s="185"/>
      <c r="AO29" s="185"/>
      <c r="AP29" s="185"/>
      <c r="AQ29" s="185"/>
      <c r="AR29" s="185"/>
      <c r="AS29" s="185"/>
      <c r="AT29" s="185"/>
      <c r="AU29" s="185"/>
      <c r="AV29" s="185"/>
      <c r="AW29" s="185"/>
      <c r="AX29" s="185"/>
      <c r="AY29" s="185"/>
      <c r="AZ29" s="185"/>
      <c r="BA29" s="185"/>
      <c r="BB29" s="185"/>
      <c r="BC29" s="185"/>
      <c r="BD29" s="185"/>
      <c r="BE29" s="185"/>
      <c r="BF29" s="185"/>
      <c r="BG29" s="185"/>
      <c r="BH29" s="185"/>
      <c r="BI29" s="185"/>
      <c r="BJ29" s="185"/>
      <c r="BK29" s="185"/>
      <c r="BL29" s="185"/>
      <c r="BM29" s="185"/>
      <c r="BN29" s="185"/>
      <c r="BO29" s="185"/>
      <c r="BP29" s="185"/>
      <c r="BQ29" s="185"/>
      <c r="BR29" s="185"/>
      <c r="BS29" s="185"/>
      <c r="BT29" s="185"/>
      <c r="BU29" s="185"/>
      <c r="BV29" s="185"/>
      <c r="BW29" s="185"/>
      <c r="BX29" s="185"/>
    </row>
    <row r="30" spans="1:205" x14ac:dyDescent="0.3">
      <c r="AK30" s="185"/>
      <c r="AL30" s="185"/>
      <c r="AM30" s="185"/>
      <c r="AN30" s="185"/>
      <c r="AO30" s="185"/>
      <c r="AP30" s="185"/>
      <c r="AQ30" s="185"/>
      <c r="AR30" s="185"/>
      <c r="AS30" s="185"/>
      <c r="AT30" s="185"/>
      <c r="AU30" s="185"/>
      <c r="AV30" s="185"/>
      <c r="AW30" s="185"/>
      <c r="AX30" s="185"/>
      <c r="AY30" s="185"/>
      <c r="AZ30" s="185"/>
      <c r="BA30" s="185"/>
      <c r="BB30" s="185"/>
      <c r="BC30" s="185"/>
      <c r="BD30" s="185"/>
      <c r="BE30" s="185"/>
      <c r="BF30" s="185"/>
      <c r="BG30" s="185"/>
      <c r="BH30" s="185"/>
      <c r="BI30" s="185"/>
      <c r="BJ30" s="185"/>
      <c r="BK30" s="185"/>
      <c r="BL30" s="185"/>
      <c r="BM30" s="185"/>
      <c r="BN30" s="185"/>
      <c r="BO30" s="185"/>
      <c r="BP30" s="185"/>
      <c r="BQ30" s="185"/>
      <c r="BR30" s="185"/>
      <c r="BS30" s="185"/>
      <c r="BT30" s="185"/>
      <c r="BU30" s="185"/>
      <c r="BV30" s="185"/>
      <c r="BW30" s="185"/>
      <c r="BX30" s="185"/>
    </row>
    <row r="31" spans="1:205" x14ac:dyDescent="0.3">
      <c r="AK31" s="185"/>
      <c r="AL31" s="185"/>
      <c r="AM31" s="185"/>
      <c r="AN31" s="185"/>
      <c r="AO31" s="185"/>
      <c r="AP31" s="185"/>
      <c r="AQ31" s="185"/>
      <c r="AR31" s="185"/>
      <c r="AS31" s="185"/>
      <c r="AT31" s="185"/>
      <c r="AU31" s="185"/>
      <c r="AV31" s="185"/>
      <c r="AW31" s="185"/>
      <c r="AX31" s="185"/>
      <c r="AY31" s="185"/>
      <c r="AZ31" s="185"/>
      <c r="BA31" s="185"/>
      <c r="BB31" s="185"/>
      <c r="BC31" s="185"/>
      <c r="BD31" s="185"/>
      <c r="BE31" s="185"/>
      <c r="BF31" s="185"/>
      <c r="BG31" s="185"/>
      <c r="BH31" s="185"/>
      <c r="BI31" s="185"/>
      <c r="BJ31" s="185"/>
      <c r="BK31" s="185"/>
      <c r="BL31" s="185"/>
      <c r="BM31" s="185"/>
      <c r="BN31" s="185"/>
      <c r="BO31" s="185"/>
      <c r="BP31" s="185"/>
      <c r="BQ31" s="185"/>
      <c r="BR31" s="185"/>
      <c r="BS31" s="185"/>
      <c r="BT31" s="185"/>
      <c r="BU31" s="185"/>
      <c r="BV31" s="185"/>
      <c r="BW31" s="185"/>
      <c r="BX31" s="185"/>
    </row>
    <row r="32" spans="1:205" x14ac:dyDescent="0.3"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5"/>
      <c r="AT32" s="185"/>
      <c r="AU32" s="185"/>
      <c r="AV32" s="185"/>
      <c r="AW32" s="185"/>
      <c r="AX32" s="185"/>
      <c r="AY32" s="185"/>
      <c r="AZ32" s="185"/>
      <c r="BA32" s="185"/>
      <c r="BB32" s="185"/>
      <c r="BC32" s="185"/>
      <c r="BD32" s="185"/>
      <c r="BE32" s="185"/>
      <c r="BF32" s="185"/>
      <c r="BG32" s="185"/>
      <c r="BH32" s="185"/>
      <c r="BI32" s="185"/>
      <c r="BJ32" s="185"/>
      <c r="BK32" s="185"/>
      <c r="BL32" s="185"/>
      <c r="BM32" s="185"/>
      <c r="BN32" s="185"/>
      <c r="BO32" s="185"/>
      <c r="BP32" s="185"/>
      <c r="BQ32" s="185"/>
      <c r="BR32" s="185"/>
      <c r="BS32" s="185"/>
      <c r="BT32" s="185"/>
      <c r="BU32" s="185"/>
      <c r="BV32" s="185"/>
      <c r="BW32" s="185"/>
      <c r="BX32" s="185"/>
      <c r="BY32" s="185"/>
      <c r="BZ32" s="185"/>
      <c r="CA32" s="185"/>
      <c r="CB32" s="185"/>
      <c r="CC32" s="185"/>
      <c r="CD32" s="185"/>
      <c r="CE32" s="185"/>
      <c r="CF32" s="185"/>
      <c r="CG32" s="185"/>
      <c r="CH32" s="185"/>
      <c r="CI32" s="185"/>
      <c r="CJ32" s="185"/>
      <c r="CK32" s="185"/>
    </row>
    <row r="33" spans="12:131" x14ac:dyDescent="0.3"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85"/>
      <c r="AT33" s="185"/>
      <c r="AU33" s="185"/>
      <c r="AV33" s="185"/>
      <c r="AW33" s="185"/>
      <c r="AX33" s="185"/>
      <c r="AY33" s="185"/>
      <c r="AZ33" s="185"/>
      <c r="BA33" s="185"/>
      <c r="BB33" s="185"/>
      <c r="BC33" s="185"/>
      <c r="BD33" s="185"/>
      <c r="BE33" s="185"/>
      <c r="BF33" s="185"/>
      <c r="BG33" s="185"/>
      <c r="BH33" s="185"/>
      <c r="BI33" s="185"/>
      <c r="BJ33" s="185"/>
      <c r="BK33" s="185"/>
      <c r="BL33" s="185"/>
      <c r="BM33" s="185"/>
      <c r="BN33" s="185"/>
      <c r="BO33" s="185"/>
      <c r="BP33" s="185"/>
      <c r="BQ33" s="185"/>
      <c r="BR33" s="185"/>
      <c r="BS33" s="185"/>
      <c r="BT33" s="185"/>
      <c r="BU33" s="185"/>
      <c r="BV33" s="185"/>
      <c r="BW33" s="185"/>
      <c r="BX33" s="185"/>
      <c r="BY33" s="185"/>
      <c r="BZ33" s="185"/>
      <c r="CA33" s="185"/>
      <c r="CB33" s="185"/>
      <c r="CC33" s="185"/>
      <c r="CD33" s="185"/>
      <c r="CE33" s="185"/>
      <c r="CF33" s="185"/>
      <c r="CG33" s="185"/>
      <c r="CH33" s="185"/>
      <c r="CI33" s="185"/>
      <c r="CJ33" s="185"/>
      <c r="CK33" s="185"/>
      <c r="CL33" s="185"/>
      <c r="CM33" s="185"/>
      <c r="CN33" s="185"/>
      <c r="CO33" s="185"/>
    </row>
    <row r="34" spans="12:131" x14ac:dyDescent="0.3"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5"/>
      <c r="AT34" s="185"/>
      <c r="AU34" s="185"/>
      <c r="AV34" s="185"/>
      <c r="AW34" s="185"/>
      <c r="AX34" s="185"/>
      <c r="AY34" s="185"/>
      <c r="AZ34" s="185"/>
      <c r="BA34" s="185"/>
      <c r="BB34" s="185"/>
      <c r="BC34" s="185"/>
      <c r="BD34" s="185"/>
      <c r="BE34" s="185"/>
      <c r="BF34" s="185"/>
      <c r="BG34" s="185"/>
      <c r="BH34" s="185"/>
      <c r="BI34" s="185"/>
      <c r="BJ34" s="185"/>
      <c r="BK34" s="185"/>
      <c r="BL34" s="185"/>
      <c r="BM34" s="185"/>
      <c r="BN34" s="185"/>
      <c r="BO34" s="185"/>
      <c r="BP34" s="185"/>
      <c r="BQ34" s="185"/>
      <c r="BR34" s="185"/>
      <c r="BS34" s="185"/>
      <c r="BT34" s="185"/>
      <c r="BU34" s="185"/>
      <c r="BV34" s="185"/>
      <c r="BW34" s="185"/>
      <c r="BX34" s="185"/>
      <c r="BY34" s="185"/>
      <c r="BZ34" s="185"/>
      <c r="CA34" s="185"/>
      <c r="CB34" s="185"/>
      <c r="CC34" s="185"/>
      <c r="CD34" s="185"/>
      <c r="CE34" s="185"/>
      <c r="CF34" s="185"/>
      <c r="CG34" s="185"/>
      <c r="CH34" s="185"/>
      <c r="CI34" s="185"/>
      <c r="CJ34" s="185"/>
      <c r="CK34" s="185"/>
      <c r="CL34" s="185"/>
      <c r="CM34" s="185"/>
      <c r="CN34" s="185"/>
      <c r="CO34" s="185"/>
      <c r="CP34" s="185"/>
      <c r="CQ34" s="185"/>
      <c r="CR34" s="185"/>
      <c r="CS34" s="185"/>
      <c r="CT34" s="185"/>
      <c r="CU34" s="185"/>
      <c r="CV34" s="185"/>
      <c r="CW34" s="185"/>
      <c r="CX34" s="185"/>
      <c r="CY34" s="185"/>
      <c r="CZ34" s="185"/>
      <c r="DA34" s="185"/>
      <c r="DB34" s="185"/>
      <c r="DC34" s="185"/>
      <c r="DD34" s="185"/>
      <c r="DE34" s="185"/>
      <c r="DF34" s="185"/>
      <c r="DG34" s="185"/>
      <c r="DH34" s="185"/>
      <c r="DI34" s="185"/>
      <c r="DJ34" s="185"/>
      <c r="DK34" s="185"/>
      <c r="DL34" s="185"/>
      <c r="DM34" s="185"/>
      <c r="DN34" s="185"/>
      <c r="DO34" s="185"/>
      <c r="DP34" s="185"/>
      <c r="DQ34" s="185"/>
    </row>
    <row r="35" spans="12:131" x14ac:dyDescent="0.3"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5"/>
      <c r="AT35" s="185"/>
      <c r="AU35" s="185"/>
      <c r="AV35" s="185"/>
      <c r="AW35" s="185"/>
      <c r="AX35" s="185"/>
      <c r="AY35" s="185"/>
      <c r="AZ35" s="185"/>
      <c r="BA35" s="185"/>
      <c r="BB35" s="185"/>
      <c r="BC35" s="185"/>
      <c r="BD35" s="185"/>
      <c r="BE35" s="185"/>
      <c r="BF35" s="185"/>
      <c r="BG35" s="185"/>
      <c r="BH35" s="185"/>
      <c r="BI35" s="185"/>
      <c r="BJ35" s="185"/>
      <c r="BK35" s="185"/>
      <c r="BL35" s="185"/>
      <c r="BM35" s="185"/>
      <c r="BN35" s="185"/>
      <c r="BO35" s="185"/>
      <c r="BP35" s="185"/>
      <c r="BQ35" s="185"/>
      <c r="BR35" s="185"/>
      <c r="BS35" s="185"/>
      <c r="BT35" s="185"/>
      <c r="BU35" s="185"/>
      <c r="BV35" s="185"/>
      <c r="BW35" s="185"/>
      <c r="BX35" s="185"/>
      <c r="BY35" s="185"/>
      <c r="BZ35" s="185"/>
      <c r="CA35" s="185"/>
      <c r="CB35" s="185"/>
      <c r="CC35" s="185"/>
      <c r="CD35" s="185"/>
      <c r="CE35" s="185"/>
      <c r="CF35" s="185"/>
      <c r="CG35" s="185"/>
      <c r="CH35" s="185"/>
      <c r="CI35" s="185"/>
      <c r="CJ35" s="185"/>
      <c r="CK35" s="185"/>
      <c r="CL35" s="185"/>
      <c r="CM35" s="185"/>
      <c r="CN35" s="185"/>
      <c r="CO35" s="185"/>
      <c r="CP35" s="185"/>
      <c r="CQ35" s="185"/>
      <c r="CR35" s="185"/>
      <c r="CS35" s="185"/>
      <c r="CT35" s="185"/>
      <c r="CU35" s="185"/>
      <c r="CV35" s="185"/>
      <c r="CW35" s="185"/>
      <c r="CX35" s="185"/>
      <c r="CY35" s="185"/>
      <c r="CZ35" s="185"/>
      <c r="DA35" s="185"/>
      <c r="DB35" s="185"/>
      <c r="DC35" s="185"/>
      <c r="DD35" s="185"/>
      <c r="DE35" s="185"/>
      <c r="DF35" s="185"/>
      <c r="DG35" s="185"/>
      <c r="DH35" s="185"/>
      <c r="DI35" s="185"/>
      <c r="DJ35" s="185"/>
      <c r="DK35" s="185"/>
      <c r="DL35" s="185"/>
      <c r="DM35" s="185"/>
      <c r="DN35" s="185"/>
      <c r="DO35" s="185"/>
      <c r="DP35" s="185"/>
      <c r="DQ35" s="185"/>
      <c r="DR35" s="185"/>
      <c r="DS35" s="185"/>
      <c r="DT35" s="185"/>
      <c r="DU35" s="185"/>
      <c r="DV35" s="185"/>
      <c r="DW35" s="185"/>
      <c r="DX35" s="185"/>
      <c r="DY35" s="185"/>
      <c r="DZ35" s="185"/>
      <c r="EA35" s="185"/>
    </row>
    <row r="36" spans="12:131" x14ac:dyDescent="0.3"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5"/>
      <c r="AT36" s="185"/>
      <c r="AU36" s="185"/>
      <c r="AV36" s="185"/>
      <c r="AW36" s="185"/>
      <c r="AX36" s="185"/>
      <c r="AY36" s="185"/>
      <c r="AZ36" s="185"/>
      <c r="BA36" s="185"/>
      <c r="BB36" s="185"/>
      <c r="BC36" s="185"/>
      <c r="BD36" s="185"/>
      <c r="BE36" s="185"/>
      <c r="BF36" s="185"/>
      <c r="BG36" s="185"/>
      <c r="BH36" s="185"/>
      <c r="BI36" s="185"/>
      <c r="BJ36" s="185"/>
      <c r="BK36" s="185"/>
      <c r="BL36" s="185"/>
      <c r="BM36" s="185"/>
      <c r="BN36" s="185"/>
      <c r="BO36" s="185"/>
      <c r="BP36" s="185"/>
      <c r="BQ36" s="185"/>
      <c r="BR36" s="185"/>
      <c r="BS36" s="185"/>
      <c r="BT36" s="185"/>
      <c r="BU36" s="185"/>
      <c r="BV36" s="185"/>
      <c r="BW36" s="185"/>
      <c r="BX36" s="185"/>
      <c r="BY36" s="185"/>
      <c r="BZ36" s="185"/>
      <c r="CA36" s="185"/>
      <c r="CB36" s="185"/>
      <c r="CC36" s="185"/>
      <c r="CD36" s="185"/>
      <c r="CE36" s="185"/>
      <c r="CF36" s="185"/>
      <c r="CG36" s="185"/>
      <c r="CH36" s="185"/>
      <c r="CI36" s="185"/>
      <c r="CJ36" s="185"/>
      <c r="CK36" s="185"/>
      <c r="CL36" s="185"/>
      <c r="CM36" s="185"/>
      <c r="CN36" s="185"/>
      <c r="CO36" s="185"/>
      <c r="CP36" s="185"/>
      <c r="CQ36" s="185"/>
      <c r="CR36" s="185"/>
      <c r="CS36" s="185"/>
      <c r="CT36" s="185"/>
      <c r="CU36" s="185"/>
      <c r="CV36" s="185"/>
      <c r="CW36" s="185"/>
      <c r="CX36" s="185"/>
      <c r="CY36" s="185"/>
      <c r="CZ36" s="185"/>
      <c r="DA36" s="185"/>
      <c r="DB36" s="185"/>
      <c r="DC36" s="185"/>
      <c r="DD36" s="185"/>
      <c r="DE36" s="185"/>
      <c r="DF36" s="185"/>
      <c r="DG36" s="185"/>
      <c r="DH36" s="185"/>
      <c r="DI36" s="185"/>
      <c r="DJ36" s="185"/>
      <c r="DK36" s="185"/>
      <c r="DL36" s="185"/>
      <c r="DM36" s="185"/>
      <c r="DN36" s="185"/>
      <c r="DO36" s="185"/>
      <c r="DP36" s="185"/>
      <c r="DQ36" s="185"/>
      <c r="DR36" s="185"/>
      <c r="DS36" s="185"/>
      <c r="DT36" s="185"/>
      <c r="DU36" s="185"/>
      <c r="DV36" s="185"/>
      <c r="DW36" s="185"/>
      <c r="DX36" s="185"/>
      <c r="DY36" s="185"/>
      <c r="DZ36" s="185"/>
      <c r="EA36" s="185"/>
    </row>
  </sheetData>
  <mergeCells count="97">
    <mergeCell ref="H1:H2"/>
    <mergeCell ref="A1:A2"/>
    <mergeCell ref="B1:B2"/>
    <mergeCell ref="C1:C2"/>
    <mergeCell ref="D1:E1"/>
    <mergeCell ref="F1:G1"/>
    <mergeCell ref="D5:D6"/>
    <mergeCell ref="E5:E6"/>
    <mergeCell ref="F5:F6"/>
    <mergeCell ref="G5:G6"/>
    <mergeCell ref="H5:H6"/>
    <mergeCell ref="P5:P6"/>
    <mergeCell ref="Q5:Q6"/>
    <mergeCell ref="R5:R6"/>
    <mergeCell ref="S5:S6"/>
    <mergeCell ref="I1:I2"/>
    <mergeCell ref="J1:J2"/>
    <mergeCell ref="K1:K2"/>
    <mergeCell ref="I5:I6"/>
    <mergeCell ref="J5:J6"/>
    <mergeCell ref="K5:K6"/>
    <mergeCell ref="L5:L6"/>
    <mergeCell ref="M5:M6"/>
    <mergeCell ref="N5:N6"/>
    <mergeCell ref="O5:O6"/>
    <mergeCell ref="AE5:AE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Q5:AQ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BC5:BC6"/>
    <mergeCell ref="AR5:AR6"/>
    <mergeCell ref="AS5:AS6"/>
    <mergeCell ref="AT5:AT6"/>
    <mergeCell ref="AU5:AU6"/>
    <mergeCell ref="AV5:AV6"/>
    <mergeCell ref="AW5:AW6"/>
    <mergeCell ref="AX5:AX6"/>
    <mergeCell ref="AY5:AY6"/>
    <mergeCell ref="AZ5:AZ6"/>
    <mergeCell ref="BA5:BA6"/>
    <mergeCell ref="BB5:BB6"/>
    <mergeCell ref="BO5:BO6"/>
    <mergeCell ref="BD5:BD6"/>
    <mergeCell ref="BE5:BE6"/>
    <mergeCell ref="BF5:BF6"/>
    <mergeCell ref="BG5:BG6"/>
    <mergeCell ref="BH5:BH6"/>
    <mergeCell ref="BI5:BI6"/>
    <mergeCell ref="BJ5:BJ6"/>
    <mergeCell ref="BK5:BK6"/>
    <mergeCell ref="BL5:BL6"/>
    <mergeCell ref="BM5:BM6"/>
    <mergeCell ref="BN5:BN6"/>
    <mergeCell ref="CA5:CA6"/>
    <mergeCell ref="BP5:BP6"/>
    <mergeCell ref="BQ5:BQ6"/>
    <mergeCell ref="BR5:BR6"/>
    <mergeCell ref="BS5:BS6"/>
    <mergeCell ref="BT5:BT6"/>
    <mergeCell ref="BU5:BU6"/>
    <mergeCell ref="BV5:BV6"/>
    <mergeCell ref="BW5:BW6"/>
    <mergeCell ref="BX5:BX6"/>
    <mergeCell ref="BY5:BY6"/>
    <mergeCell ref="BZ5:BZ6"/>
    <mergeCell ref="CM5:CM6"/>
    <mergeCell ref="CB5:CB6"/>
    <mergeCell ref="CC5:CC6"/>
    <mergeCell ref="CD5:CD6"/>
    <mergeCell ref="CE5:CE6"/>
    <mergeCell ref="CF5:CF6"/>
    <mergeCell ref="CG5:CG6"/>
    <mergeCell ref="CH5:CH6"/>
    <mergeCell ref="CI5:CI6"/>
    <mergeCell ref="CJ5:CJ6"/>
    <mergeCell ref="CK5:CK6"/>
    <mergeCell ref="CL5:C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исходники</vt:lpstr>
      <vt:lpstr>земляные работы</vt:lpstr>
      <vt:lpstr>объемы работ</vt:lpstr>
      <vt:lpstr>календарный 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Kostya</cp:lastModifiedBy>
  <dcterms:created xsi:type="dcterms:W3CDTF">2015-06-05T18:17:20Z</dcterms:created>
  <dcterms:modified xsi:type="dcterms:W3CDTF">2021-05-24T10:26:36Z</dcterms:modified>
</cp:coreProperties>
</file>