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diplom\ASK_Diplom\economicPart\calculation\"/>
    </mc:Choice>
  </mc:AlternateContent>
  <xr:revisionPtr revIDLastSave="0" documentId="13_ncr:1_{901EE354-DB93-4EE5-9947-CDB20BD78B5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смета" sheetId="1" r:id="rId1"/>
    <sheet name="ведомость" sheetId="2" r:id="rId2"/>
    <sheet name="сводный сметный" sheetId="3" r:id="rId3"/>
    <sheet name="варианты" sheetId="4" r:id="rId4"/>
    <sheet name="ТЭП" sheetId="5" r:id="rId5"/>
  </sheets>
  <externalReferences>
    <externalReference r:id="rId6"/>
  </externalReferences>
  <calcPr calcId="191029"/>
  <extLst>
    <ext uri="GoogleSheetsCustomDataVersion1">
      <go:sheetsCustomData xmlns:go="http://customooxmlschemas.google.com/" r:id="rId9" roundtripDataSignature="AMtx7mhOeBQVvukcFHQUfRjE9BirRDR+UQ=="/>
    </ext>
  </extLst>
</workbook>
</file>

<file path=xl/calcChain.xml><?xml version="1.0" encoding="utf-8"?>
<calcChain xmlns="http://schemas.openxmlformats.org/spreadsheetml/2006/main">
  <c r="D11" i="5" l="1"/>
  <c r="D8" i="5"/>
  <c r="F6" i="5"/>
  <c r="D2" i="5"/>
  <c r="H60" i="4"/>
  <c r="H61" i="4" s="1"/>
  <c r="C79" i="4"/>
  <c r="B84" i="4"/>
  <c r="L71" i="4"/>
  <c r="K71" i="4"/>
  <c r="G71" i="4"/>
  <c r="F71" i="4"/>
  <c r="E71" i="4"/>
  <c r="H68" i="4"/>
  <c r="I68" i="4" s="1"/>
  <c r="H66" i="4"/>
  <c r="I66" i="4" s="1"/>
  <c r="H64" i="4"/>
  <c r="H65" i="4" s="1"/>
  <c r="J62" i="4"/>
  <c r="I62" i="4"/>
  <c r="D61" i="4"/>
  <c r="D63" i="4" s="1"/>
  <c r="I59" i="4"/>
  <c r="H59" i="4"/>
  <c r="D59" i="4"/>
  <c r="J58" i="4"/>
  <c r="J59" i="4" s="1"/>
  <c r="I58" i="4"/>
  <c r="I57" i="4"/>
  <c r="D57" i="4"/>
  <c r="H57" i="4" s="1"/>
  <c r="J56" i="4"/>
  <c r="J57" i="4" s="1"/>
  <c r="I56" i="4"/>
  <c r="D55" i="4"/>
  <c r="H55" i="4" s="1"/>
  <c r="I54" i="4"/>
  <c r="I55" i="4" s="1"/>
  <c r="H53" i="4"/>
  <c r="D53" i="4"/>
  <c r="I52" i="4"/>
  <c r="I53" i="4" s="1"/>
  <c r="I51" i="4"/>
  <c r="H51" i="4"/>
  <c r="D51" i="4"/>
  <c r="J50" i="4"/>
  <c r="J51" i="4" s="1"/>
  <c r="I50" i="4"/>
  <c r="I49" i="4"/>
  <c r="D49" i="4"/>
  <c r="H49" i="4" s="1"/>
  <c r="J48" i="4"/>
  <c r="J49" i="4" s="1"/>
  <c r="I48" i="4"/>
  <c r="D47" i="4"/>
  <c r="H47" i="4" s="1"/>
  <c r="I46" i="4"/>
  <c r="L45" i="4"/>
  <c r="L70" i="4" s="1"/>
  <c r="J76" i="4" s="1"/>
  <c r="K45" i="4"/>
  <c r="K70" i="4" s="1"/>
  <c r="J75" i="4" s="1"/>
  <c r="J45" i="4"/>
  <c r="G45" i="4"/>
  <c r="G70" i="4" s="1"/>
  <c r="F45" i="4"/>
  <c r="F70" i="4" s="1"/>
  <c r="E45" i="4"/>
  <c r="E70" i="4" s="1"/>
  <c r="J44" i="4"/>
  <c r="H32" i="4"/>
  <c r="L32" i="4"/>
  <c r="K32" i="4"/>
  <c r="F32" i="4"/>
  <c r="G32" i="4"/>
  <c r="E32" i="4"/>
  <c r="H29" i="4"/>
  <c r="H27" i="4"/>
  <c r="H28" i="4" s="1"/>
  <c r="H25" i="4"/>
  <c r="I25" i="4" s="1"/>
  <c r="I23" i="4"/>
  <c r="J23" i="4" s="1"/>
  <c r="D22" i="4"/>
  <c r="D24" i="4" s="1"/>
  <c r="D30" i="4" s="1"/>
  <c r="H21" i="4"/>
  <c r="D20" i="4"/>
  <c r="I19" i="4"/>
  <c r="J19" i="4" s="1"/>
  <c r="J20" i="4" s="1"/>
  <c r="D18" i="4"/>
  <c r="H18" i="4" s="1"/>
  <c r="I17" i="4"/>
  <c r="I18" i="4" s="1"/>
  <c r="D16" i="4"/>
  <c r="H16" i="4" s="1"/>
  <c r="I15" i="4"/>
  <c r="J15" i="4" s="1"/>
  <c r="D14" i="4"/>
  <c r="H14" i="4" s="1"/>
  <c r="I13" i="4"/>
  <c r="D12" i="4"/>
  <c r="H12" i="4" s="1"/>
  <c r="I11" i="4"/>
  <c r="J11" i="4" s="1"/>
  <c r="D10" i="4"/>
  <c r="H10" i="4" s="1"/>
  <c r="I9" i="4"/>
  <c r="J9" i="4" s="1"/>
  <c r="J10" i="4" s="1"/>
  <c r="D8" i="4"/>
  <c r="H8" i="4" s="1"/>
  <c r="I7" i="4"/>
  <c r="J7" i="4" s="1"/>
  <c r="L6" i="4"/>
  <c r="L31" i="4" s="1"/>
  <c r="J37" i="4" s="1"/>
  <c r="K6" i="4"/>
  <c r="K31" i="4" s="1"/>
  <c r="J36" i="4" s="1"/>
  <c r="G6" i="4"/>
  <c r="G31" i="4" s="1"/>
  <c r="J33" i="4" s="1"/>
  <c r="F6" i="4"/>
  <c r="F31" i="4" s="1"/>
  <c r="E6" i="4"/>
  <c r="E31" i="4" s="1"/>
  <c r="J5" i="4"/>
  <c r="J6" i="4" s="1"/>
  <c r="K76" i="3"/>
  <c r="E11" i="3"/>
  <c r="F99" i="3"/>
  <c r="E114" i="3"/>
  <c r="F105" i="3"/>
  <c r="G105" i="3" s="1"/>
  <c r="H105" i="3" s="1"/>
  <c r="I105" i="3" s="1"/>
  <c r="E105" i="3"/>
  <c r="L217" i="1"/>
  <c r="K217" i="1"/>
  <c r="I217" i="1"/>
  <c r="J217" i="1"/>
  <c r="H217" i="1"/>
  <c r="O215" i="1"/>
  <c r="P216" i="1"/>
  <c r="J66" i="4" l="1"/>
  <c r="J67" i="4" s="1"/>
  <c r="I67" i="4"/>
  <c r="J68" i="4"/>
  <c r="D69" i="4"/>
  <c r="H69" i="4" s="1"/>
  <c r="H70" i="4" s="1"/>
  <c r="I63" i="4"/>
  <c r="H63" i="4"/>
  <c r="J73" i="4"/>
  <c r="J72" i="4"/>
  <c r="J63" i="4"/>
  <c r="I64" i="4"/>
  <c r="H67" i="4"/>
  <c r="J46" i="4"/>
  <c r="J54" i="4"/>
  <c r="J55" i="4" s="1"/>
  <c r="J52" i="4"/>
  <c r="J53" i="4" s="1"/>
  <c r="I60" i="4"/>
  <c r="I47" i="4"/>
  <c r="H71" i="4"/>
  <c r="J34" i="4"/>
  <c r="H22" i="4"/>
  <c r="H31" i="4" s="1"/>
  <c r="I20" i="4"/>
  <c r="I10" i="4"/>
  <c r="H20" i="4"/>
  <c r="J8" i="4"/>
  <c r="I14" i="4"/>
  <c r="J24" i="4"/>
  <c r="J16" i="4"/>
  <c r="J12" i="4"/>
  <c r="H26" i="4"/>
  <c r="J17" i="4"/>
  <c r="J18" i="4" s="1"/>
  <c r="I27" i="4"/>
  <c r="I12" i="4"/>
  <c r="J25" i="4"/>
  <c r="J26" i="4" s="1"/>
  <c r="I26" i="4"/>
  <c r="H30" i="4"/>
  <c r="J13" i="4"/>
  <c r="J14" i="4" s="1"/>
  <c r="I21" i="4"/>
  <c r="I32" i="4" s="1"/>
  <c r="I8" i="4"/>
  <c r="I16" i="4"/>
  <c r="H24" i="4"/>
  <c r="I29" i="4"/>
  <c r="I24" i="4"/>
  <c r="I71" i="4" l="1"/>
  <c r="J47" i="4"/>
  <c r="I69" i="4"/>
  <c r="J69" i="4"/>
  <c r="I65" i="4"/>
  <c r="J64" i="4"/>
  <c r="J65" i="4" s="1"/>
  <c r="J60" i="4"/>
  <c r="J61" i="4" s="1"/>
  <c r="I61" i="4"/>
  <c r="I70" i="4" s="1"/>
  <c r="I28" i="4"/>
  <c r="J27" i="4"/>
  <c r="J28" i="4" s="1"/>
  <c r="I22" i="4"/>
  <c r="I31" i="4" s="1"/>
  <c r="J21" i="4"/>
  <c r="J22" i="4" s="1"/>
  <c r="J31" i="4" s="1"/>
  <c r="J35" i="4" s="1"/>
  <c r="I30" i="4"/>
  <c r="J29" i="4"/>
  <c r="J30" i="4" s="1"/>
  <c r="J71" i="4" l="1"/>
  <c r="J70" i="4"/>
  <c r="J32" i="4"/>
  <c r="J74" i="4" l="1"/>
  <c r="D79" i="4"/>
  <c r="C84" i="4" s="1"/>
  <c r="F217" i="1" l="1"/>
  <c r="G217" i="1"/>
  <c r="E217" i="1"/>
  <c r="I280" i="1"/>
  <c r="J280" i="1"/>
  <c r="H280" i="1"/>
  <c r="F280" i="1"/>
  <c r="G280" i="1"/>
  <c r="E280" i="1"/>
  <c r="K280" i="1"/>
  <c r="L280" i="1"/>
  <c r="K24" i="1"/>
  <c r="J127" i="1"/>
  <c r="J82" i="1"/>
  <c r="J106" i="1"/>
  <c r="J58" i="1"/>
  <c r="J31" i="1"/>
  <c r="J6" i="1"/>
  <c r="D292" i="1"/>
  <c r="D290" i="1"/>
  <c r="D277" i="1"/>
  <c r="D267" i="1"/>
  <c r="D261" i="1"/>
  <c r="D257" i="1"/>
  <c r="D255" i="1"/>
  <c r="D227" i="1"/>
  <c r="H250" i="1"/>
  <c r="H251" i="1" s="1"/>
  <c r="D249" i="1"/>
  <c r="H248" i="1"/>
  <c r="H246" i="1"/>
  <c r="H245" i="1"/>
  <c r="H244" i="1"/>
  <c r="I244" i="1" s="1"/>
  <c r="I245" i="1" s="1"/>
  <c r="H242" i="1"/>
  <c r="H243" i="1" s="1"/>
  <c r="H241" i="1"/>
  <c r="D241" i="1"/>
  <c r="I240" i="1"/>
  <c r="I241" i="1" s="1"/>
  <c r="I238" i="1"/>
  <c r="J238" i="1" s="1"/>
  <c r="D237" i="1"/>
  <c r="D239" i="1" s="1"/>
  <c r="J236" i="1"/>
  <c r="I236" i="1"/>
  <c r="D235" i="1"/>
  <c r="H235" i="1" s="1"/>
  <c r="I234" i="1"/>
  <c r="D233" i="1"/>
  <c r="H233" i="1" s="1"/>
  <c r="I232" i="1"/>
  <c r="I233" i="1" s="1"/>
  <c r="D231" i="1"/>
  <c r="H231" i="1" s="1"/>
  <c r="I230" i="1"/>
  <c r="I231" i="1" s="1"/>
  <c r="D229" i="1"/>
  <c r="I229" i="1" s="1"/>
  <c r="J228" i="1"/>
  <c r="I228" i="1"/>
  <c r="H227" i="1"/>
  <c r="I226" i="1"/>
  <c r="L225" i="1"/>
  <c r="K225" i="1"/>
  <c r="G225" i="1"/>
  <c r="F225" i="1"/>
  <c r="E225" i="1"/>
  <c r="J224" i="1"/>
  <c r="J225" i="1" s="1"/>
  <c r="D214" i="1"/>
  <c r="D212" i="1"/>
  <c r="D210" i="1"/>
  <c r="D208" i="1"/>
  <c r="D204" i="1"/>
  <c r="D198" i="1"/>
  <c r="H198" i="1" s="1"/>
  <c r="D200" i="1"/>
  <c r="H199" i="1"/>
  <c r="I197" i="1"/>
  <c r="I195" i="1"/>
  <c r="J195" i="1" s="1"/>
  <c r="I193" i="1"/>
  <c r="J193" i="1" s="1"/>
  <c r="I191" i="1"/>
  <c r="I189" i="1"/>
  <c r="I187" i="1"/>
  <c r="J187" i="1" s="1"/>
  <c r="D186" i="1"/>
  <c r="E186" i="1" s="1"/>
  <c r="J185" i="1"/>
  <c r="J186" i="1" s="1"/>
  <c r="D168" i="1"/>
  <c r="D184" i="1"/>
  <c r="D182" i="1"/>
  <c r="D180" i="1"/>
  <c r="H180" i="1" s="1"/>
  <c r="D176" i="1"/>
  <c r="H176" i="1" s="1"/>
  <c r="D174" i="1"/>
  <c r="D172" i="1"/>
  <c r="H167" i="1"/>
  <c r="I167" i="1" s="1"/>
  <c r="D166" i="1"/>
  <c r="D164" i="1"/>
  <c r="H164" i="1" s="1"/>
  <c r="D158" i="1"/>
  <c r="H166" i="1"/>
  <c r="D162" i="1"/>
  <c r="H162" i="1" s="1"/>
  <c r="D160" i="1"/>
  <c r="H160" i="1" s="1"/>
  <c r="D156" i="1"/>
  <c r="H156" i="1" s="1"/>
  <c r="H183" i="1"/>
  <c r="H182" i="1"/>
  <c r="I181" i="1"/>
  <c r="I182" i="1" s="1"/>
  <c r="I179" i="1"/>
  <c r="J179" i="1" s="1"/>
  <c r="D178" i="1"/>
  <c r="H178" i="1" s="1"/>
  <c r="I177" i="1"/>
  <c r="J177" i="1" s="1"/>
  <c r="I175" i="1"/>
  <c r="I173" i="1"/>
  <c r="J173" i="1" s="1"/>
  <c r="H172" i="1"/>
  <c r="I171" i="1"/>
  <c r="J171" i="1" s="1"/>
  <c r="J172" i="1" s="1"/>
  <c r="L170" i="1"/>
  <c r="G170" i="1"/>
  <c r="F170" i="1"/>
  <c r="E170" i="1"/>
  <c r="J169" i="1"/>
  <c r="J170" i="1" s="1"/>
  <c r="J165" i="1"/>
  <c r="I165" i="1"/>
  <c r="I163" i="1"/>
  <c r="J163" i="1" s="1"/>
  <c r="I161" i="1"/>
  <c r="I162" i="1" s="1"/>
  <c r="I159" i="1"/>
  <c r="J159" i="1" s="1"/>
  <c r="I157" i="1"/>
  <c r="J157" i="1" s="1"/>
  <c r="I155" i="1"/>
  <c r="J155" i="1" s="1"/>
  <c r="J156" i="1" s="1"/>
  <c r="L154" i="1"/>
  <c r="G154" i="1"/>
  <c r="F154" i="1"/>
  <c r="E154" i="1"/>
  <c r="J153" i="1"/>
  <c r="J154" i="1" s="1"/>
  <c r="D17" i="1"/>
  <c r="D15" i="1"/>
  <c r="D216" i="1"/>
  <c r="D206" i="1"/>
  <c r="D44" i="1"/>
  <c r="H45" i="1"/>
  <c r="H69" i="1"/>
  <c r="D58" i="1"/>
  <c r="H58" i="1" s="1"/>
  <c r="H93" i="1"/>
  <c r="I93" i="1" s="1"/>
  <c r="L80" i="1"/>
  <c r="H117" i="1"/>
  <c r="H123" i="1"/>
  <c r="H124" i="1" s="1"/>
  <c r="D116" i="1"/>
  <c r="H125" i="1"/>
  <c r="I125" i="1" s="1"/>
  <c r="H122" i="1"/>
  <c r="I121" i="1"/>
  <c r="J121" i="1" s="1"/>
  <c r="J122" i="1" s="1"/>
  <c r="I119" i="1"/>
  <c r="J119" i="1" s="1"/>
  <c r="I115" i="1"/>
  <c r="I113" i="1"/>
  <c r="J113" i="1" s="1"/>
  <c r="I111" i="1"/>
  <c r="I109" i="1"/>
  <c r="I107" i="1"/>
  <c r="J107" i="1" s="1"/>
  <c r="I105" i="1"/>
  <c r="J105" i="1" s="1"/>
  <c r="J103" i="1"/>
  <c r="H101" i="1"/>
  <c r="H99" i="1"/>
  <c r="I99" i="1" s="1"/>
  <c r="H98" i="1"/>
  <c r="I95" i="1"/>
  <c r="J95" i="1" s="1"/>
  <c r="I91" i="1"/>
  <c r="J91" i="1" s="1"/>
  <c r="I89" i="1"/>
  <c r="J89" i="1" s="1"/>
  <c r="I87" i="1"/>
  <c r="J87" i="1" s="1"/>
  <c r="I85" i="1"/>
  <c r="J85" i="1" s="1"/>
  <c r="I83" i="1"/>
  <c r="J83" i="1" s="1"/>
  <c r="I81" i="1"/>
  <c r="J81" i="1" s="1"/>
  <c r="J79" i="1"/>
  <c r="D79" i="1"/>
  <c r="H77" i="1"/>
  <c r="H75" i="1"/>
  <c r="H76" i="1" s="1"/>
  <c r="I73" i="1"/>
  <c r="I71" i="1"/>
  <c r="J71" i="1" s="1"/>
  <c r="I67" i="1"/>
  <c r="J67" i="1" s="1"/>
  <c r="I65" i="1"/>
  <c r="J65" i="1" s="1"/>
  <c r="I63" i="1"/>
  <c r="I61" i="1"/>
  <c r="J61" i="1" s="1"/>
  <c r="I59" i="1"/>
  <c r="J59" i="1" s="1"/>
  <c r="I57" i="1"/>
  <c r="J57" i="1" s="1"/>
  <c r="E56" i="1"/>
  <c r="J55" i="1"/>
  <c r="D55" i="1"/>
  <c r="H53" i="1"/>
  <c r="H51" i="1"/>
  <c r="I51" i="1" s="1"/>
  <c r="H49" i="1"/>
  <c r="H50" i="1" s="1"/>
  <c r="I47" i="1"/>
  <c r="J47" i="1" s="1"/>
  <c r="I43" i="1"/>
  <c r="J43" i="1" s="1"/>
  <c r="I41" i="1"/>
  <c r="J41" i="1" s="1"/>
  <c r="I39" i="1"/>
  <c r="I37" i="1"/>
  <c r="J37" i="1" s="1"/>
  <c r="I35" i="1"/>
  <c r="J35" i="1" s="1"/>
  <c r="I33" i="1"/>
  <c r="J33" i="1" s="1"/>
  <c r="H151" i="1"/>
  <c r="H149" i="1"/>
  <c r="H150" i="1" s="1"/>
  <c r="H147" i="1"/>
  <c r="I147" i="1" s="1"/>
  <c r="I148" i="1" s="1"/>
  <c r="H143" i="1"/>
  <c r="I143" i="1" s="1"/>
  <c r="J143" i="1" s="1"/>
  <c r="F128" i="1"/>
  <c r="I145" i="1"/>
  <c r="I141" i="1"/>
  <c r="I139" i="1"/>
  <c r="I137" i="1"/>
  <c r="I135" i="1"/>
  <c r="I133" i="1"/>
  <c r="I131" i="1"/>
  <c r="J131" i="1" s="1"/>
  <c r="I129" i="1"/>
  <c r="J129" i="1" s="1"/>
  <c r="J229" i="1" l="1"/>
  <c r="J237" i="1"/>
  <c r="J161" i="1"/>
  <c r="J162" i="1" s="1"/>
  <c r="I246" i="1"/>
  <c r="I247" i="1" s="1"/>
  <c r="J180" i="1"/>
  <c r="J230" i="1"/>
  <c r="J231" i="1" s="1"/>
  <c r="I235" i="1"/>
  <c r="H247" i="1"/>
  <c r="J196" i="1"/>
  <c r="I227" i="1"/>
  <c r="H249" i="1"/>
  <c r="H200" i="1"/>
  <c r="D196" i="1"/>
  <c r="H196" i="1" s="1"/>
  <c r="H239" i="1"/>
  <c r="J239" i="1"/>
  <c r="I239" i="1"/>
  <c r="J244" i="1"/>
  <c r="J245" i="1" s="1"/>
  <c r="J226" i="1"/>
  <c r="J227" i="1" s="1"/>
  <c r="H229" i="1"/>
  <c r="J234" i="1"/>
  <c r="J235" i="1" s="1"/>
  <c r="H237" i="1"/>
  <c r="I242" i="1"/>
  <c r="I243" i="1" s="1"/>
  <c r="I237" i="1"/>
  <c r="J242" i="1"/>
  <c r="J243" i="1" s="1"/>
  <c r="I250" i="1"/>
  <c r="I251" i="1" s="1"/>
  <c r="J232" i="1"/>
  <c r="J233" i="1" s="1"/>
  <c r="J240" i="1"/>
  <c r="J241" i="1" s="1"/>
  <c r="I248" i="1"/>
  <c r="I249" i="1" s="1"/>
  <c r="I156" i="1"/>
  <c r="J191" i="1"/>
  <c r="J192" i="1" s="1"/>
  <c r="I199" i="1"/>
  <c r="I200" i="1" s="1"/>
  <c r="H184" i="1"/>
  <c r="D188" i="1"/>
  <c r="H188" i="1" s="1"/>
  <c r="D190" i="1"/>
  <c r="H190" i="1" s="1"/>
  <c r="D192" i="1"/>
  <c r="H192" i="1" s="1"/>
  <c r="D194" i="1"/>
  <c r="H194" i="1" s="1"/>
  <c r="I198" i="1"/>
  <c r="J188" i="1"/>
  <c r="F186" i="1"/>
  <c r="G186" i="1"/>
  <c r="I188" i="1"/>
  <c r="I196" i="1"/>
  <c r="K186" i="1"/>
  <c r="L186" i="1"/>
  <c r="J189" i="1"/>
  <c r="J197" i="1"/>
  <c r="J198" i="1" s="1"/>
  <c r="I172" i="1"/>
  <c r="I180" i="1"/>
  <c r="J181" i="1"/>
  <c r="J182" i="1" s="1"/>
  <c r="I178" i="1"/>
  <c r="J178" i="1"/>
  <c r="I176" i="1"/>
  <c r="H168" i="1"/>
  <c r="I168" i="1"/>
  <c r="I164" i="1"/>
  <c r="J164" i="1"/>
  <c r="J166" i="1"/>
  <c r="I166" i="1"/>
  <c r="J160" i="1"/>
  <c r="I160" i="1"/>
  <c r="J175" i="1"/>
  <c r="J176" i="1" s="1"/>
  <c r="I183" i="1"/>
  <c r="I184" i="1" s="1"/>
  <c r="K170" i="1"/>
  <c r="K154" i="1"/>
  <c r="J167" i="1"/>
  <c r="J168" i="1" s="1"/>
  <c r="J32" i="1"/>
  <c r="L32" i="1"/>
  <c r="D42" i="1"/>
  <c r="I42" i="1" s="1"/>
  <c r="D68" i="1"/>
  <c r="D66" i="1"/>
  <c r="H66" i="1" s="1"/>
  <c r="D34" i="1"/>
  <c r="J56" i="1"/>
  <c r="D38" i="1"/>
  <c r="D106" i="1"/>
  <c r="H106" i="1" s="1"/>
  <c r="D36" i="1"/>
  <c r="H36" i="1" s="1"/>
  <c r="H42" i="1"/>
  <c r="I97" i="1"/>
  <c r="J97" i="1" s="1"/>
  <c r="J98" i="1" s="1"/>
  <c r="D86" i="1"/>
  <c r="D92" i="1"/>
  <c r="D136" i="1"/>
  <c r="H136" i="1" s="1"/>
  <c r="D90" i="1"/>
  <c r="H90" i="1" s="1"/>
  <c r="J80" i="1"/>
  <c r="H74" i="1"/>
  <c r="H100" i="1"/>
  <c r="D108" i="1"/>
  <c r="J108" i="1" s="1"/>
  <c r="D84" i="1"/>
  <c r="H84" i="1" s="1"/>
  <c r="D110" i="1"/>
  <c r="H110" i="1" s="1"/>
  <c r="D112" i="1"/>
  <c r="H112" i="1" s="1"/>
  <c r="E32" i="1"/>
  <c r="D114" i="1"/>
  <c r="J114" i="1" s="1"/>
  <c r="H52" i="1"/>
  <c r="I49" i="1"/>
  <c r="J49" i="1" s="1"/>
  <c r="J50" i="1" s="1"/>
  <c r="D130" i="1"/>
  <c r="J130" i="1" s="1"/>
  <c r="I58" i="1"/>
  <c r="D134" i="1"/>
  <c r="H134" i="1" s="1"/>
  <c r="J104" i="1"/>
  <c r="E104" i="1"/>
  <c r="F104" i="1"/>
  <c r="J111" i="1"/>
  <c r="I117" i="1"/>
  <c r="I122" i="1"/>
  <c r="G104" i="1"/>
  <c r="J109" i="1"/>
  <c r="J115" i="1"/>
  <c r="D118" i="1"/>
  <c r="D120" i="1" s="1"/>
  <c r="D126" i="1" s="1"/>
  <c r="J125" i="1"/>
  <c r="K104" i="1"/>
  <c r="H116" i="1"/>
  <c r="I123" i="1"/>
  <c r="L104" i="1"/>
  <c r="I100" i="1"/>
  <c r="J99" i="1"/>
  <c r="J100" i="1" s="1"/>
  <c r="E80" i="1"/>
  <c r="D82" i="1"/>
  <c r="H82" i="1" s="1"/>
  <c r="F80" i="1"/>
  <c r="G80" i="1"/>
  <c r="D88" i="1"/>
  <c r="H88" i="1" s="1"/>
  <c r="J93" i="1"/>
  <c r="I101" i="1"/>
  <c r="D94" i="1"/>
  <c r="D96" i="1" s="1"/>
  <c r="J96" i="1" s="1"/>
  <c r="K80" i="1"/>
  <c r="J73" i="1"/>
  <c r="J74" i="1" s="1"/>
  <c r="I74" i="1"/>
  <c r="J66" i="1"/>
  <c r="F56" i="1"/>
  <c r="J63" i="1"/>
  <c r="I69" i="1"/>
  <c r="G56" i="1"/>
  <c r="D64" i="1"/>
  <c r="H64" i="1" s="1"/>
  <c r="I77" i="1"/>
  <c r="D70" i="1"/>
  <c r="D72" i="1" s="1"/>
  <c r="J72" i="1" s="1"/>
  <c r="K56" i="1"/>
  <c r="D62" i="1"/>
  <c r="I75" i="1"/>
  <c r="L56" i="1"/>
  <c r="D60" i="1"/>
  <c r="J60" i="1" s="1"/>
  <c r="I52" i="1"/>
  <c r="J51" i="1"/>
  <c r="J52" i="1" s="1"/>
  <c r="F32" i="1"/>
  <c r="J39" i="1"/>
  <c r="I45" i="1"/>
  <c r="G32" i="1"/>
  <c r="D40" i="1"/>
  <c r="H40" i="1" s="1"/>
  <c r="I53" i="1"/>
  <c r="D46" i="1"/>
  <c r="D48" i="1" s="1"/>
  <c r="J48" i="1" s="1"/>
  <c r="K32" i="1"/>
  <c r="E128" i="1"/>
  <c r="L128" i="1"/>
  <c r="D132" i="1"/>
  <c r="H132" i="1" s="1"/>
  <c r="I149" i="1"/>
  <c r="H148" i="1"/>
  <c r="D144" i="1"/>
  <c r="J144" i="1" s="1"/>
  <c r="D140" i="1"/>
  <c r="H140" i="1" s="1"/>
  <c r="D138" i="1"/>
  <c r="H138" i="1" s="1"/>
  <c r="D142" i="1"/>
  <c r="H142" i="1" s="1"/>
  <c r="J128" i="1"/>
  <c r="J147" i="1"/>
  <c r="J148" i="1" s="1"/>
  <c r="J145" i="1"/>
  <c r="J135" i="1"/>
  <c r="J139" i="1"/>
  <c r="J137" i="1"/>
  <c r="J141" i="1"/>
  <c r="G128" i="1"/>
  <c r="K128" i="1"/>
  <c r="J133" i="1"/>
  <c r="I151" i="1"/>
  <c r="J199" i="1" l="1"/>
  <c r="J200" i="1" s="1"/>
  <c r="J250" i="1"/>
  <c r="J251" i="1" s="1"/>
  <c r="J194" i="1"/>
  <c r="J246" i="1"/>
  <c r="J247" i="1" s="1"/>
  <c r="J248" i="1"/>
  <c r="J249" i="1" s="1"/>
  <c r="J190" i="1"/>
  <c r="I194" i="1"/>
  <c r="I192" i="1"/>
  <c r="I190" i="1"/>
  <c r="J183" i="1"/>
  <c r="J184" i="1" s="1"/>
  <c r="J174" i="1"/>
  <c r="H174" i="1"/>
  <c r="I174" i="1"/>
  <c r="H158" i="1"/>
  <c r="J158" i="1"/>
  <c r="I158" i="1"/>
  <c r="I66" i="1"/>
  <c r="H130" i="1"/>
  <c r="J132" i="1"/>
  <c r="I34" i="1"/>
  <c r="J34" i="1"/>
  <c r="I106" i="1"/>
  <c r="J90" i="1"/>
  <c r="J140" i="1"/>
  <c r="H34" i="1"/>
  <c r="I36" i="1"/>
  <c r="I90" i="1"/>
  <c r="J112" i="1"/>
  <c r="J36" i="1"/>
  <c r="J42" i="1"/>
  <c r="I98" i="1"/>
  <c r="I64" i="1"/>
  <c r="I50" i="1"/>
  <c r="I114" i="1"/>
  <c r="I140" i="1"/>
  <c r="H114" i="1"/>
  <c r="J84" i="1"/>
  <c r="H70" i="1"/>
  <c r="I94" i="1"/>
  <c r="J94" i="1"/>
  <c r="H94" i="1"/>
  <c r="J64" i="1"/>
  <c r="I82" i="1"/>
  <c r="I84" i="1"/>
  <c r="J116" i="1"/>
  <c r="J110" i="1"/>
  <c r="I116" i="1"/>
  <c r="J126" i="1"/>
  <c r="I120" i="1"/>
  <c r="H120" i="1"/>
  <c r="H108" i="1"/>
  <c r="I108" i="1"/>
  <c r="I124" i="1"/>
  <c r="J123" i="1"/>
  <c r="J124" i="1" s="1"/>
  <c r="I112" i="1"/>
  <c r="I118" i="1"/>
  <c r="J117" i="1"/>
  <c r="J118" i="1" s="1"/>
  <c r="H118" i="1"/>
  <c r="J120" i="1"/>
  <c r="I110" i="1"/>
  <c r="J101" i="1"/>
  <c r="J88" i="1"/>
  <c r="H92" i="1"/>
  <c r="I92" i="1"/>
  <c r="H86" i="1"/>
  <c r="I86" i="1"/>
  <c r="I88" i="1"/>
  <c r="D102" i="1"/>
  <c r="H102" i="1" s="1"/>
  <c r="I96" i="1"/>
  <c r="H96" i="1"/>
  <c r="J92" i="1"/>
  <c r="J86" i="1"/>
  <c r="I72" i="1"/>
  <c r="I68" i="1"/>
  <c r="H68" i="1"/>
  <c r="D78" i="1"/>
  <c r="H78" i="1" s="1"/>
  <c r="H72" i="1"/>
  <c r="J68" i="1"/>
  <c r="I76" i="1"/>
  <c r="J75" i="1"/>
  <c r="J76" i="1" s="1"/>
  <c r="J77" i="1"/>
  <c r="I70" i="1"/>
  <c r="J69" i="1"/>
  <c r="J70" i="1" s="1"/>
  <c r="J62" i="1"/>
  <c r="I62" i="1"/>
  <c r="H62" i="1"/>
  <c r="H60" i="1"/>
  <c r="I60" i="1"/>
  <c r="H44" i="1"/>
  <c r="I44" i="1"/>
  <c r="H38" i="1"/>
  <c r="I38" i="1"/>
  <c r="J44" i="1"/>
  <c r="I40" i="1"/>
  <c r="D54" i="1"/>
  <c r="H54" i="1" s="1"/>
  <c r="I48" i="1"/>
  <c r="H48" i="1"/>
  <c r="I46" i="1"/>
  <c r="J45" i="1"/>
  <c r="J46" i="1" s="1"/>
  <c r="J53" i="1"/>
  <c r="J40" i="1"/>
  <c r="H46" i="1"/>
  <c r="J38" i="1"/>
  <c r="I142" i="1"/>
  <c r="J142" i="1"/>
  <c r="I144" i="1"/>
  <c r="I136" i="1"/>
  <c r="I130" i="1"/>
  <c r="J136" i="1"/>
  <c r="H144" i="1"/>
  <c r="D146" i="1"/>
  <c r="J146" i="1" s="1"/>
  <c r="I132" i="1"/>
  <c r="J149" i="1"/>
  <c r="J150" i="1" s="1"/>
  <c r="I150" i="1"/>
  <c r="J138" i="1"/>
  <c r="I134" i="1"/>
  <c r="I138" i="1"/>
  <c r="J134" i="1"/>
  <c r="J151" i="1"/>
  <c r="H126" i="1" l="1"/>
  <c r="I126" i="1"/>
  <c r="I102" i="1"/>
  <c r="J102" i="1"/>
  <c r="J78" i="1"/>
  <c r="I78" i="1"/>
  <c r="J54" i="1"/>
  <c r="I54" i="1"/>
  <c r="D152" i="1"/>
  <c r="J152" i="1" s="1"/>
  <c r="H146" i="1"/>
  <c r="I146" i="1"/>
  <c r="H152" i="1" l="1"/>
  <c r="I152" i="1"/>
  <c r="K253" i="1" l="1"/>
  <c r="G89" i="4"/>
  <c r="D105" i="3"/>
  <c r="H292" i="1"/>
  <c r="I291" i="1"/>
  <c r="H290" i="1"/>
  <c r="I289" i="1"/>
  <c r="J289" i="1" s="1"/>
  <c r="J290" i="1" s="1"/>
  <c r="L288" i="1"/>
  <c r="K288" i="1"/>
  <c r="K293" i="1" s="1"/>
  <c r="G288" i="1"/>
  <c r="G293" i="1" s="1"/>
  <c r="F288" i="1"/>
  <c r="F293" i="1" s="1"/>
  <c r="E288" i="1"/>
  <c r="E293" i="1" s="1"/>
  <c r="J287" i="1"/>
  <c r="J288" i="1" s="1"/>
  <c r="H278" i="1"/>
  <c r="H279" i="1" s="1"/>
  <c r="H276" i="1"/>
  <c r="I276" i="1" s="1"/>
  <c r="J276" i="1" s="1"/>
  <c r="H274" i="1"/>
  <c r="I274" i="1" s="1"/>
  <c r="I275" i="1" s="1"/>
  <c r="H272" i="1"/>
  <c r="I272" i="1" s="1"/>
  <c r="H270" i="1"/>
  <c r="D269" i="1"/>
  <c r="H269" i="1" s="1"/>
  <c r="I268" i="1"/>
  <c r="J268" i="1" s="1"/>
  <c r="I266" i="1"/>
  <c r="J266" i="1" s="1"/>
  <c r="D265" i="1"/>
  <c r="I264" i="1"/>
  <c r="D263" i="1"/>
  <c r="H263" i="1" s="1"/>
  <c r="I262" i="1"/>
  <c r="H261" i="1"/>
  <c r="I260" i="1"/>
  <c r="J260" i="1" s="1"/>
  <c r="D259" i="1"/>
  <c r="H259" i="1" s="1"/>
  <c r="I258" i="1"/>
  <c r="J258" i="1" s="1"/>
  <c r="H257" i="1"/>
  <c r="I256" i="1"/>
  <c r="H255" i="1"/>
  <c r="I254" i="1"/>
  <c r="L253" i="1"/>
  <c r="G253" i="1"/>
  <c r="F253" i="1"/>
  <c r="E253" i="1"/>
  <c r="J252" i="1"/>
  <c r="J253" i="1" s="1"/>
  <c r="H215" i="1"/>
  <c r="H214" i="1"/>
  <c r="I213" i="1"/>
  <c r="J213" i="1" s="1"/>
  <c r="H212" i="1"/>
  <c r="I211" i="1"/>
  <c r="H210" i="1"/>
  <c r="I209" i="1"/>
  <c r="J209" i="1" s="1"/>
  <c r="H208" i="1"/>
  <c r="I207" i="1"/>
  <c r="H206" i="1"/>
  <c r="I205" i="1"/>
  <c r="J205" i="1" s="1"/>
  <c r="I203" i="1"/>
  <c r="J203" i="1" s="1"/>
  <c r="L202" i="1"/>
  <c r="K202" i="1"/>
  <c r="G202" i="1"/>
  <c r="F202" i="1"/>
  <c r="E202" i="1"/>
  <c r="J201" i="1"/>
  <c r="J202" i="1" s="1"/>
  <c r="L23" i="1"/>
  <c r="K23" i="1"/>
  <c r="G23" i="1"/>
  <c r="F23" i="1"/>
  <c r="E23" i="1"/>
  <c r="J22" i="1"/>
  <c r="J23" i="1" s="1"/>
  <c r="K21" i="1"/>
  <c r="E21" i="1"/>
  <c r="J20" i="1"/>
  <c r="J21" i="1" s="1"/>
  <c r="L19" i="1"/>
  <c r="G19" i="1"/>
  <c r="F19" i="1"/>
  <c r="J18" i="1"/>
  <c r="J19" i="1" s="1"/>
  <c r="K17" i="1"/>
  <c r="E17" i="1"/>
  <c r="J16" i="1"/>
  <c r="J17" i="1" s="1"/>
  <c r="H15" i="1"/>
  <c r="H24" i="1" s="1"/>
  <c r="I14" i="1"/>
  <c r="J14" i="1" s="1"/>
  <c r="J15" i="1" s="1"/>
  <c r="L13" i="1"/>
  <c r="K13" i="1"/>
  <c r="G13" i="1"/>
  <c r="F13" i="1"/>
  <c r="E13" i="1"/>
  <c r="J12" i="1"/>
  <c r="J13" i="1" s="1"/>
  <c r="L11" i="1"/>
  <c r="K11" i="1"/>
  <c r="G11" i="1"/>
  <c r="F11" i="1"/>
  <c r="E11" i="1"/>
  <c r="J10" i="1"/>
  <c r="J11" i="1" s="1"/>
  <c r="L9" i="1"/>
  <c r="G9" i="1"/>
  <c r="F9" i="1"/>
  <c r="J8" i="1"/>
  <c r="J9" i="1" s="1"/>
  <c r="L7" i="1"/>
  <c r="F7" i="1"/>
  <c r="J7" i="1"/>
  <c r="G6" i="1"/>
  <c r="G7" i="1" s="1"/>
  <c r="J284" i="1" l="1"/>
  <c r="J261" i="1"/>
  <c r="I212" i="1"/>
  <c r="I257" i="1"/>
  <c r="J277" i="1"/>
  <c r="J259" i="1"/>
  <c r="J222" i="1"/>
  <c r="I208" i="1"/>
  <c r="H216" i="1"/>
  <c r="I204" i="1"/>
  <c r="J281" i="1"/>
  <c r="J204" i="1"/>
  <c r="I255" i="1"/>
  <c r="I263" i="1"/>
  <c r="H204" i="1"/>
  <c r="J285" i="1"/>
  <c r="J206" i="1"/>
  <c r="J269" i="1"/>
  <c r="H293" i="1"/>
  <c r="L293" i="1"/>
  <c r="J298" i="1" s="1"/>
  <c r="I292" i="1"/>
  <c r="L24" i="1"/>
  <c r="J29" i="1" s="1"/>
  <c r="J221" i="1"/>
  <c r="H273" i="1"/>
  <c r="E24" i="1"/>
  <c r="J267" i="1"/>
  <c r="I210" i="1"/>
  <c r="J262" i="1"/>
  <c r="J263" i="1" s="1"/>
  <c r="F24" i="1"/>
  <c r="J211" i="1"/>
  <c r="J212" i="1" s="1"/>
  <c r="G24" i="1"/>
  <c r="J254" i="1"/>
  <c r="J255" i="1" s="1"/>
  <c r="I259" i="1"/>
  <c r="I265" i="1"/>
  <c r="I270" i="1"/>
  <c r="I271" i="1" s="1"/>
  <c r="H277" i="1"/>
  <c r="I15" i="1"/>
  <c r="I24" i="1" s="1"/>
  <c r="H271" i="1"/>
  <c r="J210" i="1"/>
  <c r="J214" i="1"/>
  <c r="H265" i="1"/>
  <c r="J295" i="1"/>
  <c r="J294" i="1"/>
  <c r="J24" i="1"/>
  <c r="I267" i="1"/>
  <c r="H267" i="1"/>
  <c r="J297" i="1"/>
  <c r="I273" i="1"/>
  <c r="J272" i="1"/>
  <c r="J273" i="1" s="1"/>
  <c r="I261" i="1"/>
  <c r="I269" i="1"/>
  <c r="J274" i="1"/>
  <c r="J275" i="1" s="1"/>
  <c r="I206" i="1"/>
  <c r="I214" i="1"/>
  <c r="J256" i="1"/>
  <c r="J257" i="1" s="1"/>
  <c r="J264" i="1"/>
  <c r="J265" i="1" s="1"/>
  <c r="H275" i="1"/>
  <c r="I277" i="1"/>
  <c r="I290" i="1"/>
  <c r="J207" i="1"/>
  <c r="J208" i="1" s="1"/>
  <c r="I215" i="1"/>
  <c r="I278" i="1"/>
  <c r="J291" i="1"/>
  <c r="J292" i="1" s="1"/>
  <c r="J293" i="1" s="1"/>
  <c r="K304" i="1" l="1"/>
  <c r="J308" i="1" s="1"/>
  <c r="J282" i="1"/>
  <c r="F304" i="1"/>
  <c r="F11" i="3" s="1"/>
  <c r="F13" i="3" s="1"/>
  <c r="I293" i="1"/>
  <c r="J28" i="1"/>
  <c r="J25" i="1"/>
  <c r="E304" i="1"/>
  <c r="J219" i="1"/>
  <c r="J218" i="1"/>
  <c r="G304" i="1"/>
  <c r="F12" i="3" s="1"/>
  <c r="F14" i="3" s="1"/>
  <c r="J26" i="1"/>
  <c r="J270" i="1"/>
  <c r="J271" i="1" s="1"/>
  <c r="L304" i="1"/>
  <c r="J309" i="1" s="1"/>
  <c r="J296" i="1"/>
  <c r="C6" i="2"/>
  <c r="I279" i="1"/>
  <c r="J278" i="1"/>
  <c r="J279" i="1" s="1"/>
  <c r="I216" i="1"/>
  <c r="J215" i="1"/>
  <c r="J216" i="1" s="1"/>
  <c r="C3" i="2"/>
  <c r="F16" i="3" l="1"/>
  <c r="F18" i="3" s="1"/>
  <c r="H304" i="1"/>
  <c r="G11" i="3" s="1"/>
  <c r="G16" i="3" s="1"/>
  <c r="G18" i="3" s="1"/>
  <c r="J305" i="1"/>
  <c r="H11" i="3" s="1"/>
  <c r="J27" i="1"/>
  <c r="F17" i="3"/>
  <c r="F19" i="3" s="1"/>
  <c r="J306" i="1"/>
  <c r="H12" i="3" s="1"/>
  <c r="H17" i="3" s="1"/>
  <c r="H19" i="3" s="1"/>
  <c r="K12" i="3"/>
  <c r="K14" i="3" s="1"/>
  <c r="J312" i="1"/>
  <c r="J283" i="1"/>
  <c r="I304" i="1"/>
  <c r="G12" i="3" s="1"/>
  <c r="G17" i="3" s="1"/>
  <c r="G19" i="3" s="1"/>
  <c r="C5" i="2"/>
  <c r="J220" i="1"/>
  <c r="E13" i="3"/>
  <c r="E16" i="3"/>
  <c r="E18" i="3" s="1"/>
  <c r="H16" i="3"/>
  <c r="H18" i="3" s="1"/>
  <c r="H13" i="3"/>
  <c r="E84" i="4"/>
  <c r="E86" i="4" s="1"/>
  <c r="G84" i="4" s="1"/>
  <c r="G13" i="3" l="1"/>
  <c r="J304" i="1"/>
  <c r="J307" i="1" s="1"/>
  <c r="D4" i="2" s="1"/>
  <c r="C4" i="2"/>
  <c r="K22" i="3"/>
  <c r="K24" i="3" s="1"/>
  <c r="K7" i="3"/>
  <c r="K9" i="3" s="1"/>
  <c r="K17" i="3"/>
  <c r="K19" i="3" s="1"/>
  <c r="H14" i="3"/>
  <c r="G14" i="3"/>
  <c r="K26" i="3" l="1"/>
  <c r="K11" i="3"/>
  <c r="K6" i="3" s="1"/>
  <c r="F6" i="3" s="1"/>
  <c r="D5" i="2"/>
  <c r="D6" i="2"/>
  <c r="H84" i="4"/>
  <c r="D3" i="2"/>
  <c r="D8" i="2" s="1"/>
  <c r="K13" i="3" l="1"/>
  <c r="K21" i="3"/>
  <c r="E21" i="3" s="1"/>
  <c r="E23" i="3" s="1"/>
  <c r="K16" i="3"/>
  <c r="K18" i="3" s="1"/>
  <c r="H6" i="3"/>
  <c r="H8" i="3" s="1"/>
  <c r="G6" i="3"/>
  <c r="G8" i="3" s="1"/>
  <c r="E6" i="3"/>
  <c r="E8" i="3" s="1"/>
  <c r="H7" i="3"/>
  <c r="H9" i="3" s="1"/>
  <c r="F8" i="3"/>
  <c r="G7" i="3"/>
  <c r="G9" i="3" s="1"/>
  <c r="K8" i="3"/>
  <c r="F7" i="3"/>
  <c r="F9" i="3" s="1"/>
  <c r="F22" i="3"/>
  <c r="F24" i="3" s="1"/>
  <c r="G21" i="3"/>
  <c r="G23" i="3" s="1"/>
  <c r="F21" i="3"/>
  <c r="F23" i="3" s="1"/>
  <c r="H21" i="3"/>
  <c r="H23" i="3" s="1"/>
  <c r="K23" i="3" l="1"/>
  <c r="G22" i="3"/>
  <c r="G24" i="3" s="1"/>
  <c r="G26" i="3" s="1"/>
  <c r="G35" i="3" s="1"/>
  <c r="G46" i="3" s="1"/>
  <c r="G63" i="3" s="1"/>
  <c r="G65" i="3" s="1"/>
  <c r="G67" i="3" s="1"/>
  <c r="G77" i="3" s="1"/>
  <c r="H22" i="3"/>
  <c r="H24" i="3" s="1"/>
  <c r="H26" i="3" s="1"/>
  <c r="H35" i="3" s="1"/>
  <c r="H46" i="3" s="1"/>
  <c r="H63" i="3" s="1"/>
  <c r="H65" i="3" s="1"/>
  <c r="H67" i="3" s="1"/>
  <c r="H69" i="3" s="1"/>
  <c r="H73" i="3" s="1"/>
  <c r="E25" i="3"/>
  <c r="H25" i="3"/>
  <c r="H34" i="3" s="1"/>
  <c r="H45" i="3" s="1"/>
  <c r="H62" i="3" s="1"/>
  <c r="H64" i="3" s="1"/>
  <c r="H66" i="3" s="1"/>
  <c r="H76" i="3" s="1"/>
  <c r="G25" i="3"/>
  <c r="F25" i="3"/>
  <c r="F26" i="3"/>
  <c r="K25" i="3"/>
  <c r="G69" i="3" l="1"/>
  <c r="G73" i="3" s="1"/>
  <c r="K37" i="3"/>
  <c r="E37" i="3" s="1"/>
  <c r="E43" i="3" s="1"/>
  <c r="H77" i="3"/>
  <c r="K28" i="3"/>
  <c r="F30" i="3" s="1"/>
  <c r="J78" i="3" s="1"/>
  <c r="K78" i="3" s="1"/>
  <c r="K39" i="3"/>
  <c r="J39" i="3" s="1"/>
  <c r="H68" i="3"/>
  <c r="H72" i="3" s="1"/>
  <c r="F84" i="4"/>
  <c r="I84" i="4" l="1"/>
  <c r="D14" i="5" s="1"/>
  <c r="G28" i="3"/>
  <c r="G32" i="3" s="1"/>
  <c r="G34" i="3" s="1"/>
  <c r="F38" i="3"/>
  <c r="F44" i="3" s="1"/>
  <c r="F37" i="3"/>
  <c r="F43" i="3" s="1"/>
  <c r="K38" i="3"/>
  <c r="K44" i="3" s="1"/>
  <c r="L44" i="3" s="1"/>
  <c r="G37" i="3"/>
  <c r="G43" i="3" s="1"/>
  <c r="F28" i="3"/>
  <c r="F32" i="3" s="1"/>
  <c r="F34" i="3" s="1"/>
  <c r="E28" i="3"/>
  <c r="E32" i="3" s="1"/>
  <c r="E34" i="3" s="1"/>
  <c r="E45" i="3" s="1"/>
  <c r="K30" i="3"/>
  <c r="K32" i="3" s="1"/>
  <c r="K34" i="3" s="1"/>
  <c r="K41" i="3" s="1"/>
  <c r="J41" i="3" s="1"/>
  <c r="J43" i="3" s="1"/>
  <c r="J45" i="3" s="1"/>
  <c r="K29" i="3"/>
  <c r="K33" i="3" s="1"/>
  <c r="K35" i="3" s="1"/>
  <c r="F45" i="3" l="1"/>
  <c r="F62" i="3" s="1"/>
  <c r="F64" i="3" s="1"/>
  <c r="F66" i="3" s="1"/>
  <c r="G45" i="3"/>
  <c r="G62" i="3" s="1"/>
  <c r="G64" i="3" s="1"/>
  <c r="G66" i="3" s="1"/>
  <c r="G76" i="3" s="1"/>
  <c r="K46" i="3"/>
  <c r="K63" i="3" s="1"/>
  <c r="K65" i="3" s="1"/>
  <c r="K67" i="3" s="1"/>
  <c r="K77" i="3" s="1"/>
  <c r="F29" i="3"/>
  <c r="F33" i="3" s="1"/>
  <c r="F35" i="3" s="1"/>
  <c r="F46" i="3" s="1"/>
  <c r="F63" i="3" s="1"/>
  <c r="F65" i="3" s="1"/>
  <c r="F67" i="3" s="1"/>
  <c r="F69" i="3" s="1"/>
  <c r="F73" i="3" s="1"/>
  <c r="K43" i="3"/>
  <c r="D4" i="5" s="1"/>
  <c r="F76" i="3"/>
  <c r="F68" i="3"/>
  <c r="F72" i="3" s="1"/>
  <c r="E62" i="3"/>
  <c r="E64" i="3" s="1"/>
  <c r="E66" i="3" s="1"/>
  <c r="G68" i="3" l="1"/>
  <c r="G72" i="3" s="1"/>
  <c r="L46" i="3"/>
  <c r="K45" i="3"/>
  <c r="L45" i="3" s="1"/>
  <c r="D3" i="5" s="1"/>
  <c r="D7" i="5" s="1"/>
  <c r="K50" i="3"/>
  <c r="J50" i="3" s="1"/>
  <c r="K52" i="3"/>
  <c r="J52" i="3" s="1"/>
  <c r="F77" i="3"/>
  <c r="K58" i="3"/>
  <c r="J58" i="3" s="1"/>
  <c r="E76" i="3"/>
  <c r="L77" i="3" s="1"/>
  <c r="D10" i="5" s="1"/>
  <c r="E68" i="3"/>
  <c r="E72" i="3" s="1"/>
  <c r="K69" i="3"/>
  <c r="K73" i="3" s="1"/>
  <c r="K54" i="3" l="1"/>
  <c r="F98" i="3" s="1"/>
  <c r="K48" i="3"/>
  <c r="J48" i="3" s="1"/>
  <c r="J54" i="3" l="1"/>
  <c r="K56" i="3"/>
  <c r="J56" i="3" s="1"/>
  <c r="K60" i="3" l="1"/>
  <c r="K62" i="3" s="1"/>
  <c r="K64" i="3" s="1"/>
  <c r="K66" i="3" s="1"/>
  <c r="J60" i="3"/>
  <c r="J62" i="3" s="1"/>
  <c r="J64" i="3" s="1"/>
  <c r="J66" i="3" s="1"/>
  <c r="J68" i="3" s="1"/>
  <c r="F97" i="3" l="1"/>
  <c r="F100" i="3" s="1"/>
  <c r="F101" i="3" s="1"/>
  <c r="K68" i="3"/>
  <c r="L103" i="3" l="1"/>
  <c r="F87" i="3"/>
  <c r="K70" i="3" s="1"/>
  <c r="K72" i="3"/>
  <c r="J70" i="3"/>
  <c r="J72" i="3" s="1"/>
  <c r="H103" i="3" l="1"/>
  <c r="H108" i="3" s="1"/>
  <c r="E103" i="3"/>
  <c r="E108" i="3" s="1"/>
  <c r="D103" i="3"/>
  <c r="D108" i="3" s="1"/>
  <c r="I103" i="3"/>
  <c r="I108" i="3" s="1"/>
  <c r="C103" i="3"/>
  <c r="C108" i="3" s="1"/>
  <c r="L109" i="3" s="1"/>
  <c r="J74" i="3" s="1"/>
  <c r="J76" i="3" s="1"/>
  <c r="G103" i="3"/>
  <c r="G108" i="3" s="1"/>
  <c r="F103" i="3"/>
  <c r="F108" i="3" s="1"/>
  <c r="K74" i="3" l="1"/>
  <c r="D6" i="5" s="1"/>
  <c r="D9" i="5" l="1"/>
</calcChain>
</file>

<file path=xl/sharedStrings.xml><?xml version="1.0" encoding="utf-8"?>
<sst xmlns="http://schemas.openxmlformats.org/spreadsheetml/2006/main" count="741" uniqueCount="317">
  <si>
    <t>№</t>
  </si>
  <si>
    <t>Обоснование</t>
  </si>
  <si>
    <t>наименование работ</t>
  </si>
  <si>
    <t>Ед. Измерения</t>
  </si>
  <si>
    <t>Стоимость ед. изм / всего руб.</t>
  </si>
  <si>
    <t>Затраты труда рабочих</t>
  </si>
  <si>
    <t>затраты труда машинистов</t>
  </si>
  <si>
    <t>з/п раб.</t>
  </si>
  <si>
    <t>ЭМиМ</t>
  </si>
  <si>
    <t>Материал</t>
  </si>
  <si>
    <t>Транспорт</t>
  </si>
  <si>
    <t>всего</t>
  </si>
  <si>
    <t>в т-ч. Маш.</t>
  </si>
  <si>
    <t>землянные работы</t>
  </si>
  <si>
    <t>E1-24-1</t>
  </si>
  <si>
    <t>РАЗРАБОТКА ГРУНТА БУЛЬДОЗЕРАМИ МОЩНОСТЬЮ 59 (80) КВТ (Л.С.) ПРИ ПЕРЕМЕЩЕНИИ ГРУНТА ДО 10 М, ГРУНТ 1 ГРУППЫ</t>
  </si>
  <si>
    <t>E1-30-1</t>
  </si>
  <si>
    <t>ПЛАНИРОВКА ПЛОЩАДЕЙ БУЛЬДОЗЕРАМИ МОЩНОСТЬЮ 59 (80) КВТ (Л.С.)</t>
  </si>
  <si>
    <t>E1-12-13</t>
  </si>
  <si>
    <t>РАЗРАБОТКА ГРУНТА В ОТВАЛ ЭКСКАВАТОРАМИ "ДРАГЛАЙН" ИЛИ "ОБРАТНАЯ ЛОПАТА" С КОВШОМ ВМЕСТИМОСТЬЮ 0,5 (0,5-0,63) М3, ГРУНТ 1 ГРУППЫ</t>
  </si>
  <si>
    <t>E1-17-13</t>
  </si>
  <si>
    <t>РАЗРАБОТКА ГРУНТА С ПОГРУЗКОЙ НА АВТОМОБИЛИ-САМОСВАЛЫ ЭКСКАВАТОРАМИ С КОВШОМ ВМЕСТИМОСТЬЮ 0,5 (0,5-0,63) М3, ГРУНТ 1 ГРУППЫ</t>
  </si>
  <si>
    <t>С412-1290</t>
  </si>
  <si>
    <t>ЩЕБЕНЬ ИЗ ГРАВИЯ МАРКИ 800,2 КЛАССА,ФРАКЦИИ 20-80 ММ</t>
  </si>
  <si>
    <t>m3</t>
  </si>
  <si>
    <t>E1-164-1</t>
  </si>
  <si>
    <t>РАЗРАБОТКА ГРУНТА ВРУЧНУЮ В ТРАНШЕЯХ ГЛУБИНОЙ ДО 2 М БЕЗ КРЕПЛЕНИЙ С ОТКОСАМИ, ГРУНТ 1 ГРУППЫ</t>
  </si>
  <si>
    <t>E1-27-1</t>
  </si>
  <si>
    <t>ЗАСЫПКА ТРАНШЕЙ И КОТЛОВАНОВ БУЛЬДОЗЕРАМИ МОЩНОСТЬЮ 59 (80) КВТ (Л.С.) ПРИ ПЕРЕМЕЩЕНИИ ГРУНТА ДО 5 М, ГРУНТ 1 ГРУППЫ</t>
  </si>
  <si>
    <t>E1-166-1</t>
  </si>
  <si>
    <t>ЗАСЫПКА ВРУЧНУЮ ТРАНШЕЙ, ПАЗУХ КОТЛОВАНОВ И ЯМ, ГРУНТ 1 ГРУППЫ</t>
  </si>
  <si>
    <t>E1-134-1</t>
  </si>
  <si>
    <t>УПЛОТНЕНИЕ ГРУНТА ПНЕВМАТИЧЕСКИМИ ТРАМБОВКАМИ, ГРУНТ 1-2 ГРУППЫ</t>
  </si>
  <si>
    <t>Итого затрат</t>
  </si>
  <si>
    <t>ОХРиОПР</t>
  </si>
  <si>
    <t>Плановая прибыли</t>
  </si>
  <si>
    <t>Всего по ПТМ</t>
  </si>
  <si>
    <t>Затраты труда машинистов</t>
  </si>
  <si>
    <t>прокладка труб</t>
  </si>
  <si>
    <t>kg</t>
  </si>
  <si>
    <t>t</t>
  </si>
  <si>
    <t>С101-32400</t>
  </si>
  <si>
    <t>КИСЛОРОД ТЕХНИЧЕСКИЙ ГАЗООБРАЗНЫЙ</t>
  </si>
  <si>
    <t>m</t>
  </si>
  <si>
    <t>С412-9005</t>
  </si>
  <si>
    <t>ВОДА</t>
  </si>
  <si>
    <t>шт</t>
  </si>
  <si>
    <t>km</t>
  </si>
  <si>
    <t>С101-128902</t>
  </si>
  <si>
    <t>ТКАНЬ МЕШОЧНАЯ</t>
  </si>
  <si>
    <t>С101-7000</t>
  </si>
  <si>
    <t>БЕНЗИН АВТОМОБИЛЬНЫЙ АИ-95</t>
  </si>
  <si>
    <t>С101-7200</t>
  </si>
  <si>
    <t>БИТУМЫ НЕФТЯНЫЕ ИЗОЛЯЦИОННЫЕ,МАРОК БНИ-IV-3, БНИ-IV, БНИ-V</t>
  </si>
  <si>
    <t>С102-800</t>
  </si>
  <si>
    <t>ЛЕСОМАТЕРИАЛЫ КРУГЛЫЕ ХВОЙНЫХ ПОРОД ДЛЯ СТРОИТЕЛЬСТВА ДЛИНОЙ 3-6,5 М, ДИАМЕТРОМ 14-24 СМ, 1-2 СОРТА, НИЖНИЙ ЛЕСОСКЛАД</t>
  </si>
  <si>
    <t>С104-9014</t>
  </si>
  <si>
    <t>ТКАНЬ СТЕКЛЯННАЯ МАРКИ РАТЛ-80 (100), РАТЛ-90 (100)</t>
  </si>
  <si>
    <t>С117-1403</t>
  </si>
  <si>
    <t>МАСТИКА БИТУМНО-ПОЛИМЕРНАЯ КРОВЕЛЬНАЯ И ГИДРОИЗОЛЯЦИОННАЯ (МБПГ), ГОРЯЧАЯ</t>
  </si>
  <si>
    <t>С101-21700</t>
  </si>
  <si>
    <t>гидростеклоизол</t>
  </si>
  <si>
    <t>испытания</t>
  </si>
  <si>
    <t>кг</t>
  </si>
  <si>
    <t>м3</t>
  </si>
  <si>
    <t>E24-118-1</t>
  </si>
  <si>
    <t>ПРОДУВКА И ПНЕВМАТИЧЕСКОЕ ИСПЫТАНИЕ ТРУБОПРОВОДА (ПРОЧНОСТЬ И ГЕРМЕТИЧНОСТЬ) ДИАМЕТРОМ ДО 100 ММ</t>
  </si>
  <si>
    <t>С101-151400</t>
  </si>
  <si>
    <t>ЭЛЕКТРОДЫ ТИПА Э42А ДИАМЕТРОМ 4 ММ</t>
  </si>
  <si>
    <t>С101-62300</t>
  </si>
  <si>
    <t>МЫЛО ТВЕРДОЕ ХОЗЯЙСТВЕННОЕ</t>
  </si>
  <si>
    <t>С101-82511</t>
  </si>
  <si>
    <t>СМЕСЬ ПРОПАНА И БУТАНА ТЕХНИЧЕСКИХ</t>
  </si>
  <si>
    <t>С103-300</t>
  </si>
  <si>
    <t>ТРУБА СТАЛЬНАЯ СВАРНАЯ ВОДОГАЗОПРОВОДНАЯ ЧЕРНАЯ ЛЕГКАЯ (НЕОЦИНКОВАННАЯ) НОМИНАЛЬНЫМ ДИАМЕТРОМ 25 ММ, ТОЛЩИНОЙ СТЕНКИ 2, 8 ММ</t>
  </si>
  <si>
    <t>С300-47417</t>
  </si>
  <si>
    <t>КРАНЫ ПРОХОДНЫЕ САЛЬНИКОВЫЕ МУФТОВЫЕ ЛАТУННЫЕ 11Б1БК ДИАМЕТРОМ 25 ММ</t>
  </si>
  <si>
    <t>С300-48607</t>
  </si>
  <si>
    <t>МАНОМЕТРЫ ОБЩЕГО НАЗНАЧЕНИЯ ОБМ1-100</t>
  </si>
  <si>
    <t>С300-27164</t>
  </si>
  <si>
    <t>Задвижки стальные</t>
  </si>
  <si>
    <t>С300-41730-2</t>
  </si>
  <si>
    <t>клапаны обратные, подъемные фланцевые 19Ч16БР, диаметром 80мм</t>
  </si>
  <si>
    <t>С300-27182</t>
  </si>
  <si>
    <t>Заглушки чугунные</t>
  </si>
  <si>
    <t>С541-6300-1</t>
  </si>
  <si>
    <t>Прокладки из паронита марки ПМБ, толщиной 1 мм</t>
  </si>
  <si>
    <t>С541-6900-1</t>
  </si>
  <si>
    <t>Прокладки из паронита, марки ПМБ, толщиной 3 мм</t>
  </si>
  <si>
    <t>подготовка</t>
  </si>
  <si>
    <t>E11-2-1</t>
  </si>
  <si>
    <t>УСТРОЙСТВО ПОДСТИЛАЮЩИХ СЛОЕВ ПЕСЧАНЫХ</t>
  </si>
  <si>
    <t>С412-1500</t>
  </si>
  <si>
    <t>ПЕСОК ОБОГАЩЕННЫЙ</t>
  </si>
  <si>
    <t>работа</t>
  </si>
  <si>
    <t>итого затрат</t>
  </si>
  <si>
    <t>%</t>
  </si>
  <si>
    <t>землянные рботыы</t>
  </si>
  <si>
    <t>∑=</t>
  </si>
  <si>
    <t>Номера сметных расчётов (смет)</t>
  </si>
  <si>
    <t>Наименование глав, объектов, работ, средств</t>
  </si>
  <si>
    <t>Стоимость,  руб</t>
  </si>
  <si>
    <t>заработаная плата</t>
  </si>
  <si>
    <t>эксплуатация машин и механизмов</t>
  </si>
  <si>
    <t>матнриалы, изделия, конструкции</t>
  </si>
  <si>
    <t>ОХР и ОПР</t>
  </si>
  <si>
    <t>оборудование</t>
  </si>
  <si>
    <t>прочие</t>
  </si>
  <si>
    <t>общая стоимость    тыс. руб</t>
  </si>
  <si>
    <t>в т.ч. зарплата машиниста</t>
  </si>
  <si>
    <t>в т.ч. транспорт</t>
  </si>
  <si>
    <t>Пп</t>
  </si>
  <si>
    <t>трудоёмкость в чел-час</t>
  </si>
  <si>
    <t xml:space="preserve">                                                                        Глава 1 Подготовка территории строительства</t>
  </si>
  <si>
    <t>Пункт 21 Инструкции</t>
  </si>
  <si>
    <t>Средства на подготовку территории     строительства</t>
  </si>
  <si>
    <t>ИТОГО ПО ГЛАВЕ 1</t>
  </si>
  <si>
    <t>Глава 2 Основные здания, сооружения</t>
  </si>
  <si>
    <t>Объектная (локальная)смета</t>
  </si>
  <si>
    <t>ИТОГО ПО ГЛАВЕ 2</t>
  </si>
  <si>
    <t xml:space="preserve">     Глава 6 Наружные сети и сооружения водоснабжения, канализации, теплоснабжения и газоснабжения</t>
  </si>
  <si>
    <t xml:space="preserve">Объектная (локальная)
смета
</t>
  </si>
  <si>
    <t>Водозаборные сооружения, насосные станции, водонапорные башни, тепловые пункты, наружные сети, водоснабжения, канализации, теплоснабжения, газоснабжения и т.п.</t>
  </si>
  <si>
    <t>ИТОГО ПО ГЛАВЕ 6</t>
  </si>
  <si>
    <t xml:space="preserve">                                                                             Глава 7 Благоустройство территории </t>
  </si>
  <si>
    <t>Объектная (локальная) смета</t>
  </si>
  <si>
    <t>Вертикальная планировка, благоустройство, озеленение, малые архитектурные формы, ограждения территории и т.п.</t>
  </si>
  <si>
    <t>ИТОГО ПО ГЛАВЕ 7</t>
  </si>
  <si>
    <t>ИТОГО ПО ГЛАВАМ 1-7</t>
  </si>
  <si>
    <t xml:space="preserve">                                                                                                                                                      Глава 8 Временные здания и сооружения</t>
  </si>
  <si>
    <t xml:space="preserve">Пункт 29
Инструкции
</t>
  </si>
  <si>
    <t>Временные здания и сооружения 6,2%</t>
  </si>
  <si>
    <t>В том числе возврат материалов, изделий и конструкций от разборки временных зданий и сооружений</t>
  </si>
  <si>
    <t>ИТОГО ПО ГЛАВЕ 8</t>
  </si>
  <si>
    <t>ИТОГО ПО ГЛАВАМ 1-8</t>
  </si>
  <si>
    <t xml:space="preserve">                                                                                                                                                 Глава 9 Прочие работы и расходы</t>
  </si>
  <si>
    <t xml:space="preserve">Пункт 30.1
Инструкции
</t>
  </si>
  <si>
    <t>Дополнительные средства при производстве работ в зимнее время 3,53%</t>
  </si>
  <si>
    <t xml:space="preserve">Пункт 30.2
Инструкции
</t>
  </si>
  <si>
    <t>Средства связанные с отчислением на социальное страхование 34%</t>
  </si>
  <si>
    <t xml:space="preserve">Пункт 30.10
Инструкции
</t>
  </si>
  <si>
    <t xml:space="preserve">Средства связанные с подготовкой объекта к приёмке в эксплуатацию </t>
  </si>
  <si>
    <t>ИТОГО ПО ГЛАВЕ 9</t>
  </si>
  <si>
    <t>ИТОГО ПО ГЛАВАМ 1-9</t>
  </si>
  <si>
    <t xml:space="preserve">                                                                                                                                   Глава 10 Средства заказчика, застройщика</t>
  </si>
  <si>
    <t xml:space="preserve">Пункт 31.1
Инструкции
</t>
  </si>
  <si>
    <t>Средства на содержание застройщика, заказчика (инженерной организации) 1,8%</t>
  </si>
  <si>
    <t xml:space="preserve">Пункт 31.1.5
Инструкции
</t>
  </si>
  <si>
    <t>Средства на мониторинг цен (тарифов), расчёт индексов цен в строительстве 0,09%</t>
  </si>
  <si>
    <t xml:space="preserve">Пункт 31.2
Инструкции
</t>
  </si>
  <si>
    <t>Средства на осуществление авторского надзора 0,2%</t>
  </si>
  <si>
    <t xml:space="preserve">Пункт 31.3
Инструкции
</t>
  </si>
  <si>
    <t>Средства на проектные и изыскательские работы 5%</t>
  </si>
  <si>
    <t xml:space="preserve">Пункт 31.4
Инструкции
</t>
  </si>
  <si>
    <t>Средства на проведение экспертизы</t>
  </si>
  <si>
    <t xml:space="preserve">Пункт 31.6 Инструкции          </t>
  </si>
  <si>
    <t>Средства на целевые отчисления,производимые заказчиками, застройщиками от стоимости строительно-монтажных работ на финансирование инспекций департамента контроля и надзора за строительством 0,15%</t>
  </si>
  <si>
    <t xml:space="preserve">
</t>
  </si>
  <si>
    <t>ИТОГО ПО ГЛАВАМ 10</t>
  </si>
  <si>
    <t>ИТОГО ПО ГЛАВАМ 1-11</t>
  </si>
  <si>
    <t xml:space="preserve">Пункт 33.1
Инструкции
</t>
  </si>
  <si>
    <t>Средства на непредвиденные работы и затраты</t>
  </si>
  <si>
    <t>Итого с учётом непредвиденных работ и затрат</t>
  </si>
  <si>
    <t>Итого на дату начала разработки сметной документации</t>
  </si>
  <si>
    <t xml:space="preserve">Подпункт 33.3.1
Инструкции
</t>
  </si>
  <si>
    <t>Средства, учитывающие применение прогнозных индексов цен в строительстве на дату начала строительства</t>
  </si>
  <si>
    <t>Итого на дату начала строительства</t>
  </si>
  <si>
    <t xml:space="preserve">Подпункт 33.3.2
Инструкции
</t>
  </si>
  <si>
    <t>Средства, учитывающие применение прогнозных индексов цен в строительстве в нормативный срок строительства</t>
  </si>
  <si>
    <t>Итого по сводному сметному расчёту</t>
  </si>
  <si>
    <t xml:space="preserve">Пункт 34.1
Инструкции
</t>
  </si>
  <si>
    <t>Возвратные суммы</t>
  </si>
  <si>
    <t>Итого средства, учитывающие применение прогнозных индексов от даты разработки сметной документации до даты начала строительства, тыс. руб.</t>
  </si>
  <si>
    <t>Наименование объекта</t>
  </si>
  <si>
    <t>Место расположения объекта</t>
  </si>
  <si>
    <t>г.Могилев</t>
  </si>
  <si>
    <t>Источник финансирования</t>
  </si>
  <si>
    <t>Бюджетные средства г. Могилёва</t>
  </si>
  <si>
    <t>Дата получения задания на проектирование</t>
  </si>
  <si>
    <t>Дата начала строительства</t>
  </si>
  <si>
    <t>Дата окончания строительства</t>
  </si>
  <si>
    <t>Протяженность газопровода</t>
  </si>
  <si>
    <t>Нормативный срок строительства</t>
  </si>
  <si>
    <t>Стены</t>
  </si>
  <si>
    <t>кирпичные</t>
  </si>
  <si>
    <t>Стоимость работ с учётом налогов согласно сводному сметному расчёту в ценах декабря 2020.</t>
  </si>
  <si>
    <t>Проектно-изыскательские работы</t>
  </si>
  <si>
    <t>Затраты заказчика, предусматриваемые главой 1 сводного сметного расчёта</t>
  </si>
  <si>
    <t>Стоимость работ по сводному сметному расчёту без учёта проектно-изыскательских работ, экспертизы и затрат заказчика</t>
  </si>
  <si>
    <t>Итого на дату начала строительства, тыс.руб</t>
  </si>
  <si>
    <t>Период строительства с разбивкой по месяцам</t>
  </si>
  <si>
    <t>апрель</t>
  </si>
  <si>
    <t>май</t>
  </si>
  <si>
    <t>июнь</t>
  </si>
  <si>
    <t>Итого на дату начал строительства</t>
  </si>
  <si>
    <t>ё</t>
  </si>
  <si>
    <t>Ежемесячный прогнозный индекс</t>
  </si>
  <si>
    <t>Коэффициент для определения средств учитывающих применение прогнозных индексов</t>
  </si>
  <si>
    <t>Нормы задела по месяцам согласно ПОС</t>
  </si>
  <si>
    <t>Средства, учитывающие применение прогнозных индексов цен за нормативный срок строительства, тыс. руб.</t>
  </si>
  <si>
    <t>Итого на весь объём</t>
  </si>
  <si>
    <t>Плановая прибыль</t>
  </si>
  <si>
    <t>Итого по ПТМ</t>
  </si>
  <si>
    <t>Затр. Тр. Раб.</t>
  </si>
  <si>
    <t>Затр.Тр.Маш</t>
  </si>
  <si>
    <t>себестоимость</t>
  </si>
  <si>
    <t>р</t>
  </si>
  <si>
    <t>п1</t>
  </si>
  <si>
    <t>п2</t>
  </si>
  <si>
    <t>э1</t>
  </si>
  <si>
    <t>э2</t>
  </si>
  <si>
    <t>э общ</t>
  </si>
  <si>
    <t>Ссм</t>
  </si>
  <si>
    <t>к см</t>
  </si>
  <si>
    <t>(/1000)</t>
  </si>
  <si>
    <t>дни в КП</t>
  </si>
  <si>
    <t>10%+дни в КП</t>
  </si>
  <si>
    <t>Наименование</t>
  </si>
  <si>
    <t>Ед. измерения</t>
  </si>
  <si>
    <t>Расчёт</t>
  </si>
  <si>
    <t>Значение</t>
  </si>
  <si>
    <t>1 Сметная стоимость строительства</t>
  </si>
  <si>
    <t>тыс.руб.</t>
  </si>
  <si>
    <t>Таблица 1.1 Итого по ССР</t>
  </si>
  <si>
    <t>2 в т.ч. СМР</t>
  </si>
  <si>
    <t>руб.</t>
  </si>
  <si>
    <t>ССР итого по гл. 1-9 гр.9-гр.8</t>
  </si>
  <si>
    <t>3 Прочие затраты</t>
  </si>
  <si>
    <t>ССР гл.9 гр.9 числитель</t>
  </si>
  <si>
    <t>4 Общая протяженность газопровода</t>
  </si>
  <si>
    <t>п.м.</t>
  </si>
  <si>
    <t>Длина ГАЗОПРОВОДА</t>
  </si>
  <si>
    <t>5 Удельные капитальные вложения на 1 м.п. газопровода от общей стоимости</t>
  </si>
  <si>
    <t>руб./1 п.м.</t>
  </si>
  <si>
    <t>1020/100,3</t>
  </si>
  <si>
    <t>6 Удельные капитальные вложения на 1 м.п. газопровода от стоимости СМР</t>
  </si>
  <si>
    <t>1020/84,11</t>
  </si>
  <si>
    <t>7 Всего затрат труда на прокладку газопровода</t>
  </si>
  <si>
    <t>чел.-дн.</t>
  </si>
  <si>
    <t>Таблица 1.1 Итого по ССР/8</t>
  </si>
  <si>
    <t>8 Выработка на 1 чел.-дн.</t>
  </si>
  <si>
    <t>руб./чел.-дн.</t>
  </si>
  <si>
    <t>100,3/248,89</t>
  </si>
  <si>
    <t>9 Фонд заработной платы</t>
  </si>
  <si>
    <t>ССР итого гр.3+гр.4 знаменатель + ПР гл.9 числитель</t>
  </si>
  <si>
    <t>10 Заработная плата на 1 чел.-день</t>
  </si>
  <si>
    <t>213,45/2622,96</t>
  </si>
  <si>
    <t>11 Нормативная продолжительность работ</t>
  </si>
  <si>
    <t>дни</t>
  </si>
  <si>
    <t>Постановление МАиС №1816 от 12.04.2012г.</t>
  </si>
  <si>
    <t>12 Плановая продолжительность работ</t>
  </si>
  <si>
    <t>Календарный план</t>
  </si>
  <si>
    <t>Степень снижения сметной стоимости</t>
  </si>
  <si>
    <t>Ксс</t>
  </si>
  <si>
    <t>01.04.2021</t>
  </si>
  <si>
    <t>15.06.2021</t>
  </si>
  <si>
    <t>ИЗВЕСТЬ ХЛОРНАЯ МАРКИ А</t>
  </si>
  <si>
    <t>С101-151300</t>
  </si>
  <si>
    <t>С101-25400</t>
  </si>
  <si>
    <t>АЦЕТИЛЕН РАСТВОРЕННЫЙ ТЕХНИЧЕСКИЙ МАРКИ Б</t>
  </si>
  <si>
    <t>С101-6400-1</t>
  </si>
  <si>
    <t>КРУГИ ШЛИФОВАЛЬНЫЕ ДЛЯ СПЕЦИАЛЬНЫХ МОНТАЖНЫХ РАБОТ 5П 230Х6Х22</t>
  </si>
  <si>
    <t>С552-804-1</t>
  </si>
  <si>
    <t>ТРУБЫ СТАЛЬНЫЕ</t>
  </si>
  <si>
    <t>ЭЛЕКТРОДЫ ТИПА Э42 ДИАМЕТРОМ 4 ММ</t>
  </si>
  <si>
    <t>ЗАДВИЖКИ СТАЛЬНЫЕ 30С41НЖ1 ДИАМЕТРОМ 100 ММ</t>
  </si>
  <si>
    <t>С300-27165</t>
  </si>
  <si>
    <t>ОПОРЫ НЕПОДВИЖНЫЕ</t>
  </si>
  <si>
    <t>ВЕНТИЛИ ПРОХОДНЫЕ МУФТОВЫЕ ДИАМЕТРОМ 25 ММ</t>
  </si>
  <si>
    <t>ФАСОННЫЕ СТАЛЬНЫЕ СВАРНЫЕ ЧАСТИ БЕЗ ФЛАНЦЕВ ДИАМЕТРОМ ДО 800 ММ</t>
  </si>
  <si>
    <t>С103-19900</t>
  </si>
  <si>
    <t>м</t>
  </si>
  <si>
    <t>C103-12624</t>
  </si>
  <si>
    <t>C300-14167</t>
  </si>
  <si>
    <t xml:space="preserve"> Б-1</t>
  </si>
  <si>
    <t>ПРОКЛАДКА ПАРОНИТОВАЯ МАРКИ ПМБ ТОЛЩИНОЙ 1 ММ</t>
  </si>
  <si>
    <t>Б-2</t>
  </si>
  <si>
    <t>июль</t>
  </si>
  <si>
    <t>август</t>
  </si>
  <si>
    <t>сентябрь</t>
  </si>
  <si>
    <t>октябрь</t>
  </si>
  <si>
    <t>ПРОКЛАДКА ТРУБОПРОВОДОВ В КАНАЛАХ И НАДЗЕМНАЯ ПРИ УСЛОВНОМ ДАВЛЕНИИ 0,6 МПА, ТЕМПЕРАТУРЕ 115 ГРАД.С, ДИАМЕТРОМ ТРУБ 50 ММ</t>
  </si>
  <si>
    <t>E24-1-1</t>
  </si>
  <si>
    <t>1км</t>
  </si>
  <si>
    <t>т</t>
  </si>
  <si>
    <t>1000м3</t>
  </si>
  <si>
    <t>1000м2</t>
  </si>
  <si>
    <t>100м3</t>
  </si>
  <si>
    <t>ПРОКЛАДКА ТРУБОПРОВОДОВ В КАНАЛАХ И НАДЗЕМНАЯ ПРИ УСЛОВНОМ ДАВЛЕНИИ 0,6 МПА, ТЕМПЕРАТУРЕ 115 ГРАД.С, ДИАМЕТРОМ ТРУБ 70 ММ</t>
  </si>
  <si>
    <t>Е24-1-2</t>
  </si>
  <si>
    <t>Е24-1-3</t>
  </si>
  <si>
    <t>ПРОКЛАДКА ТРУБОПРОВОДОВ В КАНАЛАХ И НАДЗЕМНАЯ ПРИ УСЛОВНОМ ДАВЛЕНИИ 0,6 МПА, ТЕМПЕРАТУРЕ 115 ГРАД.С, ДИАМЕТРОМ ТРУБ 80 ММ</t>
  </si>
  <si>
    <t>Е24-1-4</t>
  </si>
  <si>
    <t>ПРОКЛАДКА ТРУБОПРОВОДОВ В КАНАЛАХ И НАДЗЕМНАЯ ПРИ УСЛОВНОМ ДАВЛЕНИИ 0,6 МПА, ТЕМПЕРАТУРЕ 115 ГРАД.С, ДИАМЕТРОМ ТРУБ 100 ММ</t>
  </si>
  <si>
    <t>Е24-1-9</t>
  </si>
  <si>
    <t>ПРОКЛАДКА ТРУБОПРОВОДОВ В КАНАЛАХ И НАДЗЕМНАЯ ПРИ УСЛОВНОМ ДАВЛЕНИИ 0,6 МПА, ТЕМПЕРАТУРЕ 115 ГРАД.С, ДИАМЕТРОМ ТРУБ 300 ММ</t>
  </si>
  <si>
    <t>км</t>
  </si>
  <si>
    <t>м2</t>
  </si>
  <si>
    <t>Е22-18-1</t>
  </si>
  <si>
    <t>НАНЕСЕНИЕ НОРМАЛЬНОЙ АНТИКОРРОЗИОННОЙ БИТУМНО-ПОЛИМЕРНОЙ ИЗОЛЯЦИИ НА СТАЛЬНЫЕ ТРУБОПРОВОДЫ ДИАМЕТРОМ 50 ММ</t>
  </si>
  <si>
    <t>10м2</t>
  </si>
  <si>
    <t>Е22-18-2</t>
  </si>
  <si>
    <t>НАНЕСЕНИЕ НОРМАЛЬНОЙ АНТИКОРРОЗИОННОЙ БИТУМНО-ПОЛИМЕРНОЙ ИЗОЛЯЦИИ НА СТАЛЬНЫЕ ТРУБОПРОВОДЫ ДИАМЕТРОМ 75 ММ</t>
  </si>
  <si>
    <t>10 м2</t>
  </si>
  <si>
    <t>НАНЕСЕНИЕ НОРМАЛЬНОЙ АНТИКОРРОЗИОННОЙ БИТУМНО-ПОЛИМЕРНОЙ ИЗОЛЯЦИИ НА СТАЛЬНЫЕ ТРУБОПРОВОДЫ ДИАМЕТРОМ 100 ММ</t>
  </si>
  <si>
    <t>Е22-18-3</t>
  </si>
  <si>
    <t>Е22-18-8</t>
  </si>
  <si>
    <t>НАНЕСЕНИЕ НОРМАЛЬНОЙ АНТИКОРРОЗИОННОЙ БИТУМНО-ПОЛИМЕРНОЙ ИЗОЛЯЦИИ НА СТАЛЬНЫЕ ТРУБОПРОВОДЫ ДИАМЕТРОМ 300 ММ</t>
  </si>
  <si>
    <t>Е24-118-3</t>
  </si>
  <si>
    <t>ПРОДУВКА И ПНЕВМАТИЧЕСКОЕ ИСПЫТАНИЕ ТРУБОПРОВОДА (ПРОЧНОСТЬ И ГЕРМЕТИЧНОСТЬ) ДИАМЕТРОМ ДО 300 ММ</t>
  </si>
  <si>
    <t>SUMIF(H203:H216,IFNA($D$203:$D$216))+SUMIF(H187:H200,IFNA($D$187:$D$200))+SUMIF(H171:H184,IFNA($D$171:$D$184))</t>
  </si>
  <si>
    <t>147дня</t>
  </si>
  <si>
    <t>Прокладка участка газопровода длиной 13934м</t>
  </si>
  <si>
    <t>Итого на 1000 м</t>
  </si>
  <si>
    <t>ТРУБЫ СТАЛЬНЫЕ электросварные прямошевные</t>
  </si>
  <si>
    <t>ТРУБЫ СТАЛЬНЫЕ бксшовные гафрированные</t>
  </si>
  <si>
    <t>С103-48900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</si>
</sst>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_р_."/>
    <numFmt numFmtId="165" formatCode="0.000"/>
    <numFmt numFmtId="166" formatCode="[$-809]dd/mm/yyyy"/>
    <numFmt numFmtId="167" formatCode="0.0000"/>
    <numFmt numFmtId="168" formatCode="#,##0_р_."/>
    <numFmt numFmtId="169" formatCode="0.000000"/>
  </numFmts>
  <fonts count="36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4"/>
      <color theme="1"/>
      <name val="Calibri"/>
    </font>
    <font>
      <sz val="12"/>
      <color theme="1"/>
      <name val="Calibri"/>
    </font>
    <font>
      <sz val="10"/>
      <color rgb="FF212529"/>
      <name val="Calibri"/>
    </font>
    <font>
      <sz val="12"/>
      <color rgb="FF212529"/>
      <name val="Calibri"/>
    </font>
    <font>
      <sz val="14"/>
      <color rgb="FF000000"/>
      <name val="Calibri"/>
    </font>
    <font>
      <sz val="16"/>
      <color theme="1"/>
      <name val="Calibri"/>
    </font>
    <font>
      <sz val="9"/>
      <color rgb="FF212529"/>
      <name val="Quattrocento Sans"/>
    </font>
    <font>
      <sz val="10"/>
      <color theme="1"/>
      <name val="Arial"/>
    </font>
    <font>
      <b/>
      <sz val="9"/>
      <color rgb="FF212529"/>
      <name val="Quattrocento Sans"/>
    </font>
    <font>
      <sz val="11"/>
      <color rgb="FF212529"/>
      <name val="Quattrocento Sans"/>
    </font>
    <font>
      <b/>
      <sz val="10"/>
      <color theme="1"/>
      <name val="Arial"/>
    </font>
    <font>
      <sz val="14"/>
      <color theme="1"/>
      <name val="Arial"/>
    </font>
    <font>
      <sz val="12"/>
      <color theme="1"/>
      <name val="Times New Roman"/>
    </font>
    <font>
      <sz val="11"/>
      <color rgb="FFFF0000"/>
      <name val="Calibri"/>
    </font>
    <font>
      <sz val="12"/>
      <color rgb="FF000000"/>
      <name val="Times New Roman"/>
    </font>
    <font>
      <sz val="11"/>
      <color theme="1"/>
      <name val="Calibri"/>
      <family val="2"/>
    </font>
    <font>
      <sz val="12"/>
      <color theme="1"/>
      <name val="Calibri"/>
      <family val="2"/>
      <scheme val="major"/>
    </font>
    <font>
      <sz val="10"/>
      <color rgb="FF212529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7"/>
      <color rgb="FF212529"/>
      <name val="Calibri"/>
      <family val="2"/>
      <scheme val="major"/>
    </font>
    <font>
      <sz val="14"/>
      <color theme="1"/>
      <name val="Calibri"/>
      <family val="2"/>
    </font>
    <font>
      <sz val="11"/>
      <color rgb="FF212529"/>
      <name val="Calibri"/>
      <family val="2"/>
      <scheme val="major"/>
    </font>
    <font>
      <sz val="12"/>
      <color rgb="FF212529"/>
      <name val="Calibri"/>
      <family val="2"/>
      <scheme val="major"/>
    </font>
    <font>
      <sz val="10"/>
      <color rgb="FF212529"/>
      <name val="Segoe U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212529"/>
      <name val="Segoe UI"/>
      <family val="2"/>
    </font>
    <font>
      <sz val="11"/>
      <color rgb="FF141414"/>
      <name val="Segoe UI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2E75B5"/>
        <bgColor rgb="FF2E75B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</fills>
  <borders count="10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7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0" xfId="0" applyFont="1" applyBorder="1"/>
    <xf numFmtId="0" fontId="5" fillId="0" borderId="6" xfId="0" applyFont="1" applyBorder="1"/>
    <xf numFmtId="0" fontId="9" fillId="0" borderId="24" xfId="0" applyFont="1" applyBorder="1"/>
    <xf numFmtId="0" fontId="5" fillId="0" borderId="18" xfId="0" applyFont="1" applyBorder="1"/>
    <xf numFmtId="0" fontId="5" fillId="0" borderId="25" xfId="0" applyFont="1" applyBorder="1"/>
    <xf numFmtId="0" fontId="5" fillId="2" borderId="30" xfId="0" applyFont="1" applyFill="1" applyBorder="1"/>
    <xf numFmtId="0" fontId="5" fillId="2" borderId="25" xfId="0" applyFont="1" applyFill="1" applyBorder="1"/>
    <xf numFmtId="0" fontId="5" fillId="2" borderId="31" xfId="0" applyFont="1" applyFill="1" applyBorder="1"/>
    <xf numFmtId="0" fontId="5" fillId="2" borderId="36" xfId="0" applyFont="1" applyFill="1" applyBorder="1"/>
    <xf numFmtId="0" fontId="5" fillId="2" borderId="6" xfId="0" applyFont="1" applyFill="1" applyBorder="1"/>
    <xf numFmtId="0" fontId="5" fillId="2" borderId="37" xfId="0" applyFont="1" applyFill="1" applyBorder="1"/>
    <xf numFmtId="0" fontId="5" fillId="2" borderId="40" xfId="0" applyFont="1" applyFill="1" applyBorder="1"/>
    <xf numFmtId="0" fontId="5" fillId="2" borderId="18" xfId="0" applyFont="1" applyFill="1" applyBorder="1"/>
    <xf numFmtId="0" fontId="5" fillId="2" borderId="41" xfId="0" applyFont="1" applyFill="1" applyBorder="1"/>
    <xf numFmtId="0" fontId="2" fillId="0" borderId="6" xfId="0" applyFont="1" applyBorder="1"/>
    <xf numFmtId="0" fontId="2" fillId="0" borderId="20" xfId="0" applyFont="1" applyBorder="1"/>
    <xf numFmtId="0" fontId="12" fillId="0" borderId="0" xfId="0" applyFont="1"/>
    <xf numFmtId="0" fontId="13" fillId="0" borderId="6" xfId="0" applyFont="1" applyBorder="1"/>
    <xf numFmtId="0" fontId="2" fillId="3" borderId="6" xfId="0" applyFont="1" applyFill="1" applyBorder="1"/>
    <xf numFmtId="0" fontId="2" fillId="3" borderId="6" xfId="0" applyFont="1" applyFill="1" applyBorder="1" applyAlignment="1">
      <alignment wrapText="1"/>
    </xf>
    <xf numFmtId="0" fontId="14" fillId="0" borderId="0" xfId="0" applyFont="1" applyAlignment="1">
      <alignment wrapText="1"/>
    </xf>
    <xf numFmtId="0" fontId="11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2" fillId="3" borderId="46" xfId="0" applyFont="1" applyFill="1" applyBorder="1"/>
    <xf numFmtId="0" fontId="15" fillId="3" borderId="46" xfId="0" applyFont="1" applyFill="1" applyBorder="1"/>
    <xf numFmtId="0" fontId="12" fillId="3" borderId="6" xfId="0" applyFont="1" applyFill="1" applyBorder="1"/>
    <xf numFmtId="0" fontId="15" fillId="3" borderId="6" xfId="0" applyFont="1" applyFill="1" applyBorder="1"/>
    <xf numFmtId="0" fontId="15" fillId="3" borderId="6" xfId="0" applyFont="1" applyFill="1" applyBorder="1" applyAlignment="1">
      <alignment wrapText="1"/>
    </xf>
    <xf numFmtId="0" fontId="13" fillId="0" borderId="0" xfId="0" applyFont="1"/>
    <xf numFmtId="0" fontId="11" fillId="0" borderId="0" xfId="0" applyFont="1"/>
    <xf numFmtId="0" fontId="5" fillId="4" borderId="30" xfId="0" applyFont="1" applyFill="1" applyBorder="1"/>
    <xf numFmtId="0" fontId="5" fillId="4" borderId="36" xfId="0" applyFont="1" applyFill="1" applyBorder="1"/>
    <xf numFmtId="0" fontId="5" fillId="4" borderId="40" xfId="0" applyFont="1" applyFill="1" applyBorder="1"/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16" fillId="0" borderId="20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164" fontId="17" fillId="5" borderId="10" xfId="0" applyNumberFormat="1" applyFont="1" applyFill="1" applyBorder="1" applyAlignment="1">
      <alignment horizontal="center" vertical="center" wrapText="1"/>
    </xf>
    <xf numFmtId="164" fontId="17" fillId="5" borderId="46" xfId="0" applyNumberFormat="1" applyFont="1" applyFill="1" applyBorder="1" applyAlignment="1">
      <alignment horizontal="center" vertical="center" wrapText="1"/>
    </xf>
    <xf numFmtId="164" fontId="17" fillId="5" borderId="60" xfId="0" applyNumberFormat="1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164" fontId="17" fillId="5" borderId="64" xfId="0" applyNumberFormat="1" applyFont="1" applyFill="1" applyBorder="1" applyAlignment="1">
      <alignment horizontal="center" vertical="center" wrapText="1"/>
    </xf>
    <xf numFmtId="164" fontId="17" fillId="5" borderId="48" xfId="0" applyNumberFormat="1" applyFont="1" applyFill="1" applyBorder="1" applyAlignment="1">
      <alignment horizontal="center" vertical="center" wrapText="1"/>
    </xf>
    <xf numFmtId="0" fontId="17" fillId="5" borderId="49" xfId="0" applyFont="1" applyFill="1" applyBorder="1" applyAlignment="1">
      <alignment horizontal="center" vertical="center" wrapText="1"/>
    </xf>
    <xf numFmtId="2" fontId="17" fillId="6" borderId="25" xfId="0" applyNumberFormat="1" applyFont="1" applyFill="1" applyBorder="1" applyAlignment="1">
      <alignment horizontal="center" vertical="center" wrapText="1"/>
    </xf>
    <xf numFmtId="2" fontId="17" fillId="6" borderId="31" xfId="0" applyNumberFormat="1" applyFont="1" applyFill="1" applyBorder="1" applyAlignment="1">
      <alignment horizontal="center" vertical="center" wrapText="1"/>
    </xf>
    <xf numFmtId="2" fontId="17" fillId="6" borderId="18" xfId="0" applyNumberFormat="1" applyFont="1" applyFill="1" applyBorder="1" applyAlignment="1">
      <alignment horizontal="center" vertical="center" wrapText="1"/>
    </xf>
    <xf numFmtId="2" fontId="17" fillId="6" borderId="41" xfId="0" applyNumberFormat="1" applyFont="1" applyFill="1" applyBorder="1" applyAlignment="1">
      <alignment horizontal="center" vertical="center" wrapText="1"/>
    </xf>
    <xf numFmtId="2" fontId="17" fillId="7" borderId="25" xfId="0" applyNumberFormat="1" applyFont="1" applyFill="1" applyBorder="1" applyAlignment="1">
      <alignment horizontal="center" vertical="center" wrapText="1"/>
    </xf>
    <xf numFmtId="2" fontId="17" fillId="7" borderId="31" xfId="0" applyNumberFormat="1" applyFont="1" applyFill="1" applyBorder="1" applyAlignment="1">
      <alignment horizontal="center" vertical="center" wrapText="1"/>
    </xf>
    <xf numFmtId="2" fontId="17" fillId="7" borderId="18" xfId="0" applyNumberFormat="1" applyFont="1" applyFill="1" applyBorder="1" applyAlignment="1">
      <alignment horizontal="center" vertical="center" wrapText="1"/>
    </xf>
    <xf numFmtId="2" fontId="17" fillId="7" borderId="41" xfId="0" applyNumberFormat="1" applyFont="1" applyFill="1" applyBorder="1" applyAlignment="1">
      <alignment horizontal="center" vertical="center" wrapText="1"/>
    </xf>
    <xf numFmtId="2" fontId="17" fillId="5" borderId="25" xfId="0" applyNumberFormat="1" applyFont="1" applyFill="1" applyBorder="1" applyAlignment="1">
      <alignment horizontal="center" vertical="center" wrapText="1"/>
    </xf>
    <xf numFmtId="2" fontId="17" fillId="5" borderId="31" xfId="0" applyNumberFormat="1" applyFont="1" applyFill="1" applyBorder="1" applyAlignment="1">
      <alignment horizontal="center" vertical="center" wrapText="1"/>
    </xf>
    <xf numFmtId="2" fontId="17" fillId="5" borderId="18" xfId="0" applyNumberFormat="1" applyFont="1" applyFill="1" applyBorder="1" applyAlignment="1">
      <alignment horizontal="center" vertical="center" wrapText="1"/>
    </xf>
    <xf numFmtId="2" fontId="17" fillId="5" borderId="41" xfId="0" applyNumberFormat="1" applyFont="1" applyFill="1" applyBorder="1" applyAlignment="1">
      <alignment horizontal="center" vertical="center" wrapText="1"/>
    </xf>
    <xf numFmtId="2" fontId="17" fillId="5" borderId="32" xfId="0" applyNumberFormat="1" applyFont="1" applyFill="1" applyBorder="1" applyAlignment="1">
      <alignment horizontal="center" vertical="center" wrapText="1"/>
    </xf>
    <xf numFmtId="2" fontId="17" fillId="5" borderId="6" xfId="0" applyNumberFormat="1" applyFont="1" applyFill="1" applyBorder="1" applyAlignment="1">
      <alignment horizontal="center" vertical="center" wrapText="1"/>
    </xf>
    <xf numFmtId="2" fontId="17" fillId="5" borderId="26" xfId="0" applyNumberFormat="1" applyFont="1" applyFill="1" applyBorder="1" applyAlignment="1">
      <alignment horizontal="center" vertical="center" wrapText="1"/>
    </xf>
    <xf numFmtId="0" fontId="2" fillId="5" borderId="46" xfId="0" applyFont="1" applyFill="1" applyBorder="1" applyAlignment="1">
      <alignment horizontal="center"/>
    </xf>
    <xf numFmtId="165" fontId="2" fillId="5" borderId="46" xfId="0" applyNumberFormat="1" applyFont="1" applyFill="1" applyBorder="1" applyAlignment="1">
      <alignment horizontal="center"/>
    </xf>
    <xf numFmtId="2" fontId="17" fillId="5" borderId="83" xfId="0" applyNumberFormat="1" applyFont="1" applyFill="1" applyBorder="1" applyAlignment="1">
      <alignment horizontal="center" vertical="center" wrapText="1"/>
    </xf>
    <xf numFmtId="2" fontId="17" fillId="5" borderId="6" xfId="0" applyNumberFormat="1" applyFont="1" applyFill="1" applyBorder="1" applyAlignment="1">
      <alignment horizontal="center" wrapText="1"/>
    </xf>
    <xf numFmtId="2" fontId="17" fillId="7" borderId="6" xfId="0" applyNumberFormat="1" applyFont="1" applyFill="1" applyBorder="1" applyAlignment="1">
      <alignment horizontal="center" wrapText="1"/>
    </xf>
    <xf numFmtId="2" fontId="2" fillId="5" borderId="46" xfId="0" applyNumberFormat="1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165" fontId="2" fillId="5" borderId="6" xfId="0" applyNumberFormat="1" applyFont="1" applyFill="1" applyBorder="1" applyAlignment="1">
      <alignment horizontal="center" vertical="center" wrapText="1"/>
    </xf>
    <xf numFmtId="165" fontId="2" fillId="9" borderId="6" xfId="0" applyNumberFormat="1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167" fontId="2" fillId="5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167" fontId="2" fillId="7" borderId="6" xfId="0" applyNumberFormat="1" applyFont="1" applyFill="1" applyBorder="1" applyAlignment="1">
      <alignment horizontal="center" vertical="center" wrapText="1"/>
    </xf>
    <xf numFmtId="168" fontId="2" fillId="5" borderId="6" xfId="0" applyNumberFormat="1" applyFont="1" applyFill="1" applyBorder="1" applyAlignment="1">
      <alignment horizontal="center" vertical="center" wrapText="1"/>
    </xf>
    <xf numFmtId="168" fontId="2" fillId="5" borderId="85" xfId="0" applyNumberFormat="1" applyFont="1" applyFill="1" applyBorder="1" applyAlignment="1">
      <alignment vertical="top" wrapText="1"/>
    </xf>
    <xf numFmtId="168" fontId="2" fillId="5" borderId="86" xfId="0" applyNumberFormat="1" applyFont="1" applyFill="1" applyBorder="1" applyAlignment="1">
      <alignment vertical="top" wrapText="1"/>
    </xf>
    <xf numFmtId="168" fontId="2" fillId="9" borderId="86" xfId="0" applyNumberFormat="1" applyFont="1" applyFill="1" applyBorder="1" applyAlignment="1">
      <alignment vertical="top" wrapText="1"/>
    </xf>
    <xf numFmtId="168" fontId="2" fillId="5" borderId="87" xfId="0" applyNumberFormat="1" applyFont="1" applyFill="1" applyBorder="1" applyAlignment="1">
      <alignment vertical="top" wrapText="1"/>
    </xf>
    <xf numFmtId="0" fontId="2" fillId="5" borderId="6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165" fontId="2" fillId="5" borderId="6" xfId="0" applyNumberFormat="1" applyFont="1" applyFill="1" applyBorder="1" applyAlignment="1">
      <alignment horizontal="center"/>
    </xf>
    <xf numFmtId="2" fontId="2" fillId="0" borderId="0" xfId="0" applyNumberFormat="1" applyFont="1"/>
    <xf numFmtId="0" fontId="2" fillId="0" borderId="59" xfId="0" applyFont="1" applyBorder="1"/>
    <xf numFmtId="0" fontId="2" fillId="0" borderId="9" xfId="0" applyFont="1" applyBorder="1"/>
    <xf numFmtId="0" fontId="2" fillId="0" borderId="0" xfId="0" applyFont="1"/>
    <xf numFmtId="0" fontId="2" fillId="7" borderId="46" xfId="0" applyFont="1" applyFill="1" applyBorder="1"/>
    <xf numFmtId="9" fontId="2" fillId="0" borderId="0" xfId="0" applyNumberFormat="1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7" xfId="0" applyFont="1" applyBorder="1" applyAlignment="1">
      <alignment wrapText="1"/>
    </xf>
    <xf numFmtId="0" fontId="2" fillId="10" borderId="46" xfId="0" applyFont="1" applyFill="1" applyBorder="1"/>
    <xf numFmtId="2" fontId="2" fillId="0" borderId="59" xfId="0" applyNumberFormat="1" applyFont="1" applyBorder="1"/>
    <xf numFmtId="169" fontId="2" fillId="0" borderId="59" xfId="0" applyNumberFormat="1" applyFont="1" applyBorder="1"/>
    <xf numFmtId="0" fontId="2" fillId="0" borderId="61" xfId="0" applyFont="1" applyBorder="1" applyAlignment="1">
      <alignment wrapText="1"/>
    </xf>
    <xf numFmtId="2" fontId="2" fillId="0" borderId="63" xfId="0" applyNumberFormat="1" applyFont="1" applyBorder="1"/>
    <xf numFmtId="165" fontId="2" fillId="0" borderId="59" xfId="0" applyNumberFormat="1" applyFont="1" applyBorder="1"/>
    <xf numFmtId="167" fontId="2" fillId="0" borderId="59" xfId="0" applyNumberFormat="1" applyFont="1" applyBorder="1"/>
    <xf numFmtId="2" fontId="0" fillId="0" borderId="0" xfId="0" applyNumberFormat="1" applyFont="1" applyAlignment="1"/>
    <xf numFmtId="2" fontId="5" fillId="2" borderId="25" xfId="0" applyNumberFormat="1" applyFont="1" applyFill="1" applyBorder="1"/>
    <xf numFmtId="2" fontId="5" fillId="2" borderId="6" xfId="0" applyNumberFormat="1" applyFont="1" applyFill="1" applyBorder="1"/>
    <xf numFmtId="2" fontId="5" fillId="2" borderId="37" xfId="0" applyNumberFormat="1" applyFont="1" applyFill="1" applyBorder="1"/>
    <xf numFmtId="2" fontId="5" fillId="2" borderId="18" xfId="0" applyNumberFormat="1" applyFont="1" applyFill="1" applyBorder="1"/>
    <xf numFmtId="2" fontId="5" fillId="2" borderId="41" xfId="0" applyNumberFormat="1" applyFont="1" applyFill="1" applyBorder="1"/>
    <xf numFmtId="2" fontId="5" fillId="4" borderId="25" xfId="0" applyNumberFormat="1" applyFont="1" applyFill="1" applyBorder="1"/>
    <xf numFmtId="2" fontId="5" fillId="4" borderId="6" xfId="0" applyNumberFormat="1" applyFont="1" applyFill="1" applyBorder="1"/>
    <xf numFmtId="2" fontId="5" fillId="4" borderId="37" xfId="0" applyNumberFormat="1" applyFont="1" applyFill="1" applyBorder="1"/>
    <xf numFmtId="2" fontId="5" fillId="4" borderId="18" xfId="0" applyNumberFormat="1" applyFont="1" applyFill="1" applyBorder="1"/>
    <xf numFmtId="2" fontId="5" fillId="4" borderId="41" xfId="0" applyNumberFormat="1" applyFont="1" applyFill="1" applyBorder="1"/>
    <xf numFmtId="165" fontId="2" fillId="0" borderId="6" xfId="0" applyNumberFormat="1" applyFont="1" applyBorder="1"/>
    <xf numFmtId="2" fontId="2" fillId="0" borderId="6" xfId="0" applyNumberFormat="1" applyFont="1" applyBorder="1"/>
    <xf numFmtId="0" fontId="0" fillId="0" borderId="0" xfId="0" applyFont="1" applyAlignment="1"/>
    <xf numFmtId="2" fontId="5" fillId="0" borderId="18" xfId="0" applyNumberFormat="1" applyFont="1" applyBorder="1" applyAlignment="1">
      <alignment vertical="center"/>
    </xf>
    <xf numFmtId="2" fontId="5" fillId="0" borderId="6" xfId="0" applyNumberFormat="1" applyFont="1" applyBorder="1"/>
    <xf numFmtId="2" fontId="5" fillId="0" borderId="18" xfId="0" applyNumberFormat="1" applyFont="1" applyBorder="1"/>
    <xf numFmtId="0" fontId="20" fillId="0" borderId="6" xfId="0" applyFont="1" applyBorder="1"/>
    <xf numFmtId="0" fontId="2" fillId="0" borderId="45" xfId="0" applyFont="1" applyBorder="1"/>
    <xf numFmtId="0" fontId="2" fillId="0" borderId="88" xfId="0" applyFont="1" applyBorder="1"/>
    <xf numFmtId="0" fontId="20" fillId="9" borderId="32" xfId="0" applyFont="1" applyFill="1" applyBorder="1" applyAlignment="1">
      <alignment horizontal="center" vertical="center" wrapText="1"/>
    </xf>
    <xf numFmtId="0" fontId="20" fillId="7" borderId="3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7" fillId="0" borderId="19" xfId="0" applyFont="1" applyBorder="1" applyAlignment="1">
      <alignment horizontal="left" vertical="center" wrapText="1"/>
    </xf>
    <xf numFmtId="0" fontId="3" fillId="0" borderId="20" xfId="0" applyFont="1" applyBorder="1"/>
    <xf numFmtId="0" fontId="8" fillId="0" borderId="22" xfId="0" applyFont="1" applyBorder="1" applyAlignment="1">
      <alignment horizontal="center" vertical="center"/>
    </xf>
    <xf numFmtId="0" fontId="3" fillId="0" borderId="23" xfId="0" applyFont="1" applyBorder="1"/>
    <xf numFmtId="0" fontId="7" fillId="0" borderId="16" xfId="0" applyFont="1" applyBorder="1" applyAlignment="1">
      <alignment horizontal="left" vertical="center" wrapText="1"/>
    </xf>
    <xf numFmtId="0" fontId="3" fillId="0" borderId="17" xfId="0" applyFont="1" applyBorder="1"/>
    <xf numFmtId="0" fontId="5" fillId="2" borderId="38" xfId="0" applyFont="1" applyFill="1" applyBorder="1" applyAlignment="1">
      <alignment horizontal="left"/>
    </xf>
    <xf numFmtId="0" fontId="3" fillId="0" borderId="24" xfId="0" applyFont="1" applyBorder="1"/>
    <xf numFmtId="0" fontId="3" fillId="0" borderId="39" xfId="0" applyFont="1" applyBorder="1"/>
    <xf numFmtId="0" fontId="5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0" borderId="1" xfId="0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2" fillId="0" borderId="5" xfId="0" applyFont="1" applyBorder="1" applyAlignment="1">
      <alignment horizontal="center"/>
    </xf>
    <xf numFmtId="0" fontId="0" fillId="0" borderId="0" xfId="0" applyFont="1" applyAlignment="1"/>
    <xf numFmtId="0" fontId="3" fillId="0" borderId="11" xfId="0" applyFont="1" applyBorder="1"/>
    <xf numFmtId="0" fontId="5" fillId="0" borderId="13" xfId="0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6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9" xfId="0" applyFont="1" applyBorder="1"/>
    <xf numFmtId="0" fontId="5" fillId="4" borderId="38" xfId="0" applyFont="1" applyFill="1" applyBorder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3" fillId="0" borderId="21" xfId="0" applyFont="1" applyBorder="1"/>
    <xf numFmtId="0" fontId="5" fillId="2" borderId="27" xfId="0" applyFont="1" applyFill="1" applyBorder="1" applyAlignment="1">
      <alignment horizontal="left"/>
    </xf>
    <xf numFmtId="0" fontId="3" fillId="0" borderId="28" xfId="0" applyFont="1" applyBorder="1"/>
    <xf numFmtId="0" fontId="3" fillId="0" borderId="29" xfId="0" applyFont="1" applyBorder="1"/>
    <xf numFmtId="0" fontId="5" fillId="2" borderId="33" xfId="0" applyFont="1" applyFill="1" applyBorder="1" applyAlignment="1">
      <alignment horizontal="left"/>
    </xf>
    <xf numFmtId="0" fontId="3" fillId="0" borderId="34" xfId="0" applyFont="1" applyBorder="1"/>
    <xf numFmtId="0" fontId="3" fillId="0" borderId="35" xfId="0" applyFont="1" applyBorder="1"/>
    <xf numFmtId="0" fontId="5" fillId="4" borderId="27" xfId="0" applyFont="1" applyFill="1" applyBorder="1" applyAlignment="1">
      <alignment horizontal="left"/>
    </xf>
    <xf numFmtId="0" fontId="5" fillId="4" borderId="33" xfId="0" applyFont="1" applyFill="1" applyBorder="1" applyAlignment="1">
      <alignment horizontal="left"/>
    </xf>
    <xf numFmtId="0" fontId="6" fillId="0" borderId="19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/>
    </xf>
    <xf numFmtId="0" fontId="3" fillId="0" borderId="43" xfId="0" applyFont="1" applyBorder="1"/>
    <xf numFmtId="0" fontId="3" fillId="0" borderId="44" xfId="0" applyFont="1" applyBorder="1"/>
    <xf numFmtId="0" fontId="2" fillId="0" borderId="16" xfId="0" applyFont="1" applyBorder="1" applyAlignment="1">
      <alignment horizontal="center" vertical="center"/>
    </xf>
    <xf numFmtId="0" fontId="3" fillId="0" borderId="78" xfId="0" applyFont="1" applyBorder="1"/>
    <xf numFmtId="0" fontId="3" fillId="0" borderId="76" xfId="0" applyFont="1" applyBorder="1"/>
    <xf numFmtId="0" fontId="16" fillId="0" borderId="55" xfId="0" applyFont="1" applyBorder="1" applyAlignment="1">
      <alignment horizontal="center" vertical="center"/>
    </xf>
    <xf numFmtId="0" fontId="3" fillId="0" borderId="45" xfId="0" applyFont="1" applyBorder="1"/>
    <xf numFmtId="0" fontId="2" fillId="0" borderId="55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3" fillId="0" borderId="47" xfId="0" applyFont="1" applyBorder="1"/>
    <xf numFmtId="0" fontId="16" fillId="0" borderId="50" xfId="0" applyFont="1" applyBorder="1" applyAlignment="1">
      <alignment horizontal="center" vertical="center"/>
    </xf>
    <xf numFmtId="0" fontId="3" fillId="0" borderId="51" xfId="0" applyFont="1" applyBorder="1"/>
    <xf numFmtId="0" fontId="16" fillId="0" borderId="53" xfId="0" applyFont="1" applyBorder="1" applyAlignment="1">
      <alignment horizontal="center" vertical="center"/>
    </xf>
    <xf numFmtId="0" fontId="3" fillId="0" borderId="54" xfId="0" applyFont="1" applyBorder="1"/>
    <xf numFmtId="0" fontId="2" fillId="5" borderId="55" xfId="0" applyFont="1" applyFill="1" applyBorder="1" applyAlignment="1">
      <alignment horizontal="center" wrapText="1"/>
    </xf>
    <xf numFmtId="2" fontId="17" fillId="7" borderId="22" xfId="0" applyNumberFormat="1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53" xfId="0" applyFont="1" applyBorder="1"/>
    <xf numFmtId="2" fontId="17" fillId="7" borderId="16" xfId="0" applyNumberFormat="1" applyFont="1" applyFill="1" applyBorder="1" applyAlignment="1">
      <alignment horizontal="center" wrapText="1"/>
    </xf>
    <xf numFmtId="2" fontId="17" fillId="5" borderId="22" xfId="0" applyNumberFormat="1" applyFont="1" applyFill="1" applyBorder="1" applyAlignment="1">
      <alignment horizontal="center" wrapText="1"/>
    </xf>
    <xf numFmtId="2" fontId="17" fillId="5" borderId="22" xfId="0" applyNumberFormat="1" applyFont="1" applyFill="1" applyBorder="1" applyAlignment="1">
      <alignment horizontal="center" vertical="center" wrapText="1"/>
    </xf>
    <xf numFmtId="2" fontId="17" fillId="5" borderId="16" xfId="0" applyNumberFormat="1" applyFont="1" applyFill="1" applyBorder="1" applyAlignment="1">
      <alignment horizontal="center" wrapText="1"/>
    </xf>
    <xf numFmtId="2" fontId="17" fillId="5" borderId="22" xfId="0" applyNumberFormat="1" applyFont="1" applyFill="1" applyBorder="1" applyAlignment="1">
      <alignment horizontal="center" vertical="top" wrapText="1"/>
    </xf>
    <xf numFmtId="0" fontId="2" fillId="5" borderId="55" xfId="0" applyFont="1" applyFill="1" applyBorder="1" applyAlignment="1">
      <alignment horizontal="center" vertical="center" wrapText="1"/>
    </xf>
    <xf numFmtId="0" fontId="2" fillId="8" borderId="55" xfId="0" applyFont="1" applyFill="1" applyBorder="1" applyAlignment="1">
      <alignment horizontal="center" wrapText="1"/>
    </xf>
    <xf numFmtId="2" fontId="17" fillId="7" borderId="22" xfId="0" applyNumberFormat="1" applyFont="1" applyFill="1" applyBorder="1" applyAlignment="1">
      <alignment horizontal="center" wrapText="1"/>
    </xf>
    <xf numFmtId="0" fontId="2" fillId="5" borderId="55" xfId="0" applyFont="1" applyFill="1" applyBorder="1" applyAlignment="1">
      <alignment horizontal="center"/>
    </xf>
    <xf numFmtId="0" fontId="2" fillId="5" borderId="84" xfId="0" applyFont="1" applyFill="1" applyBorder="1" applyAlignment="1">
      <alignment horizontal="center" vertical="center" wrapText="1"/>
    </xf>
    <xf numFmtId="0" fontId="3" fillId="0" borderId="81" xfId="0" applyFont="1" applyBorder="1"/>
    <xf numFmtId="0" fontId="2" fillId="5" borderId="33" xfId="0" applyFont="1" applyFill="1" applyBorder="1" applyAlignment="1">
      <alignment horizontal="center" vertical="center" wrapText="1"/>
    </xf>
    <xf numFmtId="165" fontId="19" fillId="5" borderId="55" xfId="0" applyNumberFormat="1" applyFont="1" applyFill="1" applyBorder="1" applyAlignment="1">
      <alignment horizontal="center"/>
    </xf>
    <xf numFmtId="165" fontId="2" fillId="5" borderId="55" xfId="0" applyNumberFormat="1" applyFont="1" applyFill="1" applyBorder="1" applyAlignment="1">
      <alignment horizontal="center" vertical="center"/>
    </xf>
    <xf numFmtId="0" fontId="2" fillId="7" borderId="55" xfId="0" applyFont="1" applyFill="1" applyBorder="1" applyAlignment="1">
      <alignment horizontal="center" wrapText="1"/>
    </xf>
    <xf numFmtId="166" fontId="18" fillId="7" borderId="55" xfId="0" applyNumberFormat="1" applyFont="1" applyFill="1" applyBorder="1" applyAlignment="1">
      <alignment horizontal="center" wrapText="1"/>
    </xf>
    <xf numFmtId="165" fontId="19" fillId="5" borderId="55" xfId="0" applyNumberFormat="1" applyFont="1" applyFill="1" applyBorder="1" applyAlignment="1">
      <alignment horizontal="center" wrapText="1"/>
    </xf>
    <xf numFmtId="14" fontId="18" fillId="7" borderId="55" xfId="0" applyNumberFormat="1" applyFont="1" applyFill="1" applyBorder="1" applyAlignment="1">
      <alignment horizontal="center" wrapText="1"/>
    </xf>
    <xf numFmtId="0" fontId="3" fillId="0" borderId="34" xfId="0" applyNumberFormat="1" applyFont="1" applyBorder="1"/>
    <xf numFmtId="0" fontId="3" fillId="0" borderId="45" xfId="0" applyNumberFormat="1" applyFont="1" applyBorder="1"/>
    <xf numFmtId="14" fontId="3" fillId="0" borderId="34" xfId="0" applyNumberFormat="1" applyFont="1" applyBorder="1"/>
    <xf numFmtId="14" fontId="3" fillId="0" borderId="45" xfId="0" applyNumberFormat="1" applyFont="1" applyBorder="1"/>
    <xf numFmtId="0" fontId="17" fillId="8" borderId="55" xfId="0" applyFont="1" applyFill="1" applyBorder="1" applyAlignment="1">
      <alignment horizontal="center" wrapText="1"/>
    </xf>
    <xf numFmtId="2" fontId="17" fillId="5" borderId="2" xfId="0" applyNumberFormat="1" applyFont="1" applyFill="1" applyBorder="1" applyAlignment="1">
      <alignment horizontal="center" vertical="center" wrapText="1"/>
    </xf>
    <xf numFmtId="2" fontId="17" fillId="5" borderId="67" xfId="0" applyNumberFormat="1" applyFont="1" applyFill="1" applyBorder="1" applyAlignment="1">
      <alignment horizontal="center" vertical="center" wrapText="1"/>
    </xf>
    <xf numFmtId="0" fontId="3" fillId="0" borderId="66" xfId="0" applyFont="1" applyBorder="1"/>
    <xf numFmtId="0" fontId="3" fillId="0" borderId="68" xfId="0" applyFont="1" applyBorder="1"/>
    <xf numFmtId="2" fontId="17" fillId="5" borderId="19" xfId="0" applyNumberFormat="1" applyFont="1" applyFill="1" applyBorder="1" applyAlignment="1">
      <alignment horizontal="center" vertical="center" wrapText="1"/>
    </xf>
    <xf numFmtId="0" fontId="3" fillId="0" borderId="77" xfId="0" applyFont="1" applyBorder="1"/>
    <xf numFmtId="2" fontId="17" fillId="5" borderId="16" xfId="0" applyNumberFormat="1" applyFont="1" applyFill="1" applyBorder="1" applyAlignment="1">
      <alignment horizontal="center" vertical="center" wrapText="1"/>
    </xf>
    <xf numFmtId="2" fontId="17" fillId="5" borderId="42" xfId="0" applyNumberFormat="1" applyFont="1" applyFill="1" applyBorder="1" applyAlignment="1">
      <alignment horizontal="center" vertical="center" wrapText="1"/>
    </xf>
    <xf numFmtId="0" fontId="3" fillId="0" borderId="61" xfId="0" applyFont="1" applyBorder="1"/>
    <xf numFmtId="2" fontId="17" fillId="5" borderId="79" xfId="0" applyNumberFormat="1" applyFont="1" applyFill="1" applyBorder="1" applyAlignment="1">
      <alignment vertical="center" wrapText="1"/>
    </xf>
    <xf numFmtId="0" fontId="3" fillId="0" borderId="80" xfId="0" applyFont="1" applyBorder="1"/>
    <xf numFmtId="2" fontId="17" fillId="6" borderId="42" xfId="0" applyNumberFormat="1" applyFont="1" applyFill="1" applyBorder="1" applyAlignment="1">
      <alignment horizontal="center" vertical="center" wrapText="1"/>
    </xf>
    <xf numFmtId="2" fontId="17" fillId="6" borderId="67" xfId="0" applyNumberFormat="1" applyFont="1" applyFill="1" applyBorder="1" applyAlignment="1">
      <alignment horizontal="center" vertical="center" wrapText="1"/>
    </xf>
    <xf numFmtId="2" fontId="17" fillId="6" borderId="19" xfId="0" applyNumberFormat="1" applyFont="1" applyFill="1" applyBorder="1" applyAlignment="1">
      <alignment horizontal="center" vertical="center" wrapText="1"/>
    </xf>
    <xf numFmtId="2" fontId="17" fillId="5" borderId="69" xfId="0" applyNumberFormat="1" applyFont="1" applyFill="1" applyBorder="1" applyAlignment="1">
      <alignment horizontal="center" vertical="center" wrapText="1"/>
    </xf>
    <xf numFmtId="0" fontId="3" fillId="0" borderId="70" xfId="0" applyFont="1" applyBorder="1"/>
    <xf numFmtId="0" fontId="3" fillId="0" borderId="71" xfId="0" applyFont="1" applyBorder="1"/>
    <xf numFmtId="2" fontId="17" fillId="7" borderId="42" xfId="0" applyNumberFormat="1" applyFont="1" applyFill="1" applyBorder="1" applyAlignment="1">
      <alignment horizontal="center" vertical="center" wrapText="1"/>
    </xf>
    <xf numFmtId="2" fontId="17" fillId="7" borderId="19" xfId="0" applyNumberFormat="1" applyFont="1" applyFill="1" applyBorder="1" applyAlignment="1">
      <alignment horizontal="center" vertical="center" wrapText="1"/>
    </xf>
    <xf numFmtId="0" fontId="17" fillId="5" borderId="42" xfId="0" applyFont="1" applyFill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3" fillId="0" borderId="58" xfId="0" applyFont="1" applyBorder="1"/>
    <xf numFmtId="0" fontId="3" fillId="0" borderId="62" xfId="0" applyFont="1" applyBorder="1"/>
    <xf numFmtId="0" fontId="3" fillId="0" borderId="59" xfId="0" applyFont="1" applyBorder="1"/>
    <xf numFmtId="0" fontId="3" fillId="0" borderId="63" xfId="0" applyFont="1" applyBorder="1"/>
    <xf numFmtId="164" fontId="17" fillId="5" borderId="2" xfId="0" applyNumberFormat="1" applyFont="1" applyFill="1" applyBorder="1" applyAlignment="1">
      <alignment horizontal="center" vertical="center" wrapText="1"/>
    </xf>
    <xf numFmtId="164" fontId="17" fillId="5" borderId="1" xfId="0" applyNumberFormat="1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 wrapText="1"/>
    </xf>
    <xf numFmtId="0" fontId="17" fillId="5" borderId="65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 wrapText="1"/>
    </xf>
    <xf numFmtId="2" fontId="17" fillId="5" borderId="72" xfId="0" applyNumberFormat="1" applyFont="1" applyFill="1" applyBorder="1" applyAlignment="1">
      <alignment horizontal="center" vertical="top" wrapText="1"/>
    </xf>
    <xf numFmtId="0" fontId="3" fillId="0" borderId="73" xfId="0" applyFont="1" applyBorder="1"/>
    <xf numFmtId="2" fontId="17" fillId="5" borderId="72" xfId="0" applyNumberFormat="1" applyFont="1" applyFill="1" applyBorder="1" applyAlignment="1">
      <alignment horizontal="center" vertical="center" wrapText="1"/>
    </xf>
    <xf numFmtId="2" fontId="17" fillId="5" borderId="74" xfId="0" applyNumberFormat="1" applyFont="1" applyFill="1" applyBorder="1" applyAlignment="1">
      <alignment horizontal="center" vertical="center" wrapText="1"/>
    </xf>
    <xf numFmtId="2" fontId="17" fillId="5" borderId="2" xfId="0" applyNumberFormat="1" applyFont="1" applyFill="1" applyBorder="1" applyAlignment="1">
      <alignment vertical="center" wrapText="1"/>
    </xf>
    <xf numFmtId="2" fontId="17" fillId="5" borderId="82" xfId="0" applyNumberFormat="1" applyFont="1" applyFill="1" applyBorder="1" applyAlignment="1">
      <alignment horizontal="center" vertical="top" wrapText="1"/>
    </xf>
    <xf numFmtId="2" fontId="17" fillId="5" borderId="42" xfId="0" applyNumberFormat="1" applyFont="1" applyFill="1" applyBorder="1" applyAlignment="1">
      <alignment horizontal="center" vertical="top" wrapText="1"/>
    </xf>
    <xf numFmtId="0" fontId="22" fillId="0" borderId="16" xfId="0" applyFont="1" applyBorder="1" applyAlignment="1">
      <alignment horizontal="center" wrapText="1"/>
    </xf>
    <xf numFmtId="49" fontId="23" fillId="0" borderId="6" xfId="0" applyNumberFormat="1" applyFont="1" applyBorder="1"/>
    <xf numFmtId="0" fontId="23" fillId="0" borderId="6" xfId="0" applyFont="1" applyBorder="1"/>
    <xf numFmtId="2" fontId="23" fillId="0" borderId="6" xfId="0" applyNumberFormat="1" applyFont="1" applyBorder="1"/>
    <xf numFmtId="0" fontId="23" fillId="0" borderId="20" xfId="0" applyFont="1" applyBorder="1"/>
    <xf numFmtId="0" fontId="23" fillId="0" borderId="88" xfId="0" applyFont="1" applyBorder="1" applyAlignment="1">
      <alignment wrapText="1"/>
    </xf>
    <xf numFmtId="0" fontId="23" fillId="0" borderId="45" xfId="0" applyFont="1" applyBorder="1"/>
    <xf numFmtId="0" fontId="23" fillId="0" borderId="26" xfId="0" applyFont="1" applyBorder="1"/>
    <xf numFmtId="0" fontId="23" fillId="0" borderId="78" xfId="0" applyFont="1" applyBorder="1"/>
    <xf numFmtId="0" fontId="23" fillId="0" borderId="88" xfId="0" applyFont="1" applyBorder="1"/>
    <xf numFmtId="0" fontId="23" fillId="0" borderId="17" xfId="0" applyFont="1" applyBorder="1"/>
    <xf numFmtId="0" fontId="23" fillId="0" borderId="17" xfId="0" applyFont="1" applyBorder="1" applyAlignment="1">
      <alignment wrapText="1"/>
    </xf>
    <xf numFmtId="49" fontId="23" fillId="0" borderId="16" xfId="0" applyNumberFormat="1" applyFont="1" applyBorder="1" applyAlignment="1">
      <alignment horizontal="center"/>
    </xf>
    <xf numFmtId="0" fontId="23" fillId="0" borderId="45" xfId="0" applyFont="1" applyBorder="1" applyAlignment="1">
      <alignment wrapText="1"/>
    </xf>
    <xf numFmtId="0" fontId="23" fillId="3" borderId="6" xfId="0" applyFont="1" applyFill="1" applyBorder="1"/>
    <xf numFmtId="0" fontId="23" fillId="3" borderId="6" xfId="0" applyFont="1" applyFill="1" applyBorder="1" applyAlignment="1">
      <alignment wrapText="1"/>
    </xf>
    <xf numFmtId="0" fontId="2" fillId="0" borderId="22" xfId="0" applyFont="1" applyBorder="1" applyAlignment="1">
      <alignment horizontal="center" vertical="center"/>
    </xf>
    <xf numFmtId="0" fontId="22" fillId="0" borderId="75" xfId="0" applyFont="1" applyBorder="1" applyAlignment="1">
      <alignment horizontal="center" wrapText="1"/>
    </xf>
    <xf numFmtId="0" fontId="24" fillId="0" borderId="81" xfId="0" applyFont="1" applyBorder="1"/>
    <xf numFmtId="0" fontId="21" fillId="0" borderId="88" xfId="0" applyFont="1" applyBorder="1" applyAlignment="1">
      <alignment horizontal="center" vertical="center"/>
    </xf>
    <xf numFmtId="0" fontId="24" fillId="0" borderId="88" xfId="0" applyFont="1" applyBorder="1"/>
    <xf numFmtId="0" fontId="26" fillId="0" borderId="6" xfId="0" applyFont="1" applyBorder="1" applyAlignment="1">
      <alignment vertical="center"/>
    </xf>
    <xf numFmtId="0" fontId="26" fillId="0" borderId="20" xfId="0" applyFont="1" applyBorder="1" applyAlignment="1">
      <alignment vertical="center"/>
    </xf>
    <xf numFmtId="0" fontId="26" fillId="0" borderId="20" xfId="0" applyFont="1" applyBorder="1"/>
    <xf numFmtId="0" fontId="26" fillId="0" borderId="6" xfId="0" applyFont="1" applyBorder="1"/>
    <xf numFmtId="0" fontId="26" fillId="0" borderId="25" xfId="0" applyFont="1" applyBorder="1"/>
    <xf numFmtId="0" fontId="27" fillId="0" borderId="88" xfId="0" applyFont="1" applyBorder="1" applyAlignment="1">
      <alignment wrapText="1"/>
    </xf>
    <xf numFmtId="0" fontId="27" fillId="0" borderId="70" xfId="0" applyFont="1" applyBorder="1" applyAlignment="1">
      <alignment wrapText="1"/>
    </xf>
    <xf numFmtId="0" fontId="23" fillId="0" borderId="89" xfId="0" applyFont="1" applyBorder="1" applyAlignment="1">
      <alignment wrapText="1"/>
    </xf>
    <xf numFmtId="0" fontId="27" fillId="11" borderId="89" xfId="0" applyFont="1" applyFill="1" applyBorder="1" applyAlignment="1">
      <alignment vertical="top" wrapText="1"/>
    </xf>
    <xf numFmtId="0" fontId="27" fillId="0" borderId="89" xfId="0" applyFont="1" applyBorder="1" applyAlignment="1">
      <alignment wrapText="1"/>
    </xf>
    <xf numFmtId="0" fontId="23" fillId="0" borderId="81" xfId="0" applyFont="1" applyBorder="1" applyAlignment="1">
      <alignment wrapText="1"/>
    </xf>
    <xf numFmtId="0" fontId="21" fillId="0" borderId="88" xfId="0" applyFont="1" applyBorder="1"/>
    <xf numFmtId="0" fontId="28" fillId="0" borderId="88" xfId="0" applyFont="1" applyBorder="1" applyAlignment="1"/>
    <xf numFmtId="0" fontId="28" fillId="0" borderId="88" xfId="0" applyFont="1" applyBorder="1"/>
    <xf numFmtId="2" fontId="23" fillId="0" borderId="20" xfId="0" applyNumberFormat="1" applyFont="1" applyBorder="1"/>
    <xf numFmtId="2" fontId="23" fillId="0" borderId="26" xfId="0" applyNumberFormat="1" applyFont="1" applyBorder="1"/>
    <xf numFmtId="2" fontId="23" fillId="0" borderId="78" xfId="0" applyNumberFormat="1" applyFont="1" applyBorder="1"/>
    <xf numFmtId="2" fontId="23" fillId="0" borderId="88" xfId="0" applyNumberFormat="1" applyFont="1" applyBorder="1"/>
    <xf numFmtId="2" fontId="23" fillId="0" borderId="17" xfId="0" applyNumberFormat="1" applyFont="1" applyBorder="1"/>
    <xf numFmtId="2" fontId="25" fillId="0" borderId="0" xfId="0" applyNumberFormat="1" applyFont="1" applyAlignment="1"/>
    <xf numFmtId="2" fontId="23" fillId="3" borderId="6" xfId="0" applyNumberFormat="1" applyFont="1" applyFill="1" applyBorder="1"/>
    <xf numFmtId="0" fontId="28" fillId="0" borderId="0" xfId="0" applyFont="1" applyAlignment="1">
      <alignment wrapText="1"/>
    </xf>
    <xf numFmtId="0" fontId="21" fillId="0" borderId="6" xfId="0" applyFont="1" applyBorder="1"/>
    <xf numFmtId="0" fontId="21" fillId="0" borderId="88" xfId="0" applyFont="1" applyBorder="1" applyAlignment="1">
      <alignment wrapText="1"/>
    </xf>
    <xf numFmtId="0" fontId="28" fillId="11" borderId="88" xfId="0" applyFont="1" applyFill="1" applyBorder="1" applyAlignment="1">
      <alignment vertical="top" wrapText="1"/>
    </xf>
    <xf numFmtId="0" fontId="28" fillId="0" borderId="88" xfId="0" applyFont="1" applyBorder="1" applyAlignment="1">
      <alignment wrapText="1"/>
    </xf>
    <xf numFmtId="0" fontId="23" fillId="0" borderId="75" xfId="0" applyFont="1" applyBorder="1"/>
    <xf numFmtId="0" fontId="23" fillId="0" borderId="89" xfId="0" applyFont="1" applyBorder="1"/>
    <xf numFmtId="0" fontId="24" fillId="0" borderId="78" xfId="0" applyNumberFormat="1" applyFont="1" applyBorder="1"/>
    <xf numFmtId="0" fontId="24" fillId="0" borderId="78" xfId="0" applyFont="1" applyBorder="1"/>
    <xf numFmtId="0" fontId="23" fillId="3" borderId="90" xfId="0" applyFont="1" applyFill="1" applyBorder="1"/>
    <xf numFmtId="2" fontId="23" fillId="3" borderId="90" xfId="0" applyNumberFormat="1" applyFont="1" applyFill="1" applyBorder="1"/>
    <xf numFmtId="0" fontId="28" fillId="0" borderId="6" xfId="0" applyFont="1" applyBorder="1"/>
    <xf numFmtId="0" fontId="21" fillId="0" borderId="45" xfId="0" applyFont="1" applyBorder="1" applyAlignment="1">
      <alignment wrapText="1"/>
    </xf>
    <xf numFmtId="0" fontId="21" fillId="3" borderId="6" xfId="0" applyFont="1" applyFill="1" applyBorder="1"/>
    <xf numFmtId="0" fontId="21" fillId="3" borderId="6" xfId="0" applyFont="1" applyFill="1" applyBorder="1" applyAlignment="1">
      <alignment wrapText="1"/>
    </xf>
    <xf numFmtId="0" fontId="29" fillId="0" borderId="88" xfId="0" applyFont="1" applyBorder="1" applyAlignment="1">
      <alignment wrapText="1"/>
    </xf>
    <xf numFmtId="49" fontId="30" fillId="0" borderId="91" xfId="0" applyNumberFormat="1" applyFont="1" applyBorder="1" applyAlignment="1">
      <alignment horizontal="left" wrapText="1"/>
    </xf>
    <xf numFmtId="49" fontId="1" fillId="0" borderId="91" xfId="0" applyNumberFormat="1" applyFont="1" applyBorder="1" applyAlignment="1">
      <alignment horizontal="left" wrapText="1"/>
    </xf>
    <xf numFmtId="49" fontId="31" fillId="0" borderId="91" xfId="0" applyNumberFormat="1" applyFont="1" applyBorder="1" applyAlignment="1">
      <alignment horizontal="left" wrapText="1"/>
    </xf>
    <xf numFmtId="0" fontId="29" fillId="0" borderId="0" xfId="0" applyFont="1" applyAlignment="1">
      <alignment wrapText="1"/>
    </xf>
    <xf numFmtId="0" fontId="29" fillId="0" borderId="70" xfId="0" applyFont="1" applyBorder="1" applyAlignment="1">
      <alignment wrapText="1"/>
    </xf>
    <xf numFmtId="0" fontId="20" fillId="0" borderId="20" xfId="0" applyFont="1" applyBorder="1"/>
    <xf numFmtId="0" fontId="20" fillId="3" borderId="6" xfId="0" applyFont="1" applyFill="1" applyBorder="1"/>
    <xf numFmtId="0" fontId="23" fillId="0" borderId="0" xfId="0" applyFont="1"/>
    <xf numFmtId="0" fontId="2" fillId="0" borderId="67" xfId="0" applyFont="1" applyBorder="1" applyAlignment="1">
      <alignment horizontal="center" vertical="center"/>
    </xf>
    <xf numFmtId="0" fontId="2" fillId="0" borderId="81" xfId="0" applyFont="1" applyBorder="1"/>
    <xf numFmtId="0" fontId="2" fillId="3" borderId="45" xfId="0" applyFont="1" applyFill="1" applyBorder="1"/>
    <xf numFmtId="0" fontId="23" fillId="3" borderId="32" xfId="0" applyFont="1" applyFill="1" applyBorder="1"/>
    <xf numFmtId="0" fontId="27" fillId="0" borderId="88" xfId="0" applyFont="1" applyBorder="1"/>
    <xf numFmtId="0" fontId="23" fillId="3" borderId="88" xfId="0" applyFont="1" applyFill="1" applyBorder="1"/>
    <xf numFmtId="0" fontId="23" fillId="3" borderId="88" xfId="0" applyFont="1" applyFill="1" applyBorder="1" applyAlignment="1">
      <alignment wrapText="1"/>
    </xf>
    <xf numFmtId="0" fontId="29" fillId="0" borderId="93" xfId="0" applyFont="1" applyBorder="1" applyAlignment="1">
      <alignment wrapText="1"/>
    </xf>
    <xf numFmtId="0" fontId="32" fillId="0" borderId="0" xfId="0" applyFont="1" applyAlignment="1"/>
    <xf numFmtId="2" fontId="23" fillId="0" borderId="45" xfId="0" applyNumberFormat="1" applyFont="1" applyBorder="1"/>
    <xf numFmtId="2" fontId="23" fillId="0" borderId="32" xfId="0" applyNumberFormat="1" applyFont="1" applyBorder="1"/>
    <xf numFmtId="2" fontId="23" fillId="0" borderId="94" xfId="0" applyNumberFormat="1" applyFont="1" applyBorder="1"/>
    <xf numFmtId="0" fontId="32" fillId="11" borderId="95" xfId="0" applyFont="1" applyFill="1" applyBorder="1" applyAlignment="1">
      <alignment horizontal="center" wrapText="1"/>
    </xf>
    <xf numFmtId="49" fontId="1" fillId="0" borderId="95" xfId="0" applyNumberFormat="1" applyFont="1" applyBorder="1" applyAlignment="1">
      <alignment horizontal="left" wrapText="1"/>
    </xf>
    <xf numFmtId="0" fontId="29" fillId="0" borderId="95" xfId="0" applyFont="1" applyBorder="1" applyAlignment="1">
      <alignment wrapText="1"/>
    </xf>
    <xf numFmtId="0" fontId="2" fillId="0" borderId="32" xfId="0" applyFont="1" applyBorder="1"/>
    <xf numFmtId="0" fontId="2" fillId="3" borderId="90" xfId="0" applyFont="1" applyFill="1" applyBorder="1"/>
    <xf numFmtId="0" fontId="33" fillId="0" borderId="0" xfId="0" applyFont="1" applyAlignment="1"/>
    <xf numFmtId="0" fontId="34" fillId="7" borderId="55" xfId="0" applyFont="1" applyFill="1" applyBorder="1" applyAlignment="1">
      <alignment horizontal="center" wrapText="1"/>
    </xf>
    <xf numFmtId="2" fontId="35" fillId="8" borderId="67" xfId="0" applyNumberFormat="1" applyFont="1" applyFill="1" applyBorder="1" applyAlignment="1">
      <alignment horizontal="center" vertical="center" wrapText="1"/>
    </xf>
    <xf numFmtId="0" fontId="23" fillId="0" borderId="78" xfId="0" applyFont="1" applyBorder="1" applyAlignment="1">
      <alignment wrapText="1"/>
    </xf>
    <xf numFmtId="0" fontId="2" fillId="0" borderId="96" xfId="0" applyFont="1" applyBorder="1" applyAlignment="1">
      <alignment horizontal="center" vertical="center"/>
    </xf>
    <xf numFmtId="0" fontId="3" fillId="0" borderId="97" xfId="0" applyFont="1" applyBorder="1"/>
    <xf numFmtId="2" fontId="2" fillId="0" borderId="97" xfId="0" applyNumberFormat="1" applyFont="1" applyBorder="1"/>
    <xf numFmtId="2" fontId="2" fillId="0" borderId="98" xfId="0" applyNumberFormat="1" applyFont="1" applyBorder="1"/>
    <xf numFmtId="0" fontId="20" fillId="0" borderId="99" xfId="0" applyFont="1" applyBorder="1" applyAlignment="1">
      <alignment horizontal="center"/>
    </xf>
    <xf numFmtId="0" fontId="0" fillId="0" borderId="70" xfId="0" applyFont="1" applyBorder="1" applyAlignment="1"/>
    <xf numFmtId="0" fontId="0" fillId="0" borderId="70" xfId="0" applyFont="1" applyBorder="1" applyAlignment="1"/>
    <xf numFmtId="2" fontId="2" fillId="0" borderId="70" xfId="0" applyNumberFormat="1" applyFont="1" applyBorder="1"/>
    <xf numFmtId="2" fontId="2" fillId="0" borderId="100" xfId="0" applyNumberFormat="1" applyFont="1" applyBorder="1"/>
    <xf numFmtId="0" fontId="2" fillId="0" borderId="99" xfId="0" applyFont="1" applyBorder="1" applyAlignment="1">
      <alignment horizontal="center" vertical="center"/>
    </xf>
    <xf numFmtId="2" fontId="4" fillId="0" borderId="70" xfId="0" applyNumberFormat="1" applyFont="1" applyBorder="1"/>
    <xf numFmtId="0" fontId="2" fillId="0" borderId="100" xfId="0" applyFont="1" applyBorder="1"/>
    <xf numFmtId="0" fontId="2" fillId="0" borderId="101" xfId="0" applyFont="1" applyBorder="1" applyAlignment="1">
      <alignment horizontal="center" vertical="center"/>
    </xf>
    <xf numFmtId="0" fontId="3" fillId="0" borderId="92" xfId="0" applyFont="1" applyBorder="1"/>
    <xf numFmtId="0" fontId="2" fillId="0" borderId="92" xfId="0" applyFont="1" applyBorder="1"/>
    <xf numFmtId="2" fontId="2" fillId="0" borderId="92" xfId="0" applyNumberFormat="1" applyFont="1" applyBorder="1"/>
    <xf numFmtId="0" fontId="2" fillId="0" borderId="102" xfId="0" applyFont="1" applyBorder="1"/>
    <xf numFmtId="0" fontId="28" fillId="0" borderId="88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plom/ASK_Diplom/BaMWPart/documentation/calculation/worksVolu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ики"/>
      <sheetName val="земляные работы"/>
      <sheetName val="объемы работ"/>
      <sheetName val="календарный план"/>
      <sheetName val="ТЭП"/>
      <sheetName val="Sheet2"/>
    </sheetNames>
    <sheetDataSet>
      <sheetData sheetId="0"/>
      <sheetData sheetId="1"/>
      <sheetData sheetId="2">
        <row r="8">
          <cell r="D8">
            <v>6.0648774000000003</v>
          </cell>
        </row>
        <row r="15">
          <cell r="C15" t="str">
            <v>1км</v>
          </cell>
        </row>
        <row r="18">
          <cell r="D18">
            <v>2.5084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70"/>
  <sheetViews>
    <sheetView topLeftCell="A140" workbookViewId="0">
      <selection activeCell="A127" sqref="A127:L152"/>
    </sheetView>
  </sheetViews>
  <sheetFormatPr defaultColWidth="12.625" defaultRowHeight="15" customHeight="1"/>
  <cols>
    <col min="1" max="1" width="9" customWidth="1"/>
    <col min="2" max="2" width="12.375" customWidth="1"/>
    <col min="3" max="3" width="27.375" customWidth="1"/>
    <col min="4" max="4" width="12.25" customWidth="1"/>
    <col min="5" max="5" width="13.5" customWidth="1"/>
    <col min="6" max="6" width="12.5" customWidth="1"/>
    <col min="7" max="7" width="12.625" customWidth="1"/>
    <col min="8" max="8" width="14.125" customWidth="1"/>
    <col min="9" max="9" width="10.5" customWidth="1"/>
    <col min="10" max="10" width="14.625" customWidth="1"/>
    <col min="11" max="11" width="18.25" customWidth="1"/>
    <col min="12" max="12" width="21.625" customWidth="1"/>
    <col min="13" max="15" width="7.625" customWidth="1"/>
    <col min="16" max="16" width="9.75" customWidth="1"/>
    <col min="17" max="23" width="7.625" customWidth="1"/>
  </cols>
  <sheetData>
    <row r="1" spans="1:13">
      <c r="A1" s="146" t="s">
        <v>0</v>
      </c>
      <c r="B1" s="156" t="s">
        <v>1</v>
      </c>
      <c r="C1" s="156" t="s">
        <v>2</v>
      </c>
      <c r="D1" s="156" t="s">
        <v>3</v>
      </c>
      <c r="E1" s="157" t="s">
        <v>4</v>
      </c>
      <c r="F1" s="144"/>
      <c r="G1" s="144"/>
      <c r="H1" s="144"/>
      <c r="I1" s="144"/>
      <c r="J1" s="145"/>
      <c r="K1" s="146" t="s">
        <v>5</v>
      </c>
      <c r="L1" s="146" t="s">
        <v>6</v>
      </c>
      <c r="M1" s="149"/>
    </row>
    <row r="2" spans="1:13">
      <c r="A2" s="147"/>
      <c r="B2" s="147"/>
      <c r="C2" s="147"/>
      <c r="D2" s="147"/>
      <c r="E2" s="158" t="s">
        <v>7</v>
      </c>
      <c r="F2" s="157" t="s">
        <v>8</v>
      </c>
      <c r="G2" s="145"/>
      <c r="H2" s="158" t="s">
        <v>9</v>
      </c>
      <c r="I2" s="146" t="s">
        <v>10</v>
      </c>
      <c r="J2" s="146" t="s">
        <v>11</v>
      </c>
      <c r="K2" s="147"/>
      <c r="L2" s="147"/>
      <c r="M2" s="150"/>
    </row>
    <row r="3" spans="1:13">
      <c r="A3" s="148"/>
      <c r="B3" s="148"/>
      <c r="C3" s="148"/>
      <c r="D3" s="148"/>
      <c r="E3" s="159"/>
      <c r="F3" s="3" t="s">
        <v>11</v>
      </c>
      <c r="G3" s="3" t="s">
        <v>12</v>
      </c>
      <c r="H3" s="159"/>
      <c r="I3" s="148"/>
      <c r="J3" s="148"/>
      <c r="K3" s="148"/>
      <c r="L3" s="148"/>
      <c r="M3" s="151"/>
    </row>
    <row r="4" spans="1:13">
      <c r="A4" s="4">
        <v>1</v>
      </c>
      <c r="B4" s="4">
        <v>2</v>
      </c>
      <c r="C4" s="4">
        <v>3</v>
      </c>
      <c r="D4" s="4">
        <v>4</v>
      </c>
      <c r="E4" s="4">
        <v>5</v>
      </c>
      <c r="F4" s="4">
        <v>6</v>
      </c>
      <c r="G4" s="4">
        <v>7</v>
      </c>
      <c r="H4" s="4">
        <v>8</v>
      </c>
      <c r="I4" s="4">
        <v>9</v>
      </c>
      <c r="J4" s="4">
        <v>10</v>
      </c>
      <c r="K4" s="4">
        <v>11</v>
      </c>
      <c r="L4" s="4">
        <v>12</v>
      </c>
    </row>
    <row r="5" spans="1:13" ht="19.5" thickTop="1">
      <c r="A5" s="152" t="s">
        <v>13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4"/>
    </row>
    <row r="6" spans="1:13" ht="44.25" customHeight="1">
      <c r="A6" s="155">
        <v>1</v>
      </c>
      <c r="B6" s="155" t="s">
        <v>14</v>
      </c>
      <c r="C6" s="138" t="s">
        <v>15</v>
      </c>
      <c r="D6" s="273" t="s">
        <v>285</v>
      </c>
      <c r="E6" s="5"/>
      <c r="F6" s="5">
        <v>352.24</v>
      </c>
      <c r="G6" s="5">
        <f>87.52</f>
        <v>87.52</v>
      </c>
      <c r="H6" s="5"/>
      <c r="I6" s="5"/>
      <c r="J6" s="5">
        <f>E6+F6</f>
        <v>352.24</v>
      </c>
      <c r="K6" s="5"/>
      <c r="L6" s="5">
        <v>11.44</v>
      </c>
    </row>
    <row r="7" spans="1:13" ht="49.5" customHeight="1" thickBot="1">
      <c r="A7" s="139"/>
      <c r="B7" s="139"/>
      <c r="C7" s="139"/>
      <c r="D7" s="125">
        <v>15.34</v>
      </c>
      <c r="E7" s="6"/>
      <c r="F7" s="6">
        <f>F6*D7</f>
        <v>5403.3616000000002</v>
      </c>
      <c r="G7" s="6">
        <f>G6*D7</f>
        <v>1342.5567999999998</v>
      </c>
      <c r="H7" s="6"/>
      <c r="I7" s="6"/>
      <c r="J7" s="6">
        <f>J6*D7</f>
        <v>5403.3616000000002</v>
      </c>
      <c r="K7" s="6"/>
      <c r="L7" s="6">
        <f>L6*D7</f>
        <v>175.4896</v>
      </c>
    </row>
    <row r="8" spans="1:13" ht="36.75" customHeight="1">
      <c r="A8" s="171">
        <v>2</v>
      </c>
      <c r="B8" s="171" t="s">
        <v>16</v>
      </c>
      <c r="C8" s="134" t="s">
        <v>17</v>
      </c>
      <c r="D8" s="273" t="s">
        <v>286</v>
      </c>
      <c r="E8" s="5"/>
      <c r="F8" s="5">
        <v>12.62</v>
      </c>
      <c r="G8" s="5">
        <v>3.14</v>
      </c>
      <c r="H8" s="5"/>
      <c r="I8" s="5"/>
      <c r="J8" s="5">
        <f>E8+F8</f>
        <v>12.62</v>
      </c>
      <c r="K8" s="5"/>
      <c r="L8" s="5">
        <v>0.41</v>
      </c>
    </row>
    <row r="9" spans="1:13" ht="18.75">
      <c r="A9" s="139"/>
      <c r="B9" s="139"/>
      <c r="C9" s="139"/>
      <c r="D9" s="125">
        <v>557.76</v>
      </c>
      <c r="E9" s="6"/>
      <c r="F9" s="6">
        <f>F8*D9</f>
        <v>7038.9311999999991</v>
      </c>
      <c r="G9" s="6">
        <f>G8*D9</f>
        <v>1751.3664000000001</v>
      </c>
      <c r="H9" s="6"/>
      <c r="I9" s="6"/>
      <c r="J9" s="6">
        <f>J8*D9</f>
        <v>7038.9311999999991</v>
      </c>
      <c r="K9" s="6"/>
      <c r="L9" s="6">
        <f>L8*D9</f>
        <v>228.68159999999997</v>
      </c>
    </row>
    <row r="10" spans="1:13" ht="49.5" customHeight="1">
      <c r="A10" s="171">
        <v>3</v>
      </c>
      <c r="B10" s="171" t="s">
        <v>18</v>
      </c>
      <c r="C10" s="134" t="s">
        <v>19</v>
      </c>
      <c r="D10" s="274" t="s">
        <v>285</v>
      </c>
      <c r="E10" s="7">
        <v>64.150000000000006</v>
      </c>
      <c r="F10" s="7">
        <v>872.5</v>
      </c>
      <c r="G10" s="7">
        <v>196.22</v>
      </c>
      <c r="H10" s="7"/>
      <c r="I10" s="7"/>
      <c r="J10" s="7">
        <f>F10+E10</f>
        <v>936.65</v>
      </c>
      <c r="K10" s="7">
        <v>10.75</v>
      </c>
      <c r="L10" s="7">
        <v>23.36</v>
      </c>
    </row>
    <row r="11" spans="1:13" ht="30.75" customHeight="1">
      <c r="A11" s="139"/>
      <c r="B11" s="139"/>
      <c r="C11" s="139"/>
      <c r="D11" s="125">
        <v>14.4</v>
      </c>
      <c r="E11" s="6">
        <f t="shared" ref="E11:G11" si="0">E10*$D$11</f>
        <v>923.7600000000001</v>
      </c>
      <c r="F11" s="6">
        <f t="shared" si="0"/>
        <v>12564</v>
      </c>
      <c r="G11" s="6">
        <f t="shared" si="0"/>
        <v>2825.5680000000002</v>
      </c>
      <c r="H11" s="6"/>
      <c r="I11" s="6"/>
      <c r="J11" s="6">
        <f t="shared" ref="J11:L11" si="1">J10*$D$11</f>
        <v>13487.76</v>
      </c>
      <c r="K11" s="6">
        <f t="shared" si="1"/>
        <v>154.80000000000001</v>
      </c>
      <c r="L11" s="6">
        <f t="shared" si="1"/>
        <v>336.38400000000001</v>
      </c>
    </row>
    <row r="12" spans="1:13" ht="69" customHeight="1">
      <c r="A12" s="171">
        <v>4</v>
      </c>
      <c r="B12" s="171" t="s">
        <v>20</v>
      </c>
      <c r="C12" s="134" t="s">
        <v>21</v>
      </c>
      <c r="D12" s="275" t="s">
        <v>285</v>
      </c>
      <c r="E12" s="8">
        <v>73.400000000000006</v>
      </c>
      <c r="F12" s="8">
        <v>1306.22</v>
      </c>
      <c r="G12" s="8">
        <v>300.13</v>
      </c>
      <c r="H12" s="8"/>
      <c r="I12" s="8"/>
      <c r="J12" s="8">
        <f>F12+E12</f>
        <v>1379.6200000000001</v>
      </c>
      <c r="K12" s="8">
        <v>12.3</v>
      </c>
      <c r="L12" s="8">
        <v>35.729999999999997</v>
      </c>
    </row>
    <row r="13" spans="1:13" ht="26.25" customHeight="1">
      <c r="A13" s="162"/>
      <c r="B13" s="135"/>
      <c r="C13" s="135"/>
      <c r="D13" s="126">
        <v>0.61</v>
      </c>
      <c r="E13" s="9">
        <f t="shared" ref="E13:G13" si="2">E12*$D$13</f>
        <v>44.774000000000001</v>
      </c>
      <c r="F13" s="9">
        <f t="shared" si="2"/>
        <v>796.79420000000005</v>
      </c>
      <c r="G13" s="9">
        <f t="shared" si="2"/>
        <v>183.07929999999999</v>
      </c>
      <c r="H13" s="9"/>
      <c r="I13" s="9"/>
      <c r="J13" s="9">
        <f t="shared" ref="J13:L13" si="3">J12*$D$13</f>
        <v>841.56820000000005</v>
      </c>
      <c r="K13" s="9">
        <f t="shared" si="3"/>
        <v>7.5030000000000001</v>
      </c>
      <c r="L13" s="9">
        <f t="shared" si="3"/>
        <v>21.795299999999997</v>
      </c>
    </row>
    <row r="14" spans="1:13" ht="36" customHeight="1">
      <c r="A14" s="162"/>
      <c r="B14" s="136" t="s">
        <v>22</v>
      </c>
      <c r="C14" s="138" t="s">
        <v>23</v>
      </c>
      <c r="D14" s="276" t="s">
        <v>64</v>
      </c>
      <c r="E14" s="9"/>
      <c r="F14" s="9"/>
      <c r="G14" s="9"/>
      <c r="H14" s="9">
        <v>10.43</v>
      </c>
      <c r="I14" s="9">
        <f>H14*0.0704</f>
        <v>0.73427200000000004</v>
      </c>
      <c r="J14" s="9">
        <f>I14+H14</f>
        <v>11.164272</v>
      </c>
      <c r="K14" s="9"/>
      <c r="L14" s="9"/>
    </row>
    <row r="15" spans="1:13" ht="18.75">
      <c r="A15" s="139"/>
      <c r="B15" s="137"/>
      <c r="C15" s="139"/>
      <c r="D15" s="10">
        <f>0.03*D13</f>
        <v>1.83E-2</v>
      </c>
      <c r="E15" s="11"/>
      <c r="F15" s="11"/>
      <c r="G15" s="11"/>
      <c r="H15" s="11">
        <f t="shared" ref="H15:J15" si="4">H14*$D$15</f>
        <v>0.19086900000000001</v>
      </c>
      <c r="I15" s="11">
        <f t="shared" si="4"/>
        <v>1.3437177600000001E-2</v>
      </c>
      <c r="J15" s="11">
        <f t="shared" si="4"/>
        <v>0.2043061776</v>
      </c>
      <c r="K15" s="11"/>
      <c r="L15" s="11"/>
    </row>
    <row r="16" spans="1:13" ht="48.75" customHeight="1">
      <c r="A16" s="171">
        <v>5</v>
      </c>
      <c r="B16" s="171" t="s">
        <v>25</v>
      </c>
      <c r="C16" s="134" t="s">
        <v>26</v>
      </c>
      <c r="D16" s="275" t="s">
        <v>287</v>
      </c>
      <c r="E16" s="8">
        <v>818.95</v>
      </c>
      <c r="F16" s="8"/>
      <c r="G16" s="8"/>
      <c r="H16" s="8"/>
      <c r="I16" s="8"/>
      <c r="J16" s="8">
        <f>E16+F16</f>
        <v>818.95</v>
      </c>
      <c r="K16" s="8">
        <v>137.22999999999999</v>
      </c>
      <c r="L16" s="8"/>
    </row>
    <row r="17" spans="1:12" ht="18.75">
      <c r="A17" s="139"/>
      <c r="B17" s="139"/>
      <c r="C17" s="139"/>
      <c r="D17" s="127">
        <f>'[1]объемы работ'!$D$8</f>
        <v>6.0648774000000003</v>
      </c>
      <c r="E17" s="11">
        <f>E16*$D$17</f>
        <v>4966.8313467300004</v>
      </c>
      <c r="F17" s="11"/>
      <c r="G17" s="11"/>
      <c r="H17" s="11"/>
      <c r="I17" s="11"/>
      <c r="J17" s="11">
        <f t="shared" ref="J17:K17" si="5">J16*$D$17</f>
        <v>4966.8313467300004</v>
      </c>
      <c r="K17" s="11">
        <f t="shared" si="5"/>
        <v>832.28312560199993</v>
      </c>
      <c r="L17" s="11"/>
    </row>
    <row r="18" spans="1:12" ht="60.75" customHeight="1">
      <c r="A18" s="171">
        <v>6</v>
      </c>
      <c r="B18" s="171" t="s">
        <v>27</v>
      </c>
      <c r="C18" s="134" t="s">
        <v>28</v>
      </c>
      <c r="D18" s="275" t="s">
        <v>285</v>
      </c>
      <c r="E18" s="8"/>
      <c r="F18" s="8">
        <v>247.24</v>
      </c>
      <c r="G18" s="8">
        <v>61.43</v>
      </c>
      <c r="H18" s="8"/>
      <c r="I18" s="8"/>
      <c r="J18" s="8">
        <f>E18+F18</f>
        <v>247.24</v>
      </c>
      <c r="K18" s="8"/>
      <c r="L18" s="8">
        <v>8.0299999999999994</v>
      </c>
    </row>
    <row r="19" spans="1:12" ht="18.75">
      <c r="A19" s="139"/>
      <c r="B19" s="139"/>
      <c r="C19" s="139"/>
      <c r="D19" s="127">
        <v>13.97</v>
      </c>
      <c r="E19" s="11"/>
      <c r="F19" s="11">
        <f t="shared" ref="F19:G19" si="6">F18*$D$19</f>
        <v>3453.9428000000003</v>
      </c>
      <c r="G19" s="11">
        <f t="shared" si="6"/>
        <v>858.1771</v>
      </c>
      <c r="H19" s="11"/>
      <c r="I19" s="11"/>
      <c r="J19" s="11">
        <f>J18*$D$19</f>
        <v>3453.9428000000003</v>
      </c>
      <c r="K19" s="11"/>
      <c r="L19" s="11">
        <f>L18*$D$19</f>
        <v>112.17909999999999</v>
      </c>
    </row>
    <row r="20" spans="1:12" ht="36.75" customHeight="1">
      <c r="A20" s="171">
        <v>7</v>
      </c>
      <c r="B20" s="171" t="s">
        <v>29</v>
      </c>
      <c r="C20" s="134" t="s">
        <v>30</v>
      </c>
      <c r="D20" s="275" t="s">
        <v>287</v>
      </c>
      <c r="E20" s="8">
        <v>614.14</v>
      </c>
      <c r="F20" s="8"/>
      <c r="G20" s="8"/>
      <c r="H20" s="8"/>
      <c r="I20" s="8"/>
      <c r="J20" s="8">
        <f>E20</f>
        <v>614.14</v>
      </c>
      <c r="K20" s="8">
        <v>102.91</v>
      </c>
      <c r="L20" s="8"/>
    </row>
    <row r="21" spans="1:12" ht="15.75" customHeight="1">
      <c r="A21" s="139"/>
      <c r="B21" s="139"/>
      <c r="C21" s="139"/>
      <c r="D21" s="127">
        <v>7.35</v>
      </c>
      <c r="E21" s="11">
        <f>E20*D21</f>
        <v>4513.9290000000001</v>
      </c>
      <c r="F21" s="11"/>
      <c r="G21" s="11"/>
      <c r="H21" s="11"/>
      <c r="I21" s="11"/>
      <c r="J21" s="11">
        <f>J20*D21</f>
        <v>4513.9290000000001</v>
      </c>
      <c r="K21" s="11">
        <f>K20*D21</f>
        <v>756.38849999999991</v>
      </c>
      <c r="L21" s="11"/>
    </row>
    <row r="22" spans="1:12" ht="37.5" customHeight="1">
      <c r="A22" s="171">
        <v>8</v>
      </c>
      <c r="B22" s="171" t="s">
        <v>31</v>
      </c>
      <c r="C22" s="134" t="s">
        <v>32</v>
      </c>
      <c r="D22" s="277" t="s">
        <v>287</v>
      </c>
      <c r="E22" s="12">
        <v>80.86</v>
      </c>
      <c r="F22" s="12">
        <v>260.52999999999997</v>
      </c>
      <c r="G22" s="12">
        <v>84.53</v>
      </c>
      <c r="H22" s="12"/>
      <c r="I22" s="12"/>
      <c r="J22" s="12">
        <f>F22+E22</f>
        <v>341.39</v>
      </c>
      <c r="K22" s="12">
        <v>12.53</v>
      </c>
      <c r="L22" s="12">
        <v>12.18</v>
      </c>
    </row>
    <row r="23" spans="1:12" ht="15.75" customHeight="1">
      <c r="A23" s="139"/>
      <c r="B23" s="139"/>
      <c r="C23" s="139"/>
      <c r="D23" s="127">
        <v>147.1</v>
      </c>
      <c r="E23" s="11">
        <f t="shared" ref="E23:G23" si="7">E22*$D$23</f>
        <v>11894.505999999999</v>
      </c>
      <c r="F23" s="11">
        <f t="shared" si="7"/>
        <v>38323.962999999996</v>
      </c>
      <c r="G23" s="11">
        <f t="shared" si="7"/>
        <v>12434.362999999999</v>
      </c>
      <c r="H23" s="11"/>
      <c r="I23" s="11"/>
      <c r="J23" s="11">
        <f t="shared" ref="J23:L23" si="8">J22*$D$23</f>
        <v>50218.468999999997</v>
      </c>
      <c r="K23" s="11">
        <f t="shared" si="8"/>
        <v>1843.1629999999998</v>
      </c>
      <c r="L23" s="11">
        <f t="shared" si="8"/>
        <v>1791.6779999999999</v>
      </c>
    </row>
    <row r="24" spans="1:12" ht="15.75" customHeight="1">
      <c r="A24" s="163" t="s">
        <v>33</v>
      </c>
      <c r="B24" s="164"/>
      <c r="C24" s="165"/>
      <c r="D24" s="13"/>
      <c r="E24" s="14">
        <f>E23+E21+E17+E13+E11</f>
        <v>22343.800346729997</v>
      </c>
      <c r="F24" s="14">
        <f t="shared" ref="F24:G24" si="9">F23+F21+F17+F13+F11+F9+F7</f>
        <v>64127.049999999988</v>
      </c>
      <c r="G24" s="14">
        <f t="shared" si="9"/>
        <v>18536.933499999996</v>
      </c>
      <c r="H24" s="14">
        <f t="shared" ref="H24:I24" si="10">H15</f>
        <v>0.19086900000000001</v>
      </c>
      <c r="I24" s="14">
        <f t="shared" si="10"/>
        <v>1.3437177600000001E-2</v>
      </c>
      <c r="J24" s="14">
        <f>J23+J21+J17+J13+J11+J9+J7+J19+J15</f>
        <v>89924.997452907613</v>
      </c>
      <c r="K24" s="14">
        <f>K23+K21+K17+K13+K11+K9+K7+25</f>
        <v>3619.1376256019998</v>
      </c>
      <c r="L24" s="15">
        <f>L23+L21+L17+L13+L11+L9+L7+50</f>
        <v>2604.0284999999994</v>
      </c>
    </row>
    <row r="25" spans="1:12" ht="15.75" customHeight="1">
      <c r="A25" s="166" t="s">
        <v>34</v>
      </c>
      <c r="B25" s="167"/>
      <c r="C25" s="168"/>
      <c r="D25" s="16"/>
      <c r="E25" s="17"/>
      <c r="F25" s="17"/>
      <c r="G25" s="17"/>
      <c r="H25" s="17"/>
      <c r="I25" s="17"/>
      <c r="J25" s="17">
        <f>(E24+G24)*0.5748</f>
        <v>23498.245815100399</v>
      </c>
      <c r="K25" s="17"/>
      <c r="L25" s="18"/>
    </row>
    <row r="26" spans="1:12" ht="15.75" customHeight="1">
      <c r="A26" s="166" t="s">
        <v>35</v>
      </c>
      <c r="B26" s="167"/>
      <c r="C26" s="168"/>
      <c r="D26" s="16"/>
      <c r="E26" s="17"/>
      <c r="F26" s="17"/>
      <c r="G26" s="17"/>
      <c r="H26" s="17"/>
      <c r="I26" s="17"/>
      <c r="J26" s="17">
        <f>(E24+G24)*0.6354</f>
        <v>25975.618286212237</v>
      </c>
      <c r="K26" s="17"/>
      <c r="L26" s="18"/>
    </row>
    <row r="27" spans="1:12" ht="15.75" customHeight="1">
      <c r="A27" s="166" t="s">
        <v>36</v>
      </c>
      <c r="B27" s="167"/>
      <c r="C27" s="168"/>
      <c r="D27" s="16"/>
      <c r="E27" s="17"/>
      <c r="F27" s="17"/>
      <c r="G27" s="17"/>
      <c r="H27" s="17"/>
      <c r="I27" s="17"/>
      <c r="J27" s="17">
        <f>J24+J25+J26</f>
        <v>139398.86155422026</v>
      </c>
      <c r="K27" s="17"/>
      <c r="L27" s="18"/>
    </row>
    <row r="28" spans="1:12" ht="15.75" customHeight="1">
      <c r="A28" s="166" t="s">
        <v>5</v>
      </c>
      <c r="B28" s="167"/>
      <c r="C28" s="168"/>
      <c r="D28" s="16"/>
      <c r="E28" s="17"/>
      <c r="F28" s="17"/>
      <c r="G28" s="17"/>
      <c r="H28" s="17"/>
      <c r="I28" s="17"/>
      <c r="J28" s="17">
        <f>K24</f>
        <v>3619.1376256019998</v>
      </c>
      <c r="K28" s="17"/>
      <c r="L28" s="18"/>
    </row>
    <row r="29" spans="1:12" ht="15.75" customHeight="1">
      <c r="A29" s="140" t="s">
        <v>37</v>
      </c>
      <c r="B29" s="141"/>
      <c r="C29" s="142"/>
      <c r="D29" s="19"/>
      <c r="E29" s="20"/>
      <c r="F29" s="20"/>
      <c r="G29" s="20"/>
      <c r="H29" s="20"/>
      <c r="I29" s="20"/>
      <c r="J29" s="20">
        <f>L24</f>
        <v>2604.0284999999994</v>
      </c>
      <c r="K29" s="20"/>
      <c r="L29" s="21"/>
    </row>
    <row r="30" spans="1:12" ht="15.75" customHeight="1">
      <c r="A30" s="172" t="s">
        <v>38</v>
      </c>
      <c r="B30" s="173"/>
      <c r="C30" s="173"/>
      <c r="D30" s="173"/>
      <c r="E30" s="173"/>
      <c r="F30" s="173"/>
      <c r="G30" s="173"/>
      <c r="H30" s="173"/>
      <c r="I30" s="173"/>
      <c r="J30" s="173"/>
      <c r="K30" s="173"/>
      <c r="L30" s="174"/>
    </row>
    <row r="31" spans="1:12" s="124" customFormat="1" ht="34.15" customHeight="1">
      <c r="A31" s="268">
        <v>1</v>
      </c>
      <c r="B31" s="271" t="s">
        <v>282</v>
      </c>
      <c r="C31" s="269" t="s">
        <v>281</v>
      </c>
      <c r="D31" s="253" t="s">
        <v>283</v>
      </c>
      <c r="E31" s="326">
        <v>3413.47</v>
      </c>
      <c r="F31" s="326">
        <v>2342.11</v>
      </c>
      <c r="G31" s="326">
        <v>828.58</v>
      </c>
      <c r="H31" s="255"/>
      <c r="I31" s="255"/>
      <c r="J31" s="255">
        <f>E31+F31</f>
        <v>5755.58</v>
      </c>
      <c r="K31" s="326">
        <v>477.25</v>
      </c>
      <c r="L31" s="326">
        <v>117.27</v>
      </c>
    </row>
    <row r="32" spans="1:12" s="124" customFormat="1" ht="33.6" customHeight="1">
      <c r="A32" s="177"/>
      <c r="B32" s="272"/>
      <c r="C32" s="270"/>
      <c r="D32" s="255">
        <v>0.22</v>
      </c>
      <c r="E32" s="255">
        <f>E31*D32</f>
        <v>750.96339999999998</v>
      </c>
      <c r="F32" s="255">
        <f>F31*D32</f>
        <v>515.26420000000007</v>
      </c>
      <c r="G32" s="255">
        <f>G31*D32</f>
        <v>182.2876</v>
      </c>
      <c r="H32" s="255"/>
      <c r="I32" s="255"/>
      <c r="J32" s="255">
        <f t="shared" ref="J32" si="11">J31*$D32</f>
        <v>1266.2275999999999</v>
      </c>
      <c r="K32" s="255">
        <f>K31*$D32+22</f>
        <v>126.995</v>
      </c>
      <c r="L32" s="255">
        <f t="shared" ref="L32" si="12">L31*$D32</f>
        <v>25.799399999999999</v>
      </c>
    </row>
    <row r="33" spans="1:12" s="124" customFormat="1" ht="30">
      <c r="A33" s="177"/>
      <c r="B33" s="285" t="s">
        <v>257</v>
      </c>
      <c r="C33" s="279" t="s">
        <v>264</v>
      </c>
      <c r="D33" s="254" t="s">
        <v>63</v>
      </c>
      <c r="E33" s="255"/>
      <c r="F33" s="255"/>
      <c r="G33" s="255"/>
      <c r="H33" s="255">
        <v>5.57</v>
      </c>
      <c r="I33" s="255">
        <f>H33*0.0704</f>
        <v>0.39212800000000003</v>
      </c>
      <c r="J33" s="255">
        <f>I33+H33</f>
        <v>5.9621279999999999</v>
      </c>
      <c r="K33" s="255"/>
      <c r="L33" s="255"/>
    </row>
    <row r="34" spans="1:12" s="124" customFormat="1" ht="15.75" customHeight="1">
      <c r="A34" s="177"/>
      <c r="B34" s="284"/>
      <c r="C34" s="258"/>
      <c r="D34" s="254">
        <f>0.02*D32</f>
        <v>4.4000000000000003E-3</v>
      </c>
      <c r="E34" s="255"/>
      <c r="F34" s="255"/>
      <c r="G34" s="255"/>
      <c r="H34" s="255">
        <f>H33*D34</f>
        <v>2.4508000000000002E-2</v>
      </c>
      <c r="I34" s="255">
        <f>I33*D34</f>
        <v>1.7253632000000002E-3</v>
      </c>
      <c r="J34" s="255">
        <f>J33*D34</f>
        <v>2.6233363200000002E-2</v>
      </c>
      <c r="K34" s="255"/>
      <c r="L34" s="255"/>
    </row>
    <row r="35" spans="1:12" s="124" customFormat="1" ht="15.75" customHeight="1">
      <c r="A35" s="177"/>
      <c r="B35" s="285" t="s">
        <v>258</v>
      </c>
      <c r="C35" s="279" t="s">
        <v>256</v>
      </c>
      <c r="D35" s="254" t="s">
        <v>284</v>
      </c>
      <c r="E35" s="255"/>
      <c r="F35" s="255"/>
      <c r="G35" s="255"/>
      <c r="H35" s="255">
        <v>1691.93</v>
      </c>
      <c r="I35" s="255">
        <f>H35*0.0704</f>
        <v>119.11187200000001</v>
      </c>
      <c r="J35" s="255">
        <f>I35+H35</f>
        <v>1811.041872</v>
      </c>
      <c r="K35" s="287"/>
      <c r="L35" s="287"/>
    </row>
    <row r="36" spans="1:12" s="124" customFormat="1" ht="15.75" customHeight="1">
      <c r="A36" s="177"/>
      <c r="B36" s="284"/>
      <c r="C36" s="265"/>
      <c r="D36" s="254">
        <f>0.02*D32</f>
        <v>4.4000000000000003E-3</v>
      </c>
      <c r="E36" s="255"/>
      <c r="F36" s="255"/>
      <c r="G36" s="255"/>
      <c r="H36" s="255">
        <f t="shared" ref="H36" si="13">H35*$D36</f>
        <v>7.4444920000000003</v>
      </c>
      <c r="I36" s="255">
        <f>I35*$D36</f>
        <v>0.52409223680000006</v>
      </c>
      <c r="J36" s="255">
        <f t="shared" ref="J36" si="14">J35*$D36</f>
        <v>7.9685842368000008</v>
      </c>
      <c r="K36" s="255"/>
      <c r="L36" s="255"/>
    </row>
    <row r="37" spans="1:12" s="124" customFormat="1" ht="15.75" customHeight="1">
      <c r="A37" s="177"/>
      <c r="B37" s="285" t="s">
        <v>41</v>
      </c>
      <c r="C37" s="279" t="s">
        <v>42</v>
      </c>
      <c r="D37" s="254" t="s">
        <v>64</v>
      </c>
      <c r="E37" s="255"/>
      <c r="F37" s="255"/>
      <c r="G37" s="255"/>
      <c r="H37" s="255">
        <v>2.81</v>
      </c>
      <c r="I37" s="255">
        <f>H37*0.0704</f>
        <v>0.19782400000000003</v>
      </c>
      <c r="J37" s="255">
        <f>I37+H37</f>
        <v>3.0078240000000003</v>
      </c>
      <c r="K37" s="287"/>
      <c r="L37" s="287"/>
    </row>
    <row r="38" spans="1:12" s="124" customFormat="1" ht="15.75" customHeight="1">
      <c r="A38" s="177"/>
      <c r="B38" s="284"/>
      <c r="C38" s="265"/>
      <c r="D38" s="254">
        <f>0.03*D32</f>
        <v>6.6E-3</v>
      </c>
      <c r="E38" s="255"/>
      <c r="F38" s="255"/>
      <c r="G38" s="255"/>
      <c r="H38" s="255">
        <f t="shared" ref="H38:J38" si="15">H37*$D38</f>
        <v>1.8546E-2</v>
      </c>
      <c r="I38" s="255">
        <f t="shared" si="15"/>
        <v>1.3056384000000002E-3</v>
      </c>
      <c r="J38" s="255">
        <f t="shared" si="15"/>
        <v>1.9851638400000003E-2</v>
      </c>
      <c r="K38" s="255"/>
      <c r="L38" s="255"/>
    </row>
    <row r="39" spans="1:12" s="124" customFormat="1" ht="30">
      <c r="A39" s="177"/>
      <c r="B39" s="285" t="s">
        <v>260</v>
      </c>
      <c r="C39" s="279" t="s">
        <v>259</v>
      </c>
      <c r="D39" s="254" t="s">
        <v>284</v>
      </c>
      <c r="E39" s="255"/>
      <c r="F39" s="255"/>
      <c r="G39" s="255"/>
      <c r="H39" s="255">
        <v>3000</v>
      </c>
      <c r="I39" s="255">
        <f>H39*0.0704</f>
        <v>211.20000000000002</v>
      </c>
      <c r="J39" s="255">
        <f>I39+H39</f>
        <v>3211.2</v>
      </c>
      <c r="K39" s="287"/>
      <c r="L39" s="287"/>
    </row>
    <row r="40" spans="1:12" s="124" customFormat="1" ht="15.75" customHeight="1">
      <c r="A40" s="177"/>
      <c r="B40" s="284"/>
      <c r="C40" s="265"/>
      <c r="D40" s="254">
        <f>0.01*D32</f>
        <v>2.2000000000000001E-3</v>
      </c>
      <c r="E40" s="255"/>
      <c r="F40" s="255"/>
      <c r="G40" s="255"/>
      <c r="H40" s="255">
        <f t="shared" ref="H40:J40" si="16">H39*$D40</f>
        <v>6.6000000000000005</v>
      </c>
      <c r="I40" s="255">
        <f t="shared" si="16"/>
        <v>0.46464000000000005</v>
      </c>
      <c r="J40" s="255">
        <f t="shared" si="16"/>
        <v>7.0646399999999998</v>
      </c>
      <c r="K40" s="255"/>
      <c r="L40" s="255"/>
    </row>
    <row r="41" spans="1:12" s="124" customFormat="1" ht="15.75" customHeight="1">
      <c r="A41" s="177"/>
      <c r="B41" s="286" t="s">
        <v>44</v>
      </c>
      <c r="C41" s="279" t="s">
        <v>45</v>
      </c>
      <c r="D41" s="254" t="s">
        <v>64</v>
      </c>
      <c r="E41" s="255"/>
      <c r="F41" s="255"/>
      <c r="G41" s="255"/>
      <c r="H41" s="255">
        <v>1.26</v>
      </c>
      <c r="I41" s="255">
        <f>H41*0.0704</f>
        <v>8.8704000000000005E-2</v>
      </c>
      <c r="J41" s="255">
        <f>I41+H41</f>
        <v>1.3487040000000001</v>
      </c>
      <c r="K41" s="287"/>
      <c r="L41" s="287"/>
    </row>
    <row r="42" spans="1:12" s="124" customFormat="1" ht="15.75" customHeight="1">
      <c r="A42" s="177"/>
      <c r="B42" s="284"/>
      <c r="C42" s="265"/>
      <c r="D42" s="254">
        <f>10*D32</f>
        <v>2.2000000000000002</v>
      </c>
      <c r="E42" s="255"/>
      <c r="F42" s="255"/>
      <c r="G42" s="255"/>
      <c r="H42" s="255">
        <f t="shared" ref="H42:J42" si="17">H41*$D42</f>
        <v>2.7720000000000002</v>
      </c>
      <c r="I42" s="255">
        <f t="shared" si="17"/>
        <v>0.19514880000000004</v>
      </c>
      <c r="J42" s="255">
        <f t="shared" si="17"/>
        <v>2.9671488000000004</v>
      </c>
      <c r="K42" s="255"/>
      <c r="L42" s="255"/>
    </row>
    <row r="43" spans="1:12" s="124" customFormat="1" ht="45">
      <c r="A43" s="177"/>
      <c r="B43" s="285" t="s">
        <v>262</v>
      </c>
      <c r="C43" s="279" t="s">
        <v>261</v>
      </c>
      <c r="D43" s="254" t="s">
        <v>64</v>
      </c>
      <c r="E43" s="255"/>
      <c r="F43" s="255"/>
      <c r="G43" s="255"/>
      <c r="H43" s="255">
        <v>84.92</v>
      </c>
      <c r="I43" s="255">
        <f>H43*0.0704</f>
        <v>5.9783680000000006</v>
      </c>
      <c r="J43" s="255">
        <f>I43+H43</f>
        <v>90.898368000000005</v>
      </c>
      <c r="K43" s="287"/>
      <c r="L43" s="287"/>
    </row>
    <row r="44" spans="1:12" s="124" customFormat="1" ht="15.75" customHeight="1">
      <c r="A44" s="177"/>
      <c r="B44" s="284"/>
      <c r="C44" s="265"/>
      <c r="D44" s="254">
        <f>3*D32</f>
        <v>0.66</v>
      </c>
      <c r="E44" s="255"/>
      <c r="F44" s="255"/>
      <c r="G44" s="255"/>
      <c r="H44" s="255">
        <f>H43*D44</f>
        <v>56.047200000000004</v>
      </c>
      <c r="I44" s="255">
        <f t="shared" ref="I44:J44" si="18">I43*$D44</f>
        <v>3.9457228800000004</v>
      </c>
      <c r="J44" s="255">
        <f t="shared" si="18"/>
        <v>59.992922880000009</v>
      </c>
      <c r="K44" s="255"/>
      <c r="L44" s="255"/>
    </row>
    <row r="45" spans="1:12" s="124" customFormat="1" ht="15.75" customHeight="1">
      <c r="A45" s="177"/>
      <c r="B45" s="285" t="s">
        <v>270</v>
      </c>
      <c r="C45" s="279" t="s">
        <v>263</v>
      </c>
      <c r="D45" s="254" t="s">
        <v>271</v>
      </c>
      <c r="E45" s="255"/>
      <c r="F45" s="255"/>
      <c r="G45" s="255"/>
      <c r="H45" s="255">
        <f>(7988-22)*0.001226</f>
        <v>9.7663160000000016</v>
      </c>
      <c r="I45" s="255">
        <f>H45*0.0704</f>
        <v>0.68754864640000013</v>
      </c>
      <c r="J45" s="255">
        <f>I45+H45</f>
        <v>10.453864646400001</v>
      </c>
      <c r="K45" s="287"/>
      <c r="L45" s="287"/>
    </row>
    <row r="46" spans="1:12" s="124" customFormat="1" ht="15.75" customHeight="1">
      <c r="A46" s="177"/>
      <c r="B46" s="284"/>
      <c r="C46" s="280"/>
      <c r="D46" s="258">
        <f>D32*1000</f>
        <v>220</v>
      </c>
      <c r="E46" s="255"/>
      <c r="F46" s="255"/>
      <c r="G46" s="255"/>
      <c r="H46" s="255">
        <f>H45*D46</f>
        <v>2148.5895200000004</v>
      </c>
      <c r="I46" s="255">
        <f t="shared" ref="I46:J46" si="19">I45*$D46</f>
        <v>151.26070220800003</v>
      </c>
      <c r="J46" s="255">
        <f t="shared" si="19"/>
        <v>2299.8502222080001</v>
      </c>
      <c r="K46" s="255"/>
      <c r="L46" s="255"/>
    </row>
    <row r="47" spans="1:12" s="124" customFormat="1" ht="15.75" customHeight="1">
      <c r="A47" s="177"/>
      <c r="B47" s="285" t="s">
        <v>274</v>
      </c>
      <c r="C47" s="281" t="s">
        <v>267</v>
      </c>
      <c r="D47" s="258" t="s">
        <v>46</v>
      </c>
      <c r="E47" s="255"/>
      <c r="F47" s="255"/>
      <c r="G47" s="255"/>
      <c r="H47" s="255">
        <v>6.2</v>
      </c>
      <c r="I47" s="255">
        <f>H47*0.0704</f>
        <v>0.43648000000000003</v>
      </c>
      <c r="J47" s="255">
        <f>I47+H47</f>
        <v>6.6364800000000006</v>
      </c>
      <c r="K47" s="287"/>
      <c r="L47" s="287"/>
    </row>
    <row r="48" spans="1:12" s="124" customFormat="1" ht="15.75" customHeight="1">
      <c r="A48" s="177"/>
      <c r="B48" s="284"/>
      <c r="C48" s="280"/>
      <c r="D48" s="258">
        <f>ROUNDUP(D46/3.5,0)</f>
        <v>63</v>
      </c>
      <c r="E48" s="255"/>
      <c r="F48" s="255"/>
      <c r="G48" s="255"/>
      <c r="H48" s="255">
        <f>H47*D48</f>
        <v>390.6</v>
      </c>
      <c r="I48" s="255">
        <f t="shared" ref="I48:J48" si="20">I47*$D48</f>
        <v>27.498240000000003</v>
      </c>
      <c r="J48" s="255">
        <f t="shared" si="20"/>
        <v>418.09824000000003</v>
      </c>
      <c r="K48" s="255"/>
      <c r="L48" s="255"/>
    </row>
    <row r="49" spans="1:12" s="124" customFormat="1" ht="30">
      <c r="A49" s="177"/>
      <c r="B49" s="285" t="s">
        <v>273</v>
      </c>
      <c r="C49" s="282" t="s">
        <v>268</v>
      </c>
      <c r="D49" s="258" t="s">
        <v>64</v>
      </c>
      <c r="E49" s="255"/>
      <c r="F49" s="255"/>
      <c r="G49" s="255"/>
      <c r="H49" s="255">
        <f>(20537-15)*0.001226*(300/50)</f>
        <v>150.95983200000001</v>
      </c>
      <c r="I49" s="255">
        <f>H49*0.0704</f>
        <v>10.627572172800001</v>
      </c>
      <c r="J49" s="255">
        <f>I49+H49</f>
        <v>161.58740417280001</v>
      </c>
      <c r="K49" s="287"/>
      <c r="L49" s="287"/>
    </row>
    <row r="50" spans="1:12" s="124" customFormat="1" ht="15.75" customHeight="1">
      <c r="A50" s="177"/>
      <c r="B50" s="284"/>
      <c r="C50" s="283"/>
      <c r="D50" s="254">
        <v>8</v>
      </c>
      <c r="E50" s="255"/>
      <c r="F50" s="255"/>
      <c r="G50" s="255"/>
      <c r="H50" s="255">
        <f>H49*D50</f>
        <v>1207.678656</v>
      </c>
      <c r="I50" s="255">
        <f t="shared" ref="I50:J50" si="21">I49*$D50</f>
        <v>85.020577382400006</v>
      </c>
      <c r="J50" s="255">
        <f t="shared" si="21"/>
        <v>1292.6992333824001</v>
      </c>
      <c r="K50" s="255"/>
      <c r="L50" s="255"/>
    </row>
    <row r="51" spans="1:12" s="124" customFormat="1" ht="45">
      <c r="A51" s="177"/>
      <c r="B51" s="285" t="s">
        <v>272</v>
      </c>
      <c r="C51" s="279" t="s">
        <v>269</v>
      </c>
      <c r="D51" s="259" t="s">
        <v>46</v>
      </c>
      <c r="E51" s="288"/>
      <c r="F51" s="288"/>
      <c r="G51" s="288"/>
      <c r="H51" s="288">
        <f>(1304190-4273)*0.001226</f>
        <v>1593.6982420000002</v>
      </c>
      <c r="I51" s="288">
        <f>H51*0.0704</f>
        <v>112.19635623680001</v>
      </c>
      <c r="J51" s="288">
        <f>I51+H51</f>
        <v>1705.8945982368002</v>
      </c>
      <c r="K51" s="289"/>
      <c r="L51" s="289"/>
    </row>
    <row r="52" spans="1:12" s="124" customFormat="1" ht="15.75">
      <c r="A52" s="177"/>
      <c r="B52" s="284"/>
      <c r="C52" s="280"/>
      <c r="D52" s="261">
        <v>1</v>
      </c>
      <c r="E52" s="290"/>
      <c r="F52" s="290"/>
      <c r="G52" s="290"/>
      <c r="H52" s="290">
        <f t="shared" ref="H52:J52" si="22">H51*$D52</f>
        <v>1593.6982420000002</v>
      </c>
      <c r="I52" s="290">
        <f t="shared" si="22"/>
        <v>112.19635623680001</v>
      </c>
      <c r="J52" s="290">
        <f t="shared" si="22"/>
        <v>1705.8945982368002</v>
      </c>
      <c r="K52" s="290"/>
      <c r="L52" s="290"/>
    </row>
    <row r="53" spans="1:12" s="124" customFormat="1" ht="30">
      <c r="A53" s="177"/>
      <c r="B53" s="285" t="s">
        <v>276</v>
      </c>
      <c r="C53" s="282" t="s">
        <v>275</v>
      </c>
      <c r="D53" s="261" t="s">
        <v>64</v>
      </c>
      <c r="E53" s="290"/>
      <c r="F53" s="290"/>
      <c r="G53" s="290"/>
      <c r="H53" s="290">
        <f>3.17*0.532</f>
        <v>1.6864400000000002</v>
      </c>
      <c r="I53" s="290">
        <f>H53*0.0704</f>
        <v>0.11872537600000002</v>
      </c>
      <c r="J53" s="290">
        <f>I53+H53</f>
        <v>1.8051653760000002</v>
      </c>
      <c r="K53" s="290"/>
      <c r="L53" s="290"/>
    </row>
    <row r="54" spans="1:12" s="124" customFormat="1" ht="15.75" customHeight="1" thickBot="1">
      <c r="A54" s="139"/>
      <c r="B54" s="262"/>
      <c r="C54" s="263"/>
      <c r="D54" s="262">
        <f>D48*0.002658</f>
        <v>0.16745400000000002</v>
      </c>
      <c r="E54" s="291"/>
      <c r="F54" s="291"/>
      <c r="G54" s="291"/>
      <c r="H54" s="291">
        <f t="shared" ref="H54:J54" si="23">H53*$D54</f>
        <v>0.28240112376000004</v>
      </c>
      <c r="I54" s="291">
        <f t="shared" si="23"/>
        <v>1.9881039112704006E-2</v>
      </c>
      <c r="J54" s="291">
        <f t="shared" si="23"/>
        <v>0.30228216287270404</v>
      </c>
      <c r="K54" s="291"/>
      <c r="L54" s="291"/>
    </row>
    <row r="55" spans="1:12" s="124" customFormat="1" ht="28.9" customHeight="1">
      <c r="A55" s="175">
        <v>2</v>
      </c>
      <c r="B55" s="264" t="s">
        <v>289</v>
      </c>
      <c r="C55" s="252" t="s">
        <v>288</v>
      </c>
      <c r="D55" s="253" t="str">
        <f>'[1]объемы работ'!$C$15</f>
        <v>1км</v>
      </c>
      <c r="E55" s="326">
        <v>3454.59</v>
      </c>
      <c r="F55" s="326">
        <v>2354.0500000000002</v>
      </c>
      <c r="G55" s="326">
        <v>828.82</v>
      </c>
      <c r="H55" s="255"/>
      <c r="I55" s="255"/>
      <c r="J55" s="255">
        <f>E55+F55</f>
        <v>5808.64</v>
      </c>
      <c r="K55" s="255">
        <v>483</v>
      </c>
      <c r="L55" s="255">
        <v>117.31</v>
      </c>
    </row>
    <row r="56" spans="1:12" s="124" customFormat="1" ht="46.15" customHeight="1">
      <c r="A56" s="162"/>
      <c r="B56" s="301"/>
      <c r="C56" s="302"/>
      <c r="D56" s="255">
        <v>0.62</v>
      </c>
      <c r="E56" s="255">
        <f>E55*D56</f>
        <v>2141.8458000000001</v>
      </c>
      <c r="F56" s="255">
        <f>F55*D56</f>
        <v>1459.5110000000002</v>
      </c>
      <c r="G56" s="255">
        <f>G55*D56</f>
        <v>513.86840000000007</v>
      </c>
      <c r="H56" s="255"/>
      <c r="I56" s="255"/>
      <c r="J56" s="255">
        <f t="shared" ref="J56" si="24">J55*$D56</f>
        <v>3601.3568</v>
      </c>
      <c r="K56" s="255">
        <f>K55*$D56+22</f>
        <v>321.45999999999998</v>
      </c>
      <c r="L56" s="255">
        <f t="shared" ref="L56" si="25">L55*$D56</f>
        <v>72.732200000000006</v>
      </c>
    </row>
    <row r="57" spans="1:12" s="124" customFormat="1" ht="15.75" customHeight="1">
      <c r="A57" s="177"/>
      <c r="B57" s="285" t="s">
        <v>257</v>
      </c>
      <c r="C57" s="298" t="s">
        <v>264</v>
      </c>
      <c r="D57" s="258" t="s">
        <v>63</v>
      </c>
      <c r="E57" s="255"/>
      <c r="F57" s="255"/>
      <c r="G57" s="255"/>
      <c r="H57" s="255">
        <v>5.57</v>
      </c>
      <c r="I57" s="255">
        <f>H57*0.0704</f>
        <v>0.39212800000000003</v>
      </c>
      <c r="J57" s="255">
        <f>I57+H57</f>
        <v>5.9621279999999999</v>
      </c>
      <c r="K57" s="255"/>
      <c r="L57" s="255"/>
    </row>
    <row r="58" spans="1:12" s="124" customFormat="1" ht="15.75" customHeight="1">
      <c r="A58" s="177"/>
      <c r="B58" s="284"/>
      <c r="C58" s="284"/>
      <c r="D58" s="258">
        <f>0.02*D56</f>
        <v>1.24E-2</v>
      </c>
      <c r="E58" s="255"/>
      <c r="F58" s="255"/>
      <c r="G58" s="255"/>
      <c r="H58" s="255">
        <f>H57*D58</f>
        <v>6.9068000000000004E-2</v>
      </c>
      <c r="I58" s="255">
        <f>I57*D58</f>
        <v>4.8623872000000002E-3</v>
      </c>
      <c r="J58" s="255">
        <f>J57*D58</f>
        <v>7.3930387199999989E-2</v>
      </c>
      <c r="K58" s="255"/>
      <c r="L58" s="255"/>
    </row>
    <row r="59" spans="1:12" s="124" customFormat="1" ht="15.75" customHeight="1">
      <c r="A59" s="177"/>
      <c r="B59" s="285" t="s">
        <v>258</v>
      </c>
      <c r="C59" s="298" t="s">
        <v>256</v>
      </c>
      <c r="D59" s="258" t="s">
        <v>284</v>
      </c>
      <c r="E59" s="255"/>
      <c r="F59" s="255"/>
      <c r="G59" s="255"/>
      <c r="H59" s="255">
        <v>1691.93</v>
      </c>
      <c r="I59" s="255">
        <f>H59*0.0704</f>
        <v>119.11187200000001</v>
      </c>
      <c r="J59" s="255">
        <f>I59+H59</f>
        <v>1811.041872</v>
      </c>
      <c r="K59" s="287"/>
      <c r="L59" s="287"/>
    </row>
    <row r="60" spans="1:12" s="124" customFormat="1" ht="15.75" customHeight="1">
      <c r="A60" s="177"/>
      <c r="B60" s="284"/>
      <c r="C60" s="296"/>
      <c r="D60" s="258">
        <f>0.02*D56</f>
        <v>1.24E-2</v>
      </c>
      <c r="E60" s="255"/>
      <c r="F60" s="255"/>
      <c r="G60" s="255"/>
      <c r="H60" s="255">
        <f t="shared" ref="H60" si="26">H59*$D60</f>
        <v>20.979932000000002</v>
      </c>
      <c r="I60" s="255">
        <f>I59*$D60</f>
        <v>1.4769872128000001</v>
      </c>
      <c r="J60" s="255">
        <f t="shared" ref="J60" si="27">J59*$D60</f>
        <v>22.456919212799999</v>
      </c>
      <c r="K60" s="255"/>
      <c r="L60" s="255"/>
    </row>
    <row r="61" spans="1:12" s="124" customFormat="1" ht="15.75" customHeight="1">
      <c r="A61" s="177"/>
      <c r="B61" s="285" t="s">
        <v>41</v>
      </c>
      <c r="C61" s="298" t="s">
        <v>42</v>
      </c>
      <c r="D61" s="258" t="s">
        <v>64</v>
      </c>
      <c r="E61" s="255"/>
      <c r="F61" s="255"/>
      <c r="G61" s="255"/>
      <c r="H61" s="255">
        <v>2.81</v>
      </c>
      <c r="I61" s="255">
        <f>H61*0.0704</f>
        <v>0.19782400000000003</v>
      </c>
      <c r="J61" s="255">
        <f>I61+H61</f>
        <v>3.0078240000000003</v>
      </c>
      <c r="K61" s="287"/>
      <c r="L61" s="287"/>
    </row>
    <row r="62" spans="1:12" s="124" customFormat="1" ht="15.75" customHeight="1">
      <c r="A62" s="177"/>
      <c r="B62" s="284"/>
      <c r="C62" s="296"/>
      <c r="D62" s="258">
        <f>0.05*D56</f>
        <v>3.1E-2</v>
      </c>
      <c r="E62" s="255"/>
      <c r="F62" s="255"/>
      <c r="G62" s="255"/>
      <c r="H62" s="255">
        <f t="shared" ref="H62:J62" si="28">H61*$D62</f>
        <v>8.7110000000000007E-2</v>
      </c>
      <c r="I62" s="255">
        <f t="shared" si="28"/>
        <v>6.1325440000000011E-3</v>
      </c>
      <c r="J62" s="255">
        <f t="shared" si="28"/>
        <v>9.3242544000000011E-2</v>
      </c>
      <c r="K62" s="255"/>
      <c r="L62" s="255"/>
    </row>
    <row r="63" spans="1:12" s="124" customFormat="1" ht="31.5">
      <c r="A63" s="177"/>
      <c r="B63" s="285" t="s">
        <v>260</v>
      </c>
      <c r="C63" s="298" t="s">
        <v>259</v>
      </c>
      <c r="D63" s="258" t="s">
        <v>284</v>
      </c>
      <c r="E63" s="255"/>
      <c r="F63" s="255"/>
      <c r="G63" s="255"/>
      <c r="H63" s="255">
        <v>3000</v>
      </c>
      <c r="I63" s="255">
        <f>H63*0.0704</f>
        <v>211.20000000000002</v>
      </c>
      <c r="J63" s="255">
        <f>I63+H63</f>
        <v>3211.2</v>
      </c>
      <c r="K63" s="287"/>
      <c r="L63" s="287"/>
    </row>
    <row r="64" spans="1:12" s="124" customFormat="1" ht="15.75" customHeight="1">
      <c r="A64" s="177"/>
      <c r="B64" s="284"/>
      <c r="C64" s="296"/>
      <c r="D64" s="258">
        <f>0.01*D56</f>
        <v>6.1999999999999998E-3</v>
      </c>
      <c r="E64" s="255"/>
      <c r="F64" s="255"/>
      <c r="G64" s="255"/>
      <c r="H64" s="255">
        <f t="shared" ref="H64:J64" si="29">H63*$D64</f>
        <v>18.599999999999998</v>
      </c>
      <c r="I64" s="255">
        <f t="shared" si="29"/>
        <v>1.3094400000000002</v>
      </c>
      <c r="J64" s="255">
        <f t="shared" si="29"/>
        <v>19.909439999999996</v>
      </c>
      <c r="K64" s="255"/>
      <c r="L64" s="255"/>
    </row>
    <row r="65" spans="1:12" s="124" customFormat="1" ht="15.75" customHeight="1">
      <c r="A65" s="177"/>
      <c r="B65" s="286" t="s">
        <v>44</v>
      </c>
      <c r="C65" s="298" t="s">
        <v>45</v>
      </c>
      <c r="D65" s="258" t="s">
        <v>64</v>
      </c>
      <c r="E65" s="255"/>
      <c r="F65" s="255"/>
      <c r="G65" s="255"/>
      <c r="H65" s="255">
        <v>1.26</v>
      </c>
      <c r="I65" s="255">
        <f>H65*0.0704</f>
        <v>8.8704000000000005E-2</v>
      </c>
      <c r="J65" s="255">
        <f>I65+H65</f>
        <v>1.3487040000000001</v>
      </c>
      <c r="K65" s="287"/>
      <c r="L65" s="287"/>
    </row>
    <row r="66" spans="1:12" s="124" customFormat="1" ht="15.75" customHeight="1">
      <c r="A66" s="177"/>
      <c r="B66" s="284"/>
      <c r="C66" s="296"/>
      <c r="D66" s="258">
        <f>19*D56</f>
        <v>11.78</v>
      </c>
      <c r="E66" s="255"/>
      <c r="F66" s="255"/>
      <c r="G66" s="255"/>
      <c r="H66" s="255">
        <f t="shared" ref="H66:J66" si="30">H65*$D66</f>
        <v>14.842799999999999</v>
      </c>
      <c r="I66" s="255">
        <f t="shared" si="30"/>
        <v>1.04493312</v>
      </c>
      <c r="J66" s="255">
        <f t="shared" si="30"/>
        <v>15.88773312</v>
      </c>
      <c r="K66" s="255"/>
      <c r="L66" s="255"/>
    </row>
    <row r="67" spans="1:12" s="124" customFormat="1" ht="47.25">
      <c r="A67" s="177"/>
      <c r="B67" s="285" t="s">
        <v>262</v>
      </c>
      <c r="C67" s="298" t="s">
        <v>261</v>
      </c>
      <c r="D67" s="258" t="s">
        <v>64</v>
      </c>
      <c r="E67" s="255"/>
      <c r="F67" s="255"/>
      <c r="G67" s="255"/>
      <c r="H67" s="255">
        <v>84.92</v>
      </c>
      <c r="I67" s="255">
        <f>H67*0.0704</f>
        <v>5.9783680000000006</v>
      </c>
      <c r="J67" s="255">
        <f>I67+H67</f>
        <v>90.898368000000005</v>
      </c>
      <c r="K67" s="287"/>
      <c r="L67" s="287"/>
    </row>
    <row r="68" spans="1:12" s="124" customFormat="1" ht="15.75" customHeight="1">
      <c r="A68" s="177"/>
      <c r="B68" s="284"/>
      <c r="C68" s="296"/>
      <c r="D68" s="258">
        <f>4.3*D56</f>
        <v>2.6659999999999999</v>
      </c>
      <c r="E68" s="255"/>
      <c r="F68" s="255"/>
      <c r="G68" s="255"/>
      <c r="H68" s="255">
        <f>H67*D68</f>
        <v>226.39671999999999</v>
      </c>
      <c r="I68" s="255">
        <f t="shared" ref="I68:J68" si="31">I67*$D68</f>
        <v>15.938329088000001</v>
      </c>
      <c r="J68" s="255">
        <f t="shared" si="31"/>
        <v>242.33504908800001</v>
      </c>
      <c r="K68" s="255"/>
      <c r="L68" s="255"/>
    </row>
    <row r="69" spans="1:12" s="124" customFormat="1" ht="15.75" customHeight="1">
      <c r="A69" s="177"/>
      <c r="B69" s="285" t="s">
        <v>270</v>
      </c>
      <c r="C69" s="298" t="s">
        <v>263</v>
      </c>
      <c r="D69" s="258" t="s">
        <v>271</v>
      </c>
      <c r="E69" s="255"/>
      <c r="F69" s="255"/>
      <c r="G69" s="255"/>
      <c r="H69" s="255">
        <f>(9383-24)*0.001226</f>
        <v>11.474134000000001</v>
      </c>
      <c r="I69" s="255">
        <f>H69*0.0704</f>
        <v>0.80777903360000014</v>
      </c>
      <c r="J69" s="255">
        <f>I69+H69</f>
        <v>12.281913033600002</v>
      </c>
      <c r="K69" s="287"/>
      <c r="L69" s="287"/>
    </row>
    <row r="70" spans="1:12" s="124" customFormat="1" ht="15.75" customHeight="1">
      <c r="A70" s="177"/>
      <c r="B70" s="284"/>
      <c r="C70" s="296"/>
      <c r="D70" s="258">
        <f>D56*1000</f>
        <v>620</v>
      </c>
      <c r="E70" s="255"/>
      <c r="F70" s="255"/>
      <c r="G70" s="255"/>
      <c r="H70" s="255">
        <f>H69*D70</f>
        <v>7113.9630800000004</v>
      </c>
      <c r="I70" s="255">
        <f t="shared" ref="I70:J70" si="32">I69*$D70</f>
        <v>500.8230008320001</v>
      </c>
      <c r="J70" s="255">
        <f t="shared" si="32"/>
        <v>7614.7860808320011</v>
      </c>
      <c r="K70" s="255"/>
      <c r="L70" s="255"/>
    </row>
    <row r="71" spans="1:12" s="124" customFormat="1" ht="15.75" customHeight="1">
      <c r="A71" s="177"/>
      <c r="B71" s="285" t="s">
        <v>274</v>
      </c>
      <c r="C71" s="297" t="s">
        <v>267</v>
      </c>
      <c r="D71" s="258" t="s">
        <v>46</v>
      </c>
      <c r="E71" s="255"/>
      <c r="F71" s="255"/>
      <c r="G71" s="255"/>
      <c r="H71" s="255">
        <v>7.9</v>
      </c>
      <c r="I71" s="255">
        <f>H71*0.0704</f>
        <v>0.5561600000000001</v>
      </c>
      <c r="J71" s="255">
        <f>I71+H71</f>
        <v>8.4561600000000006</v>
      </c>
      <c r="K71" s="287"/>
      <c r="L71" s="287"/>
    </row>
    <row r="72" spans="1:12" s="124" customFormat="1" ht="15.75" customHeight="1">
      <c r="A72" s="177"/>
      <c r="B72" s="284"/>
      <c r="C72" s="296"/>
      <c r="D72" s="258">
        <f>ROUNDUP(D70/3.5,0)</f>
        <v>178</v>
      </c>
      <c r="E72" s="255"/>
      <c r="F72" s="255"/>
      <c r="G72" s="255"/>
      <c r="H72" s="255">
        <f>H71*D72</f>
        <v>1406.2</v>
      </c>
      <c r="I72" s="255">
        <f t="shared" ref="I72:J72" si="33">I71*$D72</f>
        <v>98.99648000000002</v>
      </c>
      <c r="J72" s="255">
        <f t="shared" si="33"/>
        <v>1505.1964800000001</v>
      </c>
      <c r="K72" s="255"/>
      <c r="L72" s="255"/>
    </row>
    <row r="73" spans="1:12" s="124" customFormat="1" ht="47.25">
      <c r="A73" s="177"/>
      <c r="B73" s="285" t="s">
        <v>273</v>
      </c>
      <c r="C73" s="298" t="s">
        <v>268</v>
      </c>
      <c r="D73" s="258" t="s">
        <v>64</v>
      </c>
      <c r="E73" s="255"/>
      <c r="F73" s="255"/>
      <c r="G73" s="255"/>
      <c r="H73" s="255">
        <v>6.25</v>
      </c>
      <c r="I73" s="255">
        <f>H73*0.0704</f>
        <v>0.44</v>
      </c>
      <c r="J73" s="255">
        <f>I73+H73</f>
        <v>6.69</v>
      </c>
      <c r="K73" s="287"/>
      <c r="L73" s="287"/>
    </row>
    <row r="74" spans="1:12" s="124" customFormat="1" ht="15.75" customHeight="1">
      <c r="A74" s="177"/>
      <c r="B74" s="284"/>
      <c r="C74" s="296"/>
      <c r="D74" s="258">
        <v>5</v>
      </c>
      <c r="E74" s="255"/>
      <c r="F74" s="255"/>
      <c r="G74" s="255"/>
      <c r="H74" s="255">
        <f>H73*D74</f>
        <v>31.25</v>
      </c>
      <c r="I74" s="255">
        <f t="shared" ref="I74:J74" si="34">I73*$D74</f>
        <v>2.2000000000000002</v>
      </c>
      <c r="J74" s="255">
        <f t="shared" si="34"/>
        <v>33.450000000000003</v>
      </c>
      <c r="K74" s="255"/>
      <c r="L74" s="255"/>
    </row>
    <row r="75" spans="1:12" s="124" customFormat="1" ht="63">
      <c r="A75" s="177"/>
      <c r="B75" s="285" t="s">
        <v>272</v>
      </c>
      <c r="C75" s="298" t="s">
        <v>269</v>
      </c>
      <c r="D75" s="299" t="s">
        <v>46</v>
      </c>
      <c r="E75" s="288"/>
      <c r="F75" s="288"/>
      <c r="G75" s="288"/>
      <c r="H75" s="288">
        <f>(1304190-4273)*0.001226</f>
        <v>1593.6982420000002</v>
      </c>
      <c r="I75" s="288">
        <f>H75*0.0704</f>
        <v>112.19635623680001</v>
      </c>
      <c r="J75" s="288">
        <f>I75+H75</f>
        <v>1705.8945982368002</v>
      </c>
      <c r="K75" s="289"/>
      <c r="L75" s="289"/>
    </row>
    <row r="76" spans="1:12" s="124" customFormat="1" ht="15.75" customHeight="1">
      <c r="A76" s="177"/>
      <c r="B76" s="284"/>
      <c r="C76" s="296"/>
      <c r="D76" s="300">
        <v>1</v>
      </c>
      <c r="E76" s="290"/>
      <c r="F76" s="290"/>
      <c r="G76" s="290"/>
      <c r="H76" s="290">
        <f t="shared" ref="H76:J76" si="35">H75*$D76</f>
        <v>1593.6982420000002</v>
      </c>
      <c r="I76" s="290">
        <f t="shared" si="35"/>
        <v>112.19635623680001</v>
      </c>
      <c r="J76" s="290">
        <f t="shared" si="35"/>
        <v>1705.8945982368002</v>
      </c>
      <c r="K76" s="290"/>
      <c r="L76" s="290"/>
    </row>
    <row r="77" spans="1:12" s="124" customFormat="1" ht="47.25">
      <c r="A77" s="177"/>
      <c r="B77" s="285" t="s">
        <v>276</v>
      </c>
      <c r="C77" s="298" t="s">
        <v>275</v>
      </c>
      <c r="D77" s="300" t="s">
        <v>64</v>
      </c>
      <c r="E77" s="290"/>
      <c r="F77" s="290"/>
      <c r="G77" s="290"/>
      <c r="H77" s="290">
        <f>3.17*0.532</f>
        <v>1.6864400000000002</v>
      </c>
      <c r="I77" s="290">
        <f>H77*0.0704</f>
        <v>0.11872537600000002</v>
      </c>
      <c r="J77" s="290">
        <f>I77+H77</f>
        <v>1.8051653760000002</v>
      </c>
      <c r="K77" s="290"/>
      <c r="L77" s="290"/>
    </row>
    <row r="78" spans="1:12" s="124" customFormat="1" ht="15.75" customHeight="1" thickBot="1">
      <c r="A78" s="139"/>
      <c r="B78" s="262"/>
      <c r="C78" s="263"/>
      <c r="D78" s="262">
        <f>D72*0.002658</f>
        <v>0.47312400000000004</v>
      </c>
      <c r="E78" s="291"/>
      <c r="F78" s="291"/>
      <c r="G78" s="291"/>
      <c r="H78" s="291">
        <f t="shared" ref="H78:J78" si="36">H77*$D78</f>
        <v>0.79789523856000011</v>
      </c>
      <c r="I78" s="291">
        <f t="shared" si="36"/>
        <v>5.6171824794624015E-2</v>
      </c>
      <c r="J78" s="291">
        <f t="shared" si="36"/>
        <v>0.85406706335462412</v>
      </c>
      <c r="K78" s="291"/>
      <c r="L78" s="291"/>
    </row>
    <row r="79" spans="1:12" s="124" customFormat="1" ht="33" customHeight="1">
      <c r="A79" s="175">
        <v>3</v>
      </c>
      <c r="B79" s="264" t="s">
        <v>290</v>
      </c>
      <c r="C79" s="252" t="s">
        <v>291</v>
      </c>
      <c r="D79" s="253" t="str">
        <f>'[1]объемы работ'!$C$15</f>
        <v>1км</v>
      </c>
      <c r="E79" s="326">
        <v>3536.7</v>
      </c>
      <c r="F79" s="326">
        <v>2436.63</v>
      </c>
      <c r="G79" s="326">
        <v>829.24</v>
      </c>
      <c r="H79" s="255"/>
      <c r="I79" s="255"/>
      <c r="J79" s="255">
        <f>E79+F79</f>
        <v>5973.33</v>
      </c>
      <c r="K79" s="255">
        <v>494.48</v>
      </c>
      <c r="L79" s="255">
        <v>117.38</v>
      </c>
    </row>
    <row r="80" spans="1:12" s="124" customFormat="1" ht="34.9" customHeight="1">
      <c r="A80" s="162"/>
      <c r="B80" s="301"/>
      <c r="C80" s="302"/>
      <c r="D80" s="255">
        <v>0.12</v>
      </c>
      <c r="E80" s="255">
        <f>E79*D80</f>
        <v>424.40399999999994</v>
      </c>
      <c r="F80" s="255">
        <f>F79*D80</f>
        <v>292.3956</v>
      </c>
      <c r="G80" s="255">
        <f>G79*D80</f>
        <v>99.508799999999994</v>
      </c>
      <c r="H80" s="255"/>
      <c r="I80" s="255"/>
      <c r="J80" s="255">
        <f t="shared" ref="J80" si="37">J79*$D80</f>
        <v>716.79959999999994</v>
      </c>
      <c r="K80" s="255">
        <f>K79*$D80+22</f>
        <v>81.337600000000009</v>
      </c>
      <c r="L80" s="255">
        <f t="shared" ref="L80" si="38">L79*$D80</f>
        <v>14.085599999999999</v>
      </c>
    </row>
    <row r="81" spans="1:12" s="124" customFormat="1" ht="31.5">
      <c r="A81" s="177"/>
      <c r="B81" s="285" t="s">
        <v>257</v>
      </c>
      <c r="C81" s="298" t="s">
        <v>264</v>
      </c>
      <c r="D81" s="258" t="s">
        <v>63</v>
      </c>
      <c r="E81" s="255"/>
      <c r="F81" s="255"/>
      <c r="G81" s="255"/>
      <c r="H81" s="255">
        <v>5.57</v>
      </c>
      <c r="I81" s="255">
        <f>H81*0.0704</f>
        <v>0.39212800000000003</v>
      </c>
      <c r="J81" s="255">
        <f>I81+H81</f>
        <v>5.9621279999999999</v>
      </c>
      <c r="K81" s="255"/>
      <c r="L81" s="255"/>
    </row>
    <row r="82" spans="1:12" s="124" customFormat="1" ht="15.75" customHeight="1">
      <c r="A82" s="177"/>
      <c r="B82" s="284"/>
      <c r="C82" s="284"/>
      <c r="D82" s="258">
        <f>0.02*D80</f>
        <v>2.3999999999999998E-3</v>
      </c>
      <c r="E82" s="255"/>
      <c r="F82" s="255"/>
      <c r="G82" s="255"/>
      <c r="H82" s="255">
        <f>H81*D82</f>
        <v>1.3368E-2</v>
      </c>
      <c r="I82" s="255">
        <f>I81*D82</f>
        <v>9.4110720000000001E-4</v>
      </c>
      <c r="J82" s="255">
        <f>J81*D82</f>
        <v>1.4309107199999999E-2</v>
      </c>
      <c r="K82" s="255"/>
      <c r="L82" s="255"/>
    </row>
    <row r="83" spans="1:12" s="124" customFormat="1" ht="15.75" customHeight="1">
      <c r="A83" s="177"/>
      <c r="B83" s="285" t="s">
        <v>258</v>
      </c>
      <c r="C83" s="298" t="s">
        <v>256</v>
      </c>
      <c r="D83" s="258" t="s">
        <v>284</v>
      </c>
      <c r="E83" s="255"/>
      <c r="F83" s="255"/>
      <c r="G83" s="255"/>
      <c r="H83" s="255">
        <v>1691.93</v>
      </c>
      <c r="I83" s="255">
        <f>H83*0.0704</f>
        <v>119.11187200000001</v>
      </c>
      <c r="J83" s="255">
        <f>I83+H83</f>
        <v>1811.041872</v>
      </c>
      <c r="K83" s="287"/>
      <c r="L83" s="287"/>
    </row>
    <row r="84" spans="1:12" s="124" customFormat="1" ht="15.75" customHeight="1">
      <c r="A84" s="177"/>
      <c r="B84" s="284"/>
      <c r="C84" s="296"/>
      <c r="D84" s="258">
        <f>0.02*D80</f>
        <v>2.3999999999999998E-3</v>
      </c>
      <c r="E84" s="255"/>
      <c r="F84" s="255"/>
      <c r="G84" s="255"/>
      <c r="H84" s="255">
        <f t="shared" ref="H84" si="39">H83*$D84</f>
        <v>4.060632</v>
      </c>
      <c r="I84" s="255">
        <f>I83*$D84</f>
        <v>0.28586849279999998</v>
      </c>
      <c r="J84" s="255">
        <f t="shared" ref="J84" si="40">J83*$D84</f>
        <v>4.3465004927999997</v>
      </c>
      <c r="K84" s="255"/>
      <c r="L84" s="255"/>
    </row>
    <row r="85" spans="1:12" s="124" customFormat="1" ht="15.75" customHeight="1">
      <c r="A85" s="177"/>
      <c r="B85" s="285" t="s">
        <v>41</v>
      </c>
      <c r="C85" s="298" t="s">
        <v>42</v>
      </c>
      <c r="D85" s="258" t="s">
        <v>64</v>
      </c>
      <c r="E85" s="255"/>
      <c r="F85" s="255"/>
      <c r="G85" s="255"/>
      <c r="H85" s="255">
        <v>2.81</v>
      </c>
      <c r="I85" s="255">
        <f>H85*0.0704</f>
        <v>0.19782400000000003</v>
      </c>
      <c r="J85" s="255">
        <f>I85+H85</f>
        <v>3.0078240000000003</v>
      </c>
      <c r="K85" s="287"/>
      <c r="L85" s="287"/>
    </row>
    <row r="86" spans="1:12" s="124" customFormat="1" ht="15.75" customHeight="1">
      <c r="A86" s="177"/>
      <c r="B86" s="284"/>
      <c r="C86" s="296"/>
      <c r="D86" s="258">
        <f>0.06*D80</f>
        <v>7.1999999999999998E-3</v>
      </c>
      <c r="E86" s="255"/>
      <c r="F86" s="255"/>
      <c r="G86" s="255"/>
      <c r="H86" s="255">
        <f t="shared" ref="H86:J86" si="41">H85*$D86</f>
        <v>2.0232E-2</v>
      </c>
      <c r="I86" s="255">
        <f t="shared" si="41"/>
        <v>1.4243328000000002E-3</v>
      </c>
      <c r="J86" s="255">
        <f t="shared" si="41"/>
        <v>2.1656332800000001E-2</v>
      </c>
      <c r="K86" s="255"/>
      <c r="L86" s="255"/>
    </row>
    <row r="87" spans="1:12" s="124" customFormat="1" ht="31.5">
      <c r="A87" s="177"/>
      <c r="B87" s="285" t="s">
        <v>260</v>
      </c>
      <c r="C87" s="298" t="s">
        <v>259</v>
      </c>
      <c r="D87" s="258" t="s">
        <v>284</v>
      </c>
      <c r="E87" s="255"/>
      <c r="F87" s="255"/>
      <c r="G87" s="255"/>
      <c r="H87" s="255">
        <v>3000</v>
      </c>
      <c r="I87" s="255">
        <f>H87*0.0704</f>
        <v>211.20000000000002</v>
      </c>
      <c r="J87" s="255">
        <f>I87+H87</f>
        <v>3211.2</v>
      </c>
      <c r="K87" s="287"/>
      <c r="L87" s="287"/>
    </row>
    <row r="88" spans="1:12" s="124" customFormat="1" ht="15.75" customHeight="1">
      <c r="A88" s="177"/>
      <c r="B88" s="284"/>
      <c r="C88" s="296"/>
      <c r="D88" s="258">
        <f>0.01*D80</f>
        <v>1.1999999999999999E-3</v>
      </c>
      <c r="E88" s="255"/>
      <c r="F88" s="255"/>
      <c r="G88" s="255"/>
      <c r="H88" s="255">
        <f t="shared" ref="H88:J88" si="42">H87*$D88</f>
        <v>3.5999999999999996</v>
      </c>
      <c r="I88" s="255">
        <f t="shared" si="42"/>
        <v>0.25344</v>
      </c>
      <c r="J88" s="255">
        <f t="shared" si="42"/>
        <v>3.8534399999999995</v>
      </c>
      <c r="K88" s="255"/>
      <c r="L88" s="255"/>
    </row>
    <row r="89" spans="1:12" s="124" customFormat="1" ht="15.75" customHeight="1">
      <c r="A89" s="177"/>
      <c r="B89" s="286" t="s">
        <v>44</v>
      </c>
      <c r="C89" s="298" t="s">
        <v>45</v>
      </c>
      <c r="D89" s="258" t="s">
        <v>64</v>
      </c>
      <c r="E89" s="255"/>
      <c r="F89" s="255"/>
      <c r="G89" s="255"/>
      <c r="H89" s="255">
        <v>1.26</v>
      </c>
      <c r="I89" s="255">
        <f>H89*0.0704</f>
        <v>8.8704000000000005E-2</v>
      </c>
      <c r="J89" s="255">
        <f>I89+H89</f>
        <v>1.3487040000000001</v>
      </c>
      <c r="K89" s="287"/>
      <c r="L89" s="287"/>
    </row>
    <row r="90" spans="1:12" s="124" customFormat="1" ht="15.75" customHeight="1">
      <c r="A90" s="177"/>
      <c r="B90" s="284"/>
      <c r="C90" s="296"/>
      <c r="D90" s="258">
        <f>26*D80</f>
        <v>3.12</v>
      </c>
      <c r="E90" s="255"/>
      <c r="F90" s="255"/>
      <c r="G90" s="255"/>
      <c r="H90" s="255">
        <f t="shared" ref="H90:J90" si="43">H89*$D90</f>
        <v>3.9312</v>
      </c>
      <c r="I90" s="255">
        <f t="shared" si="43"/>
        <v>0.27675648000000003</v>
      </c>
      <c r="J90" s="255">
        <f t="shared" si="43"/>
        <v>4.2079564800000009</v>
      </c>
      <c r="K90" s="255"/>
      <c r="L90" s="255"/>
    </row>
    <row r="91" spans="1:12" s="124" customFormat="1" ht="47.25">
      <c r="A91" s="177"/>
      <c r="B91" s="285" t="s">
        <v>262</v>
      </c>
      <c r="C91" s="298" t="s">
        <v>261</v>
      </c>
      <c r="D91" s="258">
        <v>6</v>
      </c>
      <c r="E91" s="255"/>
      <c r="F91" s="255"/>
      <c r="G91" s="255"/>
      <c r="H91" s="255">
        <v>84.92</v>
      </c>
      <c r="I91" s="255">
        <f>H91*0.0704</f>
        <v>5.9783680000000006</v>
      </c>
      <c r="J91" s="255">
        <f>I91+H91</f>
        <v>90.898368000000005</v>
      </c>
      <c r="K91" s="287"/>
      <c r="L91" s="287"/>
    </row>
    <row r="92" spans="1:12" s="124" customFormat="1" ht="15.75" customHeight="1">
      <c r="A92" s="177"/>
      <c r="B92" s="284"/>
      <c r="C92" s="296"/>
      <c r="D92" s="258">
        <f>5*D80</f>
        <v>0.6</v>
      </c>
      <c r="E92" s="255"/>
      <c r="F92" s="255"/>
      <c r="G92" s="255"/>
      <c r="H92" s="255">
        <f>H91*D92</f>
        <v>50.951999999999998</v>
      </c>
      <c r="I92" s="255">
        <f t="shared" ref="I92:J92" si="44">I91*$D92</f>
        <v>3.5870208000000003</v>
      </c>
      <c r="J92" s="255">
        <f t="shared" si="44"/>
        <v>54.539020800000003</v>
      </c>
      <c r="K92" s="255"/>
      <c r="L92" s="255"/>
    </row>
    <row r="93" spans="1:12" s="124" customFormat="1" ht="15.75" customHeight="1">
      <c r="A93" s="177"/>
      <c r="B93" s="285" t="s">
        <v>270</v>
      </c>
      <c r="C93" s="298" t="s">
        <v>263</v>
      </c>
      <c r="D93" s="258" t="s">
        <v>271</v>
      </c>
      <c r="E93" s="255"/>
      <c r="F93" s="255"/>
      <c r="G93" s="255"/>
      <c r="H93" s="255">
        <f>(16434-44)*0.001226</f>
        <v>20.094140000000003</v>
      </c>
      <c r="I93" s="255">
        <f>H93*0.0704</f>
        <v>1.4146274560000003</v>
      </c>
      <c r="J93" s="255">
        <f>I93+H93</f>
        <v>21.508767456000005</v>
      </c>
      <c r="K93" s="287"/>
      <c r="L93" s="287"/>
    </row>
    <row r="94" spans="1:12" s="124" customFormat="1" ht="15.75" customHeight="1">
      <c r="A94" s="177"/>
      <c r="B94" s="284"/>
      <c r="C94" s="296"/>
      <c r="D94" s="258">
        <f>D80*1000</f>
        <v>120</v>
      </c>
      <c r="E94" s="255"/>
      <c r="F94" s="255"/>
      <c r="G94" s="255"/>
      <c r="H94" s="255">
        <f>H93*D94</f>
        <v>2411.2968000000005</v>
      </c>
      <c r="I94" s="255">
        <f t="shared" ref="I94:J94" si="45">I93*$D94</f>
        <v>169.75529472000002</v>
      </c>
      <c r="J94" s="255">
        <f t="shared" si="45"/>
        <v>2581.0520947200007</v>
      </c>
      <c r="K94" s="255"/>
      <c r="L94" s="255"/>
    </row>
    <row r="95" spans="1:12" s="124" customFormat="1" ht="15.75" customHeight="1">
      <c r="A95" s="177"/>
      <c r="B95" s="285" t="s">
        <v>274</v>
      </c>
      <c r="C95" s="297" t="s">
        <v>267</v>
      </c>
      <c r="D95" s="258" t="s">
        <v>46</v>
      </c>
      <c r="E95" s="255"/>
      <c r="F95" s="255"/>
      <c r="G95" s="255"/>
      <c r="H95" s="255">
        <v>9.4</v>
      </c>
      <c r="I95" s="255">
        <f>H95*0.0704</f>
        <v>0.66176000000000001</v>
      </c>
      <c r="J95" s="255">
        <f>I95+H95</f>
        <v>10.06176</v>
      </c>
      <c r="K95" s="287"/>
      <c r="L95" s="287"/>
    </row>
    <row r="96" spans="1:12" s="124" customFormat="1" ht="15.75" customHeight="1">
      <c r="A96" s="177"/>
      <c r="B96" s="284"/>
      <c r="C96" s="296"/>
      <c r="D96" s="258">
        <f>ROUNDUP(D94/3.5,0)</f>
        <v>35</v>
      </c>
      <c r="E96" s="255"/>
      <c r="F96" s="255"/>
      <c r="G96" s="255"/>
      <c r="H96" s="255">
        <f>H95*D96</f>
        <v>329</v>
      </c>
      <c r="I96" s="255">
        <f t="shared" ref="I96:J96" si="46">I95*$D96</f>
        <v>23.1616</v>
      </c>
      <c r="J96" s="255">
        <f t="shared" si="46"/>
        <v>352.16159999999996</v>
      </c>
      <c r="K96" s="255"/>
      <c r="L96" s="255"/>
    </row>
    <row r="97" spans="1:12" s="124" customFormat="1" ht="47.25">
      <c r="A97" s="177"/>
      <c r="B97" s="285" t="s">
        <v>273</v>
      </c>
      <c r="C97" s="298" t="s">
        <v>268</v>
      </c>
      <c r="D97" s="258" t="s">
        <v>64</v>
      </c>
      <c r="E97" s="255"/>
      <c r="F97" s="255"/>
      <c r="G97" s="255"/>
      <c r="H97" s="255">
        <v>6.25</v>
      </c>
      <c r="I97" s="255">
        <f>H97*0.0704</f>
        <v>0.44</v>
      </c>
      <c r="J97" s="255">
        <f>I97+H97</f>
        <v>6.69</v>
      </c>
      <c r="K97" s="287"/>
      <c r="L97" s="287"/>
    </row>
    <row r="98" spans="1:12" s="124" customFormat="1" ht="15.75" customHeight="1">
      <c r="A98" s="177"/>
      <c r="B98" s="284"/>
      <c r="C98" s="296"/>
      <c r="D98" s="258">
        <v>5</v>
      </c>
      <c r="E98" s="255"/>
      <c r="F98" s="255"/>
      <c r="G98" s="255"/>
      <c r="H98" s="255">
        <f>H97*D98</f>
        <v>31.25</v>
      </c>
      <c r="I98" s="255">
        <f t="shared" ref="I98:J98" si="47">I97*$D98</f>
        <v>2.2000000000000002</v>
      </c>
      <c r="J98" s="255">
        <f t="shared" si="47"/>
        <v>33.450000000000003</v>
      </c>
      <c r="K98" s="255"/>
      <c r="L98" s="255"/>
    </row>
    <row r="99" spans="1:12" s="124" customFormat="1" ht="47.25" customHeight="1">
      <c r="A99" s="177"/>
      <c r="B99" s="285" t="s">
        <v>272</v>
      </c>
      <c r="C99" s="298" t="s">
        <v>269</v>
      </c>
      <c r="D99" s="299" t="s">
        <v>46</v>
      </c>
      <c r="E99" s="288"/>
      <c r="F99" s="288"/>
      <c r="G99" s="288"/>
      <c r="H99" s="288">
        <f>(1304190-4273)*0.001226</f>
        <v>1593.6982420000002</v>
      </c>
      <c r="I99" s="288">
        <f>H99*0.0704</f>
        <v>112.19635623680001</v>
      </c>
      <c r="J99" s="288">
        <f>I99+H99</f>
        <v>1705.8945982368002</v>
      </c>
      <c r="K99" s="289"/>
      <c r="L99" s="289"/>
    </row>
    <row r="100" spans="1:12" s="124" customFormat="1" ht="15.75" customHeight="1">
      <c r="A100" s="177"/>
      <c r="B100" s="284"/>
      <c r="C100" s="296"/>
      <c r="D100" s="300">
        <v>1</v>
      </c>
      <c r="E100" s="290"/>
      <c r="F100" s="290"/>
      <c r="G100" s="290"/>
      <c r="H100" s="290">
        <f t="shared" ref="H100:J100" si="48">H99*$D100</f>
        <v>1593.6982420000002</v>
      </c>
      <c r="I100" s="290">
        <f t="shared" si="48"/>
        <v>112.19635623680001</v>
      </c>
      <c r="J100" s="290">
        <f t="shared" si="48"/>
        <v>1705.8945982368002</v>
      </c>
      <c r="K100" s="290"/>
      <c r="L100" s="290"/>
    </row>
    <row r="101" spans="1:12" s="124" customFormat="1" ht="47.25">
      <c r="A101" s="177"/>
      <c r="B101" s="285" t="s">
        <v>276</v>
      </c>
      <c r="C101" s="298" t="s">
        <v>275</v>
      </c>
      <c r="D101" s="300" t="s">
        <v>64</v>
      </c>
      <c r="E101" s="290"/>
      <c r="F101" s="290"/>
      <c r="G101" s="290"/>
      <c r="H101" s="290">
        <f>3.17*0.532</f>
        <v>1.6864400000000002</v>
      </c>
      <c r="I101" s="290">
        <f>H101*0.0704</f>
        <v>0.11872537600000002</v>
      </c>
      <c r="J101" s="290">
        <f>I101+H101</f>
        <v>1.8051653760000002</v>
      </c>
      <c r="K101" s="290"/>
      <c r="L101" s="290"/>
    </row>
    <row r="102" spans="1:12" s="124" customFormat="1" ht="15.75" customHeight="1" thickBot="1">
      <c r="A102" s="139"/>
      <c r="B102" s="262"/>
      <c r="C102" s="263"/>
      <c r="D102" s="262">
        <f>D96*0.002658</f>
        <v>9.3030000000000002E-2</v>
      </c>
      <c r="E102" s="291"/>
      <c r="F102" s="291"/>
      <c r="G102" s="329"/>
      <c r="H102" s="291">
        <f t="shared" ref="H102:J102" si="49">H101*$D102</f>
        <v>0.15688951320000002</v>
      </c>
      <c r="I102" s="291">
        <f t="shared" si="49"/>
        <v>1.1045021729280001E-2</v>
      </c>
      <c r="J102" s="291">
        <f t="shared" si="49"/>
        <v>0.16793453492928001</v>
      </c>
      <c r="K102" s="291"/>
      <c r="L102" s="291"/>
    </row>
    <row r="103" spans="1:12" s="124" customFormat="1" ht="33.6" customHeight="1">
      <c r="A103" s="175">
        <v>4</v>
      </c>
      <c r="B103" s="264" t="s">
        <v>292</v>
      </c>
      <c r="C103" s="252" t="s">
        <v>293</v>
      </c>
      <c r="D103" s="253" t="s">
        <v>283</v>
      </c>
      <c r="E103" s="255">
        <v>3964.56</v>
      </c>
      <c r="F103" s="326">
        <v>2778.41</v>
      </c>
      <c r="G103" s="330">
        <v>829.89</v>
      </c>
      <c r="H103" s="327"/>
      <c r="I103" s="255"/>
      <c r="J103" s="255">
        <f>E103+F103</f>
        <v>6742.9699999999993</v>
      </c>
      <c r="K103" s="255">
        <v>554.29999999999995</v>
      </c>
      <c r="L103" s="255">
        <v>117.49</v>
      </c>
    </row>
    <row r="104" spans="1:12" s="124" customFormat="1" ht="33" customHeight="1">
      <c r="A104" s="162"/>
      <c r="B104" s="301"/>
      <c r="C104" s="302"/>
      <c r="D104" s="255">
        <v>2.39</v>
      </c>
      <c r="E104" s="255">
        <f>E103*D104</f>
        <v>9475.2983999999997</v>
      </c>
      <c r="F104" s="255">
        <f>F103*D104</f>
        <v>6640.3999000000003</v>
      </c>
      <c r="G104" s="328">
        <f>G103*D104</f>
        <v>1983.4371000000001</v>
      </c>
      <c r="H104" s="255"/>
      <c r="I104" s="255"/>
      <c r="J104" s="255">
        <f t="shared" ref="J104" si="50">J103*$D104</f>
        <v>16115.6983</v>
      </c>
      <c r="K104" s="255">
        <f>K103*$D104+22</f>
        <v>1346.777</v>
      </c>
      <c r="L104" s="255">
        <f t="shared" ref="L104" si="51">L103*$D104</f>
        <v>280.80110000000002</v>
      </c>
    </row>
    <row r="105" spans="1:12" s="124" customFormat="1" ht="28.9" customHeight="1">
      <c r="A105" s="177"/>
      <c r="B105" s="285" t="s">
        <v>257</v>
      </c>
      <c r="C105" s="298" t="s">
        <v>264</v>
      </c>
      <c r="D105" s="258" t="s">
        <v>63</v>
      </c>
      <c r="E105" s="255"/>
      <c r="F105" s="255"/>
      <c r="G105" s="255"/>
      <c r="H105" s="255">
        <v>5.57</v>
      </c>
      <c r="I105" s="255">
        <f>H105*0.0704</f>
        <v>0.39212800000000003</v>
      </c>
      <c r="J105" s="255">
        <f>I105+H105</f>
        <v>5.9621279999999999</v>
      </c>
      <c r="K105" s="255"/>
      <c r="L105" s="255"/>
    </row>
    <row r="106" spans="1:12" s="124" customFormat="1" ht="15.75" customHeight="1">
      <c r="A106" s="177"/>
      <c r="B106" s="284"/>
      <c r="C106" s="284"/>
      <c r="D106" s="258">
        <f>0.05*D104</f>
        <v>0.11950000000000001</v>
      </c>
      <c r="E106" s="255"/>
      <c r="F106" s="255"/>
      <c r="G106" s="255"/>
      <c r="H106" s="255">
        <f>H105*D106</f>
        <v>0.66561500000000007</v>
      </c>
      <c r="I106" s="255">
        <f>I105*D106</f>
        <v>4.6859296000000009E-2</v>
      </c>
      <c r="J106" s="255">
        <f>J105*D106</f>
        <v>0.71247429600000001</v>
      </c>
      <c r="K106" s="255"/>
      <c r="L106" s="255"/>
    </row>
    <row r="107" spans="1:12" s="124" customFormat="1" ht="15.75">
      <c r="A107" s="177"/>
      <c r="B107" s="285" t="s">
        <v>258</v>
      </c>
      <c r="C107" s="298" t="s">
        <v>256</v>
      </c>
      <c r="D107" s="258" t="s">
        <v>284</v>
      </c>
      <c r="E107" s="255"/>
      <c r="F107" s="255"/>
      <c r="G107" s="255"/>
      <c r="H107" s="255">
        <v>1691.93</v>
      </c>
      <c r="I107" s="255">
        <f>H107*0.0704</f>
        <v>119.11187200000001</v>
      </c>
      <c r="J107" s="255">
        <f>I107+H107</f>
        <v>1811.041872</v>
      </c>
      <c r="K107" s="287"/>
      <c r="L107" s="287"/>
    </row>
    <row r="108" spans="1:12" s="124" customFormat="1" ht="15.75" customHeight="1">
      <c r="A108" s="177"/>
      <c r="B108" s="284"/>
      <c r="C108" s="296"/>
      <c r="D108" s="258">
        <f>0.01*D104</f>
        <v>2.3900000000000001E-2</v>
      </c>
      <c r="E108" s="255"/>
      <c r="F108" s="255"/>
      <c r="G108" s="255"/>
      <c r="H108" s="255">
        <f t="shared" ref="H108" si="52">H107*$D108</f>
        <v>40.437127000000004</v>
      </c>
      <c r="I108" s="255">
        <f>I107*$D108</f>
        <v>2.8467737408000002</v>
      </c>
      <c r="J108" s="255">
        <f t="shared" ref="J108" si="53">J107*$D108</f>
        <v>43.2839007408</v>
      </c>
      <c r="K108" s="255"/>
      <c r="L108" s="255"/>
    </row>
    <row r="109" spans="1:12" s="124" customFormat="1" ht="15.75" customHeight="1">
      <c r="A109" s="177"/>
      <c r="B109" s="285" t="s">
        <v>41</v>
      </c>
      <c r="C109" s="298" t="s">
        <v>42</v>
      </c>
      <c r="D109" s="258" t="s">
        <v>64</v>
      </c>
      <c r="E109" s="255"/>
      <c r="F109" s="255"/>
      <c r="G109" s="255"/>
      <c r="H109" s="255">
        <v>2.81</v>
      </c>
      <c r="I109" s="255">
        <f>H109*0.0704</f>
        <v>0.19782400000000003</v>
      </c>
      <c r="J109" s="255">
        <f>I109+H109</f>
        <v>3.0078240000000003</v>
      </c>
      <c r="K109" s="287"/>
      <c r="L109" s="287"/>
    </row>
    <row r="110" spans="1:12" s="124" customFormat="1" ht="15.75" customHeight="1">
      <c r="A110" s="177"/>
      <c r="B110" s="284"/>
      <c r="C110" s="296"/>
      <c r="D110" s="258">
        <f>0.08*D104</f>
        <v>0.19120000000000001</v>
      </c>
      <c r="E110" s="255"/>
      <c r="F110" s="255"/>
      <c r="G110" s="255"/>
      <c r="H110" s="255">
        <f t="shared" ref="H110:J110" si="54">H109*$D110</f>
        <v>0.53727200000000008</v>
      </c>
      <c r="I110" s="255">
        <f t="shared" si="54"/>
        <v>3.7823948800000007E-2</v>
      </c>
      <c r="J110" s="255">
        <f t="shared" si="54"/>
        <v>0.57509594880000003</v>
      </c>
      <c r="K110" s="255"/>
      <c r="L110" s="255"/>
    </row>
    <row r="111" spans="1:12" s="124" customFormat="1" ht="31.5">
      <c r="A111" s="177"/>
      <c r="B111" s="285" t="s">
        <v>260</v>
      </c>
      <c r="C111" s="298" t="s">
        <v>259</v>
      </c>
      <c r="D111" s="258" t="s">
        <v>284</v>
      </c>
      <c r="E111" s="255"/>
      <c r="F111" s="255"/>
      <c r="G111" s="255"/>
      <c r="H111" s="255">
        <v>3000</v>
      </c>
      <c r="I111" s="255">
        <f>H111*0.0704</f>
        <v>211.20000000000002</v>
      </c>
      <c r="J111" s="255">
        <f>I111+H111</f>
        <v>3211.2</v>
      </c>
      <c r="K111" s="287"/>
      <c r="L111" s="287"/>
    </row>
    <row r="112" spans="1:12" s="124" customFormat="1" ht="15.75" customHeight="1">
      <c r="A112" s="177"/>
      <c r="B112" s="284"/>
      <c r="C112" s="296"/>
      <c r="D112" s="258">
        <f>0.02*D104</f>
        <v>4.7800000000000002E-2</v>
      </c>
      <c r="E112" s="255"/>
      <c r="F112" s="255"/>
      <c r="G112" s="255"/>
      <c r="H112" s="255">
        <f t="shared" ref="H112:J112" si="55">H111*$D112</f>
        <v>143.4</v>
      </c>
      <c r="I112" s="255">
        <f t="shared" si="55"/>
        <v>10.095360000000001</v>
      </c>
      <c r="J112" s="255">
        <f t="shared" si="55"/>
        <v>153.49536000000001</v>
      </c>
      <c r="K112" s="255"/>
      <c r="L112" s="255"/>
    </row>
    <row r="113" spans="1:12" s="124" customFormat="1" ht="15.75" customHeight="1">
      <c r="A113" s="177"/>
      <c r="B113" s="286" t="s">
        <v>44</v>
      </c>
      <c r="C113" s="298" t="s">
        <v>45</v>
      </c>
      <c r="D113" s="258" t="s">
        <v>64</v>
      </c>
      <c r="E113" s="255"/>
      <c r="F113" s="255"/>
      <c r="G113" s="255"/>
      <c r="H113" s="255">
        <v>1.26</v>
      </c>
      <c r="I113" s="255">
        <f>H113*0.0704</f>
        <v>8.8704000000000005E-2</v>
      </c>
      <c r="J113" s="255">
        <f>I113+H113</f>
        <v>1.3487040000000001</v>
      </c>
      <c r="K113" s="287"/>
      <c r="L113" s="287"/>
    </row>
    <row r="114" spans="1:12" s="124" customFormat="1" ht="15.75" customHeight="1">
      <c r="A114" s="177"/>
      <c r="B114" s="284"/>
      <c r="C114" s="296"/>
      <c r="D114" s="258">
        <f>39*D104</f>
        <v>93.210000000000008</v>
      </c>
      <c r="E114" s="255"/>
      <c r="F114" s="255"/>
      <c r="G114" s="255"/>
      <c r="H114" s="255">
        <f t="shared" ref="H114:J114" si="56">H113*$D114</f>
        <v>117.44460000000001</v>
      </c>
      <c r="I114" s="255">
        <f t="shared" si="56"/>
        <v>8.2680998400000014</v>
      </c>
      <c r="J114" s="255">
        <f t="shared" si="56"/>
        <v>125.71269984000003</v>
      </c>
      <c r="K114" s="255"/>
      <c r="L114" s="255"/>
    </row>
    <row r="115" spans="1:12" s="124" customFormat="1" ht="47.25">
      <c r="A115" s="177"/>
      <c r="B115" s="285" t="s">
        <v>262</v>
      </c>
      <c r="C115" s="298" t="s">
        <v>261</v>
      </c>
      <c r="D115" s="258" t="s">
        <v>64</v>
      </c>
      <c r="E115" s="255"/>
      <c r="F115" s="255"/>
      <c r="G115" s="255"/>
      <c r="H115" s="255">
        <v>84.92</v>
      </c>
      <c r="I115" s="255">
        <f>H115*0.0704</f>
        <v>5.9783680000000006</v>
      </c>
      <c r="J115" s="255">
        <f>I115+H115</f>
        <v>90.898368000000005</v>
      </c>
      <c r="K115" s="287"/>
      <c r="L115" s="287"/>
    </row>
    <row r="116" spans="1:12" s="124" customFormat="1" ht="15.75" customHeight="1">
      <c r="A116" s="177"/>
      <c r="B116" s="284"/>
      <c r="C116" s="296"/>
      <c r="D116" s="258">
        <f>5.5*D104</f>
        <v>13.145000000000001</v>
      </c>
      <c r="E116" s="255"/>
      <c r="F116" s="255"/>
      <c r="G116" s="255"/>
      <c r="H116" s="255">
        <f>H115*D116</f>
        <v>1116.2734</v>
      </c>
      <c r="I116" s="255">
        <f t="shared" ref="I116:J116" si="57">I115*$D116</f>
        <v>78.58564736000001</v>
      </c>
      <c r="J116" s="255">
        <f t="shared" si="57"/>
        <v>1194.8590473600002</v>
      </c>
      <c r="K116" s="255"/>
      <c r="L116" s="255"/>
    </row>
    <row r="117" spans="1:12" s="124" customFormat="1" ht="15.75" customHeight="1">
      <c r="A117" s="177"/>
      <c r="B117" s="285" t="s">
        <v>270</v>
      </c>
      <c r="C117" s="298" t="s">
        <v>263</v>
      </c>
      <c r="D117" s="258" t="s">
        <v>271</v>
      </c>
      <c r="E117" s="255"/>
      <c r="F117" s="255"/>
      <c r="G117" s="255"/>
      <c r="H117" s="255">
        <f>(13473-34)*0.001226</f>
        <v>16.476214000000002</v>
      </c>
      <c r="I117" s="255">
        <f>H117*0.0704</f>
        <v>1.1599254656000002</v>
      </c>
      <c r="J117" s="255">
        <f>I117+H117</f>
        <v>17.636139465600003</v>
      </c>
      <c r="K117" s="287"/>
      <c r="L117" s="287"/>
    </row>
    <row r="118" spans="1:12" s="124" customFormat="1" ht="15.75" customHeight="1">
      <c r="A118" s="177"/>
      <c r="B118" s="284"/>
      <c r="C118" s="296"/>
      <c r="D118" s="258">
        <f>D104*1000</f>
        <v>2390</v>
      </c>
      <c r="E118" s="255"/>
      <c r="F118" s="255"/>
      <c r="G118" s="255"/>
      <c r="H118" s="255">
        <f>H117*D118</f>
        <v>39378.151460000008</v>
      </c>
      <c r="I118" s="255">
        <f t="shared" ref="I118:J118" si="58">I117*$D118</f>
        <v>2772.2218627840007</v>
      </c>
      <c r="J118" s="255">
        <f t="shared" si="58"/>
        <v>42150.373322784006</v>
      </c>
      <c r="K118" s="255"/>
      <c r="L118" s="255"/>
    </row>
    <row r="119" spans="1:12" s="124" customFormat="1" ht="15.75" customHeight="1">
      <c r="A119" s="177"/>
      <c r="B119" s="285" t="s">
        <v>274</v>
      </c>
      <c r="C119" s="297" t="s">
        <v>267</v>
      </c>
      <c r="D119" s="258" t="s">
        <v>46</v>
      </c>
      <c r="E119" s="255"/>
      <c r="F119" s="255"/>
      <c r="G119" s="255"/>
      <c r="H119" s="255">
        <v>10.5</v>
      </c>
      <c r="I119" s="255">
        <f>H119*0.0704</f>
        <v>0.73920000000000008</v>
      </c>
      <c r="J119" s="255">
        <f>I119+H119</f>
        <v>11.2392</v>
      </c>
      <c r="K119" s="287"/>
      <c r="L119" s="287"/>
    </row>
    <row r="120" spans="1:12" s="124" customFormat="1" ht="15.75" customHeight="1">
      <c r="A120" s="177"/>
      <c r="B120" s="284"/>
      <c r="C120" s="296"/>
      <c r="D120" s="258">
        <f>ROUNDUP(D118/3.5,0)</f>
        <v>683</v>
      </c>
      <c r="E120" s="255"/>
      <c r="F120" s="255"/>
      <c r="G120" s="255"/>
      <c r="H120" s="255">
        <f>H119*D120</f>
        <v>7171.5</v>
      </c>
      <c r="I120" s="255">
        <f t="shared" ref="I120:J120" si="59">I119*$D120</f>
        <v>504.87360000000007</v>
      </c>
      <c r="J120" s="255">
        <f t="shared" si="59"/>
        <v>7676.3735999999999</v>
      </c>
      <c r="K120" s="255"/>
      <c r="L120" s="255"/>
    </row>
    <row r="121" spans="1:12" s="124" customFormat="1" ht="47.25">
      <c r="A121" s="177"/>
      <c r="B121" s="285" t="s">
        <v>273</v>
      </c>
      <c r="C121" s="298" t="s">
        <v>268</v>
      </c>
      <c r="D121" s="258" t="s">
        <v>64</v>
      </c>
      <c r="E121" s="255"/>
      <c r="F121" s="255"/>
      <c r="G121" s="255"/>
      <c r="H121" s="255">
        <v>8.3800000000000008</v>
      </c>
      <c r="I121" s="255">
        <f>H121*0.0704</f>
        <v>0.58995200000000014</v>
      </c>
      <c r="J121" s="255">
        <f>I121+H121</f>
        <v>8.969952000000001</v>
      </c>
      <c r="K121" s="287"/>
      <c r="L121" s="287"/>
    </row>
    <row r="122" spans="1:12" s="124" customFormat="1" ht="15.75" customHeight="1">
      <c r="A122" s="177"/>
      <c r="B122" s="284"/>
      <c r="C122" s="296"/>
      <c r="D122" s="258">
        <v>5</v>
      </c>
      <c r="E122" s="255"/>
      <c r="F122" s="255"/>
      <c r="G122" s="255"/>
      <c r="H122" s="255">
        <f>H121*D122</f>
        <v>41.900000000000006</v>
      </c>
      <c r="I122" s="255">
        <f t="shared" ref="I122:J122" si="60">I121*$D122</f>
        <v>2.9497600000000008</v>
      </c>
      <c r="J122" s="255">
        <f t="shared" si="60"/>
        <v>44.849760000000003</v>
      </c>
      <c r="K122" s="255"/>
      <c r="L122" s="255"/>
    </row>
    <row r="123" spans="1:12" s="124" customFormat="1" ht="46.5" customHeight="1">
      <c r="A123" s="177"/>
      <c r="B123" s="285" t="s">
        <v>272</v>
      </c>
      <c r="C123" s="298" t="s">
        <v>269</v>
      </c>
      <c r="D123" s="299" t="s">
        <v>46</v>
      </c>
      <c r="E123" s="288"/>
      <c r="F123" s="288"/>
      <c r="G123" s="288"/>
      <c r="H123" s="288">
        <f>(1304190-4273)*0.001226</f>
        <v>1593.6982420000002</v>
      </c>
      <c r="I123" s="288">
        <f>H123*0.0704</f>
        <v>112.19635623680001</v>
      </c>
      <c r="J123" s="288">
        <f>I123+H123</f>
        <v>1705.8945982368002</v>
      </c>
      <c r="K123" s="289"/>
      <c r="L123" s="289"/>
    </row>
    <row r="124" spans="1:12" s="124" customFormat="1" ht="15.75" customHeight="1">
      <c r="A124" s="177"/>
      <c r="B124" s="284"/>
      <c r="C124" s="296"/>
      <c r="D124" s="300">
        <v>1</v>
      </c>
      <c r="E124" s="290"/>
      <c r="F124" s="290"/>
      <c r="G124" s="290"/>
      <c r="H124" s="290">
        <f t="shared" ref="H124:J124" si="61">H123*$D124</f>
        <v>1593.6982420000002</v>
      </c>
      <c r="I124" s="290">
        <f t="shared" si="61"/>
        <v>112.19635623680001</v>
      </c>
      <c r="J124" s="290">
        <f t="shared" si="61"/>
        <v>1705.8945982368002</v>
      </c>
      <c r="K124" s="290"/>
      <c r="L124" s="290"/>
    </row>
    <row r="125" spans="1:12" s="124" customFormat="1" ht="47.25">
      <c r="A125" s="177"/>
      <c r="B125" s="285" t="s">
        <v>276</v>
      </c>
      <c r="C125" s="298" t="s">
        <v>275</v>
      </c>
      <c r="D125" s="300" t="s">
        <v>64</v>
      </c>
      <c r="E125" s="290"/>
      <c r="F125" s="290"/>
      <c r="G125" s="290"/>
      <c r="H125" s="290">
        <f>3.17*0.532</f>
        <v>1.6864400000000002</v>
      </c>
      <c r="I125" s="290">
        <f>H125*0.0704</f>
        <v>0.11872537600000002</v>
      </c>
      <c r="J125" s="290">
        <f>I125+H125</f>
        <v>1.8051653760000002</v>
      </c>
      <c r="K125" s="290"/>
      <c r="L125" s="290"/>
    </row>
    <row r="126" spans="1:12" s="124" customFormat="1" ht="15.75" customHeight="1" thickBot="1">
      <c r="A126" s="139"/>
      <c r="B126" s="262"/>
      <c r="C126" s="263"/>
      <c r="D126" s="262">
        <f>D120*0.002658</f>
        <v>1.8154140000000001</v>
      </c>
      <c r="E126" s="291"/>
      <c r="F126" s="291"/>
      <c r="G126" s="291"/>
      <c r="H126" s="291">
        <f t="shared" ref="H126:J126" si="62">H125*$D126</f>
        <v>3.0615867861600004</v>
      </c>
      <c r="I126" s="291">
        <f t="shared" si="62"/>
        <v>0.21553570974566405</v>
      </c>
      <c r="J126" s="291">
        <f t="shared" si="62"/>
        <v>3.2771224959056644</v>
      </c>
      <c r="K126" s="291"/>
      <c r="L126" s="291"/>
    </row>
    <row r="127" spans="1:12" s="124" customFormat="1" ht="36" customHeight="1">
      <c r="A127" s="175">
        <v>5</v>
      </c>
      <c r="B127" s="264" t="s">
        <v>294</v>
      </c>
      <c r="C127" s="252" t="s">
        <v>295</v>
      </c>
      <c r="D127" s="253" t="s">
        <v>283</v>
      </c>
      <c r="E127" s="255">
        <v>7221.46</v>
      </c>
      <c r="F127" s="326">
        <v>6279.16</v>
      </c>
      <c r="G127" s="326">
        <v>1555.54</v>
      </c>
      <c r="H127" s="255"/>
      <c r="I127" s="255"/>
      <c r="J127" s="255">
        <f>E127+F127</f>
        <v>13500.619999999999</v>
      </c>
      <c r="K127" s="255">
        <v>1009.66</v>
      </c>
      <c r="L127" s="255">
        <v>210.34</v>
      </c>
    </row>
    <row r="128" spans="1:12" s="124" customFormat="1" ht="34.15" customHeight="1">
      <c r="A128" s="162"/>
      <c r="B128" s="301"/>
      <c r="C128" s="302"/>
      <c r="D128" s="255">
        <v>10.58</v>
      </c>
      <c r="E128" s="255">
        <f>E127*D128</f>
        <v>76403.046799999996</v>
      </c>
      <c r="F128" s="255">
        <f>F127*D128</f>
        <v>66433.512799999997</v>
      </c>
      <c r="G128" s="255">
        <f>G127*D128</f>
        <v>16457.6132</v>
      </c>
      <c r="H128" s="255"/>
      <c r="I128" s="255"/>
      <c r="J128" s="255">
        <f t="shared" ref="J128" si="63">J127*$D128</f>
        <v>142836.55959999998</v>
      </c>
      <c r="K128" s="255">
        <f>K127*$D128+22</f>
        <v>10704.202799999999</v>
      </c>
      <c r="L128" s="255">
        <f t="shared" ref="L128" si="64">L127*$D128</f>
        <v>2225.3971999999999</v>
      </c>
    </row>
    <row r="129" spans="1:12" s="124" customFormat="1" ht="35.450000000000003" customHeight="1">
      <c r="A129" s="177"/>
      <c r="B129" s="285" t="s">
        <v>257</v>
      </c>
      <c r="C129" s="298" t="s">
        <v>264</v>
      </c>
      <c r="D129" s="258" t="s">
        <v>63</v>
      </c>
      <c r="E129" s="255"/>
      <c r="F129" s="255"/>
      <c r="G129" s="255"/>
      <c r="H129" s="292">
        <v>5482.51</v>
      </c>
      <c r="I129" s="255">
        <f>H129*0.0704</f>
        <v>385.96870400000006</v>
      </c>
      <c r="J129" s="255">
        <f>I129+H129</f>
        <v>5868.4787040000001</v>
      </c>
      <c r="K129" s="255"/>
      <c r="L129" s="255"/>
    </row>
    <row r="130" spans="1:12" s="124" customFormat="1" ht="15.75" customHeight="1">
      <c r="A130" s="177"/>
      <c r="B130" s="284"/>
      <c r="C130" s="284"/>
      <c r="D130" s="258">
        <f>0.15*D128</f>
        <v>1.587</v>
      </c>
      <c r="E130" s="255"/>
      <c r="F130" s="255"/>
      <c r="G130" s="255"/>
      <c r="H130" s="255">
        <f>H129*D130</f>
        <v>8700.7433700000001</v>
      </c>
      <c r="I130" s="255">
        <f>I129*D130</f>
        <v>612.5323332480001</v>
      </c>
      <c r="J130" s="255">
        <f>J129*D130</f>
        <v>9313.2757032480004</v>
      </c>
      <c r="K130" s="255"/>
      <c r="L130" s="255"/>
    </row>
    <row r="131" spans="1:12" s="124" customFormat="1" ht="24.6" customHeight="1">
      <c r="A131" s="177"/>
      <c r="B131" s="285" t="s">
        <v>258</v>
      </c>
      <c r="C131" s="298" t="s">
        <v>256</v>
      </c>
      <c r="D131" s="258" t="s">
        <v>284</v>
      </c>
      <c r="E131" s="255"/>
      <c r="F131" s="255"/>
      <c r="G131" s="255"/>
      <c r="H131" s="292">
        <v>2340</v>
      </c>
      <c r="I131" s="255">
        <f>H131*0.0704</f>
        <v>164.73600000000002</v>
      </c>
      <c r="J131" s="255">
        <f>I131+H131</f>
        <v>2504.7359999999999</v>
      </c>
      <c r="K131" s="287"/>
      <c r="L131" s="287"/>
    </row>
    <row r="132" spans="1:12" s="124" customFormat="1" ht="15.75" customHeight="1">
      <c r="A132" s="177"/>
      <c r="B132" s="284"/>
      <c r="C132" s="296"/>
      <c r="D132" s="258">
        <f>0.02*D128</f>
        <v>0.21160000000000001</v>
      </c>
      <c r="E132" s="255"/>
      <c r="F132" s="255"/>
      <c r="G132" s="255"/>
      <c r="H132" s="255">
        <f t="shared" ref="H132" si="65">H131*$D132</f>
        <v>495.14400000000001</v>
      </c>
      <c r="I132" s="255">
        <f>I131*$D132</f>
        <v>34.858137600000006</v>
      </c>
      <c r="J132" s="255">
        <f>J131*$D132</f>
        <v>530.00213759999997</v>
      </c>
      <c r="K132" s="255"/>
      <c r="L132" s="255"/>
    </row>
    <row r="133" spans="1:12" s="124" customFormat="1" ht="29.45" customHeight="1">
      <c r="A133" s="177"/>
      <c r="B133" s="285" t="s">
        <v>41</v>
      </c>
      <c r="C133" s="298" t="s">
        <v>42</v>
      </c>
      <c r="D133" s="258" t="s">
        <v>64</v>
      </c>
      <c r="E133" s="255"/>
      <c r="F133" s="255"/>
      <c r="G133" s="255"/>
      <c r="H133" s="255">
        <v>2.81</v>
      </c>
      <c r="I133" s="255">
        <f>H133*0.0704</f>
        <v>0.19782400000000003</v>
      </c>
      <c r="J133" s="255">
        <f>I133+H133</f>
        <v>3.0078240000000003</v>
      </c>
      <c r="K133" s="287"/>
      <c r="L133" s="287"/>
    </row>
    <row r="134" spans="1:12" s="124" customFormat="1" ht="15.75" customHeight="1">
      <c r="A134" s="177"/>
      <c r="B134" s="284"/>
      <c r="C134" s="296"/>
      <c r="D134" s="258">
        <f>0.65*D128</f>
        <v>6.8770000000000007</v>
      </c>
      <c r="E134" s="255"/>
      <c r="F134" s="255"/>
      <c r="G134" s="255"/>
      <c r="H134" s="255">
        <f t="shared" ref="H134:J134" si="66">H133*$D134</f>
        <v>19.324370000000002</v>
      </c>
      <c r="I134" s="255">
        <f t="shared" si="66"/>
        <v>1.3604356480000004</v>
      </c>
      <c r="J134" s="255">
        <f t="shared" si="66"/>
        <v>20.684805648000005</v>
      </c>
      <c r="K134" s="255"/>
      <c r="L134" s="255"/>
    </row>
    <row r="135" spans="1:12" s="124" customFormat="1" ht="25.15" customHeight="1">
      <c r="A135" s="177"/>
      <c r="B135" s="285" t="s">
        <v>260</v>
      </c>
      <c r="C135" s="298" t="s">
        <v>259</v>
      </c>
      <c r="D135" s="258" t="s">
        <v>284</v>
      </c>
      <c r="E135" s="255"/>
      <c r="F135" s="255"/>
      <c r="G135" s="255"/>
      <c r="H135" s="292">
        <v>26.58</v>
      </c>
      <c r="I135" s="255">
        <f>H135*0.0704</f>
        <v>1.871232</v>
      </c>
      <c r="J135" s="255">
        <f>I135+H135</f>
        <v>28.451231999999997</v>
      </c>
      <c r="K135" s="287"/>
      <c r="L135" s="287"/>
    </row>
    <row r="136" spans="1:12" s="124" customFormat="1" ht="15.75" customHeight="1">
      <c r="A136" s="177"/>
      <c r="B136" s="284"/>
      <c r="C136" s="296"/>
      <c r="D136" s="258">
        <f>0.1*D128</f>
        <v>1.0580000000000001</v>
      </c>
      <c r="E136" s="255"/>
      <c r="F136" s="255"/>
      <c r="G136" s="255"/>
      <c r="H136" s="255">
        <f t="shared" ref="H136:J136" si="67">H135*$D136</f>
        <v>28.121639999999999</v>
      </c>
      <c r="I136" s="255">
        <f t="shared" si="67"/>
        <v>1.9797634560000001</v>
      </c>
      <c r="J136" s="255">
        <f t="shared" si="67"/>
        <v>30.101403456</v>
      </c>
      <c r="K136" s="255"/>
      <c r="L136" s="255"/>
    </row>
    <row r="137" spans="1:12" s="124" customFormat="1" ht="37.9" customHeight="1">
      <c r="A137" s="177"/>
      <c r="B137" s="285" t="s">
        <v>266</v>
      </c>
      <c r="C137" s="298" t="s">
        <v>265</v>
      </c>
      <c r="D137" s="258" t="s">
        <v>271</v>
      </c>
      <c r="E137" s="255"/>
      <c r="F137" s="255"/>
      <c r="G137" s="255"/>
      <c r="H137" s="255">
        <v>30.14</v>
      </c>
      <c r="I137" s="255">
        <f>H137*0.0704</f>
        <v>2.1218560000000002</v>
      </c>
      <c r="J137" s="255">
        <f>I137+H137</f>
        <v>32.261856000000002</v>
      </c>
      <c r="K137" s="287"/>
      <c r="L137" s="287"/>
    </row>
    <row r="138" spans="1:12" s="124" customFormat="1" ht="15.75" customHeight="1">
      <c r="A138" s="177"/>
      <c r="B138" s="284"/>
      <c r="C138" s="296"/>
      <c r="D138" s="258">
        <f>ROUNDUP(4*D128,0)</f>
        <v>43</v>
      </c>
      <c r="E138" s="255"/>
      <c r="F138" s="255"/>
      <c r="G138" s="255"/>
      <c r="H138" s="255">
        <f t="shared" ref="H138:J138" si="68">H137*$D138</f>
        <v>1296.02</v>
      </c>
      <c r="I138" s="255">
        <f t="shared" si="68"/>
        <v>91.239808000000011</v>
      </c>
      <c r="J138" s="255">
        <f t="shared" si="68"/>
        <v>1387.259808</v>
      </c>
      <c r="K138" s="255"/>
      <c r="L138" s="255"/>
    </row>
    <row r="139" spans="1:12" s="124" customFormat="1" ht="15.75" customHeight="1">
      <c r="A139" s="177"/>
      <c r="B139" s="286" t="s">
        <v>44</v>
      </c>
      <c r="C139" s="298" t="s">
        <v>45</v>
      </c>
      <c r="D139" s="258" t="s">
        <v>64</v>
      </c>
      <c r="E139" s="255"/>
      <c r="F139" s="255"/>
      <c r="G139" s="255"/>
      <c r="H139" s="255">
        <v>1.26</v>
      </c>
      <c r="I139" s="255">
        <f>H139*0.0704</f>
        <v>8.8704000000000005E-2</v>
      </c>
      <c r="J139" s="255">
        <f>I139+H139</f>
        <v>1.3487040000000001</v>
      </c>
      <c r="K139" s="287"/>
      <c r="L139" s="287"/>
    </row>
    <row r="140" spans="1:12" s="124" customFormat="1" ht="15.75" customHeight="1">
      <c r="A140" s="177"/>
      <c r="B140" s="284"/>
      <c r="C140" s="296"/>
      <c r="D140" s="258">
        <f>375*D128</f>
        <v>3967.5</v>
      </c>
      <c r="E140" s="255"/>
      <c r="F140" s="255"/>
      <c r="G140" s="255"/>
      <c r="H140" s="255">
        <f t="shared" ref="H140:J140" si="69">H139*$D140</f>
        <v>4999.05</v>
      </c>
      <c r="I140" s="255">
        <f t="shared" si="69"/>
        <v>351.93312000000003</v>
      </c>
      <c r="J140" s="255">
        <f t="shared" si="69"/>
        <v>5350.9831200000008</v>
      </c>
      <c r="K140" s="255"/>
      <c r="L140" s="255"/>
    </row>
    <row r="141" spans="1:12" s="124" customFormat="1" ht="31.9" customHeight="1">
      <c r="A141" s="177"/>
      <c r="B141" s="285" t="s">
        <v>262</v>
      </c>
      <c r="C141" s="298" t="s">
        <v>261</v>
      </c>
      <c r="D141" s="258" t="s">
        <v>64</v>
      </c>
      <c r="E141" s="255"/>
      <c r="F141" s="255"/>
      <c r="G141" s="255"/>
      <c r="H141" s="255">
        <v>84.92</v>
      </c>
      <c r="I141" s="255">
        <f>H141*0.0704</f>
        <v>5.9783680000000006</v>
      </c>
      <c r="J141" s="255">
        <f>I141+H141</f>
        <v>90.898368000000005</v>
      </c>
      <c r="K141" s="287"/>
      <c r="L141" s="287"/>
    </row>
    <row r="142" spans="1:12" s="124" customFormat="1" ht="15.75" customHeight="1">
      <c r="A142" s="177"/>
      <c r="B142" s="284"/>
      <c r="C142" s="296"/>
      <c r="D142" s="258">
        <f>20*D128</f>
        <v>211.6</v>
      </c>
      <c r="E142" s="255"/>
      <c r="F142" s="255"/>
      <c r="G142" s="255"/>
      <c r="H142" s="255">
        <f>H141*D142</f>
        <v>17969.072</v>
      </c>
      <c r="I142" s="255">
        <f t="shared" ref="I142:J142" si="70">I141*$D142</f>
        <v>1265.0226688</v>
      </c>
      <c r="J142" s="255">
        <f t="shared" si="70"/>
        <v>19234.0946688</v>
      </c>
      <c r="K142" s="255"/>
      <c r="L142" s="255"/>
    </row>
    <row r="143" spans="1:12" s="124" customFormat="1" ht="15.75" customHeight="1">
      <c r="A143" s="177"/>
      <c r="B143" s="285" t="s">
        <v>270</v>
      </c>
      <c r="C143" s="298" t="s">
        <v>263</v>
      </c>
      <c r="D143" s="258" t="s">
        <v>271</v>
      </c>
      <c r="E143" s="255"/>
      <c r="F143" s="255"/>
      <c r="G143" s="255"/>
      <c r="H143" s="255">
        <f>(64530-150)*0.001226</f>
        <v>78.929880000000011</v>
      </c>
      <c r="I143" s="255">
        <f>H143*0.0704</f>
        <v>5.5566635520000007</v>
      </c>
      <c r="J143" s="255">
        <f>I143+H143</f>
        <v>84.486543552000015</v>
      </c>
      <c r="K143" s="287"/>
      <c r="L143" s="287"/>
    </row>
    <row r="144" spans="1:12" s="124" customFormat="1" ht="15.75" customHeight="1">
      <c r="A144" s="177"/>
      <c r="B144" s="284"/>
      <c r="C144" s="296"/>
      <c r="D144" s="258">
        <f>D128*1000</f>
        <v>10580</v>
      </c>
      <c r="E144" s="255"/>
      <c r="F144" s="255"/>
      <c r="G144" s="255"/>
      <c r="H144" s="255">
        <f>H143*D144</f>
        <v>835078.13040000014</v>
      </c>
      <c r="I144" s="255">
        <f t="shared" ref="I144:J144" si="71">I143*$D144</f>
        <v>58789.500380160011</v>
      </c>
      <c r="J144" s="255">
        <f t="shared" si="71"/>
        <v>893867.63078016019</v>
      </c>
      <c r="K144" s="255"/>
      <c r="L144" s="255"/>
    </row>
    <row r="145" spans="1:12" s="124" customFormat="1" ht="29.45" customHeight="1">
      <c r="A145" s="177"/>
      <c r="B145" s="285" t="s">
        <v>274</v>
      </c>
      <c r="C145" s="297" t="s">
        <v>267</v>
      </c>
      <c r="D145" s="258" t="s">
        <v>46</v>
      </c>
      <c r="E145" s="255"/>
      <c r="F145" s="255"/>
      <c r="G145" s="255"/>
      <c r="H145" s="255">
        <v>30.56</v>
      </c>
      <c r="I145" s="255">
        <f>H145*0.0704</f>
        <v>2.151424</v>
      </c>
      <c r="J145" s="255">
        <f>I145+H145</f>
        <v>32.711424000000001</v>
      </c>
      <c r="K145" s="287"/>
      <c r="L145" s="287"/>
    </row>
    <row r="146" spans="1:12" s="124" customFormat="1" ht="15.75" customHeight="1">
      <c r="A146" s="177"/>
      <c r="B146" s="284"/>
      <c r="C146" s="296"/>
      <c r="D146" s="258">
        <f>ROUNDUP(D144/3.5,0)</f>
        <v>3023</v>
      </c>
      <c r="E146" s="255"/>
      <c r="F146" s="255"/>
      <c r="G146" s="255"/>
      <c r="H146" s="255">
        <f>H145*D146</f>
        <v>92382.87999999999</v>
      </c>
      <c r="I146" s="255">
        <f t="shared" ref="I146:J146" si="72">I145*$D146</f>
        <v>6503.7547519999998</v>
      </c>
      <c r="J146" s="255">
        <f t="shared" si="72"/>
        <v>98886.634751999998</v>
      </c>
      <c r="K146" s="255"/>
      <c r="L146" s="255"/>
    </row>
    <row r="147" spans="1:12" s="124" customFormat="1" ht="47.25">
      <c r="A147" s="177"/>
      <c r="B147" s="285" t="s">
        <v>273</v>
      </c>
      <c r="C147" s="298" t="s">
        <v>268</v>
      </c>
      <c r="D147" s="258" t="s">
        <v>64</v>
      </c>
      <c r="E147" s="255"/>
      <c r="F147" s="255"/>
      <c r="G147" s="255"/>
      <c r="H147" s="255">
        <f>(20537-15)*0.001226*(300/50)</f>
        <v>150.95983200000001</v>
      </c>
      <c r="I147" s="255">
        <f>H147*0.0704</f>
        <v>10.627572172800001</v>
      </c>
      <c r="J147" s="255">
        <f>I147+H147</f>
        <v>161.58740417280001</v>
      </c>
      <c r="K147" s="287"/>
      <c r="L147" s="287"/>
    </row>
    <row r="148" spans="1:12" s="124" customFormat="1" ht="15.75" customHeight="1">
      <c r="A148" s="177"/>
      <c r="B148" s="284"/>
      <c r="C148" s="296"/>
      <c r="D148" s="258">
        <v>8</v>
      </c>
      <c r="E148" s="255"/>
      <c r="F148" s="255"/>
      <c r="G148" s="255"/>
      <c r="H148" s="255">
        <f>H147*D148</f>
        <v>1207.678656</v>
      </c>
      <c r="I148" s="255">
        <f t="shared" ref="I148:J148" si="73">I147*$D148</f>
        <v>85.020577382400006</v>
      </c>
      <c r="J148" s="255">
        <f t="shared" si="73"/>
        <v>1292.6992333824001</v>
      </c>
      <c r="K148" s="255"/>
      <c r="L148" s="255"/>
    </row>
    <row r="149" spans="1:12" s="124" customFormat="1" ht="47.25" customHeight="1">
      <c r="A149" s="177"/>
      <c r="B149" s="285" t="s">
        <v>272</v>
      </c>
      <c r="C149" s="298" t="s">
        <v>269</v>
      </c>
      <c r="D149" s="299" t="s">
        <v>46</v>
      </c>
      <c r="E149" s="288"/>
      <c r="F149" s="288"/>
      <c r="G149" s="288"/>
      <c r="H149" s="288">
        <f>(1304190-4273)*0.001226</f>
        <v>1593.6982420000002</v>
      </c>
      <c r="I149" s="288">
        <f>H149*0.0704</f>
        <v>112.19635623680001</v>
      </c>
      <c r="J149" s="288">
        <f>I149+H149</f>
        <v>1705.8945982368002</v>
      </c>
      <c r="K149" s="289"/>
      <c r="L149" s="289"/>
    </row>
    <row r="150" spans="1:12" s="124" customFormat="1" ht="21.6" customHeight="1">
      <c r="A150" s="177"/>
      <c r="B150" s="284"/>
      <c r="C150" s="296"/>
      <c r="D150" s="300">
        <v>1</v>
      </c>
      <c r="E150" s="290"/>
      <c r="F150" s="290"/>
      <c r="G150" s="290"/>
      <c r="H150" s="290">
        <f t="shared" ref="H150:J150" si="74">H149*$D150</f>
        <v>1593.6982420000002</v>
      </c>
      <c r="I150" s="290">
        <f t="shared" si="74"/>
        <v>112.19635623680001</v>
      </c>
      <c r="J150" s="290">
        <f t="shared" si="74"/>
        <v>1705.8945982368002</v>
      </c>
      <c r="K150" s="290"/>
      <c r="L150" s="290"/>
    </row>
    <row r="151" spans="1:12" s="124" customFormat="1" ht="47.25">
      <c r="A151" s="177"/>
      <c r="B151" s="285" t="s">
        <v>276</v>
      </c>
      <c r="C151" s="298" t="s">
        <v>275</v>
      </c>
      <c r="D151" s="300" t="s">
        <v>64</v>
      </c>
      <c r="E151" s="290"/>
      <c r="F151" s="290"/>
      <c r="G151" s="290"/>
      <c r="H151" s="290">
        <f>3.17*0.532</f>
        <v>1.6864400000000002</v>
      </c>
      <c r="I151" s="290">
        <f>H151*0.0704</f>
        <v>0.11872537600000002</v>
      </c>
      <c r="J151" s="290">
        <f>I151+H151</f>
        <v>1.8051653760000002</v>
      </c>
      <c r="K151" s="290"/>
      <c r="L151" s="290"/>
    </row>
    <row r="152" spans="1:12" s="124" customFormat="1" ht="17.45" customHeight="1" thickBot="1">
      <c r="A152" s="139"/>
      <c r="B152" s="262"/>
      <c r="C152" s="263"/>
      <c r="D152" s="262">
        <f>D146*0.002658</f>
        <v>8.0351340000000011</v>
      </c>
      <c r="E152" s="291"/>
      <c r="F152" s="291"/>
      <c r="G152" s="291"/>
      <c r="H152" s="291">
        <f t="shared" ref="H152:J152" si="75">H151*$D152</f>
        <v>13.550771382960002</v>
      </c>
      <c r="I152" s="291">
        <f t="shared" si="75"/>
        <v>0.9539743053603843</v>
      </c>
      <c r="J152" s="291">
        <f t="shared" si="75"/>
        <v>14.504745688320387</v>
      </c>
      <c r="K152" s="291"/>
      <c r="L152" s="291"/>
    </row>
    <row r="153" spans="1:12" s="133" customFormat="1" ht="71.25">
      <c r="A153" s="161">
        <v>6</v>
      </c>
      <c r="B153" s="312" t="s">
        <v>298</v>
      </c>
      <c r="C153" s="309" t="s">
        <v>299</v>
      </c>
      <c r="D153" s="256" t="s">
        <v>296</v>
      </c>
      <c r="E153" s="287">
        <v>924.56</v>
      </c>
      <c r="F153" s="287">
        <v>2487.19</v>
      </c>
      <c r="G153" s="287">
        <v>294.69</v>
      </c>
      <c r="H153" s="287"/>
      <c r="I153" s="287"/>
      <c r="J153" s="287">
        <f>E153+F153</f>
        <v>3411.75</v>
      </c>
      <c r="K153" s="287">
        <v>128</v>
      </c>
      <c r="L153" s="287">
        <v>40.26</v>
      </c>
    </row>
    <row r="154" spans="1:12" s="133" customFormat="1" ht="17.45" customHeight="1">
      <c r="A154" s="162"/>
      <c r="B154" s="254"/>
      <c r="C154" s="254"/>
      <c r="D154" s="255">
        <v>0.22</v>
      </c>
      <c r="E154" s="255">
        <f t="shared" ref="E154:G154" si="76">E153*$D154</f>
        <v>203.4032</v>
      </c>
      <c r="F154" s="255">
        <f t="shared" si="76"/>
        <v>547.18180000000007</v>
      </c>
      <c r="G154" s="255">
        <f t="shared" si="76"/>
        <v>64.831800000000001</v>
      </c>
      <c r="H154" s="255"/>
      <c r="I154" s="255"/>
      <c r="J154" s="255">
        <f t="shared" ref="J154:L154" si="77">J153*$D154</f>
        <v>750.58500000000004</v>
      </c>
      <c r="K154" s="255">
        <f t="shared" si="77"/>
        <v>28.16</v>
      </c>
      <c r="L154" s="255">
        <f t="shared" si="77"/>
        <v>8.8571999999999989</v>
      </c>
    </row>
    <row r="155" spans="1:12" s="133" customFormat="1" ht="17.45" customHeight="1">
      <c r="A155" s="162"/>
      <c r="B155" s="305" t="s">
        <v>48</v>
      </c>
      <c r="C155" s="294" t="s">
        <v>49</v>
      </c>
      <c r="D155" s="254" t="s">
        <v>300</v>
      </c>
      <c r="E155" s="255"/>
      <c r="F155" s="255"/>
      <c r="G155" s="255"/>
      <c r="H155" s="255">
        <v>29.48</v>
      </c>
      <c r="I155" s="255">
        <f>H155*0.0704</f>
        <v>2.0753920000000003</v>
      </c>
      <c r="J155" s="255">
        <f>H155+I155</f>
        <v>31.555392000000001</v>
      </c>
      <c r="K155" s="255"/>
      <c r="L155" s="255"/>
    </row>
    <row r="156" spans="1:12" s="133" customFormat="1" ht="17.45" customHeight="1">
      <c r="A156" s="162"/>
      <c r="B156" s="295"/>
      <c r="C156" s="306"/>
      <c r="D156" s="254">
        <f>0.31*D154</f>
        <v>6.8199999999999997E-2</v>
      </c>
      <c r="E156" s="255"/>
      <c r="F156" s="255"/>
      <c r="G156" s="255"/>
      <c r="H156" s="255">
        <f t="shared" ref="H156:J156" si="78">H155*$D156</f>
        <v>2.0105360000000001</v>
      </c>
      <c r="I156" s="255">
        <f t="shared" si="78"/>
        <v>0.14154173440000001</v>
      </c>
      <c r="J156" s="255">
        <f t="shared" si="78"/>
        <v>2.1520777344000002</v>
      </c>
      <c r="K156" s="255"/>
      <c r="L156" s="255"/>
    </row>
    <row r="157" spans="1:12" s="133" customFormat="1" ht="31.5">
      <c r="A157" s="162"/>
      <c r="B157" s="305" t="s">
        <v>50</v>
      </c>
      <c r="C157" s="306" t="s">
        <v>51</v>
      </c>
      <c r="D157" s="254" t="s">
        <v>284</v>
      </c>
      <c r="E157" s="255"/>
      <c r="F157" s="255"/>
      <c r="G157" s="255"/>
      <c r="H157" s="255">
        <v>2308.8000000000002</v>
      </c>
      <c r="I157" s="255">
        <f>H157*0.0704</f>
        <v>162.53952000000001</v>
      </c>
      <c r="J157" s="255">
        <f>H157+I157</f>
        <v>2471.33952</v>
      </c>
      <c r="K157" s="255"/>
      <c r="L157" s="255"/>
    </row>
    <row r="158" spans="1:12" s="133" customFormat="1" ht="17.45" customHeight="1">
      <c r="A158" s="162"/>
      <c r="B158" s="295"/>
      <c r="C158" s="306"/>
      <c r="D158" s="254">
        <f>0.02*D154</f>
        <v>4.4000000000000003E-3</v>
      </c>
      <c r="E158" s="255"/>
      <c r="F158" s="255"/>
      <c r="G158" s="255"/>
      <c r="H158" s="255">
        <f t="shared" ref="H158:J158" si="79">H157*$D158</f>
        <v>10.158720000000001</v>
      </c>
      <c r="I158" s="255">
        <f t="shared" si="79"/>
        <v>0.71517388800000004</v>
      </c>
      <c r="J158" s="255">
        <f t="shared" si="79"/>
        <v>10.873893888000001</v>
      </c>
      <c r="K158" s="255"/>
      <c r="L158" s="255"/>
    </row>
    <row r="159" spans="1:12" s="133" customFormat="1" ht="47.25">
      <c r="A159" s="162"/>
      <c r="B159" s="305" t="s">
        <v>52</v>
      </c>
      <c r="C159" s="294" t="s">
        <v>53</v>
      </c>
      <c r="D159" s="254" t="s">
        <v>284</v>
      </c>
      <c r="E159" s="255"/>
      <c r="F159" s="255"/>
      <c r="G159" s="255"/>
      <c r="H159" s="255">
        <v>784.31</v>
      </c>
      <c r="I159" s="255">
        <f>H159*0.0704</f>
        <v>55.215423999999999</v>
      </c>
      <c r="J159" s="255">
        <f>H159+I159</f>
        <v>839.52542399999993</v>
      </c>
      <c r="K159" s="255"/>
      <c r="L159" s="255"/>
    </row>
    <row r="160" spans="1:12" s="133" customFormat="1" ht="17.45" customHeight="1">
      <c r="A160" s="162"/>
      <c r="B160" s="295"/>
      <c r="C160" s="306"/>
      <c r="D160" s="254">
        <f>0.01*D154</f>
        <v>2.2000000000000001E-3</v>
      </c>
      <c r="E160" s="255"/>
      <c r="F160" s="255"/>
      <c r="G160" s="255"/>
      <c r="H160" s="255">
        <f t="shared" ref="H160:J160" si="80">H159*$D160</f>
        <v>1.725482</v>
      </c>
      <c r="I160" s="255">
        <f t="shared" si="80"/>
        <v>0.1214739328</v>
      </c>
      <c r="J160" s="255">
        <f t="shared" si="80"/>
        <v>1.8469559328</v>
      </c>
      <c r="K160" s="255"/>
      <c r="L160" s="255"/>
    </row>
    <row r="161" spans="1:12" s="133" customFormat="1" ht="94.5">
      <c r="A161" s="162"/>
      <c r="B161" s="305" t="s">
        <v>54</v>
      </c>
      <c r="C161" s="294" t="s">
        <v>55</v>
      </c>
      <c r="D161" s="254" t="s">
        <v>64</v>
      </c>
      <c r="E161" s="255"/>
      <c r="F161" s="255"/>
      <c r="G161" s="255"/>
      <c r="H161" s="255">
        <v>98.69</v>
      </c>
      <c r="I161" s="255">
        <f>H161*0.0704</f>
        <v>6.9477760000000002</v>
      </c>
      <c r="J161" s="255">
        <f>H161+I161</f>
        <v>105.637776</v>
      </c>
      <c r="K161" s="255"/>
      <c r="L161" s="255"/>
    </row>
    <row r="162" spans="1:12" s="133" customFormat="1" ht="17.45" customHeight="1">
      <c r="A162" s="162"/>
      <c r="B162" s="295"/>
      <c r="C162" s="306"/>
      <c r="D162" s="254">
        <f>0.25*D154</f>
        <v>5.5E-2</v>
      </c>
      <c r="E162" s="255"/>
      <c r="F162" s="255"/>
      <c r="G162" s="255"/>
      <c r="H162" s="255">
        <f t="shared" ref="H162:J162" si="81">H161*$D162</f>
        <v>5.4279500000000001</v>
      </c>
      <c r="I162" s="255">
        <f t="shared" si="81"/>
        <v>0.38212768000000003</v>
      </c>
      <c r="J162" s="255">
        <f t="shared" si="81"/>
        <v>5.81007768</v>
      </c>
      <c r="K162" s="255"/>
      <c r="L162" s="255"/>
    </row>
    <row r="163" spans="1:12" s="133" customFormat="1" ht="31.5">
      <c r="A163" s="162"/>
      <c r="B163" s="305" t="s">
        <v>56</v>
      </c>
      <c r="C163" s="294" t="s">
        <v>57</v>
      </c>
      <c r="D163" s="254" t="s">
        <v>297</v>
      </c>
      <c r="E163" s="255"/>
      <c r="F163" s="255"/>
      <c r="G163" s="255"/>
      <c r="H163" s="255">
        <v>0.61</v>
      </c>
      <c r="I163" s="255">
        <f>H163*0.0704</f>
        <v>4.2944000000000003E-2</v>
      </c>
      <c r="J163" s="255">
        <f>H163+I163</f>
        <v>0.65294399999999997</v>
      </c>
      <c r="K163" s="255"/>
      <c r="L163" s="255"/>
    </row>
    <row r="164" spans="1:12" s="133" customFormat="1" ht="17.45" customHeight="1">
      <c r="A164" s="162"/>
      <c r="B164" s="295"/>
      <c r="C164" s="306"/>
      <c r="D164" s="254">
        <f>210*D154</f>
        <v>46.2</v>
      </c>
      <c r="E164" s="255"/>
      <c r="F164" s="255"/>
      <c r="G164" s="255"/>
      <c r="H164" s="255">
        <f t="shared" ref="H164:J164" si="82">H163*$D164</f>
        <v>28.182000000000002</v>
      </c>
      <c r="I164" s="255">
        <f t="shared" si="82"/>
        <v>1.9840128000000004</v>
      </c>
      <c r="J164" s="255">
        <f t="shared" si="82"/>
        <v>30.166012800000001</v>
      </c>
      <c r="K164" s="255"/>
      <c r="L164" s="255"/>
    </row>
    <row r="165" spans="1:12" s="133" customFormat="1" ht="63">
      <c r="A165" s="162"/>
      <c r="B165" s="305" t="s">
        <v>58</v>
      </c>
      <c r="C165" s="294" t="s">
        <v>59</v>
      </c>
      <c r="D165" s="254" t="s">
        <v>284</v>
      </c>
      <c r="E165" s="255"/>
      <c r="F165" s="255"/>
      <c r="G165" s="255"/>
      <c r="H165" s="255">
        <v>1782.26</v>
      </c>
      <c r="I165" s="255">
        <f>H165*0.0704</f>
        <v>125.47110400000001</v>
      </c>
      <c r="J165" s="255">
        <f>H165+I165</f>
        <v>1907.731104</v>
      </c>
      <c r="K165" s="255"/>
      <c r="L165" s="255"/>
    </row>
    <row r="166" spans="1:12" s="133" customFormat="1" ht="17.45" customHeight="1">
      <c r="A166" s="162"/>
      <c r="B166" s="295"/>
      <c r="C166" s="295"/>
      <c r="D166" s="254">
        <f>0.77*D154</f>
        <v>0.1694</v>
      </c>
      <c r="E166" s="255"/>
      <c r="F166" s="255"/>
      <c r="G166" s="255"/>
      <c r="H166" s="255">
        <f t="shared" ref="H166:J166" si="83">H165*$D166</f>
        <v>301.91484400000002</v>
      </c>
      <c r="I166" s="255">
        <f t="shared" si="83"/>
        <v>21.254805017600003</v>
      </c>
      <c r="J166" s="255">
        <f t="shared" si="83"/>
        <v>323.16964901759997</v>
      </c>
      <c r="K166" s="255"/>
      <c r="L166" s="255"/>
    </row>
    <row r="167" spans="1:12" s="133" customFormat="1" ht="17.45" customHeight="1">
      <c r="A167" s="162"/>
      <c r="B167" s="307" t="s">
        <v>60</v>
      </c>
      <c r="C167" s="308" t="s">
        <v>61</v>
      </c>
      <c r="D167" s="266" t="s">
        <v>297</v>
      </c>
      <c r="E167" s="293"/>
      <c r="F167" s="293"/>
      <c r="G167" s="293"/>
      <c r="H167" s="293">
        <f>(4518-3)*0.001226</f>
        <v>5.5353900000000005</v>
      </c>
      <c r="I167" s="293">
        <f>H167*0.0704</f>
        <v>0.38969145600000005</v>
      </c>
      <c r="J167" s="293">
        <f>H167+I167</f>
        <v>5.9250814560000009</v>
      </c>
      <c r="K167" s="293"/>
      <c r="L167" s="293"/>
    </row>
    <row r="168" spans="1:12" s="133" customFormat="1" ht="17.45" customHeight="1" thickBot="1">
      <c r="A168" s="139"/>
      <c r="B168" s="303"/>
      <c r="C168" s="303"/>
      <c r="D168" s="303">
        <f>PI()*0.05*1743</f>
        <v>273.78979976035049</v>
      </c>
      <c r="E168" s="304"/>
      <c r="F168" s="304"/>
      <c r="G168" s="304"/>
      <c r="H168" s="304">
        <f t="shared" ref="H168:J168" si="84">H167*$D168</f>
        <v>1515.5333196954466</v>
      </c>
      <c r="I168" s="304">
        <f t="shared" si="84"/>
        <v>106.69354570655945</v>
      </c>
      <c r="J168" s="304">
        <f t="shared" si="84"/>
        <v>1622.2268654020063</v>
      </c>
      <c r="K168" s="304"/>
      <c r="L168" s="304"/>
    </row>
    <row r="169" spans="1:12" s="133" customFormat="1" ht="71.25">
      <c r="A169" s="161">
        <v>7</v>
      </c>
      <c r="B169" s="311" t="s">
        <v>301</v>
      </c>
      <c r="C169" s="313" t="s">
        <v>302</v>
      </c>
      <c r="D169" s="256" t="s">
        <v>296</v>
      </c>
      <c r="E169" s="287">
        <v>924.56</v>
      </c>
      <c r="F169" s="287">
        <v>2481.1799999999998</v>
      </c>
      <c r="G169" s="287">
        <v>296.42</v>
      </c>
      <c r="H169" s="287"/>
      <c r="I169" s="287"/>
      <c r="J169" s="287">
        <f>E169+F169</f>
        <v>3405.74</v>
      </c>
      <c r="K169" s="287">
        <v>128</v>
      </c>
      <c r="L169" s="287">
        <v>40.590000000000003</v>
      </c>
    </row>
    <row r="170" spans="1:12" s="133" customFormat="1" ht="17.45" customHeight="1">
      <c r="A170" s="162"/>
      <c r="B170" s="254"/>
      <c r="C170" s="254"/>
      <c r="D170" s="255">
        <v>0.62</v>
      </c>
      <c r="E170" s="255">
        <f t="shared" ref="E170:G170" si="85">E169*$D170</f>
        <v>573.22719999999993</v>
      </c>
      <c r="F170" s="255">
        <f t="shared" si="85"/>
        <v>1538.3316</v>
      </c>
      <c r="G170" s="255">
        <f t="shared" si="85"/>
        <v>183.78040000000001</v>
      </c>
      <c r="H170" s="255"/>
      <c r="I170" s="255"/>
      <c r="J170" s="255">
        <f t="shared" ref="J170:L170" si="86">J169*$D170</f>
        <v>2111.5587999999998</v>
      </c>
      <c r="K170" s="255">
        <f t="shared" si="86"/>
        <v>79.36</v>
      </c>
      <c r="L170" s="255">
        <f t="shared" si="86"/>
        <v>25.165800000000001</v>
      </c>
    </row>
    <row r="171" spans="1:12" s="133" customFormat="1" ht="17.45" customHeight="1">
      <c r="A171" s="162"/>
      <c r="B171" s="305" t="s">
        <v>48</v>
      </c>
      <c r="C171" s="294" t="s">
        <v>49</v>
      </c>
      <c r="D171" s="254" t="s">
        <v>303</v>
      </c>
      <c r="E171" s="255"/>
      <c r="F171" s="255"/>
      <c r="G171" s="255"/>
      <c r="H171" s="255">
        <v>29.48</v>
      </c>
      <c r="I171" s="255">
        <f>H171*0.0704</f>
        <v>2.0753920000000003</v>
      </c>
      <c r="J171" s="255">
        <f>H171+I171</f>
        <v>31.555392000000001</v>
      </c>
      <c r="K171" s="255"/>
      <c r="L171" s="255"/>
    </row>
    <row r="172" spans="1:12" s="133" customFormat="1" ht="17.45" customHeight="1">
      <c r="A172" s="162"/>
      <c r="B172" s="295"/>
      <c r="C172" s="306"/>
      <c r="D172" s="254">
        <f>0.31*D170</f>
        <v>0.19220000000000001</v>
      </c>
      <c r="E172" s="255"/>
      <c r="F172" s="255"/>
      <c r="G172" s="255"/>
      <c r="H172" s="255">
        <f t="shared" ref="H172:J172" si="87">H171*$D172</f>
        <v>5.6660560000000002</v>
      </c>
      <c r="I172" s="255">
        <f t="shared" si="87"/>
        <v>0.3988903424000001</v>
      </c>
      <c r="J172" s="255">
        <f t="shared" si="87"/>
        <v>6.0649463424000007</v>
      </c>
      <c r="K172" s="255"/>
      <c r="L172" s="255"/>
    </row>
    <row r="173" spans="1:12" s="133" customFormat="1" ht="31.5">
      <c r="A173" s="162"/>
      <c r="B173" s="305" t="s">
        <v>50</v>
      </c>
      <c r="C173" s="306" t="s">
        <v>51</v>
      </c>
      <c r="D173" s="254" t="s">
        <v>284</v>
      </c>
      <c r="E173" s="255"/>
      <c r="F173" s="255"/>
      <c r="G173" s="255"/>
      <c r="H173" s="255">
        <v>2308.8000000000002</v>
      </c>
      <c r="I173" s="255">
        <f>H173*0.0704</f>
        <v>162.53952000000001</v>
      </c>
      <c r="J173" s="255">
        <f>H173+I173</f>
        <v>2471.33952</v>
      </c>
      <c r="K173" s="255"/>
      <c r="L173" s="255"/>
    </row>
    <row r="174" spans="1:12" s="133" customFormat="1" ht="17.45" customHeight="1">
      <c r="A174" s="162"/>
      <c r="B174" s="295"/>
      <c r="C174" s="306"/>
      <c r="D174" s="254">
        <f>0.03*D170</f>
        <v>1.8599999999999998E-2</v>
      </c>
      <c r="E174" s="255"/>
      <c r="F174" s="255"/>
      <c r="G174" s="255"/>
      <c r="H174" s="255">
        <f t="shared" ref="H174:J174" si="88">H173*$D174</f>
        <v>42.943680000000001</v>
      </c>
      <c r="I174" s="255">
        <f t="shared" si="88"/>
        <v>3.0232350719999999</v>
      </c>
      <c r="J174" s="255">
        <f t="shared" si="88"/>
        <v>45.966915071999999</v>
      </c>
      <c r="K174" s="255"/>
      <c r="L174" s="255"/>
    </row>
    <row r="175" spans="1:12" s="133" customFormat="1" ht="47.25">
      <c r="A175" s="162"/>
      <c r="B175" s="305" t="s">
        <v>52</v>
      </c>
      <c r="C175" s="294" t="s">
        <v>53</v>
      </c>
      <c r="D175" s="254" t="s">
        <v>284</v>
      </c>
      <c r="E175" s="255"/>
      <c r="F175" s="255"/>
      <c r="G175" s="255"/>
      <c r="H175" s="255">
        <v>784.31</v>
      </c>
      <c r="I175" s="255">
        <f>H175*0.0704</f>
        <v>55.215423999999999</v>
      </c>
      <c r="J175" s="255">
        <f>H175+I175</f>
        <v>839.52542399999993</v>
      </c>
      <c r="K175" s="255"/>
      <c r="L175" s="255"/>
    </row>
    <row r="176" spans="1:12" s="133" customFormat="1" ht="17.45" customHeight="1">
      <c r="A176" s="162"/>
      <c r="B176" s="295"/>
      <c r="C176" s="306"/>
      <c r="D176" s="254">
        <f>0.01*1.02</f>
        <v>1.0200000000000001E-2</v>
      </c>
      <c r="E176" s="255"/>
      <c r="F176" s="255"/>
      <c r="G176" s="255"/>
      <c r="H176" s="255">
        <f t="shared" ref="H176:J176" si="89">H175*$D176</f>
        <v>7.999962</v>
      </c>
      <c r="I176" s="255">
        <f t="shared" si="89"/>
        <v>0.56319732480000007</v>
      </c>
      <c r="J176" s="255">
        <f t="shared" si="89"/>
        <v>8.5631593247999991</v>
      </c>
      <c r="K176" s="255"/>
      <c r="L176" s="255"/>
    </row>
    <row r="177" spans="1:12" s="133" customFormat="1" ht="94.5">
      <c r="A177" s="162"/>
      <c r="B177" s="305" t="s">
        <v>54</v>
      </c>
      <c r="C177" s="294" t="s">
        <v>55</v>
      </c>
      <c r="D177" s="254" t="s">
        <v>64</v>
      </c>
      <c r="E177" s="255"/>
      <c r="F177" s="255"/>
      <c r="G177" s="255"/>
      <c r="H177" s="255">
        <v>98.69</v>
      </c>
      <c r="I177" s="255">
        <f>H177*0.0704</f>
        <v>6.9477760000000002</v>
      </c>
      <c r="J177" s="255">
        <f>H177+I177</f>
        <v>105.637776</v>
      </c>
      <c r="K177" s="255"/>
      <c r="L177" s="255"/>
    </row>
    <row r="178" spans="1:12" s="133" customFormat="1" ht="17.45" customHeight="1">
      <c r="A178" s="162"/>
      <c r="B178" s="295"/>
      <c r="C178" s="306"/>
      <c r="D178" s="254">
        <f>0.25*1.02</f>
        <v>0.255</v>
      </c>
      <c r="E178" s="255"/>
      <c r="F178" s="255"/>
      <c r="G178" s="255"/>
      <c r="H178" s="255">
        <f t="shared" ref="H178:J178" si="90">H177*$D178</f>
        <v>25.165949999999999</v>
      </c>
      <c r="I178" s="255">
        <f t="shared" si="90"/>
        <v>1.7716828800000002</v>
      </c>
      <c r="J178" s="255">
        <f t="shared" si="90"/>
        <v>26.937632880000002</v>
      </c>
      <c r="K178" s="255"/>
      <c r="L178" s="255"/>
    </row>
    <row r="179" spans="1:12" s="133" customFormat="1" ht="31.5">
      <c r="A179" s="162"/>
      <c r="B179" s="305" t="s">
        <v>56</v>
      </c>
      <c r="C179" s="294" t="s">
        <v>57</v>
      </c>
      <c r="D179" s="254" t="s">
        <v>297</v>
      </c>
      <c r="E179" s="255"/>
      <c r="F179" s="255"/>
      <c r="G179" s="255"/>
      <c r="H179" s="255">
        <v>0.61</v>
      </c>
      <c r="I179" s="255">
        <f>H179*0.0704</f>
        <v>4.2944000000000003E-2</v>
      </c>
      <c r="J179" s="255">
        <f>H179+I179</f>
        <v>0.65294399999999997</v>
      </c>
      <c r="K179" s="255"/>
      <c r="L179" s="255"/>
    </row>
    <row r="180" spans="1:12" s="133" customFormat="1" ht="17.45" customHeight="1">
      <c r="A180" s="162"/>
      <c r="B180" s="295"/>
      <c r="C180" s="306"/>
      <c r="D180" s="254">
        <f>D170*280</f>
        <v>173.6</v>
      </c>
      <c r="E180" s="255"/>
      <c r="F180" s="255"/>
      <c r="G180" s="255"/>
      <c r="H180" s="255">
        <f t="shared" ref="H180:J180" si="91">H179*$D180</f>
        <v>105.896</v>
      </c>
      <c r="I180" s="255">
        <f t="shared" si="91"/>
        <v>7.4550784000000005</v>
      </c>
      <c r="J180" s="255">
        <f t="shared" si="91"/>
        <v>113.35107839999999</v>
      </c>
      <c r="K180" s="255"/>
      <c r="L180" s="255"/>
    </row>
    <row r="181" spans="1:12" s="133" customFormat="1" ht="63">
      <c r="A181" s="162"/>
      <c r="B181" s="305" t="s">
        <v>58</v>
      </c>
      <c r="C181" s="294" t="s">
        <v>59</v>
      </c>
      <c r="D181" s="254" t="s">
        <v>284</v>
      </c>
      <c r="E181" s="255"/>
      <c r="F181" s="255"/>
      <c r="G181" s="255"/>
      <c r="H181" s="255">
        <v>1782.26</v>
      </c>
      <c r="I181" s="255">
        <f>H181*0.0704</f>
        <v>125.47110400000001</v>
      </c>
      <c r="J181" s="255">
        <f>H181+I181</f>
        <v>1907.731104</v>
      </c>
      <c r="K181" s="255"/>
      <c r="L181" s="255"/>
    </row>
    <row r="182" spans="1:12" s="133" customFormat="1" ht="17.45" customHeight="1">
      <c r="A182" s="162"/>
      <c r="B182" s="295"/>
      <c r="C182" s="295"/>
      <c r="D182" s="254">
        <f>1.03*1.46</f>
        <v>1.5038</v>
      </c>
      <c r="E182" s="255"/>
      <c r="F182" s="255"/>
      <c r="G182" s="255"/>
      <c r="H182" s="255">
        <f t="shared" ref="H182:J182" si="92">H181*$D182</f>
        <v>2680.1625880000001</v>
      </c>
      <c r="I182" s="255">
        <f t="shared" si="92"/>
        <v>188.68344619520002</v>
      </c>
      <c r="J182" s="255">
        <f t="shared" si="92"/>
        <v>2868.8460341952</v>
      </c>
      <c r="K182" s="255"/>
      <c r="L182" s="255"/>
    </row>
    <row r="183" spans="1:12" s="133" customFormat="1" ht="17.45" customHeight="1">
      <c r="A183" s="162"/>
      <c r="B183" s="307" t="s">
        <v>60</v>
      </c>
      <c r="C183" s="308" t="s">
        <v>61</v>
      </c>
      <c r="D183" s="266" t="s">
        <v>297</v>
      </c>
      <c r="E183" s="293"/>
      <c r="F183" s="293"/>
      <c r="G183" s="293"/>
      <c r="H183" s="293">
        <f>(4518-3)*0.001226</f>
        <v>5.5353900000000005</v>
      </c>
      <c r="I183" s="293">
        <f>H183*0.0704</f>
        <v>0.38969145600000005</v>
      </c>
      <c r="J183" s="293">
        <f>H183+I183</f>
        <v>5.9250814560000009</v>
      </c>
      <c r="K183" s="293"/>
      <c r="L183" s="293"/>
    </row>
    <row r="184" spans="1:12" s="133" customFormat="1" ht="17.45" customHeight="1" thickBot="1">
      <c r="A184" s="139"/>
      <c r="B184" s="303"/>
      <c r="C184" s="303"/>
      <c r="D184" s="303">
        <f>PI()*0.075*1743</f>
        <v>410.68469964052571</v>
      </c>
      <c r="E184" s="304"/>
      <c r="F184" s="304"/>
      <c r="G184" s="304"/>
      <c r="H184" s="304">
        <f t="shared" ref="H184:J184" si="93">H183*$D184</f>
        <v>2273.2999795431697</v>
      </c>
      <c r="I184" s="304">
        <f t="shared" si="93"/>
        <v>160.04031855983916</v>
      </c>
      <c r="J184" s="304">
        <f t="shared" si="93"/>
        <v>2433.340298103009</v>
      </c>
      <c r="K184" s="304"/>
      <c r="L184" s="304"/>
    </row>
    <row r="185" spans="1:12" s="133" customFormat="1" ht="71.25">
      <c r="A185" s="161">
        <v>8</v>
      </c>
      <c r="B185" s="312" t="s">
        <v>305</v>
      </c>
      <c r="C185" s="309" t="s">
        <v>304</v>
      </c>
      <c r="D185" s="256" t="s">
        <v>296</v>
      </c>
      <c r="E185" s="287">
        <v>931.79</v>
      </c>
      <c r="F185" s="287">
        <v>2553.5700000000002</v>
      </c>
      <c r="G185" s="287">
        <v>308.45999999999998</v>
      </c>
      <c r="H185" s="287"/>
      <c r="I185" s="287"/>
      <c r="J185" s="287">
        <f>E185+F185</f>
        <v>3485.36</v>
      </c>
      <c r="K185" s="287">
        <v>129</v>
      </c>
      <c r="L185" s="287">
        <v>42.34</v>
      </c>
    </row>
    <row r="186" spans="1:12" s="133" customFormat="1" ht="17.45" customHeight="1">
      <c r="A186" s="162"/>
      <c r="B186" s="254"/>
      <c r="C186" s="254"/>
      <c r="D186" s="255">
        <f>'[1]объемы работ'!$D$18</f>
        <v>2.5084</v>
      </c>
      <c r="E186" s="255">
        <f t="shared" ref="E186:G186" si="94">E185*$D186</f>
        <v>2337.302036</v>
      </c>
      <c r="F186" s="255">
        <f t="shared" si="94"/>
        <v>6405.3749880000005</v>
      </c>
      <c r="G186" s="255">
        <f t="shared" si="94"/>
        <v>773.74106399999994</v>
      </c>
      <c r="H186" s="255"/>
      <c r="I186" s="255"/>
      <c r="J186" s="255">
        <f t="shared" ref="J186:L186" si="95">J185*$D186</f>
        <v>8742.6770240000005</v>
      </c>
      <c r="K186" s="255">
        <f t="shared" si="95"/>
        <v>323.58359999999999</v>
      </c>
      <c r="L186" s="255">
        <f t="shared" si="95"/>
        <v>106.205656</v>
      </c>
    </row>
    <row r="187" spans="1:12" s="133" customFormat="1" ht="15.75">
      <c r="A187" s="162"/>
      <c r="B187" s="305" t="s">
        <v>48</v>
      </c>
      <c r="C187" s="294" t="s">
        <v>49</v>
      </c>
      <c r="D187" s="254" t="s">
        <v>303</v>
      </c>
      <c r="E187" s="255"/>
      <c r="F187" s="255"/>
      <c r="G187" s="255"/>
      <c r="H187" s="255">
        <v>29.48</v>
      </c>
      <c r="I187" s="255">
        <f>H187*0.0704</f>
        <v>2.0753920000000003</v>
      </c>
      <c r="J187" s="255">
        <f>H187+I187</f>
        <v>31.555392000000001</v>
      </c>
      <c r="K187" s="255"/>
      <c r="L187" s="255"/>
    </row>
    <row r="188" spans="1:12" s="133" customFormat="1" ht="17.45" customHeight="1">
      <c r="A188" s="162"/>
      <c r="B188" s="295"/>
      <c r="C188" s="306"/>
      <c r="D188" s="254">
        <f>0.31*D186</f>
        <v>0.77760399999999996</v>
      </c>
      <c r="E188" s="255"/>
      <c r="F188" s="255"/>
      <c r="G188" s="255"/>
      <c r="H188" s="255">
        <f t="shared" ref="H188:J188" si="96">H187*$D188</f>
        <v>22.923765919999997</v>
      </c>
      <c r="I188" s="255">
        <f t="shared" si="96"/>
        <v>1.6138331207680001</v>
      </c>
      <c r="J188" s="255">
        <f t="shared" si="96"/>
        <v>24.537599040768001</v>
      </c>
      <c r="K188" s="255"/>
      <c r="L188" s="255"/>
    </row>
    <row r="189" spans="1:12" s="133" customFormat="1" ht="31.5">
      <c r="A189" s="162"/>
      <c r="B189" s="305" t="s">
        <v>50</v>
      </c>
      <c r="C189" s="306" t="s">
        <v>51</v>
      </c>
      <c r="D189" s="254" t="s">
        <v>284</v>
      </c>
      <c r="E189" s="255"/>
      <c r="F189" s="255"/>
      <c r="G189" s="255"/>
      <c r="H189" s="255">
        <v>2308.8000000000002</v>
      </c>
      <c r="I189" s="255">
        <f>H189*0.0704</f>
        <v>162.53952000000001</v>
      </c>
      <c r="J189" s="255">
        <f>H189+I189</f>
        <v>2471.33952</v>
      </c>
      <c r="K189" s="255"/>
      <c r="L189" s="255"/>
    </row>
    <row r="190" spans="1:12" s="133" customFormat="1" ht="17.45" customHeight="1">
      <c r="A190" s="162"/>
      <c r="B190" s="295"/>
      <c r="C190" s="306"/>
      <c r="D190" s="254">
        <f>0.04*D186</f>
        <v>0.10033599999999999</v>
      </c>
      <c r="E190" s="255"/>
      <c r="F190" s="255"/>
      <c r="G190" s="255"/>
      <c r="H190" s="255">
        <f t="shared" ref="H190:J190" si="97">H189*$D190</f>
        <v>231.65575680000001</v>
      </c>
      <c r="I190" s="255">
        <f t="shared" si="97"/>
        <v>16.30856527872</v>
      </c>
      <c r="J190" s="255">
        <f t="shared" si="97"/>
        <v>247.96432207871999</v>
      </c>
      <c r="K190" s="255"/>
      <c r="L190" s="255"/>
    </row>
    <row r="191" spans="1:12" s="133" customFormat="1" ht="47.25">
      <c r="A191" s="162"/>
      <c r="B191" s="305" t="s">
        <v>52</v>
      </c>
      <c r="C191" s="294" t="s">
        <v>53</v>
      </c>
      <c r="D191" s="254" t="s">
        <v>284</v>
      </c>
      <c r="E191" s="255"/>
      <c r="F191" s="255"/>
      <c r="G191" s="255"/>
      <c r="H191" s="255">
        <v>784.31</v>
      </c>
      <c r="I191" s="255">
        <f>H191*0.0704</f>
        <v>55.215423999999999</v>
      </c>
      <c r="J191" s="255">
        <f>H191+I191</f>
        <v>839.52542399999993</v>
      </c>
      <c r="K191" s="255"/>
      <c r="L191" s="255"/>
    </row>
    <row r="192" spans="1:12" s="133" customFormat="1" ht="17.45" customHeight="1">
      <c r="A192" s="162"/>
      <c r="B192" s="295"/>
      <c r="C192" s="306"/>
      <c r="D192" s="254">
        <f>0.02*D186</f>
        <v>5.0167999999999997E-2</v>
      </c>
      <c r="E192" s="255"/>
      <c r="F192" s="255"/>
      <c r="G192" s="255"/>
      <c r="H192" s="255">
        <f t="shared" ref="H192:J192" si="98">H191*$D192</f>
        <v>39.347264079999995</v>
      </c>
      <c r="I192" s="255">
        <f t="shared" si="98"/>
        <v>2.7700473912319996</v>
      </c>
      <c r="J192" s="255">
        <f t="shared" si="98"/>
        <v>42.117311471231993</v>
      </c>
      <c r="K192" s="255"/>
      <c r="L192" s="255"/>
    </row>
    <row r="193" spans="1:12" s="133" customFormat="1" ht="94.5">
      <c r="A193" s="162"/>
      <c r="B193" s="305" t="s">
        <v>54</v>
      </c>
      <c r="C193" s="294" t="s">
        <v>55</v>
      </c>
      <c r="D193" s="254" t="s">
        <v>64</v>
      </c>
      <c r="E193" s="255"/>
      <c r="F193" s="255"/>
      <c r="G193" s="255"/>
      <c r="H193" s="255">
        <v>98.69</v>
      </c>
      <c r="I193" s="255">
        <f>H193*0.0704</f>
        <v>6.9477760000000002</v>
      </c>
      <c r="J193" s="255">
        <f>H193+I193</f>
        <v>105.637776</v>
      </c>
      <c r="K193" s="255"/>
      <c r="L193" s="255"/>
    </row>
    <row r="194" spans="1:12" s="133" customFormat="1" ht="17.45" customHeight="1">
      <c r="A194" s="162"/>
      <c r="B194" s="295"/>
      <c r="C194" s="306"/>
      <c r="D194" s="254">
        <f>0.25*D186</f>
        <v>0.62709999999999999</v>
      </c>
      <c r="E194" s="255"/>
      <c r="F194" s="255"/>
      <c r="G194" s="255"/>
      <c r="H194" s="255">
        <f t="shared" ref="H194:J194" si="99">H193*$D194</f>
        <v>61.888498999999996</v>
      </c>
      <c r="I194" s="255">
        <f t="shared" si="99"/>
        <v>4.3569503296000001</v>
      </c>
      <c r="J194" s="255">
        <f t="shared" si="99"/>
        <v>66.245449329600007</v>
      </c>
      <c r="K194" s="255"/>
      <c r="L194" s="255"/>
    </row>
    <row r="195" spans="1:12" s="133" customFormat="1" ht="31.5">
      <c r="A195" s="162"/>
      <c r="B195" s="305" t="s">
        <v>56</v>
      </c>
      <c r="C195" s="294" t="s">
        <v>57</v>
      </c>
      <c r="D195" s="254" t="s">
        <v>297</v>
      </c>
      <c r="E195" s="255"/>
      <c r="F195" s="255"/>
      <c r="G195" s="255"/>
      <c r="H195" s="255">
        <v>0.61</v>
      </c>
      <c r="I195" s="255">
        <f>H195*0.0704</f>
        <v>4.2944000000000003E-2</v>
      </c>
      <c r="J195" s="255">
        <f>H195+I195</f>
        <v>0.65294399999999997</v>
      </c>
      <c r="K195" s="255"/>
      <c r="L195" s="255"/>
    </row>
    <row r="196" spans="1:12" s="133" customFormat="1" ht="17.45" customHeight="1">
      <c r="A196" s="162"/>
      <c r="B196" s="295"/>
      <c r="C196" s="306"/>
      <c r="D196" s="254">
        <f>D186*400</f>
        <v>1003.36</v>
      </c>
      <c r="E196" s="255"/>
      <c r="F196" s="255"/>
      <c r="G196" s="255"/>
      <c r="H196" s="255">
        <f t="shared" ref="H196:J196" si="100">H195*$D196</f>
        <v>612.04959999999994</v>
      </c>
      <c r="I196" s="255">
        <f t="shared" si="100"/>
        <v>43.088291840000004</v>
      </c>
      <c r="J196" s="255">
        <f t="shared" si="100"/>
        <v>655.13789183999995</v>
      </c>
      <c r="K196" s="255"/>
      <c r="L196" s="255"/>
    </row>
    <row r="197" spans="1:12" s="133" customFormat="1" ht="63">
      <c r="A197" s="162"/>
      <c r="B197" s="305" t="s">
        <v>58</v>
      </c>
      <c r="C197" s="294" t="s">
        <v>59</v>
      </c>
      <c r="D197" s="254" t="s">
        <v>284</v>
      </c>
      <c r="E197" s="255"/>
      <c r="F197" s="255"/>
      <c r="G197" s="255"/>
      <c r="H197" s="255">
        <v>1782.26</v>
      </c>
      <c r="I197" s="255">
        <f>H197*0.0704</f>
        <v>125.47110400000001</v>
      </c>
      <c r="J197" s="255">
        <f>H197+I197</f>
        <v>1907.731104</v>
      </c>
      <c r="K197" s="255"/>
      <c r="L197" s="255"/>
    </row>
    <row r="198" spans="1:12" s="133" customFormat="1" ht="17.45" customHeight="1">
      <c r="A198" s="162"/>
      <c r="B198" s="295"/>
      <c r="C198" s="295"/>
      <c r="D198" s="254">
        <f>1.46*D186</f>
        <v>3.662264</v>
      </c>
      <c r="E198" s="255"/>
      <c r="F198" s="255"/>
      <c r="G198" s="255"/>
      <c r="H198" s="255">
        <f t="shared" ref="H198:J198" si="101">H197*$D198</f>
        <v>6527.10663664</v>
      </c>
      <c r="I198" s="255">
        <f t="shared" si="101"/>
        <v>459.50830721945601</v>
      </c>
      <c r="J198" s="255">
        <f t="shared" si="101"/>
        <v>6986.6149438594557</v>
      </c>
      <c r="K198" s="255"/>
      <c r="L198" s="255"/>
    </row>
    <row r="199" spans="1:12" s="133" customFormat="1" ht="15.75">
      <c r="A199" s="162"/>
      <c r="B199" s="307" t="s">
        <v>60</v>
      </c>
      <c r="C199" s="308" t="s">
        <v>61</v>
      </c>
      <c r="D199" s="266" t="s">
        <v>297</v>
      </c>
      <c r="E199" s="293"/>
      <c r="F199" s="293"/>
      <c r="G199" s="293"/>
      <c r="H199" s="293">
        <f>(4518-3)*0.001226</f>
        <v>5.5353900000000005</v>
      </c>
      <c r="I199" s="293">
        <f>H199*0.0704</f>
        <v>0.38969145600000005</v>
      </c>
      <c r="J199" s="293">
        <f>H199+I199</f>
        <v>5.9250814560000009</v>
      </c>
      <c r="K199" s="293"/>
      <c r="L199" s="293"/>
    </row>
    <row r="200" spans="1:12" s="133" customFormat="1" ht="17.45" customHeight="1" thickBot="1">
      <c r="A200" s="139"/>
      <c r="B200" s="266"/>
      <c r="C200" s="266"/>
      <c r="D200" s="266">
        <f>PI()*0.1*1743</f>
        <v>547.57959952070098</v>
      </c>
      <c r="E200" s="293"/>
      <c r="F200" s="293"/>
      <c r="G200" s="293"/>
      <c r="H200" s="293">
        <f t="shared" ref="H200:J200" si="102">H199*$D200</f>
        <v>3031.0666393908932</v>
      </c>
      <c r="I200" s="293">
        <f t="shared" si="102"/>
        <v>213.3870914131189</v>
      </c>
      <c r="J200" s="293">
        <f t="shared" si="102"/>
        <v>3244.4537308040126</v>
      </c>
      <c r="K200" s="293"/>
      <c r="L200" s="293"/>
    </row>
    <row r="201" spans="1:12" ht="71.25">
      <c r="A201" s="161">
        <v>8</v>
      </c>
      <c r="B201" s="310" t="s">
        <v>306</v>
      </c>
      <c r="C201" s="314" t="s">
        <v>307</v>
      </c>
      <c r="D201" s="256" t="s">
        <v>296</v>
      </c>
      <c r="E201" s="287">
        <v>1560.2</v>
      </c>
      <c r="F201" s="287">
        <v>7081.17</v>
      </c>
      <c r="G201" s="287">
        <v>938.58</v>
      </c>
      <c r="H201" s="287"/>
      <c r="I201" s="287"/>
      <c r="J201" s="287">
        <f>E201+F201</f>
        <v>8641.3700000000008</v>
      </c>
      <c r="K201" s="287">
        <v>216</v>
      </c>
      <c r="L201" s="287">
        <v>127.32</v>
      </c>
    </row>
    <row r="202" spans="1:12" ht="15.75" customHeight="1">
      <c r="A202" s="162"/>
      <c r="B202" s="254"/>
      <c r="C202" s="254"/>
      <c r="D202" s="255">
        <v>10.58</v>
      </c>
      <c r="E202" s="255">
        <f t="shared" ref="E202:G202" si="103">E201*$D202</f>
        <v>16506.916000000001</v>
      </c>
      <c r="F202" s="255">
        <f t="shared" si="103"/>
        <v>74918.778600000005</v>
      </c>
      <c r="G202" s="255">
        <f t="shared" si="103"/>
        <v>9930.1764000000003</v>
      </c>
      <c r="H202" s="255"/>
      <c r="I202" s="255"/>
      <c r="J202" s="255">
        <f t="shared" ref="J202:L202" si="104">J201*$D202</f>
        <v>91425.694600000003</v>
      </c>
      <c r="K202" s="255">
        <f t="shared" si="104"/>
        <v>2285.2800000000002</v>
      </c>
      <c r="L202" s="255">
        <f t="shared" si="104"/>
        <v>1347.0455999999999</v>
      </c>
    </row>
    <row r="203" spans="1:12" ht="34.5" customHeight="1">
      <c r="A203" s="162"/>
      <c r="B203" s="305" t="s">
        <v>48</v>
      </c>
      <c r="C203" s="294" t="s">
        <v>49</v>
      </c>
      <c r="D203" s="254" t="s">
        <v>303</v>
      </c>
      <c r="E203" s="255"/>
      <c r="F203" s="255"/>
      <c r="G203" s="255"/>
      <c r="H203" s="255">
        <v>29.48</v>
      </c>
      <c r="I203" s="255">
        <f>H203*0.0704</f>
        <v>2.0753920000000003</v>
      </c>
      <c r="J203" s="255">
        <f>H203+I203</f>
        <v>31.555392000000001</v>
      </c>
      <c r="K203" s="255"/>
      <c r="L203" s="255"/>
    </row>
    <row r="204" spans="1:12" ht="15.75" customHeight="1">
      <c r="A204" s="162"/>
      <c r="B204" s="295"/>
      <c r="C204" s="306"/>
      <c r="D204" s="254">
        <f>0.31*D202</f>
        <v>3.2797999999999998</v>
      </c>
      <c r="E204" s="255"/>
      <c r="F204" s="255"/>
      <c r="G204" s="255"/>
      <c r="H204" s="255">
        <f t="shared" ref="H204:J204" si="105">H203*$D204</f>
        <v>96.688503999999995</v>
      </c>
      <c r="I204" s="255">
        <f t="shared" si="105"/>
        <v>6.8068706816000004</v>
      </c>
      <c r="J204" s="255">
        <f t="shared" si="105"/>
        <v>103.4953746816</v>
      </c>
      <c r="K204" s="255"/>
      <c r="L204" s="255"/>
    </row>
    <row r="205" spans="1:12" ht="15.75" customHeight="1">
      <c r="A205" s="162"/>
      <c r="B205" s="305" t="s">
        <v>50</v>
      </c>
      <c r="C205" s="306" t="s">
        <v>51</v>
      </c>
      <c r="D205" s="254" t="s">
        <v>284</v>
      </c>
      <c r="E205" s="255"/>
      <c r="F205" s="255"/>
      <c r="G205" s="255"/>
      <c r="H205" s="255">
        <v>2308.8000000000002</v>
      </c>
      <c r="I205" s="255">
        <f>H205*0.0704</f>
        <v>162.53952000000001</v>
      </c>
      <c r="J205" s="255">
        <f>H205+I205</f>
        <v>2471.33952</v>
      </c>
      <c r="K205" s="255"/>
      <c r="L205" s="255"/>
    </row>
    <row r="206" spans="1:12" ht="15.75" customHeight="1">
      <c r="A206" s="162"/>
      <c r="B206" s="295"/>
      <c r="C206" s="306"/>
      <c r="D206" s="254">
        <f>0.12*D202</f>
        <v>1.2696000000000001</v>
      </c>
      <c r="E206" s="255"/>
      <c r="F206" s="255"/>
      <c r="G206" s="255"/>
      <c r="H206" s="255">
        <f t="shared" ref="H206:J206" si="106">H205*$D206</f>
        <v>2931.2524800000006</v>
      </c>
      <c r="I206" s="255">
        <f t="shared" si="106"/>
        <v>206.36017459200002</v>
      </c>
      <c r="J206" s="255">
        <f t="shared" si="106"/>
        <v>3137.6126545920001</v>
      </c>
      <c r="K206" s="255"/>
      <c r="L206" s="255"/>
    </row>
    <row r="207" spans="1:12" ht="47.25">
      <c r="A207" s="162"/>
      <c r="B207" s="305" t="s">
        <v>52</v>
      </c>
      <c r="C207" s="294" t="s">
        <v>53</v>
      </c>
      <c r="D207" s="254" t="s">
        <v>284</v>
      </c>
      <c r="E207" s="255"/>
      <c r="F207" s="255"/>
      <c r="G207" s="255"/>
      <c r="H207" s="255">
        <v>784.31</v>
      </c>
      <c r="I207" s="255">
        <f>H207*0.0704</f>
        <v>55.215423999999999</v>
      </c>
      <c r="J207" s="255">
        <f>H207+I207</f>
        <v>839.52542399999993</v>
      </c>
      <c r="K207" s="255"/>
      <c r="L207" s="255"/>
    </row>
    <row r="208" spans="1:12" ht="15.75" customHeight="1">
      <c r="A208" s="162"/>
      <c r="B208" s="295"/>
      <c r="C208" s="306"/>
      <c r="D208" s="254">
        <f>0.05*1.02</f>
        <v>5.1000000000000004E-2</v>
      </c>
      <c r="E208" s="255"/>
      <c r="F208" s="255"/>
      <c r="G208" s="255"/>
      <c r="H208" s="255">
        <f t="shared" ref="H208:J208" si="107">H207*$D208</f>
        <v>39.999810000000004</v>
      </c>
      <c r="I208" s="255">
        <f t="shared" si="107"/>
        <v>2.8159866240000002</v>
      </c>
      <c r="J208" s="255">
        <f t="shared" si="107"/>
        <v>42.815796624000001</v>
      </c>
      <c r="K208" s="255"/>
      <c r="L208" s="255"/>
    </row>
    <row r="209" spans="1:16" ht="94.5">
      <c r="A209" s="162"/>
      <c r="B209" s="305" t="s">
        <v>54</v>
      </c>
      <c r="C209" s="294" t="s">
        <v>55</v>
      </c>
      <c r="D209" s="254" t="s">
        <v>64</v>
      </c>
      <c r="E209" s="255"/>
      <c r="F209" s="255"/>
      <c r="G209" s="255"/>
      <c r="H209" s="255">
        <v>98.69</v>
      </c>
      <c r="I209" s="255">
        <f>H209*0.0704</f>
        <v>6.9477760000000002</v>
      </c>
      <c r="J209" s="255">
        <f>H209+I209</f>
        <v>105.637776</v>
      </c>
      <c r="K209" s="255"/>
      <c r="L209" s="255"/>
    </row>
    <row r="210" spans="1:16" ht="15.75" customHeight="1">
      <c r="A210" s="162"/>
      <c r="B210" s="295"/>
      <c r="C210" s="306"/>
      <c r="D210" s="254">
        <f>0.25*D202</f>
        <v>2.645</v>
      </c>
      <c r="E210" s="255"/>
      <c r="F210" s="255"/>
      <c r="G210" s="255"/>
      <c r="H210" s="255">
        <f t="shared" ref="H210:J210" si="108">H209*$D210</f>
        <v>261.03505000000001</v>
      </c>
      <c r="I210" s="255">
        <f t="shared" si="108"/>
        <v>18.376867520000001</v>
      </c>
      <c r="J210" s="255">
        <f t="shared" si="108"/>
        <v>279.41191752000003</v>
      </c>
      <c r="K210" s="255"/>
      <c r="L210" s="255"/>
    </row>
    <row r="211" spans="1:16" ht="15.75" customHeight="1">
      <c r="A211" s="162"/>
      <c r="B211" s="305" t="s">
        <v>56</v>
      </c>
      <c r="C211" s="294" t="s">
        <v>57</v>
      </c>
      <c r="D211" s="254" t="s">
        <v>297</v>
      </c>
      <c r="E211" s="255"/>
      <c r="F211" s="255"/>
      <c r="G211" s="255"/>
      <c r="H211" s="255">
        <v>0.61</v>
      </c>
      <c r="I211" s="255">
        <f>H211*0.0704</f>
        <v>4.2944000000000003E-2</v>
      </c>
      <c r="J211" s="255">
        <f>H211+I211</f>
        <v>0.65294399999999997</v>
      </c>
      <c r="K211" s="255"/>
      <c r="L211" s="255"/>
    </row>
    <row r="212" spans="1:16" ht="15.75" customHeight="1">
      <c r="A212" s="162"/>
      <c r="B212" s="295"/>
      <c r="C212" s="306"/>
      <c r="D212" s="254">
        <f>1200*D202</f>
        <v>12696</v>
      </c>
      <c r="E212" s="255"/>
      <c r="F212" s="255"/>
      <c r="G212" s="255"/>
      <c r="H212" s="255">
        <f t="shared" ref="H212:J212" si="109">H211*$D212</f>
        <v>7744.5599999999995</v>
      </c>
      <c r="I212" s="255">
        <f t="shared" si="109"/>
        <v>545.21702400000004</v>
      </c>
      <c r="J212" s="255">
        <f t="shared" si="109"/>
        <v>8289.7770239999991</v>
      </c>
      <c r="K212" s="255"/>
      <c r="L212" s="255"/>
    </row>
    <row r="213" spans="1:16" ht="15.75" customHeight="1">
      <c r="A213" s="162"/>
      <c r="B213" s="305" t="s">
        <v>58</v>
      </c>
      <c r="C213" s="294" t="s">
        <v>59</v>
      </c>
      <c r="D213" s="254" t="s">
        <v>284</v>
      </c>
      <c r="E213" s="255"/>
      <c r="F213" s="255"/>
      <c r="G213" s="255"/>
      <c r="H213" s="255">
        <v>1782.26</v>
      </c>
      <c r="I213" s="255">
        <f>H213*0.0704</f>
        <v>125.47110400000001</v>
      </c>
      <c r="J213" s="255">
        <f>H213+I213</f>
        <v>1907.731104</v>
      </c>
      <c r="K213" s="255"/>
      <c r="L213" s="255"/>
    </row>
    <row r="214" spans="1:16" ht="15.75" customHeight="1">
      <c r="A214" s="162"/>
      <c r="B214" s="295"/>
      <c r="C214" s="295"/>
      <c r="D214" s="254">
        <f>4.39*D202</f>
        <v>46.446199999999997</v>
      </c>
      <c r="E214" s="255"/>
      <c r="F214" s="255"/>
      <c r="G214" s="255"/>
      <c r="H214" s="255">
        <f t="shared" ref="H214:J214" si="110">H213*$D214</f>
        <v>82779.204411999992</v>
      </c>
      <c r="I214" s="255">
        <f t="shared" si="110"/>
        <v>5827.6559906048005</v>
      </c>
      <c r="J214" s="255">
        <f t="shared" si="110"/>
        <v>88606.860402604798</v>
      </c>
      <c r="K214" s="255"/>
      <c r="L214" s="255"/>
    </row>
    <row r="215" spans="1:16" ht="24" customHeight="1">
      <c r="A215" s="162"/>
      <c r="B215" s="307" t="s">
        <v>60</v>
      </c>
      <c r="C215" s="308" t="s">
        <v>61</v>
      </c>
      <c r="D215" s="266" t="s">
        <v>297</v>
      </c>
      <c r="E215" s="293"/>
      <c r="F215" s="293"/>
      <c r="G215" s="293"/>
      <c r="H215" s="293">
        <f>(4518-3)*0.001226</f>
        <v>5.5353900000000005</v>
      </c>
      <c r="I215" s="293">
        <f>H215*0.0704</f>
        <v>0.38969145600000005</v>
      </c>
      <c r="J215" s="293">
        <f>H215+I215</f>
        <v>5.9250814560000009</v>
      </c>
      <c r="K215" s="293"/>
      <c r="L215" s="293"/>
      <c r="O215" s="335">
        <f>SUMPRODUCT(--(ISNUMBER(D210:D216)),H210:H216)</f>
        <v>99877.999380172667</v>
      </c>
    </row>
    <row r="216" spans="1:16" ht="15.75" customHeight="1" thickBot="1">
      <c r="A216" s="139"/>
      <c r="B216" s="266"/>
      <c r="C216" s="266"/>
      <c r="D216" s="266">
        <f>PI()*0.3*1743</f>
        <v>1642.7387985621028</v>
      </c>
      <c r="E216" s="293"/>
      <c r="F216" s="293"/>
      <c r="G216" s="293"/>
      <c r="H216" s="293">
        <f t="shared" ref="H216:J216" si="111">H215*$D216</f>
        <v>9093.1999181726787</v>
      </c>
      <c r="I216" s="293">
        <f t="shared" si="111"/>
        <v>640.16127423935666</v>
      </c>
      <c r="J216" s="293">
        <f t="shared" si="111"/>
        <v>9733.361192412036</v>
      </c>
      <c r="K216" s="293"/>
      <c r="L216" s="293"/>
      <c r="P216" s="111">
        <f>H216+H214+H212+H210</f>
        <v>99877.999380172667</v>
      </c>
    </row>
    <row r="217" spans="1:16" ht="15.75" customHeight="1">
      <c r="A217" s="163" t="s">
        <v>33</v>
      </c>
      <c r="B217" s="164"/>
      <c r="C217" s="165"/>
      <c r="D217" s="13"/>
      <c r="E217" s="112">
        <f>E202+E186+E170+E154+E128+E104+E80+E56+E32</f>
        <v>108816.40683599998</v>
      </c>
      <c r="F217" s="112">
        <f t="shared" ref="F217:G217" si="112">F202+F186+F170+F154+F128+F104+F80+F56+F32</f>
        <v>158750.75048799999</v>
      </c>
      <c r="G217" s="112">
        <f t="shared" si="112"/>
        <v>30189.244763999999</v>
      </c>
      <c r="H217" s="14">
        <f>SUMPRODUCT(--(ISNUMBER($D$187:$D$200)),H187:H200)+SUMPRODUCT(--(ISNUMBER($D$171:$D$184)),H171:H184)+SUMPRODUCT(--(ISNUMBER($D$155:$D$168)),H155:H168)+SUMPRODUCT(--(ISNUMBER($D$129:$D$152)),H129:H152)+SUMPRODUCT(--(ISNUMBER($D$105:$D$126)),H105:H126)+SUMPRODUCT(--(ISNUMBER($D$81:$D$102)),H81:H102)+SUMPRODUCT(--(ISNUMBER($D$57:$D$78)),H57:H78)+SUMPRODUCT(--(ISNUMBER($D$33:$D$54)),H33:H54)+SUMPRODUCT(--(ISNUMBER($D$203:$D$216)),H203:H216)</f>
        <v>1154222.0879312868</v>
      </c>
      <c r="I217" s="14">
        <f t="shared" ref="I217:J217" si="113">SUMPRODUCT(--(ISNUMBER($D$187:$D$200)),I187:I200)+SUMPRODUCT(--(ISNUMBER($D$171:$D$184)),I171:I184)+SUMPRODUCT(--(ISNUMBER($D$155:$D$168)),I155:I168)+SUMPRODUCT(--(ISNUMBER($D$129:$D$152)),I129:I152)+SUMPRODUCT(--(ISNUMBER($D$105:$D$126)),I105:I126)+SUMPRODUCT(--(ISNUMBER($D$81:$D$102)),I81:I102)+SUMPRODUCT(--(ISNUMBER($D$57:$D$78)),I57:I78)+SUMPRODUCT(--(ISNUMBER($D$33:$D$54)),I33:I54)+SUMPRODUCT(--(ISNUMBER($D$203:$D$216)),I203:I216)</f>
        <v>81257.234990362602</v>
      </c>
      <c r="J217" s="14">
        <f t="shared" si="113"/>
        <v>1235479.3229216493</v>
      </c>
      <c r="K217" s="112">
        <f>K202+K186+K170+K154+K128+K104+K80+K56+K32</f>
        <v>15297.156000000001</v>
      </c>
      <c r="L217" s="112">
        <f>L202+L186+L170+L154+L128+L104+L80+L56+L32</f>
        <v>4106.0897560000003</v>
      </c>
    </row>
    <row r="218" spans="1:16" ht="15.75" customHeight="1">
      <c r="A218" s="166" t="s">
        <v>34</v>
      </c>
      <c r="B218" s="167"/>
      <c r="C218" s="168"/>
      <c r="D218" s="16"/>
      <c r="E218" s="17"/>
      <c r="F218" s="17"/>
      <c r="G218" s="17"/>
      <c r="H218" s="17"/>
      <c r="I218" s="17"/>
      <c r="J218" s="17">
        <f>(E217+G217)*0.5748</f>
        <v>79900.448539679986</v>
      </c>
      <c r="K218" s="17"/>
      <c r="L218" s="18"/>
      <c r="O218" s="133" t="s">
        <v>310</v>
      </c>
    </row>
    <row r="219" spans="1:16" ht="15.75" customHeight="1">
      <c r="A219" s="166" t="s">
        <v>35</v>
      </c>
      <c r="B219" s="167"/>
      <c r="C219" s="168"/>
      <c r="D219" s="16"/>
      <c r="E219" s="17"/>
      <c r="F219" s="17"/>
      <c r="G219" s="17"/>
      <c r="H219" s="17"/>
      <c r="I219" s="17"/>
      <c r="J219" s="17">
        <f>(E217+G217)*0.6354</f>
        <v>88324.191026639979</v>
      </c>
      <c r="K219" s="17"/>
      <c r="L219" s="18"/>
    </row>
    <row r="220" spans="1:16" ht="15.75" customHeight="1">
      <c r="A220" s="166" t="s">
        <v>36</v>
      </c>
      <c r="B220" s="167"/>
      <c r="C220" s="168"/>
      <c r="D220" s="16"/>
      <c r="E220" s="17"/>
      <c r="F220" s="17"/>
      <c r="G220" s="17"/>
      <c r="H220" s="17"/>
      <c r="I220" s="17"/>
      <c r="J220" s="17">
        <f>J217+J218+J219</f>
        <v>1403703.9624879693</v>
      </c>
      <c r="K220" s="17"/>
      <c r="L220" s="18"/>
    </row>
    <row r="221" spans="1:16" ht="15.75" customHeight="1">
      <c r="A221" s="166" t="s">
        <v>5</v>
      </c>
      <c r="B221" s="167"/>
      <c r="C221" s="168"/>
      <c r="D221" s="16"/>
      <c r="E221" s="17"/>
      <c r="F221" s="17"/>
      <c r="G221" s="17"/>
      <c r="H221" s="17"/>
      <c r="I221" s="17"/>
      <c r="J221" s="17">
        <f>K217</f>
        <v>15297.156000000001</v>
      </c>
      <c r="K221" s="17"/>
      <c r="L221" s="18"/>
    </row>
    <row r="222" spans="1:16" ht="15.75" customHeight="1">
      <c r="A222" s="140" t="s">
        <v>37</v>
      </c>
      <c r="B222" s="141"/>
      <c r="C222" s="142"/>
      <c r="D222" s="19"/>
      <c r="E222" s="20"/>
      <c r="F222" s="20"/>
      <c r="G222" s="20"/>
      <c r="H222" s="20"/>
      <c r="I222" s="20"/>
      <c r="J222" s="20">
        <f>L217</f>
        <v>4106.0897560000003</v>
      </c>
      <c r="K222" s="20"/>
      <c r="L222" s="21"/>
    </row>
    <row r="223" spans="1:16" ht="15.75" customHeight="1" thickBot="1">
      <c r="A223" s="143" t="s">
        <v>62</v>
      </c>
      <c r="B223" s="144"/>
      <c r="C223" s="144"/>
      <c r="D223" s="144"/>
      <c r="E223" s="144"/>
      <c r="F223" s="144"/>
      <c r="G223" s="144"/>
      <c r="H223" s="144"/>
      <c r="I223" s="144"/>
      <c r="J223" s="144"/>
      <c r="K223" s="144"/>
      <c r="L223" s="145"/>
    </row>
    <row r="224" spans="1:16" s="133" customFormat="1" ht="100.5">
      <c r="A224" s="161">
        <v>2</v>
      </c>
      <c r="B224" s="23" t="s">
        <v>65</v>
      </c>
      <c r="C224" s="28" t="s">
        <v>66</v>
      </c>
      <c r="D224" s="315" t="s">
        <v>296</v>
      </c>
      <c r="E224" s="23">
        <v>936.9</v>
      </c>
      <c r="F224" s="23">
        <v>527.12</v>
      </c>
      <c r="G224" s="23">
        <v>111.04</v>
      </c>
      <c r="H224" s="23"/>
      <c r="I224" s="23"/>
      <c r="J224" s="23">
        <f>E224+F224</f>
        <v>1464.02</v>
      </c>
      <c r="K224" s="23">
        <v>135</v>
      </c>
      <c r="L224" s="23">
        <v>16</v>
      </c>
    </row>
    <row r="225" spans="1:12" s="133" customFormat="1" ht="15.75" customHeight="1">
      <c r="A225" s="162"/>
      <c r="B225" s="22"/>
      <c r="C225" s="22"/>
      <c r="D225" s="22">
        <v>3.35</v>
      </c>
      <c r="E225" s="22">
        <f t="shared" ref="E225:G225" si="114">E224*$D225</f>
        <v>3138.6149999999998</v>
      </c>
      <c r="F225" s="22">
        <f t="shared" si="114"/>
        <v>1765.8520000000001</v>
      </c>
      <c r="G225" s="22">
        <f t="shared" si="114"/>
        <v>371.98400000000004</v>
      </c>
      <c r="H225" s="22"/>
      <c r="I225" s="22"/>
      <c r="J225" s="22">
        <f t="shared" ref="J225:L225" si="115">J224*$D225</f>
        <v>4904.4669999999996</v>
      </c>
      <c r="K225" s="22">
        <f>K224*$D225</f>
        <v>452.25</v>
      </c>
      <c r="L225" s="22">
        <f t="shared" ref="L225" si="116">L224*$D225</f>
        <v>53.6</v>
      </c>
    </row>
    <row r="226" spans="1:12" s="133" customFormat="1" ht="24.75">
      <c r="A226" s="162"/>
      <c r="B226" s="25" t="s">
        <v>67</v>
      </c>
      <c r="C226" s="29" t="s">
        <v>68</v>
      </c>
      <c r="D226" s="128" t="s">
        <v>284</v>
      </c>
      <c r="E226" s="22"/>
      <c r="F226" s="22"/>
      <c r="G226" s="22"/>
      <c r="H226" s="22">
        <v>2940</v>
      </c>
      <c r="I226" s="22">
        <f>H226*0.0704</f>
        <v>206.976</v>
      </c>
      <c r="J226" s="22">
        <f>H226+I226</f>
        <v>3146.9760000000001</v>
      </c>
      <c r="K226" s="22"/>
      <c r="L226" s="22"/>
    </row>
    <row r="227" spans="1:12" s="133" customFormat="1" ht="15.75" customHeight="1">
      <c r="A227" s="162"/>
      <c r="B227" s="22"/>
      <c r="C227" s="30"/>
      <c r="D227" s="22">
        <f>0.00045*D225</f>
        <v>1.5074999999999999E-3</v>
      </c>
      <c r="E227" s="22"/>
      <c r="F227" s="22"/>
      <c r="G227" s="22"/>
      <c r="H227" s="22">
        <f t="shared" ref="H227:J227" si="117">H226*$D227</f>
        <v>4.4320500000000003</v>
      </c>
      <c r="I227" s="22">
        <f t="shared" si="117"/>
        <v>0.31201632000000001</v>
      </c>
      <c r="J227" s="22">
        <f t="shared" si="117"/>
        <v>4.7440663199999999</v>
      </c>
      <c r="K227" s="22"/>
      <c r="L227" s="22"/>
    </row>
    <row r="228" spans="1:12" s="133" customFormat="1" ht="24.75">
      <c r="A228" s="162"/>
      <c r="B228" s="25" t="s">
        <v>41</v>
      </c>
      <c r="C228" s="29" t="s">
        <v>42</v>
      </c>
      <c r="D228" s="128" t="s">
        <v>64</v>
      </c>
      <c r="E228" s="22"/>
      <c r="F228" s="22"/>
      <c r="G228" s="22"/>
      <c r="H228" s="22">
        <v>2.81</v>
      </c>
      <c r="I228" s="22">
        <f>H228*0.0704</f>
        <v>0.19782400000000003</v>
      </c>
      <c r="J228" s="22">
        <f>H228+I228</f>
        <v>3.0078240000000003</v>
      </c>
      <c r="K228" s="22"/>
      <c r="L228" s="22"/>
    </row>
    <row r="229" spans="1:12" s="133" customFormat="1" ht="15.75" customHeight="1">
      <c r="A229" s="162"/>
      <c r="B229" s="22"/>
      <c r="C229" s="30"/>
      <c r="D229" s="22">
        <f>0.01*D225</f>
        <v>3.3500000000000002E-2</v>
      </c>
      <c r="E229" s="22"/>
      <c r="F229" s="22"/>
      <c r="G229" s="22"/>
      <c r="H229" s="22">
        <f t="shared" ref="H229:J229" si="118">H228*$D229</f>
        <v>9.413500000000001E-2</v>
      </c>
      <c r="I229" s="22">
        <f t="shared" si="118"/>
        <v>6.6271040000000017E-3</v>
      </c>
      <c r="J229" s="22">
        <f t="shared" si="118"/>
        <v>0.10076210400000002</v>
      </c>
      <c r="K229" s="22"/>
      <c r="L229" s="22"/>
    </row>
    <row r="230" spans="1:12" s="133" customFormat="1">
      <c r="A230" s="162"/>
      <c r="B230" s="25" t="s">
        <v>69</v>
      </c>
      <c r="C230" s="29" t="s">
        <v>70</v>
      </c>
      <c r="D230" s="22" t="s">
        <v>46</v>
      </c>
      <c r="E230" s="22"/>
      <c r="F230" s="22"/>
      <c r="G230" s="22"/>
      <c r="H230" s="22">
        <v>0.56000000000000005</v>
      </c>
      <c r="I230" s="22">
        <f>H230*0.0704</f>
        <v>3.9424000000000008E-2</v>
      </c>
      <c r="J230" s="22">
        <f>H230+I230</f>
        <v>0.59942400000000007</v>
      </c>
      <c r="K230" s="22"/>
      <c r="L230" s="22"/>
    </row>
    <row r="231" spans="1:12" s="133" customFormat="1" ht="15.75" customHeight="1">
      <c r="A231" s="162"/>
      <c r="B231" s="22"/>
      <c r="C231" s="30"/>
      <c r="D231" s="22">
        <f>5*D225</f>
        <v>16.75</v>
      </c>
      <c r="E231" s="22"/>
      <c r="F231" s="22"/>
      <c r="G231" s="22"/>
      <c r="H231" s="22">
        <f t="shared" ref="H231:J231" si="119">H230*$D231</f>
        <v>9.3800000000000008</v>
      </c>
      <c r="I231" s="22">
        <f t="shared" si="119"/>
        <v>0.66035200000000016</v>
      </c>
      <c r="J231" s="22">
        <f t="shared" si="119"/>
        <v>10.040352</v>
      </c>
      <c r="K231" s="22"/>
      <c r="L231" s="22"/>
    </row>
    <row r="232" spans="1:12" s="133" customFormat="1" ht="15.75" customHeight="1">
      <c r="A232" s="162"/>
      <c r="B232" s="25" t="s">
        <v>71</v>
      </c>
      <c r="C232" s="29" t="s">
        <v>72</v>
      </c>
      <c r="D232" s="128" t="s">
        <v>63</v>
      </c>
      <c r="E232" s="22"/>
      <c r="F232" s="22"/>
      <c r="G232" s="22"/>
      <c r="H232" s="22">
        <v>1.2</v>
      </c>
      <c r="I232" s="22">
        <f>H232*0.0704</f>
        <v>8.448E-2</v>
      </c>
      <c r="J232" s="22">
        <f>H232+I232</f>
        <v>1.2844799999999998</v>
      </c>
      <c r="K232" s="22"/>
      <c r="L232" s="22"/>
    </row>
    <row r="233" spans="1:12" s="133" customFormat="1" ht="15.75" customHeight="1">
      <c r="A233" s="162"/>
      <c r="B233" s="22"/>
      <c r="C233" s="30"/>
      <c r="D233" s="22">
        <f>0.01*D225</f>
        <v>3.3500000000000002E-2</v>
      </c>
      <c r="E233" s="22"/>
      <c r="F233" s="22"/>
      <c r="G233" s="22"/>
      <c r="H233" s="22">
        <f t="shared" ref="H233:J233" si="120">H232*$D233</f>
        <v>4.02E-2</v>
      </c>
      <c r="I233" s="22">
        <f t="shared" si="120"/>
        <v>2.83008E-3</v>
      </c>
      <c r="J233" s="22">
        <f t="shared" si="120"/>
        <v>4.3030079999999998E-2</v>
      </c>
      <c r="K233" s="22"/>
      <c r="L233" s="22"/>
    </row>
    <row r="234" spans="1:12" s="133" customFormat="1" ht="15.75" customHeight="1">
      <c r="A234" s="162"/>
      <c r="B234" s="25" t="s">
        <v>73</v>
      </c>
      <c r="C234" s="29" t="s">
        <v>74</v>
      </c>
      <c r="D234" s="128" t="s">
        <v>271</v>
      </c>
      <c r="E234" s="22"/>
      <c r="F234" s="22"/>
      <c r="G234" s="22"/>
      <c r="H234" s="22">
        <v>3.53</v>
      </c>
      <c r="I234" s="22">
        <f>H234*0.0704</f>
        <v>0.24851200000000001</v>
      </c>
      <c r="J234" s="22">
        <f>H234+I234</f>
        <v>3.7785119999999996</v>
      </c>
      <c r="K234" s="22"/>
      <c r="L234" s="22"/>
    </row>
    <row r="235" spans="1:12" s="133" customFormat="1" ht="15.75" customHeight="1">
      <c r="A235" s="162"/>
      <c r="B235" s="22"/>
      <c r="C235" s="30"/>
      <c r="D235" s="22">
        <f>1.2*D225</f>
        <v>4.0199999999999996</v>
      </c>
      <c r="E235" s="22"/>
      <c r="F235" s="22"/>
      <c r="G235" s="22"/>
      <c r="H235" s="22">
        <f t="shared" ref="H235:J235" si="121">H234*$D235</f>
        <v>14.190599999999998</v>
      </c>
      <c r="I235" s="22">
        <f t="shared" si="121"/>
        <v>0.99901823999999995</v>
      </c>
      <c r="J235" s="22">
        <f t="shared" si="121"/>
        <v>15.189618239999996</v>
      </c>
      <c r="K235" s="22"/>
      <c r="L235" s="22"/>
    </row>
    <row r="236" spans="1:12" s="133" customFormat="1" ht="15.75" customHeight="1">
      <c r="A236" s="162"/>
      <c r="B236" s="25" t="s">
        <v>75</v>
      </c>
      <c r="C236" s="29" t="s">
        <v>76</v>
      </c>
      <c r="D236" s="22" t="s">
        <v>46</v>
      </c>
      <c r="E236" s="22"/>
      <c r="F236" s="22"/>
      <c r="G236" s="22"/>
      <c r="H236" s="22">
        <v>11.46</v>
      </c>
      <c r="I236" s="22">
        <f>H236*0.0704</f>
        <v>0.80678400000000006</v>
      </c>
      <c r="J236" s="22">
        <f>H236+I236</f>
        <v>12.266784000000001</v>
      </c>
      <c r="K236" s="22"/>
      <c r="L236" s="22"/>
    </row>
    <row r="237" spans="1:12" s="133" customFormat="1" ht="15.75" customHeight="1">
      <c r="A237" s="162"/>
      <c r="B237" s="22"/>
      <c r="C237" s="30"/>
      <c r="D237" s="22">
        <f>0.04*D225</f>
        <v>0.13400000000000001</v>
      </c>
      <c r="E237" s="22"/>
      <c r="F237" s="22"/>
      <c r="G237" s="22"/>
      <c r="H237" s="22">
        <f t="shared" ref="H237:J237" si="122">H236*$D237</f>
        <v>1.5356400000000001</v>
      </c>
      <c r="I237" s="22">
        <f t="shared" si="122"/>
        <v>0.10810905600000001</v>
      </c>
      <c r="J237" s="22">
        <f t="shared" si="122"/>
        <v>1.6437490560000003</v>
      </c>
      <c r="K237" s="22"/>
      <c r="L237" s="22"/>
    </row>
    <row r="238" spans="1:12" s="133" customFormat="1" ht="15.75" customHeight="1">
      <c r="A238" s="162"/>
      <c r="B238" s="25" t="s">
        <v>77</v>
      </c>
      <c r="C238" s="29" t="s">
        <v>78</v>
      </c>
      <c r="D238" s="22" t="s">
        <v>46</v>
      </c>
      <c r="E238" s="22"/>
      <c r="F238" s="22"/>
      <c r="G238" s="22"/>
      <c r="H238" s="22">
        <v>13.34</v>
      </c>
      <c r="I238" s="22">
        <f>H238*0.0704</f>
        <v>0.93913600000000008</v>
      </c>
      <c r="J238" s="22">
        <f>H238+I238</f>
        <v>14.279135999999999</v>
      </c>
      <c r="K238" s="22"/>
      <c r="L238" s="22"/>
    </row>
    <row r="239" spans="1:12" s="133" customFormat="1" ht="15.75" customHeight="1">
      <c r="A239" s="162"/>
      <c r="B239" s="22"/>
      <c r="C239" s="30"/>
      <c r="D239" s="22">
        <f>D237</f>
        <v>0.13400000000000001</v>
      </c>
      <c r="E239" s="22"/>
      <c r="F239" s="22"/>
      <c r="G239" s="22"/>
      <c r="H239" s="22">
        <f t="shared" ref="H239:J239" si="123">H238*$D239</f>
        <v>1.78756</v>
      </c>
      <c r="I239" s="22">
        <f t="shared" si="123"/>
        <v>0.12584422400000003</v>
      </c>
      <c r="J239" s="22">
        <f t="shared" si="123"/>
        <v>1.913404224</v>
      </c>
      <c r="K239" s="22"/>
      <c r="L239" s="22"/>
    </row>
    <row r="240" spans="1:12" s="133" customFormat="1" ht="15.75" customHeight="1">
      <c r="A240" s="162"/>
      <c r="B240" s="25" t="s">
        <v>44</v>
      </c>
      <c r="C240" s="29" t="s">
        <v>45</v>
      </c>
      <c r="D240" s="128" t="s">
        <v>64</v>
      </c>
      <c r="E240" s="22"/>
      <c r="F240" s="22"/>
      <c r="G240" s="22"/>
      <c r="H240" s="22">
        <v>1.26</v>
      </c>
      <c r="I240" s="22">
        <f>H240*0.0704</f>
        <v>8.8704000000000005E-2</v>
      </c>
      <c r="J240" s="22">
        <f>H240+I240</f>
        <v>1.3487040000000001</v>
      </c>
      <c r="K240" s="22"/>
      <c r="L240" s="22"/>
    </row>
    <row r="241" spans="1:12" s="133" customFormat="1" ht="15.75" customHeight="1">
      <c r="A241" s="162"/>
      <c r="B241" s="22"/>
      <c r="C241" s="22"/>
      <c r="D241" s="22">
        <f>0.01*D225</f>
        <v>3.3500000000000002E-2</v>
      </c>
      <c r="E241" s="22"/>
      <c r="F241" s="22"/>
      <c r="G241" s="22"/>
      <c r="H241" s="22">
        <f t="shared" ref="H241:J241" si="124">H240*$D241</f>
        <v>4.2210000000000004E-2</v>
      </c>
      <c r="I241" s="22">
        <f t="shared" si="124"/>
        <v>2.9715840000000002E-3</v>
      </c>
      <c r="J241" s="22">
        <f t="shared" si="124"/>
        <v>4.5181584000000004E-2</v>
      </c>
      <c r="K241" s="22"/>
      <c r="L241" s="22"/>
    </row>
    <row r="242" spans="1:12" s="133" customFormat="1">
      <c r="A242" s="162"/>
      <c r="B242" s="31" t="s">
        <v>79</v>
      </c>
      <c r="C242" s="32" t="s">
        <v>80</v>
      </c>
      <c r="D242" s="26" t="s">
        <v>46</v>
      </c>
      <c r="E242" s="26"/>
      <c r="F242" s="26"/>
      <c r="G242" s="26"/>
      <c r="H242" s="26">
        <f>(240813-333)*0.001226</f>
        <v>294.82848000000001</v>
      </c>
      <c r="I242" s="26">
        <f>H242*0.704</f>
        <v>207.55924991999998</v>
      </c>
      <c r="J242" s="26">
        <f>H242+I242</f>
        <v>502.38772991999997</v>
      </c>
      <c r="K242" s="26"/>
      <c r="L242" s="26"/>
    </row>
    <row r="243" spans="1:12" s="133" customFormat="1" ht="15.75" customHeight="1">
      <c r="A243" s="162"/>
      <c r="B243" s="26"/>
      <c r="C243" s="26"/>
      <c r="D243" s="26">
        <v>1</v>
      </c>
      <c r="E243" s="26"/>
      <c r="F243" s="26"/>
      <c r="G243" s="26"/>
      <c r="H243" s="26">
        <f t="shared" ref="H243:J243" si="125">H242*$D243</f>
        <v>294.82848000000001</v>
      </c>
      <c r="I243" s="26">
        <f t="shared" si="125"/>
        <v>207.55924991999998</v>
      </c>
      <c r="J243" s="26">
        <f t="shared" si="125"/>
        <v>502.38772991999997</v>
      </c>
      <c r="K243" s="26"/>
      <c r="L243" s="26"/>
    </row>
    <row r="244" spans="1:12" s="133" customFormat="1" ht="15.75" customHeight="1">
      <c r="A244" s="162"/>
      <c r="B244" s="24" t="s">
        <v>81</v>
      </c>
      <c r="C244" s="27" t="s">
        <v>82</v>
      </c>
      <c r="D244" s="26" t="s">
        <v>46</v>
      </c>
      <c r="E244" s="26"/>
      <c r="F244" s="26"/>
      <c r="G244" s="26"/>
      <c r="H244" s="26">
        <f>(120161-416)*0.001226</f>
        <v>146.80737000000002</v>
      </c>
      <c r="I244" s="26">
        <f>H244*0.704</f>
        <v>103.35238848</v>
      </c>
      <c r="J244" s="26">
        <f>H244+I244</f>
        <v>250.15975848000002</v>
      </c>
      <c r="K244" s="26"/>
      <c r="L244" s="26"/>
    </row>
    <row r="245" spans="1:12" s="133" customFormat="1" ht="15.75" customHeight="1">
      <c r="A245" s="162"/>
      <c r="B245" s="26"/>
      <c r="C245" s="26"/>
      <c r="D245" s="26">
        <v>1</v>
      </c>
      <c r="E245" s="26"/>
      <c r="F245" s="26"/>
      <c r="G245" s="26"/>
      <c r="H245" s="26">
        <f t="shared" ref="H245:J245" si="126">H244*$D245</f>
        <v>146.80737000000002</v>
      </c>
      <c r="I245" s="26">
        <f t="shared" si="126"/>
        <v>103.35238848</v>
      </c>
      <c r="J245" s="26">
        <f t="shared" si="126"/>
        <v>250.15975848000002</v>
      </c>
      <c r="K245" s="26"/>
      <c r="L245" s="26"/>
    </row>
    <row r="246" spans="1:12" s="133" customFormat="1">
      <c r="A246" s="162"/>
      <c r="B246" s="33" t="s">
        <v>83</v>
      </c>
      <c r="C246" s="34" t="s">
        <v>84</v>
      </c>
      <c r="D246" s="26" t="s">
        <v>46</v>
      </c>
      <c r="E246" s="26"/>
      <c r="F246" s="26"/>
      <c r="G246" s="26"/>
      <c r="H246" s="26">
        <f>(2153-12)*0.001226*1.89</f>
        <v>4.9609967400000006</v>
      </c>
      <c r="I246" s="26">
        <f>H246*0.704</f>
        <v>3.4925417049600003</v>
      </c>
      <c r="J246" s="26">
        <f>H246+I246</f>
        <v>8.4535384449600013</v>
      </c>
      <c r="K246" s="26"/>
      <c r="L246" s="26"/>
    </row>
    <row r="247" spans="1:12" s="133" customFormat="1" ht="15.75" customHeight="1">
      <c r="A247" s="162"/>
      <c r="B247" s="26"/>
      <c r="C247" s="26"/>
      <c r="D247" s="26">
        <v>1</v>
      </c>
      <c r="E247" s="26"/>
      <c r="F247" s="26"/>
      <c r="G247" s="26"/>
      <c r="H247" s="26">
        <f t="shared" ref="H247:J247" si="127">H246*$D247</f>
        <v>4.9609967400000006</v>
      </c>
      <c r="I247" s="26">
        <f t="shared" si="127"/>
        <v>3.4925417049600003</v>
      </c>
      <c r="J247" s="26">
        <f t="shared" si="127"/>
        <v>8.4535384449600013</v>
      </c>
      <c r="K247" s="26"/>
      <c r="L247" s="26"/>
    </row>
    <row r="248" spans="1:12" s="133" customFormat="1" ht="26.25">
      <c r="A248" s="162"/>
      <c r="B248" s="33" t="s">
        <v>85</v>
      </c>
      <c r="C248" s="35" t="s">
        <v>86</v>
      </c>
      <c r="D248" s="316" t="s">
        <v>63</v>
      </c>
      <c r="E248" s="26"/>
      <c r="F248" s="26"/>
      <c r="G248" s="26"/>
      <c r="H248" s="26">
        <f>(2450-5)*0.001226*1.89</f>
        <v>5.6654073</v>
      </c>
      <c r="I248" s="26">
        <f>H248*0.704</f>
        <v>3.9884467391999996</v>
      </c>
      <c r="J248" s="26">
        <f>H248+I248</f>
        <v>9.6538540391999987</v>
      </c>
      <c r="K248" s="26"/>
      <c r="L248" s="26"/>
    </row>
    <row r="249" spans="1:12" s="133" customFormat="1" ht="15.75" customHeight="1">
      <c r="A249" s="162"/>
      <c r="B249" s="26"/>
      <c r="C249" s="26"/>
      <c r="D249" s="26">
        <f>1.02*D225</f>
        <v>3.4170000000000003</v>
      </c>
      <c r="E249" s="26"/>
      <c r="F249" s="26"/>
      <c r="G249" s="26"/>
      <c r="H249" s="26">
        <f t="shared" ref="H249:J249" si="128">H248*$D249</f>
        <v>19.358696744100001</v>
      </c>
      <c r="I249" s="26">
        <f t="shared" si="128"/>
        <v>13.6285225078464</v>
      </c>
      <c r="J249" s="26">
        <f t="shared" si="128"/>
        <v>32.987219251946399</v>
      </c>
      <c r="K249" s="26"/>
      <c r="L249" s="26"/>
    </row>
    <row r="250" spans="1:12" s="133" customFormat="1" ht="26.25">
      <c r="A250" s="162"/>
      <c r="B250" s="24" t="s">
        <v>87</v>
      </c>
      <c r="C250" s="35" t="s">
        <v>88</v>
      </c>
      <c r="D250" s="316" t="s">
        <v>63</v>
      </c>
      <c r="E250" s="26"/>
      <c r="F250" s="26"/>
      <c r="G250" s="26"/>
      <c r="H250" s="26">
        <f>(6829-5)*0.001226*((89*100)/400)</f>
        <v>186.14848400000002</v>
      </c>
      <c r="I250" s="26">
        <f>H250*0.704</f>
        <v>131.048532736</v>
      </c>
      <c r="J250" s="26">
        <f>H250+I250</f>
        <v>317.19701673600002</v>
      </c>
      <c r="K250" s="26"/>
      <c r="L250" s="26"/>
    </row>
    <row r="251" spans="1:12" s="133" customFormat="1" ht="15.75" customHeight="1" thickBot="1">
      <c r="A251" s="139"/>
      <c r="B251" s="334"/>
      <c r="C251" s="334"/>
      <c r="D251" s="334">
        <v>0.28000000000000003</v>
      </c>
      <c r="E251" s="334"/>
      <c r="F251" s="334"/>
      <c r="G251" s="334"/>
      <c r="H251" s="334">
        <f t="shared" ref="H251:J251" si="129">H250*$D251</f>
        <v>52.121575520000015</v>
      </c>
      <c r="I251" s="334">
        <f t="shared" si="129"/>
        <v>36.693589166080002</v>
      </c>
      <c r="J251" s="334">
        <f t="shared" si="129"/>
        <v>88.81516468608001</v>
      </c>
      <c r="K251" s="334"/>
      <c r="L251" s="334"/>
    </row>
    <row r="252" spans="1:12" ht="57">
      <c r="A252" s="318">
        <v>2</v>
      </c>
      <c r="B252" s="331" t="s">
        <v>308</v>
      </c>
      <c r="C252" s="332" t="s">
        <v>309</v>
      </c>
      <c r="D252" s="319" t="s">
        <v>47</v>
      </c>
      <c r="E252" s="333">
        <v>1249.2</v>
      </c>
      <c r="F252" s="333">
        <v>2194.58</v>
      </c>
      <c r="G252" s="333">
        <v>464.98</v>
      </c>
      <c r="H252" s="333"/>
      <c r="I252" s="333"/>
      <c r="J252" s="333">
        <f>E252+F252</f>
        <v>3443.7799999999997</v>
      </c>
      <c r="K252" s="333">
        <v>180</v>
      </c>
      <c r="L252" s="333">
        <v>67</v>
      </c>
    </row>
    <row r="253" spans="1:12" ht="15.75" customHeight="1">
      <c r="A253" s="177"/>
      <c r="B253" s="130"/>
      <c r="C253" s="130"/>
      <c r="D253" s="129">
        <v>10.58</v>
      </c>
      <c r="E253" s="22">
        <f t="shared" ref="E253:G253" si="130">E252*$D253</f>
        <v>13216.536</v>
      </c>
      <c r="F253" s="22">
        <f t="shared" si="130"/>
        <v>23218.6564</v>
      </c>
      <c r="G253" s="22">
        <f t="shared" si="130"/>
        <v>4919.4884000000002</v>
      </c>
      <c r="H253" s="22"/>
      <c r="I253" s="22"/>
      <c r="J253" s="22">
        <f t="shared" ref="J253:L253" si="131">J252*$D253</f>
        <v>36435.1924</v>
      </c>
      <c r="K253" s="22">
        <f>K252*$D253</f>
        <v>1904.4</v>
      </c>
      <c r="L253" s="22">
        <f t="shared" si="131"/>
        <v>708.86</v>
      </c>
    </row>
    <row r="254" spans="1:12" ht="44.25" customHeight="1">
      <c r="A254" s="177"/>
      <c r="B254" s="322" t="s">
        <v>67</v>
      </c>
      <c r="C254" s="278" t="s">
        <v>68</v>
      </c>
      <c r="D254" s="129" t="s">
        <v>40</v>
      </c>
      <c r="E254" s="22"/>
      <c r="F254" s="22"/>
      <c r="G254" s="22"/>
      <c r="H254" s="22">
        <v>2940</v>
      </c>
      <c r="I254" s="22">
        <f>H254*0.0704</f>
        <v>206.976</v>
      </c>
      <c r="J254" s="22">
        <f>H254+I254</f>
        <v>3146.9760000000001</v>
      </c>
      <c r="K254" s="22"/>
      <c r="L254" s="22"/>
    </row>
    <row r="255" spans="1:12" ht="15.75" customHeight="1">
      <c r="A255" s="177"/>
      <c r="B255" s="261"/>
      <c r="C255" s="257"/>
      <c r="D255" s="129">
        <f>0.00078*D253</f>
        <v>8.2524E-3</v>
      </c>
      <c r="E255" s="22"/>
      <c r="F255" s="22"/>
      <c r="G255" s="22"/>
      <c r="H255" s="22">
        <f t="shared" ref="H255:J255" si="132">H254*$D255</f>
        <v>24.262056000000001</v>
      </c>
      <c r="I255" s="22">
        <f t="shared" si="132"/>
        <v>1.7080487423999999</v>
      </c>
      <c r="J255" s="22">
        <f t="shared" si="132"/>
        <v>25.9701047424</v>
      </c>
      <c r="K255" s="22"/>
      <c r="L255" s="22"/>
    </row>
    <row r="256" spans="1:12" ht="26.45" customHeight="1">
      <c r="A256" s="177"/>
      <c r="B256" s="322" t="s">
        <v>41</v>
      </c>
      <c r="C256" s="278" t="s">
        <v>42</v>
      </c>
      <c r="D256" s="129" t="s">
        <v>24</v>
      </c>
      <c r="E256" s="22"/>
      <c r="F256" s="22"/>
      <c r="G256" s="22"/>
      <c r="H256" s="22">
        <v>2.81</v>
      </c>
      <c r="I256" s="22">
        <f>H256*0.0704</f>
        <v>0.19782400000000003</v>
      </c>
      <c r="J256" s="22">
        <f>H256+I256</f>
        <v>3.0078240000000003</v>
      </c>
      <c r="K256" s="22"/>
      <c r="L256" s="22"/>
    </row>
    <row r="257" spans="1:12" ht="15.75" customHeight="1">
      <c r="A257" s="177"/>
      <c r="B257" s="261"/>
      <c r="C257" s="257"/>
      <c r="D257" s="129">
        <f>0.04*D253</f>
        <v>0.42320000000000002</v>
      </c>
      <c r="E257" s="22"/>
      <c r="F257" s="22"/>
      <c r="G257" s="22"/>
      <c r="H257" s="22">
        <f t="shared" ref="H257:J257" si="133">H256*$D257</f>
        <v>1.189192</v>
      </c>
      <c r="I257" s="22">
        <f t="shared" si="133"/>
        <v>8.3719116800000021E-2</v>
      </c>
      <c r="J257" s="22">
        <f t="shared" si="133"/>
        <v>1.2729111168000002</v>
      </c>
      <c r="K257" s="22"/>
      <c r="L257" s="22"/>
    </row>
    <row r="258" spans="1:12" ht="15.75" customHeight="1">
      <c r="A258" s="177"/>
      <c r="B258" s="322" t="s">
        <v>69</v>
      </c>
      <c r="C258" s="278" t="s">
        <v>70</v>
      </c>
      <c r="D258" s="129" t="s">
        <v>46</v>
      </c>
      <c r="E258" s="22"/>
      <c r="F258" s="22"/>
      <c r="G258" s="22"/>
      <c r="H258" s="22">
        <v>0.56000000000000005</v>
      </c>
      <c r="I258" s="22">
        <f>H258*0.0704</f>
        <v>3.9424000000000008E-2</v>
      </c>
      <c r="J258" s="22">
        <f>H258+I258</f>
        <v>0.59942400000000007</v>
      </c>
      <c r="K258" s="22"/>
      <c r="L258" s="22"/>
    </row>
    <row r="259" spans="1:12" ht="15.75" customHeight="1">
      <c r="A259" s="177"/>
      <c r="B259" s="261"/>
      <c r="C259" s="257"/>
      <c r="D259" s="129">
        <f>5*D253</f>
        <v>52.9</v>
      </c>
      <c r="E259" s="22"/>
      <c r="F259" s="22"/>
      <c r="G259" s="22"/>
      <c r="H259" s="22">
        <f t="shared" ref="H259:J259" si="134">H258*$D259</f>
        <v>29.624000000000002</v>
      </c>
      <c r="I259" s="22">
        <f t="shared" si="134"/>
        <v>2.0855296000000005</v>
      </c>
      <c r="J259" s="22">
        <f t="shared" si="134"/>
        <v>31.709529600000003</v>
      </c>
      <c r="K259" s="22"/>
      <c r="L259" s="22"/>
    </row>
    <row r="260" spans="1:12" ht="15.75" customHeight="1">
      <c r="A260" s="177"/>
      <c r="B260" s="322" t="s">
        <v>71</v>
      </c>
      <c r="C260" s="278" t="s">
        <v>72</v>
      </c>
      <c r="D260" s="129" t="s">
        <v>39</v>
      </c>
      <c r="E260" s="22"/>
      <c r="F260" s="22"/>
      <c r="G260" s="22"/>
      <c r="H260" s="22">
        <v>1.2</v>
      </c>
      <c r="I260" s="22">
        <f>H260*0.0704</f>
        <v>8.448E-2</v>
      </c>
      <c r="J260" s="22">
        <f>H260+I260</f>
        <v>1.2844799999999998</v>
      </c>
      <c r="K260" s="22"/>
      <c r="L260" s="22"/>
    </row>
    <row r="261" spans="1:12" ht="15.75" customHeight="1">
      <c r="A261" s="177"/>
      <c r="B261" s="261"/>
      <c r="C261" s="257"/>
      <c r="D261" s="129">
        <f>0.02*D253</f>
        <v>0.21160000000000001</v>
      </c>
      <c r="E261" s="22"/>
      <c r="F261" s="22"/>
      <c r="G261" s="22"/>
      <c r="H261" s="22">
        <f t="shared" ref="H261:J261" si="135">H260*$D261</f>
        <v>0.25391999999999998</v>
      </c>
      <c r="I261" s="22">
        <f t="shared" si="135"/>
        <v>1.7875968000000002E-2</v>
      </c>
      <c r="J261" s="22">
        <f t="shared" si="135"/>
        <v>0.271795968</v>
      </c>
      <c r="K261" s="22"/>
      <c r="L261" s="22"/>
    </row>
    <row r="262" spans="1:12" ht="15.75" customHeight="1">
      <c r="A262" s="177"/>
      <c r="B262" s="322" t="s">
        <v>73</v>
      </c>
      <c r="C262" s="278" t="s">
        <v>74</v>
      </c>
      <c r="D262" s="129" t="s">
        <v>43</v>
      </c>
      <c r="E262" s="22"/>
      <c r="F262" s="22"/>
      <c r="G262" s="22"/>
      <c r="H262" s="22">
        <v>3.53</v>
      </c>
      <c r="I262" s="22">
        <f>H262*0.0704</f>
        <v>0.24851200000000001</v>
      </c>
      <c r="J262" s="22">
        <f>H262+I262</f>
        <v>3.7785119999999996</v>
      </c>
      <c r="K262" s="22"/>
      <c r="L262" s="22"/>
    </row>
    <row r="263" spans="1:12" ht="15.75" customHeight="1">
      <c r="A263" s="177"/>
      <c r="B263" s="261"/>
      <c r="C263" s="257"/>
      <c r="D263" s="129">
        <f>1.2*D253</f>
        <v>12.696</v>
      </c>
      <c r="E263" s="22"/>
      <c r="F263" s="22"/>
      <c r="G263" s="22"/>
      <c r="H263" s="22">
        <f t="shared" ref="H263:J263" si="136">H262*$D263</f>
        <v>44.816879999999998</v>
      </c>
      <c r="I263" s="22">
        <f t="shared" si="136"/>
        <v>3.1551083520000001</v>
      </c>
      <c r="J263" s="22">
        <f t="shared" si="136"/>
        <v>47.971988351999997</v>
      </c>
      <c r="K263" s="22"/>
      <c r="L263" s="22"/>
    </row>
    <row r="264" spans="1:12" ht="15.75" customHeight="1">
      <c r="A264" s="177"/>
      <c r="B264" s="322" t="s">
        <v>75</v>
      </c>
      <c r="C264" s="278" t="s">
        <v>76</v>
      </c>
      <c r="D264" s="129" t="s">
        <v>46</v>
      </c>
      <c r="E264" s="22"/>
      <c r="F264" s="22"/>
      <c r="G264" s="22"/>
      <c r="H264" s="22">
        <v>11.46</v>
      </c>
      <c r="I264" s="22">
        <f>H264*0.0704</f>
        <v>0.80678400000000006</v>
      </c>
      <c r="J264" s="22">
        <f>H264+I264</f>
        <v>12.266784000000001</v>
      </c>
      <c r="K264" s="22"/>
      <c r="L264" s="22"/>
    </row>
    <row r="265" spans="1:12" ht="15.75" customHeight="1">
      <c r="A265" s="177"/>
      <c r="B265" s="261"/>
      <c r="C265" s="257"/>
      <c r="D265" s="129">
        <f>0.04*D253</f>
        <v>0.42320000000000002</v>
      </c>
      <c r="E265" s="22"/>
      <c r="F265" s="22"/>
      <c r="G265" s="22"/>
      <c r="H265" s="22">
        <f t="shared" ref="H265:J265" si="137">H264*$D265</f>
        <v>4.8498720000000004</v>
      </c>
      <c r="I265" s="22">
        <f t="shared" si="137"/>
        <v>0.34143098880000006</v>
      </c>
      <c r="J265" s="22">
        <f t="shared" si="137"/>
        <v>5.1913029888000004</v>
      </c>
      <c r="K265" s="22"/>
      <c r="L265" s="22"/>
    </row>
    <row r="266" spans="1:12" ht="15.75" customHeight="1">
      <c r="A266" s="177"/>
      <c r="B266" s="322" t="s">
        <v>77</v>
      </c>
      <c r="C266" s="278" t="s">
        <v>78</v>
      </c>
      <c r="D266" s="129" t="s">
        <v>46</v>
      </c>
      <c r="E266" s="22"/>
      <c r="F266" s="22"/>
      <c r="G266" s="22"/>
      <c r="H266" s="22">
        <v>13.34</v>
      </c>
      <c r="I266" s="22">
        <f>H266*0.0704</f>
        <v>0.93913600000000008</v>
      </c>
      <c r="J266" s="22">
        <f>H266+I266</f>
        <v>14.279135999999999</v>
      </c>
      <c r="K266" s="22"/>
      <c r="L266" s="22"/>
    </row>
    <row r="267" spans="1:12" ht="15.75" customHeight="1">
      <c r="A267" s="177"/>
      <c r="B267" s="261"/>
      <c r="C267" s="257"/>
      <c r="D267" s="129">
        <f>D265</f>
        <v>0.42320000000000002</v>
      </c>
      <c r="E267" s="22"/>
      <c r="F267" s="22"/>
      <c r="G267" s="22"/>
      <c r="H267" s="22">
        <f t="shared" ref="H267:J267" si="138">H266*$D267</f>
        <v>5.6454880000000003</v>
      </c>
      <c r="I267" s="22">
        <f t="shared" si="138"/>
        <v>0.39744235520000004</v>
      </c>
      <c r="J267" s="22">
        <f t="shared" si="138"/>
        <v>6.0429303552000002</v>
      </c>
      <c r="K267" s="22"/>
      <c r="L267" s="22"/>
    </row>
    <row r="268" spans="1:12" ht="15.75" customHeight="1">
      <c r="A268" s="177"/>
      <c r="B268" s="322" t="s">
        <v>44</v>
      </c>
      <c r="C268" s="278" t="s">
        <v>45</v>
      </c>
      <c r="D268" s="129" t="s">
        <v>24</v>
      </c>
      <c r="E268" s="22"/>
      <c r="F268" s="22"/>
      <c r="G268" s="22"/>
      <c r="H268" s="22">
        <v>1.26</v>
      </c>
      <c r="I268" s="22">
        <f>H268*0.0704</f>
        <v>8.8704000000000005E-2</v>
      </c>
      <c r="J268" s="22">
        <f>H268+I268</f>
        <v>1.3487040000000001</v>
      </c>
      <c r="K268" s="22"/>
      <c r="L268" s="22"/>
    </row>
    <row r="269" spans="1:12" ht="15.75" customHeight="1">
      <c r="A269" s="177"/>
      <c r="B269" s="261"/>
      <c r="C269" s="261"/>
      <c r="D269" s="129">
        <f>0.01*D253</f>
        <v>0.10580000000000001</v>
      </c>
      <c r="E269" s="22"/>
      <c r="F269" s="22"/>
      <c r="G269" s="22"/>
      <c r="H269" s="22">
        <f t="shared" ref="H269:J269" si="139">H268*$D269</f>
        <v>0.13330800000000001</v>
      </c>
      <c r="I269" s="22">
        <f t="shared" si="139"/>
        <v>9.384883200000001E-3</v>
      </c>
      <c r="J269" s="22">
        <f t="shared" si="139"/>
        <v>0.14269288320000001</v>
      </c>
      <c r="K269" s="22"/>
      <c r="L269" s="22"/>
    </row>
    <row r="270" spans="1:12" ht="15.75" customHeight="1">
      <c r="A270" s="177"/>
      <c r="B270" s="323" t="s">
        <v>79</v>
      </c>
      <c r="C270" s="323" t="s">
        <v>80</v>
      </c>
      <c r="D270" s="320" t="s">
        <v>46</v>
      </c>
      <c r="E270" s="26"/>
      <c r="F270" s="26"/>
      <c r="G270" s="26"/>
      <c r="H270" s="26">
        <f>(240813-333)*0.001226</f>
        <v>294.82848000000001</v>
      </c>
      <c r="I270" s="26">
        <f>H270*0.704</f>
        <v>207.55924991999998</v>
      </c>
      <c r="J270" s="26">
        <f>H270+I270</f>
        <v>502.38772991999997</v>
      </c>
      <c r="K270" s="26"/>
      <c r="L270" s="26"/>
    </row>
    <row r="271" spans="1:12" ht="15.75" customHeight="1">
      <c r="A271" s="177"/>
      <c r="B271" s="323"/>
      <c r="C271" s="323"/>
      <c r="D271" s="320">
        <v>1</v>
      </c>
      <c r="E271" s="26"/>
      <c r="F271" s="26"/>
      <c r="G271" s="26"/>
      <c r="H271" s="26">
        <f t="shared" ref="H271:J271" si="140">H270*$D271</f>
        <v>294.82848000000001</v>
      </c>
      <c r="I271" s="26">
        <f t="shared" si="140"/>
        <v>207.55924991999998</v>
      </c>
      <c r="J271" s="26">
        <f t="shared" si="140"/>
        <v>502.38772991999997</v>
      </c>
      <c r="K271" s="26"/>
      <c r="L271" s="26"/>
    </row>
    <row r="272" spans="1:12" ht="45">
      <c r="A272" s="177"/>
      <c r="B272" s="261" t="s">
        <v>81</v>
      </c>
      <c r="C272" s="324" t="s">
        <v>82</v>
      </c>
      <c r="D272" s="320" t="s">
        <v>46</v>
      </c>
      <c r="E272" s="26"/>
      <c r="F272" s="26"/>
      <c r="G272" s="26"/>
      <c r="H272" s="26">
        <f>(120161-416)*0.001226</f>
        <v>146.80737000000002</v>
      </c>
      <c r="I272" s="26">
        <f>H272*0.704</f>
        <v>103.35238848</v>
      </c>
      <c r="J272" s="26">
        <f>H272+I272</f>
        <v>250.15975848000002</v>
      </c>
      <c r="K272" s="26"/>
      <c r="L272" s="26"/>
    </row>
    <row r="273" spans="1:12" ht="15.75" customHeight="1">
      <c r="A273" s="177"/>
      <c r="B273" s="323"/>
      <c r="C273" s="323"/>
      <c r="D273" s="320">
        <v>1</v>
      </c>
      <c r="E273" s="26"/>
      <c r="F273" s="26"/>
      <c r="G273" s="26"/>
      <c r="H273" s="26">
        <f t="shared" ref="H273:J273" si="141">H272*$D273</f>
        <v>146.80737000000002</v>
      </c>
      <c r="I273" s="26">
        <f t="shared" si="141"/>
        <v>103.35238848</v>
      </c>
      <c r="J273" s="26">
        <f t="shared" si="141"/>
        <v>250.15975848000002</v>
      </c>
      <c r="K273" s="26"/>
      <c r="L273" s="26"/>
    </row>
    <row r="274" spans="1:12" ht="15.75" customHeight="1">
      <c r="A274" s="177"/>
      <c r="B274" s="323" t="s">
        <v>83</v>
      </c>
      <c r="C274" s="323" t="s">
        <v>84</v>
      </c>
      <c r="D274" s="320" t="s">
        <v>46</v>
      </c>
      <c r="E274" s="26"/>
      <c r="F274" s="26"/>
      <c r="G274" s="26"/>
      <c r="H274" s="26">
        <f>(2153-12)*0.001226*1.89</f>
        <v>4.9609967400000006</v>
      </c>
      <c r="I274" s="26">
        <f>H274*0.704</f>
        <v>3.4925417049600003</v>
      </c>
      <c r="J274" s="26">
        <f>H274+I274</f>
        <v>8.4535384449600013</v>
      </c>
      <c r="K274" s="26"/>
      <c r="L274" s="26"/>
    </row>
    <row r="275" spans="1:12" ht="15.75" customHeight="1">
      <c r="A275" s="177"/>
      <c r="B275" s="323"/>
      <c r="C275" s="323"/>
      <c r="D275" s="320">
        <v>1</v>
      </c>
      <c r="E275" s="26"/>
      <c r="F275" s="26"/>
      <c r="G275" s="26"/>
      <c r="H275" s="26">
        <f t="shared" ref="H275:J275" si="142">H274*$D275</f>
        <v>4.9609967400000006</v>
      </c>
      <c r="I275" s="26">
        <f t="shared" si="142"/>
        <v>3.4925417049600003</v>
      </c>
      <c r="J275" s="26">
        <f t="shared" si="142"/>
        <v>8.4535384449600013</v>
      </c>
      <c r="K275" s="26"/>
      <c r="L275" s="26"/>
    </row>
    <row r="276" spans="1:12" ht="15.75" customHeight="1">
      <c r="A276" s="177"/>
      <c r="B276" s="323" t="s">
        <v>85</v>
      </c>
      <c r="C276" s="324" t="s">
        <v>86</v>
      </c>
      <c r="D276" s="320" t="s">
        <v>39</v>
      </c>
      <c r="E276" s="26"/>
      <c r="F276" s="26"/>
      <c r="G276" s="26"/>
      <c r="H276" s="26">
        <f>(2450-5)*0.001226*1.89</f>
        <v>5.6654073</v>
      </c>
      <c r="I276" s="26">
        <f>H276*0.704</f>
        <v>3.9884467391999996</v>
      </c>
      <c r="J276" s="26">
        <f>H276+I276</f>
        <v>9.6538540391999987</v>
      </c>
      <c r="K276" s="26"/>
      <c r="L276" s="26"/>
    </row>
    <row r="277" spans="1:12" ht="15.75" customHeight="1">
      <c r="A277" s="162"/>
      <c r="B277" s="321"/>
      <c r="C277" s="321"/>
      <c r="D277" s="26">
        <f>1.02*D253</f>
        <v>10.791600000000001</v>
      </c>
      <c r="E277" s="26"/>
      <c r="F277" s="26"/>
      <c r="G277" s="26"/>
      <c r="H277" s="26">
        <f t="shared" ref="H277:J277" si="143">H276*$D277</f>
        <v>61.138809418680005</v>
      </c>
      <c r="I277" s="26">
        <f t="shared" si="143"/>
        <v>43.041721830750717</v>
      </c>
      <c r="J277" s="26">
        <f t="shared" si="143"/>
        <v>104.18053124943071</v>
      </c>
      <c r="K277" s="26"/>
      <c r="L277" s="26"/>
    </row>
    <row r="278" spans="1:12" ht="15.75" customHeight="1">
      <c r="A278" s="162"/>
      <c r="B278" s="317" t="s">
        <v>87</v>
      </c>
      <c r="C278" s="267" t="s">
        <v>88</v>
      </c>
      <c r="D278" s="26" t="s">
        <v>39</v>
      </c>
      <c r="E278" s="26"/>
      <c r="F278" s="26"/>
      <c r="G278" s="26"/>
      <c r="H278" s="26">
        <f>(6829-5)*0.001226*((89*100)/400)</f>
        <v>186.14848400000002</v>
      </c>
      <c r="I278" s="26">
        <f>H278*0.704</f>
        <v>131.048532736</v>
      </c>
      <c r="J278" s="26">
        <f>H278+I278</f>
        <v>317.19701673600002</v>
      </c>
      <c r="K278" s="26"/>
      <c r="L278" s="26"/>
    </row>
    <row r="279" spans="1:12" ht="15.75" customHeight="1">
      <c r="A279" s="139"/>
      <c r="B279" s="26"/>
      <c r="C279" s="26"/>
      <c r="D279" s="26">
        <v>0.38</v>
      </c>
      <c r="E279" s="26"/>
      <c r="F279" s="26"/>
      <c r="G279" s="26"/>
      <c r="H279" s="26">
        <f t="shared" ref="H279:J279" si="144">H278*$D279</f>
        <v>70.736423920000007</v>
      </c>
      <c r="I279" s="26">
        <f t="shared" si="144"/>
        <v>49.798442439680002</v>
      </c>
      <c r="J279" s="26">
        <f t="shared" si="144"/>
        <v>120.53486635968001</v>
      </c>
      <c r="K279" s="26"/>
      <c r="L279" s="26"/>
    </row>
    <row r="280" spans="1:12" ht="15.75" customHeight="1">
      <c r="A280" s="163" t="s">
        <v>33</v>
      </c>
      <c r="B280" s="164"/>
      <c r="C280" s="165"/>
      <c r="D280" s="13"/>
      <c r="E280" s="112">
        <f>E225+E253</f>
        <v>16355.151</v>
      </c>
      <c r="F280" s="112">
        <f t="shared" ref="F280:G280" si="145">F225+F253</f>
        <v>24984.508399999999</v>
      </c>
      <c r="G280" s="112">
        <f t="shared" si="145"/>
        <v>5291.4724000000006</v>
      </c>
      <c r="H280" s="112">
        <f>H255+H257+H259+H261+H263+H265+H267+H269+H271+H273+H275+H277+H279+H251+H249+H247+H245+H243+H241+H239+H237+H235+H233+H231+H229+H227</f>
        <v>1238.8263100827801</v>
      </c>
      <c r="I280" s="112">
        <f t="shared" ref="I280:J280" si="146">I255+I257+I259+I261+I263+I265+I267+I269+I271+I273+I275+I277+I279+I251+I249+I247+I245+I243+I241+I239+I237+I235+I233+I231+I229+I227</f>
        <v>781.98694476867706</v>
      </c>
      <c r="J280" s="112">
        <f t="shared" si="146"/>
        <v>2020.8132548514575</v>
      </c>
      <c r="K280" s="112">
        <f>K225+K253</f>
        <v>2356.65</v>
      </c>
      <c r="L280" s="112">
        <f>L225+L253</f>
        <v>762.46</v>
      </c>
    </row>
    <row r="281" spans="1:12" ht="15.75" customHeight="1">
      <c r="A281" s="166" t="s">
        <v>34</v>
      </c>
      <c r="B281" s="167"/>
      <c r="C281" s="168"/>
      <c r="D281" s="16"/>
      <c r="E281" s="113"/>
      <c r="F281" s="113"/>
      <c r="G281" s="113"/>
      <c r="H281" s="113"/>
      <c r="I281" s="113"/>
      <c r="J281" s="113">
        <f>(E280+G280)*0.5748</f>
        <v>12442.47913032</v>
      </c>
      <c r="K281" s="113"/>
      <c r="L281" s="114"/>
    </row>
    <row r="282" spans="1:12" ht="15.75" customHeight="1">
      <c r="A282" s="166" t="s">
        <v>35</v>
      </c>
      <c r="B282" s="167"/>
      <c r="C282" s="168"/>
      <c r="D282" s="16"/>
      <c r="E282" s="113"/>
      <c r="F282" s="113"/>
      <c r="G282" s="113"/>
      <c r="H282" s="113"/>
      <c r="I282" s="113"/>
      <c r="J282" s="113">
        <f>(E280+G280)*0.6354</f>
        <v>13754.26450836</v>
      </c>
      <c r="K282" s="113"/>
      <c r="L282" s="114"/>
    </row>
    <row r="283" spans="1:12" ht="15.75" customHeight="1">
      <c r="A283" s="166" t="s">
        <v>36</v>
      </c>
      <c r="B283" s="167"/>
      <c r="C283" s="168"/>
      <c r="D283" s="16"/>
      <c r="E283" s="113"/>
      <c r="F283" s="113"/>
      <c r="G283" s="113"/>
      <c r="H283" s="113"/>
      <c r="I283" s="113"/>
      <c r="J283" s="113">
        <f>J280+J281+J282</f>
        <v>28217.556893531459</v>
      </c>
      <c r="K283" s="113"/>
      <c r="L283" s="114"/>
    </row>
    <row r="284" spans="1:12" ht="15.75" customHeight="1">
      <c r="A284" s="166" t="s">
        <v>5</v>
      </c>
      <c r="B284" s="167"/>
      <c r="C284" s="168"/>
      <c r="D284" s="16"/>
      <c r="E284" s="113"/>
      <c r="F284" s="113"/>
      <c r="G284" s="113"/>
      <c r="H284" s="113"/>
      <c r="I284" s="113"/>
      <c r="J284" s="113">
        <f>K280</f>
        <v>2356.65</v>
      </c>
      <c r="K284" s="113"/>
      <c r="L284" s="114"/>
    </row>
    <row r="285" spans="1:12" ht="15.75" customHeight="1">
      <c r="A285" s="140" t="s">
        <v>37</v>
      </c>
      <c r="B285" s="141"/>
      <c r="C285" s="142"/>
      <c r="D285" s="19"/>
      <c r="E285" s="115"/>
      <c r="F285" s="115"/>
      <c r="G285" s="115"/>
      <c r="H285" s="115"/>
      <c r="I285" s="115"/>
      <c r="J285" s="115">
        <f>L280</f>
        <v>762.46</v>
      </c>
      <c r="K285" s="115"/>
      <c r="L285" s="116"/>
    </row>
    <row r="286" spans="1:12" ht="15.75" customHeight="1" thickBot="1">
      <c r="A286" s="143" t="s">
        <v>89</v>
      </c>
      <c r="B286" s="144"/>
      <c r="C286" s="144"/>
      <c r="D286" s="144"/>
      <c r="E286" s="144"/>
      <c r="F286" s="144"/>
      <c r="G286" s="144"/>
      <c r="H286" s="144"/>
      <c r="I286" s="144"/>
      <c r="J286" s="144"/>
      <c r="K286" s="144"/>
      <c r="L286" s="145"/>
    </row>
    <row r="287" spans="1:12" ht="29.25" thickBot="1">
      <c r="A287" s="161">
        <v>1</v>
      </c>
      <c r="B287" s="23" t="s">
        <v>90</v>
      </c>
      <c r="C287" s="325" t="s">
        <v>91</v>
      </c>
      <c r="D287" s="2" t="s">
        <v>24</v>
      </c>
      <c r="E287" s="23">
        <v>20.350000000000001</v>
      </c>
      <c r="F287" s="23">
        <v>4.71</v>
      </c>
      <c r="G287" s="23">
        <v>1.53</v>
      </c>
      <c r="H287" s="23"/>
      <c r="I287" s="23"/>
      <c r="J287" s="23">
        <f>E287+F287</f>
        <v>25.060000000000002</v>
      </c>
      <c r="K287" s="23">
        <v>3.41</v>
      </c>
      <c r="L287" s="23">
        <v>0.22</v>
      </c>
    </row>
    <row r="288" spans="1:12" ht="15.75" customHeight="1">
      <c r="A288" s="162"/>
      <c r="B288" s="22"/>
      <c r="C288" s="22"/>
      <c r="D288" s="123">
        <v>606.49</v>
      </c>
      <c r="E288" s="22">
        <f t="shared" ref="E288:G288" si="147">E287*$D288</f>
        <v>12342.071500000002</v>
      </c>
      <c r="F288" s="122">
        <f t="shared" si="147"/>
        <v>2856.5679</v>
      </c>
      <c r="G288" s="123">
        <f t="shared" si="147"/>
        <v>927.92970000000003</v>
      </c>
      <c r="H288" s="22"/>
      <c r="I288" s="22"/>
      <c r="J288" s="123">
        <f t="shared" ref="J288:L288" si="148">J287*$D288</f>
        <v>15198.639400000002</v>
      </c>
      <c r="K288" s="123">
        <f t="shared" si="148"/>
        <v>2068.1309000000001</v>
      </c>
      <c r="L288" s="123">
        <f t="shared" si="148"/>
        <v>133.42779999999999</v>
      </c>
    </row>
    <row r="289" spans="1:12" ht="15.75" customHeight="1">
      <c r="A289" s="162"/>
      <c r="B289" s="36" t="s">
        <v>92</v>
      </c>
      <c r="C289" s="37" t="s">
        <v>93</v>
      </c>
      <c r="D289" s="22" t="s">
        <v>24</v>
      </c>
      <c r="E289" s="22"/>
      <c r="F289" s="22"/>
      <c r="G289" s="22"/>
      <c r="H289" s="123">
        <v>8.94</v>
      </c>
      <c r="I289" s="123">
        <f>H289*0.0704</f>
        <v>0.62937600000000005</v>
      </c>
      <c r="J289" s="123">
        <f>H289+I289</f>
        <v>9.5693760000000001</v>
      </c>
      <c r="K289" s="22"/>
      <c r="L289" s="22"/>
    </row>
    <row r="290" spans="1:12" ht="15.75" customHeight="1">
      <c r="A290" s="162"/>
      <c r="B290" s="22"/>
      <c r="C290" s="22"/>
      <c r="D290" s="122">
        <f>1.12*D288</f>
        <v>679.26880000000006</v>
      </c>
      <c r="E290" s="22"/>
      <c r="F290" s="22"/>
      <c r="G290" s="22"/>
      <c r="H290" s="123">
        <f t="shared" ref="H290:J290" si="149">H289*$D290</f>
        <v>6072.6630720000003</v>
      </c>
      <c r="I290" s="123">
        <f t="shared" si="149"/>
        <v>427.51548026880005</v>
      </c>
      <c r="J290" s="123">
        <f t="shared" si="149"/>
        <v>6500.1785522688006</v>
      </c>
      <c r="K290" s="22"/>
      <c r="L290" s="22"/>
    </row>
    <row r="291" spans="1:12" ht="15.75" customHeight="1">
      <c r="A291" s="162"/>
      <c r="B291" s="36" t="s">
        <v>44</v>
      </c>
      <c r="C291" s="37" t="s">
        <v>45</v>
      </c>
      <c r="D291" s="22" t="s">
        <v>24</v>
      </c>
      <c r="E291" s="22"/>
      <c r="F291" s="22"/>
      <c r="G291" s="22"/>
      <c r="H291" s="123">
        <v>1.26</v>
      </c>
      <c r="I291" s="123">
        <f>H291*0.0704</f>
        <v>8.8704000000000005E-2</v>
      </c>
      <c r="J291" s="123">
        <f>H291+I291</f>
        <v>1.3487040000000001</v>
      </c>
      <c r="K291" s="22"/>
      <c r="L291" s="22"/>
    </row>
    <row r="292" spans="1:12" ht="15.75" customHeight="1">
      <c r="A292" s="139"/>
      <c r="B292" s="22"/>
      <c r="C292" s="22"/>
      <c r="D292" s="22">
        <f>0.11*D288</f>
        <v>66.713899999999995</v>
      </c>
      <c r="E292" s="22"/>
      <c r="F292" s="22"/>
      <c r="G292" s="22"/>
      <c r="H292" s="123">
        <f t="shared" ref="H292:J292" si="150">H291*$D292</f>
        <v>84.059513999999993</v>
      </c>
      <c r="I292" s="123">
        <f t="shared" si="150"/>
        <v>5.9177897856000001</v>
      </c>
      <c r="J292" s="123">
        <f t="shared" si="150"/>
        <v>89.9773037856</v>
      </c>
      <c r="K292" s="22"/>
      <c r="L292" s="22"/>
    </row>
    <row r="293" spans="1:12" ht="15.75" customHeight="1">
      <c r="A293" s="163" t="s">
        <v>33</v>
      </c>
      <c r="B293" s="164"/>
      <c r="C293" s="165"/>
      <c r="D293" s="13"/>
      <c r="E293" s="112">
        <f t="shared" ref="E293:G293" si="151">E288</f>
        <v>12342.071500000002</v>
      </c>
      <c r="F293" s="112">
        <f t="shared" si="151"/>
        <v>2856.5679</v>
      </c>
      <c r="G293" s="112">
        <f t="shared" si="151"/>
        <v>927.92970000000003</v>
      </c>
      <c r="H293" s="112">
        <f t="shared" ref="H293:I293" si="152">H290+H292</f>
        <v>6156.7225859999999</v>
      </c>
      <c r="I293" s="112">
        <f t="shared" si="152"/>
        <v>433.43327005440005</v>
      </c>
      <c r="J293" s="112">
        <f>J288+J290+J292</f>
        <v>21788.7952560544</v>
      </c>
      <c r="K293" s="112">
        <f>K288</f>
        <v>2068.1309000000001</v>
      </c>
      <c r="L293" s="112">
        <f>L288</f>
        <v>133.42779999999999</v>
      </c>
    </row>
    <row r="294" spans="1:12" ht="15.75" customHeight="1">
      <c r="A294" s="166" t="s">
        <v>34</v>
      </c>
      <c r="B294" s="167"/>
      <c r="C294" s="168"/>
      <c r="D294" s="16"/>
      <c r="E294" s="17"/>
      <c r="F294" s="17"/>
      <c r="G294" s="17"/>
      <c r="H294" s="17"/>
      <c r="I294" s="17"/>
      <c r="J294" s="113">
        <f>(E293+G293)*0.5748</f>
        <v>7627.596689760001</v>
      </c>
      <c r="K294" s="17"/>
      <c r="L294" s="18"/>
    </row>
    <row r="295" spans="1:12" ht="15.75" customHeight="1">
      <c r="A295" s="166" t="s">
        <v>35</v>
      </c>
      <c r="B295" s="167"/>
      <c r="C295" s="168"/>
      <c r="D295" s="16"/>
      <c r="E295" s="17"/>
      <c r="F295" s="17"/>
      <c r="G295" s="17"/>
      <c r="H295" s="17"/>
      <c r="I295" s="17"/>
      <c r="J295" s="113">
        <f>(E293+G293)*0.6354</f>
        <v>8431.7587624800017</v>
      </c>
      <c r="K295" s="17"/>
      <c r="L295" s="18"/>
    </row>
    <row r="296" spans="1:12" ht="15.75" customHeight="1">
      <c r="A296" s="166" t="s">
        <v>36</v>
      </c>
      <c r="B296" s="167"/>
      <c r="C296" s="168"/>
      <c r="D296" s="16"/>
      <c r="E296" s="17"/>
      <c r="F296" s="17"/>
      <c r="G296" s="17"/>
      <c r="H296" s="17"/>
      <c r="I296" s="17"/>
      <c r="J296" s="113">
        <f>J293+J294+J295</f>
        <v>37848.150708294401</v>
      </c>
      <c r="K296" s="17"/>
      <c r="L296" s="18"/>
    </row>
    <row r="297" spans="1:12" ht="15.75" customHeight="1">
      <c r="A297" s="166" t="s">
        <v>5</v>
      </c>
      <c r="B297" s="167"/>
      <c r="C297" s="168"/>
      <c r="D297" s="16"/>
      <c r="E297" s="17"/>
      <c r="F297" s="17"/>
      <c r="G297" s="17"/>
      <c r="H297" s="17"/>
      <c r="I297" s="17"/>
      <c r="J297" s="113">
        <f>K293</f>
        <v>2068.1309000000001</v>
      </c>
      <c r="K297" s="17"/>
      <c r="L297" s="18"/>
    </row>
    <row r="298" spans="1:12" ht="15.75" customHeight="1">
      <c r="A298" s="140" t="s">
        <v>37</v>
      </c>
      <c r="B298" s="141"/>
      <c r="C298" s="142"/>
      <c r="D298" s="19"/>
      <c r="E298" s="20"/>
      <c r="F298" s="20"/>
      <c r="G298" s="20"/>
      <c r="H298" s="20"/>
      <c r="I298" s="20"/>
      <c r="J298" s="115">
        <f>L293</f>
        <v>133.42779999999999</v>
      </c>
      <c r="K298" s="20"/>
      <c r="L298" s="21"/>
    </row>
    <row r="299" spans="1:12" ht="15.75" customHeight="1"/>
    <row r="300" spans="1:12" ht="15.75" customHeight="1"/>
    <row r="301" spans="1:12" ht="15.75" customHeight="1"/>
    <row r="302" spans="1:12" ht="15.75" customHeight="1"/>
    <row r="303" spans="1:12" ht="15.75" customHeight="1"/>
    <row r="304" spans="1:12" ht="15.75" customHeight="1">
      <c r="A304" s="169" t="s">
        <v>33</v>
      </c>
      <c r="B304" s="164"/>
      <c r="C304" s="165"/>
      <c r="D304" s="38"/>
      <c r="E304" s="117">
        <f>E293+E280+E217+E24</f>
        <v>159857.42968272997</v>
      </c>
      <c r="F304" s="117">
        <f>F293+F280+F217+F24</f>
        <v>250718.87678799999</v>
      </c>
      <c r="G304" s="117">
        <f>G293+G280+G217+G24</f>
        <v>54945.580363999994</v>
      </c>
      <c r="H304" s="117">
        <f>H293+H280+H217+H24</f>
        <v>1161617.8276963695</v>
      </c>
      <c r="I304" s="117">
        <f>I293+I280+I217+I24</f>
        <v>82472.668642363278</v>
      </c>
      <c r="J304" s="117">
        <f>J293+J280+J217+J24</f>
        <v>1349213.9288854627</v>
      </c>
      <c r="K304" s="117">
        <f>K293+K280+K217+K24+520</f>
        <v>23861.074525602002</v>
      </c>
      <c r="L304" s="117">
        <f>L293+L280+L217+L24</f>
        <v>7606.0060559999993</v>
      </c>
    </row>
    <row r="305" spans="1:12" ht="15.75" customHeight="1">
      <c r="A305" s="170" t="s">
        <v>34</v>
      </c>
      <c r="B305" s="167"/>
      <c r="C305" s="168"/>
      <c r="D305" s="39"/>
      <c r="E305" s="118"/>
      <c r="F305" s="118"/>
      <c r="G305" s="118"/>
      <c r="H305" s="118"/>
      <c r="I305" s="118"/>
      <c r="J305" s="118">
        <f>(E304+G304)*0.5748</f>
        <v>123468.77017486037</v>
      </c>
      <c r="K305" s="118"/>
      <c r="L305" s="119"/>
    </row>
    <row r="306" spans="1:12" ht="15.75" customHeight="1">
      <c r="A306" s="170" t="s">
        <v>35</v>
      </c>
      <c r="B306" s="167"/>
      <c r="C306" s="168"/>
      <c r="D306" s="39"/>
      <c r="E306" s="118"/>
      <c r="F306" s="118"/>
      <c r="G306" s="118"/>
      <c r="H306" s="118"/>
      <c r="I306" s="118"/>
      <c r="J306" s="118">
        <f>(E304+G304)*0.6354</f>
        <v>136485.83258369222</v>
      </c>
      <c r="K306" s="118"/>
      <c r="L306" s="119"/>
    </row>
    <row r="307" spans="1:12" ht="15.75" customHeight="1">
      <c r="A307" s="170" t="s">
        <v>36</v>
      </c>
      <c r="B307" s="167"/>
      <c r="C307" s="168"/>
      <c r="D307" s="39"/>
      <c r="E307" s="118"/>
      <c r="F307" s="118"/>
      <c r="G307" s="118"/>
      <c r="H307" s="118"/>
      <c r="I307" s="118"/>
      <c r="J307" s="118">
        <f>J304+J305+J306</f>
        <v>1609168.5316440153</v>
      </c>
      <c r="K307" s="118"/>
      <c r="L307" s="119"/>
    </row>
    <row r="308" spans="1:12" ht="15.75" customHeight="1">
      <c r="A308" s="170" t="s">
        <v>5</v>
      </c>
      <c r="B308" s="167"/>
      <c r="C308" s="168"/>
      <c r="D308" s="39"/>
      <c r="E308" s="118"/>
      <c r="F308" s="118"/>
      <c r="G308" s="118"/>
      <c r="H308" s="118"/>
      <c r="I308" s="118"/>
      <c r="J308" s="118">
        <f>K304</f>
        <v>23861.074525602002</v>
      </c>
      <c r="K308" s="118"/>
      <c r="L308" s="119"/>
    </row>
    <row r="309" spans="1:12" ht="15.75" customHeight="1">
      <c r="A309" s="160" t="s">
        <v>37</v>
      </c>
      <c r="B309" s="141"/>
      <c r="C309" s="142"/>
      <c r="D309" s="40"/>
      <c r="E309" s="120"/>
      <c r="F309" s="120"/>
      <c r="G309" s="120"/>
      <c r="H309" s="120"/>
      <c r="I309" s="120"/>
      <c r="J309" s="120">
        <f>L304</f>
        <v>7606.0060559999993</v>
      </c>
      <c r="K309" s="120"/>
      <c r="L309" s="121"/>
    </row>
    <row r="310" spans="1:12" ht="15.75" customHeight="1"/>
    <row r="311" spans="1:12" ht="15.75" customHeight="1"/>
    <row r="312" spans="1:12" ht="15.75" customHeight="1">
      <c r="J312">
        <f>J308+J309</f>
        <v>31467.080581602</v>
      </c>
    </row>
    <row r="313" spans="1:12" ht="15.75" customHeight="1"/>
    <row r="314" spans="1:12" ht="15.75" customHeight="1"/>
    <row r="315" spans="1:12" ht="15.75" customHeight="1"/>
    <row r="316" spans="1:12" ht="15.75" customHeight="1"/>
    <row r="317" spans="1:12" ht="15.75" customHeight="1"/>
    <row r="318" spans="1:12" ht="15.75" customHeight="1"/>
    <row r="319" spans="1:12" ht="15.75" customHeight="1"/>
    <row r="320" spans="1:12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</sheetData>
  <mergeCells count="95">
    <mergeCell ref="A153:A168"/>
    <mergeCell ref="A169:A184"/>
    <mergeCell ref="A185:A200"/>
    <mergeCell ref="A224:A251"/>
    <mergeCell ref="B55:B56"/>
    <mergeCell ref="C55:C56"/>
    <mergeCell ref="A79:A102"/>
    <mergeCell ref="B79:B80"/>
    <mergeCell ref="C79:C80"/>
    <mergeCell ref="A18:A19"/>
    <mergeCell ref="A20:A21"/>
    <mergeCell ref="A22:A23"/>
    <mergeCell ref="A30:L30"/>
    <mergeCell ref="B22:B23"/>
    <mergeCell ref="A29:C29"/>
    <mergeCell ref="B16:B17"/>
    <mergeCell ref="C16:C17"/>
    <mergeCell ref="B18:B19"/>
    <mergeCell ref="C18:C19"/>
    <mergeCell ref="B20:B21"/>
    <mergeCell ref="C20:C21"/>
    <mergeCell ref="A218:C218"/>
    <mergeCell ref="A219:C219"/>
    <mergeCell ref="A220:C220"/>
    <mergeCell ref="A221:C221"/>
    <mergeCell ref="A25:C25"/>
    <mergeCell ref="A26:C26"/>
    <mergeCell ref="A27:C27"/>
    <mergeCell ref="A28:C28"/>
    <mergeCell ref="A217:C217"/>
    <mergeCell ref="A201:A216"/>
    <mergeCell ref="A103:A126"/>
    <mergeCell ref="A127:A152"/>
    <mergeCell ref="B127:B128"/>
    <mergeCell ref="C127:C128"/>
    <mergeCell ref="B31:B32"/>
    <mergeCell ref="C31:C32"/>
    <mergeCell ref="B103:B104"/>
    <mergeCell ref="C103:C104"/>
    <mergeCell ref="A31:A54"/>
    <mergeCell ref="A55:A78"/>
    <mergeCell ref="H2:H3"/>
    <mergeCell ref="A8:A9"/>
    <mergeCell ref="B8:B9"/>
    <mergeCell ref="C8:C9"/>
    <mergeCell ref="A12:A15"/>
    <mergeCell ref="A10:A11"/>
    <mergeCell ref="B10:B11"/>
    <mergeCell ref="C10:C11"/>
    <mergeCell ref="B12:B13"/>
    <mergeCell ref="A309:C309"/>
    <mergeCell ref="A287:A292"/>
    <mergeCell ref="A293:C293"/>
    <mergeCell ref="A294:C294"/>
    <mergeCell ref="A295:C295"/>
    <mergeCell ref="A296:C296"/>
    <mergeCell ref="A297:C297"/>
    <mergeCell ref="A298:C298"/>
    <mergeCell ref="A304:C304"/>
    <mergeCell ref="A305:C305"/>
    <mergeCell ref="A306:C306"/>
    <mergeCell ref="A307:C307"/>
    <mergeCell ref="A308:C308"/>
    <mergeCell ref="L1:L3"/>
    <mergeCell ref="M1:M3"/>
    <mergeCell ref="A5:L5"/>
    <mergeCell ref="A1:A3"/>
    <mergeCell ref="A6:A7"/>
    <mergeCell ref="B6:B7"/>
    <mergeCell ref="C6:C7"/>
    <mergeCell ref="J2:J3"/>
    <mergeCell ref="B1:B3"/>
    <mergeCell ref="C1:C3"/>
    <mergeCell ref="E1:J1"/>
    <mergeCell ref="K1:K3"/>
    <mergeCell ref="D1:D3"/>
    <mergeCell ref="E2:E3"/>
    <mergeCell ref="I2:I3"/>
    <mergeCell ref="F2:G2"/>
    <mergeCell ref="C12:C13"/>
    <mergeCell ref="B14:B15"/>
    <mergeCell ref="C14:C15"/>
    <mergeCell ref="A285:C285"/>
    <mergeCell ref="A286:L286"/>
    <mergeCell ref="A252:A279"/>
    <mergeCell ref="A280:C280"/>
    <mergeCell ref="A281:C281"/>
    <mergeCell ref="A282:C282"/>
    <mergeCell ref="A16:A17"/>
    <mergeCell ref="A283:C283"/>
    <mergeCell ref="A284:C284"/>
    <mergeCell ref="A222:C222"/>
    <mergeCell ref="A223:L223"/>
    <mergeCell ref="C22:C23"/>
    <mergeCell ref="A24:C24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D5" sqref="D5"/>
    </sheetView>
  </sheetViews>
  <sheetFormatPr defaultColWidth="12.625" defaultRowHeight="15" customHeight="1"/>
  <cols>
    <col min="1" max="1" width="7.625" customWidth="1"/>
    <col min="2" max="2" width="19.875" customWidth="1"/>
    <col min="3" max="4" width="14.875" customWidth="1"/>
    <col min="5" max="26" width="7.625" customWidth="1"/>
  </cols>
  <sheetData>
    <row r="1" spans="1:4" ht="18">
      <c r="A1" s="181" t="s">
        <v>94</v>
      </c>
      <c r="B1" s="182"/>
      <c r="C1" s="41" t="s">
        <v>95</v>
      </c>
      <c r="D1" s="42" t="s">
        <v>96</v>
      </c>
    </row>
    <row r="2" spans="1:4" ht="18">
      <c r="A2" s="183">
        <v>1</v>
      </c>
      <c r="B2" s="184"/>
      <c r="C2" s="43">
        <v>2</v>
      </c>
      <c r="D2" s="44">
        <v>3</v>
      </c>
    </row>
    <row r="3" spans="1:4" ht="26.25" customHeight="1">
      <c r="A3" s="185" t="s">
        <v>97</v>
      </c>
      <c r="B3" s="186"/>
      <c r="C3" s="45">
        <f>смета!J24</f>
        <v>89924.997452907613</v>
      </c>
      <c r="D3" s="45">
        <f>смета!J27*100/смета!$J$307</f>
        <v>8.6627881923469321</v>
      </c>
    </row>
    <row r="4" spans="1:4" ht="18">
      <c r="A4" s="178" t="s">
        <v>62</v>
      </c>
      <c r="B4" s="179"/>
      <c r="C4" s="46">
        <f>смета!J280</f>
        <v>2020.8132548514575</v>
      </c>
      <c r="D4" s="45">
        <f>смета!J283*100/смета!$J$307</f>
        <v>1.7535488880523187</v>
      </c>
    </row>
    <row r="5" spans="1:4" ht="18">
      <c r="A5" s="178" t="s">
        <v>38</v>
      </c>
      <c r="B5" s="179"/>
      <c r="C5" s="46">
        <f>смета!J217</f>
        <v>1235479.3229216493</v>
      </c>
      <c r="D5" s="45">
        <f>смета!J220*100/смета!$J$307</f>
        <v>87.231631422338836</v>
      </c>
    </row>
    <row r="6" spans="1:4" ht="18">
      <c r="A6" s="178" t="s">
        <v>89</v>
      </c>
      <c r="B6" s="179"/>
      <c r="C6" s="46">
        <f>смета!J293</f>
        <v>21788.7952560544</v>
      </c>
      <c r="D6" s="45">
        <f>смета!J296*100/смета!$J$307</f>
        <v>2.3520314972619207</v>
      </c>
    </row>
    <row r="7" spans="1:4">
      <c r="A7" s="180"/>
      <c r="B7" s="179"/>
      <c r="C7" s="22"/>
      <c r="D7" s="22"/>
    </row>
    <row r="8" spans="1:4" ht="18">
      <c r="C8" s="47" t="s">
        <v>98</v>
      </c>
      <c r="D8" s="48">
        <f>SUM(D3:D6)</f>
        <v>100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6:B6"/>
    <mergeCell ref="A7:B7"/>
    <mergeCell ref="A1:B1"/>
    <mergeCell ref="A2:B2"/>
    <mergeCell ref="A3:B3"/>
    <mergeCell ref="A4:B4"/>
    <mergeCell ref="A5:B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topLeftCell="A61" workbookViewId="0">
      <selection activeCell="K77" sqref="K77"/>
    </sheetView>
  </sheetViews>
  <sheetFormatPr defaultColWidth="12.625" defaultRowHeight="15" customHeight="1"/>
  <cols>
    <col min="1" max="1" width="7.625" customWidth="1"/>
    <col min="2" max="2" width="14.375" customWidth="1"/>
    <col min="3" max="3" width="7.625" customWidth="1"/>
    <col min="4" max="4" width="18.25" customWidth="1"/>
    <col min="5" max="5" width="14.875" customWidth="1"/>
    <col min="6" max="6" width="13.625" customWidth="1"/>
    <col min="7" max="7" width="15" customWidth="1"/>
    <col min="8" max="8" width="14.375" customWidth="1"/>
    <col min="9" max="9" width="13.375" customWidth="1"/>
    <col min="10" max="10" width="13.75" customWidth="1"/>
    <col min="11" max="11" width="16.75" customWidth="1"/>
    <col min="12" max="12" width="10.375" customWidth="1"/>
    <col min="13" max="26" width="7.625" customWidth="1"/>
  </cols>
  <sheetData>
    <row r="1" spans="1:11" ht="14.25">
      <c r="A1" s="233" t="s">
        <v>99</v>
      </c>
      <c r="B1" s="234"/>
      <c r="C1" s="233" t="s">
        <v>100</v>
      </c>
      <c r="D1" s="174"/>
      <c r="E1" s="240" t="s">
        <v>101</v>
      </c>
      <c r="F1" s="144"/>
      <c r="G1" s="144"/>
      <c r="H1" s="144"/>
      <c r="I1" s="144"/>
      <c r="J1" s="144"/>
      <c r="K1" s="145"/>
    </row>
    <row r="2" spans="1:11" ht="47.25">
      <c r="A2" s="235"/>
      <c r="B2" s="236"/>
      <c r="C2" s="235"/>
      <c r="D2" s="238"/>
      <c r="E2" s="241" t="s">
        <v>102</v>
      </c>
      <c r="F2" s="49" t="s">
        <v>103</v>
      </c>
      <c r="G2" s="50" t="s">
        <v>104</v>
      </c>
      <c r="H2" s="51" t="s">
        <v>105</v>
      </c>
      <c r="I2" s="241" t="s">
        <v>106</v>
      </c>
      <c r="J2" s="241" t="s">
        <v>107</v>
      </c>
      <c r="K2" s="52" t="s">
        <v>108</v>
      </c>
    </row>
    <row r="3" spans="1:11" ht="31.5">
      <c r="A3" s="222"/>
      <c r="B3" s="237"/>
      <c r="C3" s="222"/>
      <c r="D3" s="239"/>
      <c r="E3" s="148"/>
      <c r="F3" s="49" t="s">
        <v>109</v>
      </c>
      <c r="G3" s="49" t="s">
        <v>110</v>
      </c>
      <c r="H3" s="53" t="s">
        <v>111</v>
      </c>
      <c r="I3" s="148"/>
      <c r="J3" s="148"/>
      <c r="K3" s="52" t="s">
        <v>112</v>
      </c>
    </row>
    <row r="4" spans="1:11" ht="15.75">
      <c r="A4" s="242">
        <v>1</v>
      </c>
      <c r="B4" s="182"/>
      <c r="C4" s="243">
        <v>2</v>
      </c>
      <c r="D4" s="182"/>
      <c r="E4" s="54">
        <v>3</v>
      </c>
      <c r="F4" s="54">
        <v>4</v>
      </c>
      <c r="G4" s="54">
        <v>5</v>
      </c>
      <c r="H4" s="54">
        <v>6</v>
      </c>
      <c r="I4" s="54">
        <v>7</v>
      </c>
      <c r="J4" s="54">
        <v>8</v>
      </c>
      <c r="K4" s="55">
        <v>9</v>
      </c>
    </row>
    <row r="5" spans="1:11" ht="14.25">
      <c r="A5" s="244" t="s">
        <v>113</v>
      </c>
      <c r="B5" s="144"/>
      <c r="C5" s="144"/>
      <c r="D5" s="144"/>
      <c r="E5" s="144"/>
      <c r="F5" s="144"/>
      <c r="G5" s="144"/>
      <c r="H5" s="144"/>
      <c r="I5" s="144"/>
      <c r="J5" s="144"/>
      <c r="K5" s="145"/>
    </row>
    <row r="6" spans="1:11" ht="15.75">
      <c r="A6" s="225" t="s">
        <v>114</v>
      </c>
      <c r="B6" s="216"/>
      <c r="C6" s="226" t="s">
        <v>115</v>
      </c>
      <c r="D6" s="216"/>
      <c r="E6" s="227">
        <f>K6*12.8/100</f>
        <v>1.0298678602521698</v>
      </c>
      <c r="F6" s="56">
        <f>K6*3.6/100</f>
        <v>0.28965033569592274</v>
      </c>
      <c r="G6" s="56">
        <f>K6*42.2/100</f>
        <v>3.3953456017688723</v>
      </c>
      <c r="H6" s="56">
        <f>K6*14.1/100</f>
        <v>1.1344638148090307</v>
      </c>
      <c r="I6" s="227"/>
      <c r="J6" s="227"/>
      <c r="K6" s="57">
        <f>K11*0.5/100</f>
        <v>8.0458426582200762</v>
      </c>
    </row>
    <row r="7" spans="1:11" ht="15.75">
      <c r="A7" s="222"/>
      <c r="B7" s="217"/>
      <c r="C7" s="137"/>
      <c r="D7" s="217"/>
      <c r="E7" s="139"/>
      <c r="F7" s="58">
        <f>K6*1.26/100</f>
        <v>0.10137761749357295</v>
      </c>
      <c r="G7" s="58">
        <f>K6*3.9/100</f>
        <v>0.31378786367058298</v>
      </c>
      <c r="H7" s="58">
        <f>K6*23.4/100</f>
        <v>1.8827271820234979</v>
      </c>
      <c r="I7" s="139"/>
      <c r="J7" s="139"/>
      <c r="K7" s="59">
        <f>K12*2/100</f>
        <v>629.34161163203999</v>
      </c>
    </row>
    <row r="8" spans="1:11" ht="15.75">
      <c r="A8" s="225"/>
      <c r="B8" s="216"/>
      <c r="C8" s="226" t="s">
        <v>116</v>
      </c>
      <c r="D8" s="216"/>
      <c r="E8" s="227">
        <f t="shared" ref="E8:H8" si="0">E6</f>
        <v>1.0298678602521698</v>
      </c>
      <c r="F8" s="56">
        <f t="shared" si="0"/>
        <v>0.28965033569592274</v>
      </c>
      <c r="G8" s="56">
        <f t="shared" si="0"/>
        <v>3.3953456017688723</v>
      </c>
      <c r="H8" s="56">
        <f t="shared" si="0"/>
        <v>1.1344638148090307</v>
      </c>
      <c r="I8" s="227"/>
      <c r="J8" s="227"/>
      <c r="K8" s="57">
        <f t="shared" ref="K8:K9" si="1">K6</f>
        <v>8.0458426582200762</v>
      </c>
    </row>
    <row r="9" spans="1:11" ht="15.75">
      <c r="A9" s="222"/>
      <c r="B9" s="217"/>
      <c r="C9" s="137"/>
      <c r="D9" s="217"/>
      <c r="E9" s="139"/>
      <c r="F9" s="58">
        <f t="shared" ref="F9:H9" si="2">F7</f>
        <v>0.10137761749357295</v>
      </c>
      <c r="G9" s="58">
        <f t="shared" si="2"/>
        <v>0.31378786367058298</v>
      </c>
      <c r="H9" s="58">
        <f t="shared" si="2"/>
        <v>1.8827271820234979</v>
      </c>
      <c r="I9" s="139"/>
      <c r="J9" s="139"/>
      <c r="K9" s="59">
        <f t="shared" si="1"/>
        <v>629.34161163203999</v>
      </c>
    </row>
    <row r="10" spans="1:11" ht="14.25">
      <c r="A10" s="228" t="s">
        <v>117</v>
      </c>
      <c r="B10" s="229"/>
      <c r="C10" s="229"/>
      <c r="D10" s="229"/>
      <c r="E10" s="229"/>
      <c r="F10" s="229"/>
      <c r="G10" s="229"/>
      <c r="H10" s="229"/>
      <c r="I10" s="229"/>
      <c r="J10" s="229"/>
      <c r="K10" s="230"/>
    </row>
    <row r="11" spans="1:11" ht="36.75" customHeight="1">
      <c r="A11" s="231" t="s">
        <v>118</v>
      </c>
      <c r="B11" s="216"/>
      <c r="C11" s="337" t="s">
        <v>312</v>
      </c>
      <c r="D11" s="216"/>
      <c r="E11" s="232">
        <f>смета!E304/1000</f>
        <v>159.85742968272996</v>
      </c>
      <c r="F11" s="60">
        <f>смета!F304/1000</f>
        <v>250.71887678799999</v>
      </c>
      <c r="G11" s="60">
        <f>смета!H304/1000</f>
        <v>1161.6178276963694</v>
      </c>
      <c r="H11" s="60">
        <f>смета!J305/1000</f>
        <v>123.46877017486037</v>
      </c>
      <c r="I11" s="232"/>
      <c r="J11" s="232"/>
      <c r="K11" s="61">
        <f>смета!J307/1000</f>
        <v>1609.1685316440153</v>
      </c>
    </row>
    <row r="12" spans="1:11" ht="51" customHeight="1">
      <c r="A12" s="222"/>
      <c r="B12" s="217"/>
      <c r="C12" s="137"/>
      <c r="D12" s="217"/>
      <c r="E12" s="139"/>
      <c r="F12" s="62">
        <f>смета!G304/1000</f>
        <v>54.945580363999994</v>
      </c>
      <c r="G12" s="62">
        <f>смета!I304/1000</f>
        <v>82.472668642363274</v>
      </c>
      <c r="H12" s="62">
        <f>смета!J306/1000</f>
        <v>136.48583258369223</v>
      </c>
      <c r="I12" s="139"/>
      <c r="J12" s="139"/>
      <c r="K12" s="63">
        <f>смета!J308+смета!J309</f>
        <v>31467.080581602</v>
      </c>
    </row>
    <row r="13" spans="1:11" ht="15.75">
      <c r="A13" s="221"/>
      <c r="B13" s="216"/>
      <c r="C13" s="215" t="s">
        <v>119</v>
      </c>
      <c r="D13" s="216"/>
      <c r="E13" s="218">
        <f t="shared" ref="E13:H13" si="3">E11</f>
        <v>159.85742968272996</v>
      </c>
      <c r="F13" s="64">
        <f t="shared" si="3"/>
        <v>250.71887678799999</v>
      </c>
      <c r="G13" s="64">
        <f t="shared" si="3"/>
        <v>1161.6178276963694</v>
      </c>
      <c r="H13" s="64">
        <f t="shared" si="3"/>
        <v>123.46877017486037</v>
      </c>
      <c r="I13" s="218"/>
      <c r="J13" s="218"/>
      <c r="K13" s="65">
        <f t="shared" ref="K13" si="4">K11</f>
        <v>1609.1685316440153</v>
      </c>
    </row>
    <row r="14" spans="1:11" ht="15.75">
      <c r="A14" s="222"/>
      <c r="B14" s="217"/>
      <c r="C14" s="137"/>
      <c r="D14" s="217"/>
      <c r="E14" s="139"/>
      <c r="F14" s="66">
        <f t="shared" ref="F14:H14" si="5">F12</f>
        <v>54.945580363999994</v>
      </c>
      <c r="G14" s="66">
        <f t="shared" si="5"/>
        <v>82.472668642363274</v>
      </c>
      <c r="H14" s="66">
        <f t="shared" si="5"/>
        <v>136.48583258369223</v>
      </c>
      <c r="I14" s="139"/>
      <c r="J14" s="139"/>
      <c r="K14" s="67">
        <f>K12</f>
        <v>31467.080581602</v>
      </c>
    </row>
    <row r="15" spans="1:11" ht="14.25">
      <c r="A15" s="214" t="s">
        <v>120</v>
      </c>
      <c r="B15" s="144"/>
      <c r="C15" s="144"/>
      <c r="D15" s="144"/>
      <c r="E15" s="144"/>
      <c r="F15" s="144"/>
      <c r="G15" s="144"/>
      <c r="H15" s="144"/>
      <c r="I15" s="144"/>
      <c r="J15" s="144"/>
      <c r="K15" s="145"/>
    </row>
    <row r="16" spans="1:11" ht="30.75" customHeight="1">
      <c r="A16" s="221" t="s">
        <v>121</v>
      </c>
      <c r="B16" s="216"/>
      <c r="C16" s="215" t="s">
        <v>122</v>
      </c>
      <c r="D16" s="216"/>
      <c r="E16" s="218">
        <f>E11*12.8%</f>
        <v>20.461750999389434</v>
      </c>
      <c r="F16" s="64">
        <f>F11*3.6%</f>
        <v>9.025879564368001</v>
      </c>
      <c r="G16" s="64">
        <f>G11*42.2%</f>
        <v>490.20272328786797</v>
      </c>
      <c r="H16" s="64">
        <f>H11*14.1%</f>
        <v>17.40909659465531</v>
      </c>
      <c r="I16" s="218"/>
      <c r="J16" s="218"/>
      <c r="K16" s="65">
        <f t="shared" ref="K16:K17" si="6">K11*5/100</f>
        <v>80.458426582200758</v>
      </c>
    </row>
    <row r="17" spans="1:11" ht="98.25" customHeight="1">
      <c r="A17" s="222"/>
      <c r="B17" s="217"/>
      <c r="C17" s="137"/>
      <c r="D17" s="217"/>
      <c r="E17" s="139"/>
      <c r="F17" s="66">
        <f>F12*1.26%</f>
        <v>0.69231431258639997</v>
      </c>
      <c r="G17" s="66">
        <f>G12*3.9%</f>
        <v>3.2164340770521678</v>
      </c>
      <c r="H17" s="66">
        <f>H12*23.4%</f>
        <v>31.937684824583979</v>
      </c>
      <c r="I17" s="139"/>
      <c r="J17" s="139"/>
      <c r="K17" s="67">
        <f t="shared" si="6"/>
        <v>1573.3540290801</v>
      </c>
    </row>
    <row r="18" spans="1:11" ht="15.75">
      <c r="A18" s="221"/>
      <c r="B18" s="216"/>
      <c r="C18" s="215" t="s">
        <v>123</v>
      </c>
      <c r="D18" s="216"/>
      <c r="E18" s="218">
        <f t="shared" ref="E18:H18" si="7">E16</f>
        <v>20.461750999389434</v>
      </c>
      <c r="F18" s="64">
        <f t="shared" si="7"/>
        <v>9.025879564368001</v>
      </c>
      <c r="G18" s="64">
        <f t="shared" si="7"/>
        <v>490.20272328786797</v>
      </c>
      <c r="H18" s="64">
        <f t="shared" si="7"/>
        <v>17.40909659465531</v>
      </c>
      <c r="I18" s="218"/>
      <c r="J18" s="218"/>
      <c r="K18" s="65">
        <f t="shared" ref="K18:K19" si="8">K16</f>
        <v>80.458426582200758</v>
      </c>
    </row>
    <row r="19" spans="1:11" ht="15.75">
      <c r="A19" s="222"/>
      <c r="B19" s="217"/>
      <c r="C19" s="137"/>
      <c r="D19" s="217"/>
      <c r="E19" s="139"/>
      <c r="F19" s="66">
        <f t="shared" ref="F19:H19" si="9">F17</f>
        <v>0.69231431258639997</v>
      </c>
      <c r="G19" s="66">
        <f t="shared" si="9"/>
        <v>3.2164340770521678</v>
      </c>
      <c r="H19" s="66">
        <f t="shared" si="9"/>
        <v>31.937684824583979</v>
      </c>
      <c r="I19" s="139"/>
      <c r="J19" s="139"/>
      <c r="K19" s="67">
        <f t="shared" si="8"/>
        <v>1573.3540290801</v>
      </c>
    </row>
    <row r="20" spans="1:11" ht="14.25">
      <c r="A20" s="214" t="s">
        <v>124</v>
      </c>
      <c r="B20" s="144"/>
      <c r="C20" s="144"/>
      <c r="D20" s="144"/>
      <c r="E20" s="144"/>
      <c r="F20" s="144"/>
      <c r="G20" s="144"/>
      <c r="H20" s="144"/>
      <c r="I20" s="144"/>
      <c r="J20" s="144"/>
      <c r="K20" s="145"/>
    </row>
    <row r="21" spans="1:11" ht="45" customHeight="1">
      <c r="A21" s="221" t="s">
        <v>125</v>
      </c>
      <c r="B21" s="216"/>
      <c r="C21" s="215" t="s">
        <v>126</v>
      </c>
      <c r="D21" s="216"/>
      <c r="E21" s="218">
        <f>K21*12.8/100</f>
        <v>8.2389428820173585</v>
      </c>
      <c r="F21" s="64">
        <f>K21*3.6/100</f>
        <v>2.317202685567382</v>
      </c>
      <c r="G21" s="64">
        <f>K21*42.2/100</f>
        <v>27.162764814150979</v>
      </c>
      <c r="H21" s="64">
        <f>K21*14.1/100</f>
        <v>9.0757105184722455</v>
      </c>
      <c r="I21" s="218"/>
      <c r="J21" s="218"/>
      <c r="K21" s="65">
        <f t="shared" ref="K21:K22" si="10">4/100*K11</f>
        <v>64.366741265760609</v>
      </c>
    </row>
    <row r="22" spans="1:11" ht="57.75" customHeight="1">
      <c r="A22" s="222"/>
      <c r="B22" s="217"/>
      <c r="C22" s="137"/>
      <c r="D22" s="217"/>
      <c r="E22" s="139"/>
      <c r="F22" s="66">
        <f>K21*1.26/100</f>
        <v>0.8110209399485836</v>
      </c>
      <c r="G22" s="66">
        <f>K21*3.9/100</f>
        <v>2.5103029093646638</v>
      </c>
      <c r="H22" s="66">
        <f>K21*23.4/100</f>
        <v>15.061817456187983</v>
      </c>
      <c r="I22" s="139"/>
      <c r="J22" s="139"/>
      <c r="K22" s="67">
        <f t="shared" si="10"/>
        <v>1258.68322326408</v>
      </c>
    </row>
    <row r="23" spans="1:11" ht="15.75" customHeight="1">
      <c r="A23" s="221"/>
      <c r="B23" s="216"/>
      <c r="C23" s="215" t="s">
        <v>127</v>
      </c>
      <c r="D23" s="216"/>
      <c r="E23" s="218">
        <f t="shared" ref="E23:H23" si="11">E21</f>
        <v>8.2389428820173585</v>
      </c>
      <c r="F23" s="64">
        <f t="shared" si="11"/>
        <v>2.317202685567382</v>
      </c>
      <c r="G23" s="64">
        <f t="shared" si="11"/>
        <v>27.162764814150979</v>
      </c>
      <c r="H23" s="64">
        <f t="shared" si="11"/>
        <v>9.0757105184722455</v>
      </c>
      <c r="I23" s="218"/>
      <c r="J23" s="218"/>
      <c r="K23" s="65">
        <f t="shared" ref="K23:K24" si="12">K21</f>
        <v>64.366741265760609</v>
      </c>
    </row>
    <row r="24" spans="1:11" ht="15.75" customHeight="1">
      <c r="A24" s="222"/>
      <c r="B24" s="217"/>
      <c r="C24" s="137"/>
      <c r="D24" s="217"/>
      <c r="E24" s="139"/>
      <c r="F24" s="66">
        <f t="shared" ref="F24:H24" si="13">F22</f>
        <v>0.8110209399485836</v>
      </c>
      <c r="G24" s="66">
        <f t="shared" si="13"/>
        <v>2.5103029093646638</v>
      </c>
      <c r="H24" s="66">
        <f t="shared" si="13"/>
        <v>15.061817456187983</v>
      </c>
      <c r="I24" s="139"/>
      <c r="J24" s="139"/>
      <c r="K24" s="67">
        <f t="shared" si="12"/>
        <v>1258.68322326408</v>
      </c>
    </row>
    <row r="25" spans="1:11" ht="15.75" customHeight="1">
      <c r="A25" s="221"/>
      <c r="B25" s="216"/>
      <c r="C25" s="215" t="s">
        <v>128</v>
      </c>
      <c r="D25" s="216"/>
      <c r="E25" s="218">
        <f t="shared" ref="E25:H25" si="14">E23+E18+E13+E8</f>
        <v>189.58799142438892</v>
      </c>
      <c r="F25" s="64">
        <f t="shared" si="14"/>
        <v>262.35160937363128</v>
      </c>
      <c r="G25" s="64">
        <f t="shared" si="14"/>
        <v>1682.3786614001574</v>
      </c>
      <c r="H25" s="64">
        <f t="shared" si="14"/>
        <v>151.08804110279695</v>
      </c>
      <c r="I25" s="218"/>
      <c r="J25" s="218"/>
      <c r="K25" s="64">
        <f t="shared" ref="K25" si="15">K23+K18+K13+K8</f>
        <v>1762.0395421501969</v>
      </c>
    </row>
    <row r="26" spans="1:11" ht="15.75" customHeight="1">
      <c r="A26" s="222"/>
      <c r="B26" s="217"/>
      <c r="C26" s="137"/>
      <c r="D26" s="217"/>
      <c r="E26" s="139"/>
      <c r="F26" s="64">
        <f t="shared" ref="F26:H26" si="16">F24+F19+F14+F9</f>
        <v>56.550293234028551</v>
      </c>
      <c r="G26" s="64">
        <f t="shared" si="16"/>
        <v>88.513193492450696</v>
      </c>
      <c r="H26" s="64">
        <f t="shared" si="16"/>
        <v>185.36806204648769</v>
      </c>
      <c r="I26" s="139"/>
      <c r="J26" s="139"/>
      <c r="K26" s="64">
        <f>K24+K19+K14+K9</f>
        <v>34928.459445578213</v>
      </c>
    </row>
    <row r="27" spans="1:11" ht="15.75" customHeight="1">
      <c r="A27" s="249" t="s">
        <v>129</v>
      </c>
      <c r="B27" s="144"/>
      <c r="C27" s="144"/>
      <c r="D27" s="144"/>
      <c r="E27" s="144"/>
      <c r="F27" s="144"/>
      <c r="G27" s="144"/>
      <c r="H27" s="144"/>
      <c r="I27" s="144"/>
      <c r="J27" s="144"/>
      <c r="K27" s="145"/>
    </row>
    <row r="28" spans="1:11" ht="15.75" customHeight="1">
      <c r="A28" s="245" t="s">
        <v>130</v>
      </c>
      <c r="B28" s="246"/>
      <c r="C28" s="247" t="s">
        <v>131</v>
      </c>
      <c r="D28" s="246"/>
      <c r="E28" s="248">
        <f>K28*0.3/100</f>
        <v>4.5781720946465647E-2</v>
      </c>
      <c r="F28" s="68">
        <f>K28*0.1/100</f>
        <v>1.5260573648821883E-2</v>
      </c>
      <c r="G28" s="68">
        <f>K28*0.6</f>
        <v>9.1563441892931294</v>
      </c>
      <c r="H28" s="68"/>
      <c r="I28" s="248"/>
      <c r="J28" s="248"/>
      <c r="K28" s="68">
        <f>(E25+F26)*6.2/100</f>
        <v>15.260573648821882</v>
      </c>
    </row>
    <row r="29" spans="1:11" ht="15.75" customHeight="1">
      <c r="A29" s="190"/>
      <c r="B29" s="186"/>
      <c r="C29" s="190"/>
      <c r="D29" s="186"/>
      <c r="E29" s="135"/>
      <c r="F29" s="69">
        <f>F28*0.2</f>
        <v>3.0521147297643768E-3</v>
      </c>
      <c r="G29" s="69"/>
      <c r="H29" s="69"/>
      <c r="I29" s="135"/>
      <c r="J29" s="135"/>
      <c r="K29" s="69">
        <f>K28*0.031</f>
        <v>0.47307778311347837</v>
      </c>
    </row>
    <row r="30" spans="1:11" ht="15.75" customHeight="1">
      <c r="A30" s="193"/>
      <c r="B30" s="189"/>
      <c r="C30" s="193" t="s">
        <v>132</v>
      </c>
      <c r="D30" s="189"/>
      <c r="E30" s="220"/>
      <c r="F30" s="69">
        <f>K28*15%</f>
        <v>2.2890860473232824</v>
      </c>
      <c r="G30" s="69"/>
      <c r="H30" s="69"/>
      <c r="I30" s="220"/>
      <c r="J30" s="220"/>
      <c r="K30" s="69">
        <f>K28*15%</f>
        <v>2.2890860473232824</v>
      </c>
    </row>
    <row r="31" spans="1:11" ht="15.75" customHeight="1">
      <c r="A31" s="177"/>
      <c r="B31" s="219"/>
      <c r="C31" s="177"/>
      <c r="D31" s="219"/>
      <c r="E31" s="176"/>
      <c r="F31" s="70"/>
      <c r="G31" s="70"/>
      <c r="H31" s="70"/>
      <c r="I31" s="176"/>
      <c r="J31" s="176"/>
      <c r="K31" s="70"/>
    </row>
    <row r="32" spans="1:11" ht="15.75" customHeight="1">
      <c r="A32" s="221"/>
      <c r="B32" s="216"/>
      <c r="C32" s="215" t="s">
        <v>133</v>
      </c>
      <c r="D32" s="216"/>
      <c r="E32" s="218">
        <f>E28</f>
        <v>4.5781720946465647E-2</v>
      </c>
      <c r="F32" s="64">
        <f>F28+F30</f>
        <v>2.3043466209721042</v>
      </c>
      <c r="G32" s="64">
        <f>G28</f>
        <v>9.1563441892931294</v>
      </c>
      <c r="H32" s="64"/>
      <c r="I32" s="218"/>
      <c r="J32" s="218"/>
      <c r="K32" s="65">
        <f>K28+K30</f>
        <v>17.549659696145163</v>
      </c>
    </row>
    <row r="33" spans="1:12" ht="15.75" customHeight="1">
      <c r="A33" s="222"/>
      <c r="B33" s="217"/>
      <c r="C33" s="137"/>
      <c r="D33" s="217"/>
      <c r="E33" s="139"/>
      <c r="F33" s="66">
        <f>F29</f>
        <v>3.0521147297643768E-3</v>
      </c>
      <c r="G33" s="66"/>
      <c r="H33" s="66"/>
      <c r="I33" s="139"/>
      <c r="J33" s="139"/>
      <c r="K33" s="67">
        <f>K29</f>
        <v>0.47307778311347837</v>
      </c>
    </row>
    <row r="34" spans="1:12" ht="15.75" customHeight="1">
      <c r="A34" s="221"/>
      <c r="B34" s="216"/>
      <c r="C34" s="215" t="s">
        <v>134</v>
      </c>
      <c r="D34" s="216"/>
      <c r="E34" s="218">
        <f t="shared" ref="E34:H34" si="17">E32+E25</f>
        <v>189.6337731453354</v>
      </c>
      <c r="F34" s="64">
        <f t="shared" si="17"/>
        <v>264.6559559946034</v>
      </c>
      <c r="G34" s="64">
        <f t="shared" si="17"/>
        <v>1691.5350055894505</v>
      </c>
      <c r="H34" s="64">
        <f t="shared" si="17"/>
        <v>151.08804110279695</v>
      </c>
      <c r="I34" s="218"/>
      <c r="J34" s="218"/>
      <c r="K34" s="65">
        <f>K32+K25</f>
        <v>1779.5892018463421</v>
      </c>
    </row>
    <row r="35" spans="1:12" ht="15.75" customHeight="1">
      <c r="A35" s="222"/>
      <c r="B35" s="217"/>
      <c r="C35" s="137"/>
      <c r="D35" s="217"/>
      <c r="E35" s="139"/>
      <c r="F35" s="66">
        <f t="shared" ref="F35:H35" si="18">F26+F33</f>
        <v>56.553345348758313</v>
      </c>
      <c r="G35" s="66">
        <f t="shared" si="18"/>
        <v>88.513193492450696</v>
      </c>
      <c r="H35" s="66">
        <f t="shared" si="18"/>
        <v>185.36806204648769</v>
      </c>
      <c r="I35" s="139"/>
      <c r="J35" s="139"/>
      <c r="K35" s="67">
        <f>K26+K33</f>
        <v>34928.932523361327</v>
      </c>
    </row>
    <row r="36" spans="1:12" ht="15.75" customHeight="1">
      <c r="A36" s="223" t="s">
        <v>135</v>
      </c>
      <c r="B36" s="224"/>
      <c r="C36" s="224"/>
      <c r="D36" s="224"/>
      <c r="E36" s="224"/>
      <c r="F36" s="224"/>
      <c r="G36" s="224"/>
      <c r="H36" s="224"/>
      <c r="I36" s="224"/>
      <c r="J36" s="224"/>
      <c r="K36" s="201"/>
    </row>
    <row r="37" spans="1:12" ht="15.75" customHeight="1">
      <c r="A37" s="195" t="s">
        <v>136</v>
      </c>
      <c r="B37" s="189"/>
      <c r="C37" s="193" t="s">
        <v>137</v>
      </c>
      <c r="D37" s="189"/>
      <c r="E37" s="220">
        <f>K37*0.458</f>
        <v>4.3773577137251483</v>
      </c>
      <c r="F37" s="69">
        <f>K37*0.405</f>
        <v>3.8708075852809718</v>
      </c>
      <c r="G37" s="69">
        <f>K37*0.137</f>
        <v>1.3093842942802301</v>
      </c>
      <c r="H37" s="69"/>
      <c r="I37" s="220"/>
      <c r="J37" s="220"/>
      <c r="K37" s="69">
        <f>(E25+F26)*3.53/100*1.1</f>
        <v>9.5575495932863497</v>
      </c>
    </row>
    <row r="38" spans="1:12" ht="15.75" customHeight="1">
      <c r="A38" s="190"/>
      <c r="B38" s="186"/>
      <c r="C38" s="190"/>
      <c r="D38" s="186"/>
      <c r="E38" s="135"/>
      <c r="F38" s="69">
        <f>K37*0.14</f>
        <v>1.338056943060089</v>
      </c>
      <c r="G38" s="69"/>
      <c r="H38" s="69"/>
      <c r="I38" s="135"/>
      <c r="J38" s="135"/>
      <c r="K38" s="69">
        <f>K37</f>
        <v>9.5575495932863497</v>
      </c>
    </row>
    <row r="39" spans="1:12" ht="15.75" customHeight="1">
      <c r="A39" s="195" t="s">
        <v>138</v>
      </c>
      <c r="B39" s="189"/>
      <c r="C39" s="193" t="s">
        <v>139</v>
      </c>
      <c r="D39" s="189"/>
      <c r="E39" s="220"/>
      <c r="F39" s="69"/>
      <c r="G39" s="69"/>
      <c r="H39" s="69"/>
      <c r="I39" s="220"/>
      <c r="J39" s="220">
        <f>K39</f>
        <v>83.687016783861949</v>
      </c>
      <c r="K39" s="69">
        <f>(E25+F26)*34%</f>
        <v>83.687016783861949</v>
      </c>
    </row>
    <row r="40" spans="1:12" ht="15.75" customHeight="1">
      <c r="A40" s="190"/>
      <c r="B40" s="186"/>
      <c r="C40" s="190"/>
      <c r="D40" s="186"/>
      <c r="E40" s="135"/>
      <c r="F40" s="69"/>
      <c r="G40" s="69"/>
      <c r="H40" s="69"/>
      <c r="I40" s="135"/>
      <c r="J40" s="135"/>
      <c r="K40" s="69"/>
    </row>
    <row r="41" spans="1:12" ht="15.75" customHeight="1">
      <c r="A41" s="195" t="s">
        <v>140</v>
      </c>
      <c r="B41" s="189"/>
      <c r="C41" s="193" t="s">
        <v>141</v>
      </c>
      <c r="D41" s="189"/>
      <c r="E41" s="220"/>
      <c r="F41" s="69"/>
      <c r="G41" s="69"/>
      <c r="H41" s="69"/>
      <c r="I41" s="220"/>
      <c r="J41" s="220">
        <f>K41</f>
        <v>5.4455429576498062</v>
      </c>
      <c r="K41" s="69">
        <f>K34*0.306%</f>
        <v>5.4455429576498062</v>
      </c>
    </row>
    <row r="42" spans="1:12" ht="15.75" customHeight="1">
      <c r="A42" s="177"/>
      <c r="B42" s="219"/>
      <c r="C42" s="177"/>
      <c r="D42" s="219"/>
      <c r="E42" s="176"/>
      <c r="F42" s="70"/>
      <c r="G42" s="70"/>
      <c r="H42" s="70"/>
      <c r="I42" s="176"/>
      <c r="J42" s="176"/>
      <c r="K42" s="70"/>
    </row>
    <row r="43" spans="1:12" ht="15.75" customHeight="1">
      <c r="A43" s="221"/>
      <c r="B43" s="216"/>
      <c r="C43" s="215" t="s">
        <v>142</v>
      </c>
      <c r="D43" s="216"/>
      <c r="E43" s="218">
        <f t="shared" ref="E43:G43" si="19">E37</f>
        <v>4.3773577137251483</v>
      </c>
      <c r="F43" s="64">
        <f t="shared" si="19"/>
        <v>3.8708075852809718</v>
      </c>
      <c r="G43" s="64">
        <f t="shared" si="19"/>
        <v>1.3093842942802301</v>
      </c>
      <c r="H43" s="64"/>
      <c r="I43" s="218"/>
      <c r="J43" s="218">
        <f>J41+J39</f>
        <v>89.132559741511756</v>
      </c>
      <c r="K43" s="65">
        <f>K37+K39+K41</f>
        <v>98.690109334798109</v>
      </c>
    </row>
    <row r="44" spans="1:12" ht="15.75" customHeight="1">
      <c r="A44" s="222"/>
      <c r="B44" s="217"/>
      <c r="C44" s="137"/>
      <c r="D44" s="217"/>
      <c r="E44" s="139"/>
      <c r="F44" s="66">
        <f>F38</f>
        <v>1.338056943060089</v>
      </c>
      <c r="G44" s="66"/>
      <c r="H44" s="66"/>
      <c r="I44" s="139"/>
      <c r="J44" s="139"/>
      <c r="K44" s="67">
        <f>K38</f>
        <v>9.5575495932863497</v>
      </c>
      <c r="L44" s="71">
        <f>K44/8</f>
        <v>1.1946936991607937</v>
      </c>
    </row>
    <row r="45" spans="1:12" ht="15.75" customHeight="1">
      <c r="A45" s="221"/>
      <c r="B45" s="216"/>
      <c r="C45" s="215" t="s">
        <v>143</v>
      </c>
      <c r="D45" s="216"/>
      <c r="E45" s="218">
        <f t="shared" ref="E45:F45" si="20">E43+E34</f>
        <v>194.01113085906056</v>
      </c>
      <c r="F45" s="64">
        <f t="shared" si="20"/>
        <v>268.5267635798844</v>
      </c>
      <c r="G45" s="64">
        <f>G34+G43</f>
        <v>1692.8443898837309</v>
      </c>
      <c r="H45" s="64">
        <f>H34</f>
        <v>151.08804110279695</v>
      </c>
      <c r="I45" s="218"/>
      <c r="J45" s="218">
        <f>J43</f>
        <v>89.132559741511756</v>
      </c>
      <c r="K45" s="65">
        <f t="shared" ref="K45" si="21">K43+K34</f>
        <v>1878.2793111811402</v>
      </c>
      <c r="L45" s="72">
        <f>K45-J45</f>
        <v>1789.1467514396284</v>
      </c>
    </row>
    <row r="46" spans="1:12" ht="15.75" customHeight="1">
      <c r="A46" s="222"/>
      <c r="B46" s="217"/>
      <c r="C46" s="137"/>
      <c r="D46" s="217"/>
      <c r="E46" s="139"/>
      <c r="F46" s="66">
        <f>F44+F35</f>
        <v>57.891402291818402</v>
      </c>
      <c r="G46" s="66">
        <f t="shared" ref="G46:H46" si="22">G35</f>
        <v>88.513193492450696</v>
      </c>
      <c r="H46" s="66">
        <f t="shared" si="22"/>
        <v>185.36806204648769</v>
      </c>
      <c r="I46" s="139"/>
      <c r="J46" s="139"/>
      <c r="K46" s="67">
        <f>K44+K35</f>
        <v>34938.490072954613</v>
      </c>
      <c r="L46" s="71">
        <f>K46/8</f>
        <v>4367.3112591193267</v>
      </c>
    </row>
    <row r="47" spans="1:12" ht="15.75" customHeight="1">
      <c r="A47" s="223" t="s">
        <v>144</v>
      </c>
      <c r="B47" s="224"/>
      <c r="C47" s="224"/>
      <c r="D47" s="224"/>
      <c r="E47" s="224"/>
      <c r="F47" s="224"/>
      <c r="G47" s="224"/>
      <c r="H47" s="224"/>
      <c r="I47" s="224"/>
      <c r="J47" s="224"/>
      <c r="K47" s="201"/>
    </row>
    <row r="48" spans="1:12" ht="15.75" customHeight="1">
      <c r="A48" s="195" t="s">
        <v>145</v>
      </c>
      <c r="B48" s="189"/>
      <c r="C48" s="193" t="s">
        <v>146</v>
      </c>
      <c r="D48" s="189"/>
      <c r="E48" s="220"/>
      <c r="F48" s="69"/>
      <c r="G48" s="69"/>
      <c r="H48" s="69"/>
      <c r="I48" s="220"/>
      <c r="J48" s="220">
        <f>K48</f>
        <v>33.809027601260524</v>
      </c>
      <c r="K48" s="69">
        <f>K45*1.8%</f>
        <v>33.809027601260524</v>
      </c>
    </row>
    <row r="49" spans="1:11" ht="15.75" customHeight="1">
      <c r="A49" s="190"/>
      <c r="B49" s="186"/>
      <c r="C49" s="190"/>
      <c r="D49" s="186"/>
      <c r="E49" s="135"/>
      <c r="F49" s="69"/>
      <c r="G49" s="69"/>
      <c r="H49" s="69"/>
      <c r="I49" s="135"/>
      <c r="J49" s="135"/>
      <c r="K49" s="69"/>
    </row>
    <row r="50" spans="1:11" ht="15.75" customHeight="1">
      <c r="A50" s="195" t="s">
        <v>147</v>
      </c>
      <c r="B50" s="189"/>
      <c r="C50" s="193" t="s">
        <v>148</v>
      </c>
      <c r="D50" s="189"/>
      <c r="E50" s="220"/>
      <c r="F50" s="69"/>
      <c r="G50" s="69"/>
      <c r="H50" s="69"/>
      <c r="I50" s="220"/>
      <c r="J50" s="220">
        <f>K50</f>
        <v>2.4473054904498248</v>
      </c>
      <c r="K50" s="69">
        <f>((E45+F45+F46+H45+H46+J45+G45+G46)-(E8+F8+F9+H8+H9+G8+G9))*0.09%</f>
        <v>2.4473054904498248</v>
      </c>
    </row>
    <row r="51" spans="1:11" ht="15.75" customHeight="1">
      <c r="A51" s="190"/>
      <c r="B51" s="186"/>
      <c r="C51" s="190"/>
      <c r="D51" s="186"/>
      <c r="E51" s="135"/>
      <c r="F51" s="69"/>
      <c r="G51" s="69"/>
      <c r="H51" s="69"/>
      <c r="I51" s="135"/>
      <c r="J51" s="135"/>
      <c r="K51" s="69"/>
    </row>
    <row r="52" spans="1:11" ht="15.75" customHeight="1">
      <c r="A52" s="195" t="s">
        <v>149</v>
      </c>
      <c r="B52" s="189"/>
      <c r="C52" s="193" t="s">
        <v>150</v>
      </c>
      <c r="D52" s="189"/>
      <c r="E52" s="220"/>
      <c r="F52" s="69"/>
      <c r="G52" s="69"/>
      <c r="H52" s="69"/>
      <c r="I52" s="220"/>
      <c r="J52" s="220">
        <f>K52</f>
        <v>5.2764859665124586</v>
      </c>
      <c r="K52" s="69">
        <f>(E45+F45+F46+G45+G46+H45+H46)*0.2%</f>
        <v>5.2764859665124586</v>
      </c>
    </row>
    <row r="53" spans="1:11" ht="15.75" customHeight="1">
      <c r="A53" s="190"/>
      <c r="B53" s="186"/>
      <c r="C53" s="190"/>
      <c r="D53" s="186"/>
      <c r="E53" s="135"/>
      <c r="F53" s="69"/>
      <c r="G53" s="69"/>
      <c r="H53" s="69"/>
      <c r="I53" s="135"/>
      <c r="J53" s="135"/>
      <c r="K53" s="69"/>
    </row>
    <row r="54" spans="1:11" ht="15.75" customHeight="1">
      <c r="A54" s="195" t="s">
        <v>151</v>
      </c>
      <c r="B54" s="189"/>
      <c r="C54" s="193" t="s">
        <v>152</v>
      </c>
      <c r="D54" s="189"/>
      <c r="E54" s="220"/>
      <c r="F54" s="69"/>
      <c r="G54" s="69"/>
      <c r="H54" s="69"/>
      <c r="I54" s="220"/>
      <c r="J54" s="220">
        <f>K54</f>
        <v>93.913965559057019</v>
      </c>
      <c r="K54" s="69">
        <f>K45*5%</f>
        <v>93.913965559057019</v>
      </c>
    </row>
    <row r="55" spans="1:11" ht="15.75" customHeight="1">
      <c r="A55" s="190"/>
      <c r="B55" s="186"/>
      <c r="C55" s="190"/>
      <c r="D55" s="186"/>
      <c r="E55" s="135"/>
      <c r="F55" s="69"/>
      <c r="G55" s="69"/>
      <c r="H55" s="69"/>
      <c r="I55" s="135"/>
      <c r="J55" s="135"/>
      <c r="K55" s="69"/>
    </row>
    <row r="56" spans="1:11" ht="15.75" customHeight="1">
      <c r="A56" s="195" t="s">
        <v>153</v>
      </c>
      <c r="B56" s="189"/>
      <c r="C56" s="193" t="s">
        <v>154</v>
      </c>
      <c r="D56" s="189"/>
      <c r="E56" s="220"/>
      <c r="F56" s="69"/>
      <c r="G56" s="69"/>
      <c r="H56" s="69"/>
      <c r="I56" s="220"/>
      <c r="J56" s="220">
        <f>K56</f>
        <v>15.026234489449124</v>
      </c>
      <c r="K56" s="69">
        <f>K54*16%</f>
        <v>15.026234489449124</v>
      </c>
    </row>
    <row r="57" spans="1:11" ht="15.75" customHeight="1">
      <c r="A57" s="177"/>
      <c r="B57" s="219"/>
      <c r="C57" s="177"/>
      <c r="D57" s="219"/>
      <c r="E57" s="176"/>
      <c r="F57" s="70"/>
      <c r="G57" s="70"/>
      <c r="H57" s="70"/>
      <c r="I57" s="176"/>
      <c r="J57" s="176"/>
      <c r="K57" s="70"/>
    </row>
    <row r="58" spans="1:11" ht="15.75" customHeight="1">
      <c r="A58" s="192" t="s">
        <v>155</v>
      </c>
      <c r="B58" s="189"/>
      <c r="C58" s="193" t="s">
        <v>156</v>
      </c>
      <c r="D58" s="189"/>
      <c r="E58" s="220"/>
      <c r="F58" s="69"/>
      <c r="G58" s="69"/>
      <c r="H58" s="69"/>
      <c r="I58" s="220"/>
      <c r="J58" s="220">
        <f>K58</f>
        <v>4.0808879146455466</v>
      </c>
      <c r="K58" s="69">
        <f>0.15/100*(E34+F34+F35+G34+G35+H34+H35+K39+K37)</f>
        <v>4.0808879146455466</v>
      </c>
    </row>
    <row r="59" spans="1:11" ht="15.75" customHeight="1">
      <c r="A59" s="190"/>
      <c r="B59" s="186"/>
      <c r="C59" s="190"/>
      <c r="D59" s="186"/>
      <c r="E59" s="135"/>
      <c r="F59" s="69"/>
      <c r="G59" s="69"/>
      <c r="H59" s="69"/>
      <c r="I59" s="135"/>
      <c r="J59" s="135"/>
      <c r="K59" s="69"/>
    </row>
    <row r="60" spans="1:11" ht="15.75" customHeight="1">
      <c r="A60" s="250" t="s">
        <v>157</v>
      </c>
      <c r="B60" s="246"/>
      <c r="C60" s="247" t="s">
        <v>158</v>
      </c>
      <c r="D60" s="246"/>
      <c r="E60" s="248"/>
      <c r="F60" s="68"/>
      <c r="G60" s="68"/>
      <c r="H60" s="68"/>
      <c r="I60" s="248"/>
      <c r="J60" s="248">
        <f>J56+J54+J52+J50+J48+J58</f>
        <v>154.5539070213745</v>
      </c>
      <c r="K60" s="73">
        <f>K48+K50+K52+K54+K56+K58</f>
        <v>154.5539070213745</v>
      </c>
    </row>
    <row r="61" spans="1:11" ht="15.75" customHeight="1">
      <c r="A61" s="222"/>
      <c r="B61" s="217"/>
      <c r="C61" s="137"/>
      <c r="D61" s="217"/>
      <c r="E61" s="139"/>
      <c r="F61" s="66"/>
      <c r="G61" s="66"/>
      <c r="H61" s="66"/>
      <c r="I61" s="139"/>
      <c r="J61" s="139"/>
      <c r="K61" s="67"/>
    </row>
    <row r="62" spans="1:11" ht="15.75" customHeight="1">
      <c r="A62" s="251" t="s">
        <v>157</v>
      </c>
      <c r="B62" s="216"/>
      <c r="C62" s="215" t="s">
        <v>159</v>
      </c>
      <c r="D62" s="216"/>
      <c r="E62" s="218">
        <f t="shared" ref="E62:H62" si="23">E45</f>
        <v>194.01113085906056</v>
      </c>
      <c r="F62" s="64">
        <f t="shared" si="23"/>
        <v>268.5267635798844</v>
      </c>
      <c r="G62" s="64">
        <f t="shared" si="23"/>
        <v>1692.8443898837309</v>
      </c>
      <c r="H62" s="64">
        <f t="shared" si="23"/>
        <v>151.08804110279695</v>
      </c>
      <c r="I62" s="218"/>
      <c r="J62" s="218">
        <f t="shared" ref="J62:K62" si="24">J60+J45</f>
        <v>243.68646676288625</v>
      </c>
      <c r="K62" s="65">
        <f t="shared" si="24"/>
        <v>2032.8332182025147</v>
      </c>
    </row>
    <row r="63" spans="1:11" ht="15.75" customHeight="1">
      <c r="A63" s="222"/>
      <c r="B63" s="217"/>
      <c r="C63" s="137"/>
      <c r="D63" s="217"/>
      <c r="E63" s="139"/>
      <c r="F63" s="66">
        <f t="shared" ref="F63:H63" si="25">F46</f>
        <v>57.891402291818402</v>
      </c>
      <c r="G63" s="66">
        <f t="shared" si="25"/>
        <v>88.513193492450696</v>
      </c>
      <c r="H63" s="66">
        <f t="shared" si="25"/>
        <v>185.36806204648769</v>
      </c>
      <c r="I63" s="139"/>
      <c r="J63" s="139"/>
      <c r="K63" s="67">
        <f>K46</f>
        <v>34938.490072954613</v>
      </c>
    </row>
    <row r="64" spans="1:11" ht="15.75" customHeight="1">
      <c r="A64" s="245" t="s">
        <v>160</v>
      </c>
      <c r="B64" s="246"/>
      <c r="C64" s="247" t="s">
        <v>161</v>
      </c>
      <c r="D64" s="246"/>
      <c r="E64" s="248">
        <f t="shared" ref="E64:H64" si="26">E62*1.5%</f>
        <v>2.9101669628859081</v>
      </c>
      <c r="F64" s="68">
        <f t="shared" si="26"/>
        <v>4.0279014536982656</v>
      </c>
      <c r="G64" s="68">
        <f t="shared" si="26"/>
        <v>25.392665848255962</v>
      </c>
      <c r="H64" s="68">
        <f t="shared" si="26"/>
        <v>2.2663206165419543</v>
      </c>
      <c r="I64" s="248"/>
      <c r="J64" s="248">
        <f t="shared" ref="J64:K64" si="27">J62*1.5%</f>
        <v>3.6552970014432935</v>
      </c>
      <c r="K64" s="68">
        <f t="shared" si="27"/>
        <v>30.492498273037718</v>
      </c>
    </row>
    <row r="65" spans="1:12" ht="15.75" customHeight="1">
      <c r="A65" s="190"/>
      <c r="B65" s="186"/>
      <c r="C65" s="190"/>
      <c r="D65" s="186"/>
      <c r="E65" s="135"/>
      <c r="F65" s="69">
        <f t="shared" ref="F65:H65" si="28">F63*1.5%</f>
        <v>0.86837103437727603</v>
      </c>
      <c r="G65" s="69">
        <f t="shared" si="28"/>
        <v>1.3276979023867603</v>
      </c>
      <c r="H65" s="69">
        <f t="shared" si="28"/>
        <v>2.7805209306973153</v>
      </c>
      <c r="I65" s="135"/>
      <c r="J65" s="135"/>
      <c r="K65" s="69">
        <f>K63*1.5%</f>
        <v>524.07735109431917</v>
      </c>
    </row>
    <row r="66" spans="1:12" ht="15.75" customHeight="1">
      <c r="A66" s="192"/>
      <c r="B66" s="189"/>
      <c r="C66" s="193" t="s">
        <v>162</v>
      </c>
      <c r="D66" s="189"/>
      <c r="E66" s="194">
        <f t="shared" ref="E66:H66" si="29">E64+E62</f>
        <v>196.92129782194647</v>
      </c>
      <c r="F66" s="74">
        <f t="shared" si="29"/>
        <v>272.55466503358269</v>
      </c>
      <c r="G66" s="74">
        <f t="shared" si="29"/>
        <v>1718.2370557319869</v>
      </c>
      <c r="H66" s="74">
        <f t="shared" si="29"/>
        <v>153.3543617193389</v>
      </c>
      <c r="I66" s="194"/>
      <c r="J66" s="194">
        <f t="shared" ref="J66:K66" si="30">J64+J62</f>
        <v>247.34176376432956</v>
      </c>
      <c r="K66" s="74">
        <f t="shared" si="30"/>
        <v>2063.3257164755523</v>
      </c>
    </row>
    <row r="67" spans="1:12" ht="15.75" customHeight="1">
      <c r="A67" s="190"/>
      <c r="B67" s="186"/>
      <c r="C67" s="190"/>
      <c r="D67" s="186"/>
      <c r="E67" s="135"/>
      <c r="F67" s="74">
        <f t="shared" ref="F67:H67" si="31">F65+F63</f>
        <v>58.759773326195678</v>
      </c>
      <c r="G67" s="74">
        <f t="shared" si="31"/>
        <v>89.840891394837456</v>
      </c>
      <c r="H67" s="74">
        <f t="shared" si="31"/>
        <v>188.14858297718501</v>
      </c>
      <c r="I67" s="135"/>
      <c r="J67" s="135"/>
      <c r="K67" s="74">
        <f>K65+K63</f>
        <v>35462.567424048932</v>
      </c>
    </row>
    <row r="68" spans="1:12" ht="15.75" customHeight="1">
      <c r="A68" s="192"/>
      <c r="B68" s="189"/>
      <c r="C68" s="193" t="s">
        <v>163</v>
      </c>
      <c r="D68" s="189"/>
      <c r="E68" s="194">
        <f t="shared" ref="E68:H68" si="32">E66</f>
        <v>196.92129782194647</v>
      </c>
      <c r="F68" s="74">
        <f t="shared" si="32"/>
        <v>272.55466503358269</v>
      </c>
      <c r="G68" s="74">
        <f t="shared" si="32"/>
        <v>1718.2370557319869</v>
      </c>
      <c r="H68" s="74">
        <f t="shared" si="32"/>
        <v>153.3543617193389</v>
      </c>
      <c r="I68" s="194"/>
      <c r="J68" s="194">
        <f t="shared" ref="J68:K68" si="33">J66</f>
        <v>247.34176376432956</v>
      </c>
      <c r="K68" s="74">
        <f t="shared" si="33"/>
        <v>2063.3257164755523</v>
      </c>
    </row>
    <row r="69" spans="1:12" ht="15.75" customHeight="1">
      <c r="A69" s="190"/>
      <c r="B69" s="186"/>
      <c r="C69" s="190"/>
      <c r="D69" s="186"/>
      <c r="E69" s="135"/>
      <c r="F69" s="74">
        <f t="shared" ref="F69:H69" si="34">F67</f>
        <v>58.759773326195678</v>
      </c>
      <c r="G69" s="74">
        <f t="shared" si="34"/>
        <v>89.840891394837456</v>
      </c>
      <c r="H69" s="74">
        <f t="shared" si="34"/>
        <v>188.14858297718501</v>
      </c>
      <c r="I69" s="135"/>
      <c r="J69" s="135"/>
      <c r="K69" s="74">
        <f>K67</f>
        <v>35462.567424048932</v>
      </c>
    </row>
    <row r="70" spans="1:12" ht="15.75" customHeight="1">
      <c r="A70" s="195" t="s">
        <v>164</v>
      </c>
      <c r="B70" s="189"/>
      <c r="C70" s="193" t="s">
        <v>165</v>
      </c>
      <c r="D70" s="189"/>
      <c r="E70" s="194"/>
      <c r="F70" s="74"/>
      <c r="G70" s="74"/>
      <c r="H70" s="74"/>
      <c r="I70" s="194"/>
      <c r="J70" s="194">
        <f>K70</f>
        <v>31.351294248668182</v>
      </c>
      <c r="K70" s="74">
        <f>F87</f>
        <v>31.351294248668182</v>
      </c>
    </row>
    <row r="71" spans="1:12" ht="15.75" customHeight="1">
      <c r="A71" s="190"/>
      <c r="B71" s="186"/>
      <c r="C71" s="190"/>
      <c r="D71" s="186"/>
      <c r="E71" s="135"/>
      <c r="F71" s="74"/>
      <c r="G71" s="74"/>
      <c r="H71" s="74"/>
      <c r="I71" s="135"/>
      <c r="J71" s="135"/>
      <c r="K71" s="74"/>
    </row>
    <row r="72" spans="1:12" ht="15.75" customHeight="1">
      <c r="A72" s="195"/>
      <c r="B72" s="189"/>
      <c r="C72" s="193" t="s">
        <v>166</v>
      </c>
      <c r="D72" s="189"/>
      <c r="E72" s="194">
        <f t="shared" ref="E72:H72" si="35">E68</f>
        <v>196.92129782194647</v>
      </c>
      <c r="F72" s="74">
        <f t="shared" si="35"/>
        <v>272.55466503358269</v>
      </c>
      <c r="G72" s="74">
        <f t="shared" si="35"/>
        <v>1718.2370557319869</v>
      </c>
      <c r="H72" s="74">
        <f t="shared" si="35"/>
        <v>153.3543617193389</v>
      </c>
      <c r="I72" s="194"/>
      <c r="J72" s="194">
        <f t="shared" ref="J72:K72" si="36">J70+J68</f>
        <v>278.69305801299777</v>
      </c>
      <c r="K72" s="74">
        <f t="shared" si="36"/>
        <v>2094.6770107242205</v>
      </c>
    </row>
    <row r="73" spans="1:12" ht="15.75" customHeight="1">
      <c r="A73" s="190"/>
      <c r="B73" s="186"/>
      <c r="C73" s="190"/>
      <c r="D73" s="186"/>
      <c r="E73" s="135"/>
      <c r="F73" s="74">
        <f t="shared" ref="F73:H73" si="37">F69</f>
        <v>58.759773326195678</v>
      </c>
      <c r="G73" s="74">
        <f t="shared" si="37"/>
        <v>89.840891394837456</v>
      </c>
      <c r="H73" s="74">
        <f t="shared" si="37"/>
        <v>188.14858297718501</v>
      </c>
      <c r="I73" s="135"/>
      <c r="J73" s="135"/>
      <c r="K73" s="74">
        <f>K69</f>
        <v>35462.567424048932</v>
      </c>
    </row>
    <row r="74" spans="1:12" ht="15.75" customHeight="1">
      <c r="A74" s="195" t="s">
        <v>167</v>
      </c>
      <c r="B74" s="189"/>
      <c r="C74" s="193" t="s">
        <v>168</v>
      </c>
      <c r="D74" s="189"/>
      <c r="E74" s="194"/>
      <c r="F74" s="74"/>
      <c r="G74" s="74"/>
      <c r="H74" s="74"/>
      <c r="I74" s="194"/>
      <c r="J74" s="194">
        <f>L109</f>
        <v>36.982527669404448</v>
      </c>
      <c r="K74" s="74">
        <f>J74</f>
        <v>36.982527669404448</v>
      </c>
    </row>
    <row r="75" spans="1:12" ht="15.75" customHeight="1">
      <c r="A75" s="190"/>
      <c r="B75" s="186"/>
      <c r="C75" s="190"/>
      <c r="D75" s="186"/>
      <c r="E75" s="135"/>
      <c r="F75" s="74"/>
      <c r="G75" s="74"/>
      <c r="H75" s="74"/>
      <c r="I75" s="135"/>
      <c r="J75" s="135"/>
      <c r="K75" s="74"/>
    </row>
    <row r="76" spans="1:12" ht="15.75" customHeight="1">
      <c r="A76" s="198"/>
      <c r="B76" s="189"/>
      <c r="C76" s="188" t="s">
        <v>169</v>
      </c>
      <c r="D76" s="189"/>
      <c r="E76" s="191">
        <f t="shared" ref="E76:H76" si="38">E66</f>
        <v>196.92129782194647</v>
      </c>
      <c r="F76" s="75">
        <f t="shared" si="38"/>
        <v>272.55466503358269</v>
      </c>
      <c r="G76" s="75">
        <f t="shared" si="38"/>
        <v>1718.2370557319869</v>
      </c>
      <c r="H76" s="75">
        <f t="shared" si="38"/>
        <v>153.3543617193389</v>
      </c>
      <c r="I76" s="191"/>
      <c r="J76" s="191">
        <f>J74+J72</f>
        <v>315.67558568240224</v>
      </c>
      <c r="K76" s="75">
        <f>K72+K74</f>
        <v>2131.6595383936251</v>
      </c>
    </row>
    <row r="77" spans="1:12" ht="15.75" customHeight="1">
      <c r="A77" s="190"/>
      <c r="B77" s="186"/>
      <c r="C77" s="190"/>
      <c r="D77" s="186"/>
      <c r="E77" s="135"/>
      <c r="F77" s="75">
        <f t="shared" ref="F77:H77" si="39">F67</f>
        <v>58.759773326195678</v>
      </c>
      <c r="G77" s="75">
        <f t="shared" si="39"/>
        <v>89.840891394837456</v>
      </c>
      <c r="H77" s="75">
        <f t="shared" si="39"/>
        <v>188.14858297718501</v>
      </c>
      <c r="I77" s="135"/>
      <c r="J77" s="135"/>
      <c r="K77" s="75">
        <f>K67</f>
        <v>35462.567424048932</v>
      </c>
      <c r="L77" s="76">
        <f>E76+F77+K43</f>
        <v>354.37118048294025</v>
      </c>
    </row>
    <row r="78" spans="1:12" ht="15.75" customHeight="1">
      <c r="A78" s="195" t="s">
        <v>170</v>
      </c>
      <c r="B78" s="189"/>
      <c r="C78" s="193" t="s">
        <v>171</v>
      </c>
      <c r="D78" s="189"/>
      <c r="E78" s="194"/>
      <c r="F78" s="74"/>
      <c r="G78" s="74"/>
      <c r="H78" s="74"/>
      <c r="I78" s="194"/>
      <c r="J78" s="194">
        <f>F30</f>
        <v>2.2890860473232824</v>
      </c>
      <c r="K78" s="74">
        <f>J78</f>
        <v>2.2890860473232824</v>
      </c>
    </row>
    <row r="79" spans="1:12" ht="15.75" customHeight="1">
      <c r="A79" s="190"/>
      <c r="B79" s="186"/>
      <c r="C79" s="190"/>
      <c r="D79" s="186"/>
      <c r="E79" s="135"/>
      <c r="F79" s="74"/>
      <c r="G79" s="74"/>
      <c r="H79" s="74"/>
      <c r="I79" s="135"/>
      <c r="J79" s="135"/>
      <c r="K79" s="74"/>
    </row>
    <row r="80" spans="1:12" ht="15.75" customHeight="1"/>
    <row r="81" spans="1:12" ht="15.75" customHeight="1"/>
    <row r="82" spans="1:12" ht="15.75" customHeight="1"/>
    <row r="83" spans="1:12" ht="15.75" customHeight="1"/>
    <row r="84" spans="1:12" ht="15.75" customHeight="1"/>
    <row r="85" spans="1:12" ht="15.75" customHeight="1"/>
    <row r="86" spans="1:12" ht="15.75" customHeight="1"/>
    <row r="87" spans="1:12" ht="60.6" customHeight="1">
      <c r="A87" s="196" t="s">
        <v>172</v>
      </c>
      <c r="B87" s="167"/>
      <c r="C87" s="167"/>
      <c r="D87" s="167"/>
      <c r="E87" s="179"/>
      <c r="F87" s="204">
        <f>F101-F100</f>
        <v>31.351294248668182</v>
      </c>
      <c r="G87" s="167"/>
      <c r="H87" s="167"/>
      <c r="I87" s="167"/>
      <c r="J87" s="167"/>
      <c r="K87" s="179"/>
      <c r="L87" s="71"/>
    </row>
    <row r="88" spans="1:12" ht="15.75" customHeight="1">
      <c r="A88" s="187" t="s">
        <v>173</v>
      </c>
      <c r="B88" s="167"/>
      <c r="C88" s="167"/>
      <c r="D88" s="167"/>
      <c r="E88" s="179"/>
      <c r="F88" s="205"/>
      <c r="G88" s="167"/>
      <c r="H88" s="167"/>
      <c r="I88" s="167"/>
      <c r="J88" s="167"/>
      <c r="K88" s="179"/>
      <c r="L88" s="71"/>
    </row>
    <row r="89" spans="1:12" ht="15.75" customHeight="1">
      <c r="A89" s="187" t="s">
        <v>174</v>
      </c>
      <c r="B89" s="167"/>
      <c r="C89" s="167"/>
      <c r="D89" s="167"/>
      <c r="E89" s="179"/>
      <c r="F89" s="205" t="s">
        <v>175</v>
      </c>
      <c r="G89" s="167"/>
      <c r="H89" s="167"/>
      <c r="I89" s="167"/>
      <c r="J89" s="167"/>
      <c r="K89" s="179"/>
      <c r="L89" s="71"/>
    </row>
    <row r="90" spans="1:12" ht="15.75" customHeight="1">
      <c r="A90" s="187" t="s">
        <v>176</v>
      </c>
      <c r="B90" s="167"/>
      <c r="C90" s="167"/>
      <c r="D90" s="167"/>
      <c r="E90" s="179"/>
      <c r="F90" s="205" t="s">
        <v>177</v>
      </c>
      <c r="G90" s="167"/>
      <c r="H90" s="167"/>
      <c r="I90" s="167"/>
      <c r="J90" s="167"/>
      <c r="K90" s="179"/>
      <c r="L90" s="71"/>
    </row>
    <row r="91" spans="1:12" ht="15.75" customHeight="1">
      <c r="A91" s="187" t="s">
        <v>178</v>
      </c>
      <c r="B91" s="167"/>
      <c r="C91" s="167"/>
      <c r="D91" s="167"/>
      <c r="E91" s="179"/>
      <c r="F91" s="206">
        <v>43833</v>
      </c>
      <c r="G91" s="167"/>
      <c r="H91" s="167"/>
      <c r="I91" s="167"/>
      <c r="J91" s="167"/>
      <c r="K91" s="179"/>
      <c r="L91" s="71"/>
    </row>
    <row r="92" spans="1:12" ht="15.75" customHeight="1">
      <c r="A92" s="187" t="s">
        <v>179</v>
      </c>
      <c r="B92" s="167"/>
      <c r="C92" s="167"/>
      <c r="D92" s="167"/>
      <c r="E92" s="179"/>
      <c r="F92" s="208" t="s">
        <v>254</v>
      </c>
      <c r="G92" s="209"/>
      <c r="H92" s="209"/>
      <c r="I92" s="209"/>
      <c r="J92" s="209"/>
      <c r="K92" s="210"/>
      <c r="L92" s="71"/>
    </row>
    <row r="93" spans="1:12" ht="15.75" customHeight="1">
      <c r="A93" s="187" t="s">
        <v>180</v>
      </c>
      <c r="B93" s="167"/>
      <c r="C93" s="167"/>
      <c r="D93" s="167"/>
      <c r="E93" s="179"/>
      <c r="F93" s="208" t="s">
        <v>255</v>
      </c>
      <c r="G93" s="211"/>
      <c r="H93" s="211"/>
      <c r="I93" s="211"/>
      <c r="J93" s="211"/>
      <c r="K93" s="212"/>
      <c r="L93" s="71"/>
    </row>
    <row r="94" spans="1:12" ht="15.75" customHeight="1">
      <c r="A94" s="187" t="s">
        <v>181</v>
      </c>
      <c r="B94" s="167"/>
      <c r="C94" s="167"/>
      <c r="D94" s="167"/>
      <c r="E94" s="179"/>
      <c r="F94" s="207">
        <v>13934</v>
      </c>
      <c r="G94" s="167"/>
      <c r="H94" s="167"/>
      <c r="I94" s="167"/>
      <c r="J94" s="167"/>
      <c r="K94" s="179"/>
      <c r="L94" s="71"/>
    </row>
    <row r="95" spans="1:12" ht="15.75" customHeight="1">
      <c r="A95" s="187" t="s">
        <v>182</v>
      </c>
      <c r="B95" s="167"/>
      <c r="C95" s="167"/>
      <c r="D95" s="167"/>
      <c r="E95" s="179"/>
      <c r="F95" s="336" t="s">
        <v>311</v>
      </c>
      <c r="G95" s="167"/>
      <c r="H95" s="167"/>
      <c r="I95" s="167"/>
      <c r="J95" s="167"/>
      <c r="K95" s="179"/>
      <c r="L95" s="71"/>
    </row>
    <row r="96" spans="1:12" ht="15.75" customHeight="1">
      <c r="A96" s="197" t="s">
        <v>183</v>
      </c>
      <c r="B96" s="167"/>
      <c r="C96" s="167"/>
      <c r="D96" s="167"/>
      <c r="E96" s="179"/>
      <c r="F96" s="213" t="s">
        <v>184</v>
      </c>
      <c r="G96" s="167"/>
      <c r="H96" s="167"/>
      <c r="I96" s="167"/>
      <c r="J96" s="167"/>
      <c r="K96" s="179"/>
      <c r="L96" s="71"/>
    </row>
    <row r="97" spans="1:12" ht="15.75" customHeight="1">
      <c r="A97" s="187" t="s">
        <v>185</v>
      </c>
      <c r="B97" s="167"/>
      <c r="C97" s="167"/>
      <c r="D97" s="167"/>
      <c r="E97" s="179"/>
      <c r="F97" s="207">
        <f>K66</f>
        <v>2063.3257164755523</v>
      </c>
      <c r="G97" s="167"/>
      <c r="H97" s="167"/>
      <c r="I97" s="167"/>
      <c r="J97" s="167"/>
      <c r="K97" s="179"/>
      <c r="L97" s="71"/>
    </row>
    <row r="98" spans="1:12" ht="15.75" customHeight="1">
      <c r="A98" s="187" t="s">
        <v>186</v>
      </c>
      <c r="B98" s="167"/>
      <c r="C98" s="167"/>
      <c r="D98" s="167"/>
      <c r="E98" s="179"/>
      <c r="F98" s="207">
        <f>K54</f>
        <v>93.913965559057019</v>
      </c>
      <c r="G98" s="167"/>
      <c r="H98" s="167"/>
      <c r="I98" s="167"/>
      <c r="J98" s="167"/>
      <c r="K98" s="179"/>
      <c r="L98" s="71"/>
    </row>
    <row r="99" spans="1:12" ht="15.75" customHeight="1">
      <c r="A99" s="187" t="s">
        <v>187</v>
      </c>
      <c r="B99" s="167"/>
      <c r="C99" s="167"/>
      <c r="D99" s="167"/>
      <c r="E99" s="179"/>
      <c r="F99" s="207">
        <f>K8</f>
        <v>8.0458426582200762</v>
      </c>
      <c r="G99" s="167"/>
      <c r="H99" s="167"/>
      <c r="I99" s="167"/>
      <c r="J99" s="167"/>
      <c r="K99" s="179"/>
      <c r="L99" s="71"/>
    </row>
    <row r="100" spans="1:12" ht="15.75" customHeight="1">
      <c r="A100" s="187" t="s">
        <v>188</v>
      </c>
      <c r="B100" s="167"/>
      <c r="C100" s="167"/>
      <c r="D100" s="167"/>
      <c r="E100" s="179"/>
      <c r="F100" s="207">
        <f>F97-F98-F99</f>
        <v>1961.3659082582751</v>
      </c>
      <c r="G100" s="167"/>
      <c r="H100" s="167"/>
      <c r="I100" s="167"/>
      <c r="J100" s="167"/>
      <c r="K100" s="179"/>
      <c r="L100" s="71"/>
    </row>
    <row r="101" spans="1:12" ht="15.75" customHeight="1">
      <c r="A101" s="199" t="s">
        <v>189</v>
      </c>
      <c r="B101" s="167"/>
      <c r="C101" s="167"/>
      <c r="D101" s="167"/>
      <c r="E101" s="179"/>
      <c r="F101" s="203">
        <f>F100*POWER(C104,3)</f>
        <v>1992.7172025069433</v>
      </c>
      <c r="G101" s="167"/>
      <c r="H101" s="167"/>
      <c r="I101" s="167"/>
      <c r="J101" s="167"/>
      <c r="K101" s="179"/>
      <c r="L101" s="71"/>
    </row>
    <row r="102" spans="1:12" ht="60">
      <c r="A102" s="200" t="s">
        <v>190</v>
      </c>
      <c r="B102" s="201"/>
      <c r="C102" s="77" t="s">
        <v>191</v>
      </c>
      <c r="D102" s="77" t="s">
        <v>192</v>
      </c>
      <c r="E102" s="77" t="s">
        <v>193</v>
      </c>
      <c r="F102" s="131" t="s">
        <v>277</v>
      </c>
      <c r="G102" s="132" t="s">
        <v>278</v>
      </c>
      <c r="H102" s="131" t="s">
        <v>279</v>
      </c>
      <c r="I102" s="131" t="s">
        <v>280</v>
      </c>
      <c r="J102" s="71"/>
      <c r="K102" s="78"/>
      <c r="L102" s="79" t="s">
        <v>194</v>
      </c>
    </row>
    <row r="103" spans="1:12">
      <c r="A103" s="202" t="s">
        <v>195</v>
      </c>
      <c r="B103" s="179"/>
      <c r="C103" s="80">
        <f>L103*C107/100</f>
        <v>199.27172025069433</v>
      </c>
      <c r="D103" s="80">
        <f>L103*D107/100</f>
        <v>697.4510208774301</v>
      </c>
      <c r="E103" s="80">
        <f>$L$103*E107/100</f>
        <v>199.27172025069433</v>
      </c>
      <c r="F103" s="80">
        <f t="shared" ref="F103:I103" si="40">$L$103*F107/100</f>
        <v>259.05323632590262</v>
      </c>
      <c r="G103" s="80">
        <f t="shared" si="40"/>
        <v>259.05323632590262</v>
      </c>
      <c r="H103" s="80">
        <f t="shared" si="40"/>
        <v>259.05323632590262</v>
      </c>
      <c r="I103" s="80">
        <f>$L$103*I107/100</f>
        <v>119.5630321504166</v>
      </c>
      <c r="J103" s="80"/>
      <c r="K103" s="80"/>
      <c r="L103" s="80">
        <f>F101</f>
        <v>1992.7172025069433</v>
      </c>
    </row>
    <row r="104" spans="1:12">
      <c r="A104" s="202" t="s">
        <v>196</v>
      </c>
      <c r="B104" s="179"/>
      <c r="C104" s="82">
        <v>1.0053000000000001</v>
      </c>
      <c r="D104" s="82">
        <v>1.0053000000000001</v>
      </c>
      <c r="E104" s="82">
        <v>1.0053000000000001</v>
      </c>
      <c r="F104" s="82">
        <v>1.0053000000000001</v>
      </c>
      <c r="G104" s="82">
        <v>1.0053000000000001</v>
      </c>
      <c r="H104" s="82">
        <v>1.0053000000000001</v>
      </c>
      <c r="I104" s="82">
        <v>1.0053000000000001</v>
      </c>
      <c r="J104" s="83"/>
      <c r="K104" s="83"/>
      <c r="L104" s="84"/>
    </row>
    <row r="105" spans="1:12" ht="64.900000000000006" customHeight="1">
      <c r="A105" s="202" t="s">
        <v>197</v>
      </c>
      <c r="B105" s="179"/>
      <c r="C105" s="85">
        <v>1.0053000000000001</v>
      </c>
      <c r="D105" s="83">
        <f>C104*C105</f>
        <v>1.0106280900000002</v>
      </c>
      <c r="E105" s="83">
        <f>E104*D105</f>
        <v>1.0159844188770002</v>
      </c>
      <c r="F105" s="83">
        <f t="shared" ref="F105:I105" si="41">F104*E105</f>
        <v>1.0213691362970483</v>
      </c>
      <c r="G105" s="83">
        <f t="shared" si="41"/>
        <v>1.0267823927194226</v>
      </c>
      <c r="H105" s="83">
        <f t="shared" si="41"/>
        <v>1.0322243394008357</v>
      </c>
      <c r="I105" s="83">
        <f t="shared" si="41"/>
        <v>1.0376951283996603</v>
      </c>
      <c r="J105" s="80"/>
      <c r="K105" s="80"/>
      <c r="L105" s="86"/>
    </row>
    <row r="106" spans="1:12" ht="15.75" customHeight="1">
      <c r="A106" s="87"/>
      <c r="B106" s="88"/>
      <c r="C106" s="88"/>
      <c r="D106" s="88"/>
      <c r="E106" s="88"/>
      <c r="F106" s="89"/>
      <c r="G106" s="89"/>
      <c r="H106" s="89"/>
      <c r="I106" s="89"/>
      <c r="J106" s="88"/>
      <c r="K106" s="88"/>
      <c r="L106" s="90"/>
    </row>
    <row r="107" spans="1:12" ht="48.6" customHeight="1">
      <c r="A107" s="196" t="s">
        <v>198</v>
      </c>
      <c r="B107" s="179"/>
      <c r="C107" s="91">
        <v>10</v>
      </c>
      <c r="D107" s="91">
        <v>35</v>
      </c>
      <c r="E107" s="91">
        <v>10</v>
      </c>
      <c r="F107" s="92">
        <v>13</v>
      </c>
      <c r="G107" s="92">
        <v>13</v>
      </c>
      <c r="H107" s="92">
        <v>13</v>
      </c>
      <c r="I107" s="92">
        <v>6</v>
      </c>
      <c r="J107" s="91"/>
      <c r="K107" s="91"/>
      <c r="L107" s="91"/>
    </row>
    <row r="108" spans="1:12" ht="15.75" customHeight="1">
      <c r="A108" s="187" t="s">
        <v>199</v>
      </c>
      <c r="B108" s="179"/>
      <c r="C108" s="80">
        <f t="shared" ref="C108:I108" si="42">(C103*C105)-C103</f>
        <v>1.0561401173287095</v>
      </c>
      <c r="D108" s="80">
        <f t="shared" si="42"/>
        <v>7.4125722204773865</v>
      </c>
      <c r="E108" s="80">
        <f>(E103*E105)-E103</f>
        <v>3.1852426468275041</v>
      </c>
      <c r="F108" s="81">
        <f>(F103*F105)-F103</f>
        <v>5.5357439152396637</v>
      </c>
      <c r="G108" s="81">
        <f t="shared" si="42"/>
        <v>6.9380655105177311</v>
      </c>
      <c r="H108" s="81">
        <f t="shared" si="42"/>
        <v>8.3478194102507928</v>
      </c>
      <c r="I108" s="81">
        <f t="shared" si="42"/>
        <v>4.5069438487626599</v>
      </c>
      <c r="J108" s="80"/>
      <c r="K108" s="80"/>
      <c r="L108" s="91"/>
    </row>
    <row r="109" spans="1:12" ht="15.75" customHeight="1">
      <c r="A109" s="187" t="s">
        <v>199</v>
      </c>
      <c r="B109" s="167"/>
      <c r="C109" s="167"/>
      <c r="D109" s="167"/>
      <c r="E109" s="167"/>
      <c r="F109" s="167"/>
      <c r="G109" s="167"/>
      <c r="H109" s="167"/>
      <c r="I109" s="167"/>
      <c r="J109" s="167"/>
      <c r="K109" s="179"/>
      <c r="L109" s="93">
        <f>C108+D108+E108+F108+G108+H108+I108+J108+K108</f>
        <v>36.982527669404448</v>
      </c>
    </row>
    <row r="110" spans="1:12" ht="15.75" customHeight="1">
      <c r="A110" s="187"/>
      <c r="B110" s="167"/>
      <c r="C110" s="167"/>
      <c r="D110" s="167"/>
      <c r="E110" s="167"/>
      <c r="F110" s="167"/>
      <c r="G110" s="167"/>
      <c r="H110" s="167"/>
      <c r="I110" s="167"/>
      <c r="J110" s="167"/>
      <c r="K110" s="179"/>
      <c r="L110" s="91"/>
    </row>
    <row r="111" spans="1:12" ht="15.75" customHeight="1"/>
    <row r="112" spans="1:12" ht="15.75" customHeight="1"/>
    <row r="113" spans="5:5" ht="15.75" customHeight="1"/>
    <row r="114" spans="5:5" ht="15.75" customHeight="1">
      <c r="E114">
        <f>SUM(C107:I107)</f>
        <v>100</v>
      </c>
    </row>
    <row r="115" spans="5:5" ht="15.75" customHeight="1"/>
    <row r="116" spans="5:5" ht="15.75" customHeight="1"/>
    <row r="117" spans="5:5" ht="15.75" customHeight="1"/>
    <row r="118" spans="5:5" ht="15.75" customHeight="1"/>
    <row r="119" spans="5:5" ht="15.75" customHeight="1"/>
    <row r="120" spans="5:5" ht="15.75" customHeight="1"/>
    <row r="121" spans="5:5" ht="15.75" customHeight="1"/>
    <row r="122" spans="5:5" ht="15.75" customHeight="1"/>
    <row r="123" spans="5:5" ht="15.75" customHeight="1"/>
    <row r="124" spans="5:5" ht="15.75" customHeight="1"/>
    <row r="125" spans="5:5" ht="15.75" customHeight="1"/>
    <row r="126" spans="5:5" ht="15.75" customHeight="1"/>
    <row r="127" spans="5:5" ht="15.75" customHeight="1"/>
    <row r="128" spans="5:5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3">
    <mergeCell ref="J70:J71"/>
    <mergeCell ref="J72:J73"/>
    <mergeCell ref="J56:J57"/>
    <mergeCell ref="J58:J59"/>
    <mergeCell ref="J60:J61"/>
    <mergeCell ref="J62:J63"/>
    <mergeCell ref="J64:J65"/>
    <mergeCell ref="J66:J67"/>
    <mergeCell ref="J68:J69"/>
    <mergeCell ref="A45:B46"/>
    <mergeCell ref="C45:D46"/>
    <mergeCell ref="E45:E46"/>
    <mergeCell ref="I45:I46"/>
    <mergeCell ref="J45:J46"/>
    <mergeCell ref="A47:K47"/>
    <mergeCell ref="A48:B49"/>
    <mergeCell ref="C48:D49"/>
    <mergeCell ref="E48:E49"/>
    <mergeCell ref="I48:I49"/>
    <mergeCell ref="J48:J49"/>
    <mergeCell ref="I50:I51"/>
    <mergeCell ref="J50:J51"/>
    <mergeCell ref="I52:I53"/>
    <mergeCell ref="J52:J53"/>
    <mergeCell ref="J54:J55"/>
    <mergeCell ref="A50:B51"/>
    <mergeCell ref="C50:D51"/>
    <mergeCell ref="E50:E51"/>
    <mergeCell ref="C52:D53"/>
    <mergeCell ref="E52:E53"/>
    <mergeCell ref="A52:B53"/>
    <mergeCell ref="A54:B55"/>
    <mergeCell ref="C54:D55"/>
    <mergeCell ref="E54:E55"/>
    <mergeCell ref="A64:B65"/>
    <mergeCell ref="C64:D65"/>
    <mergeCell ref="E64:E65"/>
    <mergeCell ref="I54:I55"/>
    <mergeCell ref="I56:I57"/>
    <mergeCell ref="I58:I59"/>
    <mergeCell ref="I60:I61"/>
    <mergeCell ref="I62:I63"/>
    <mergeCell ref="I64:I65"/>
    <mergeCell ref="C62:D63"/>
    <mergeCell ref="E62:E63"/>
    <mergeCell ref="A58:B59"/>
    <mergeCell ref="C58:D59"/>
    <mergeCell ref="E58:E59"/>
    <mergeCell ref="A60:B61"/>
    <mergeCell ref="C60:D61"/>
    <mergeCell ref="E60:E61"/>
    <mergeCell ref="A62:B63"/>
    <mergeCell ref="A56:B57"/>
    <mergeCell ref="C56:D57"/>
    <mergeCell ref="E56:E57"/>
    <mergeCell ref="I66:I67"/>
    <mergeCell ref="I68:I69"/>
    <mergeCell ref="I70:I71"/>
    <mergeCell ref="I72:I73"/>
    <mergeCell ref="I74:I75"/>
    <mergeCell ref="J74:J75"/>
    <mergeCell ref="I76:I77"/>
    <mergeCell ref="J76:J77"/>
    <mergeCell ref="E21:E22"/>
    <mergeCell ref="I21:I22"/>
    <mergeCell ref="I23:I24"/>
    <mergeCell ref="J23:J24"/>
    <mergeCell ref="I25:I26"/>
    <mergeCell ref="J25:J26"/>
    <mergeCell ref="A27:K27"/>
    <mergeCell ref="A21:B22"/>
    <mergeCell ref="A23:B24"/>
    <mergeCell ref="C23:D24"/>
    <mergeCell ref="E23:E24"/>
    <mergeCell ref="A25:B26"/>
    <mergeCell ref="C25:D26"/>
    <mergeCell ref="E25:E26"/>
    <mergeCell ref="I28:I29"/>
    <mergeCell ref="I30:I31"/>
    <mergeCell ref="A28:B29"/>
    <mergeCell ref="C28:D29"/>
    <mergeCell ref="E28:E29"/>
    <mergeCell ref="J28:J29"/>
    <mergeCell ref="C30:D31"/>
    <mergeCell ref="E30:E31"/>
    <mergeCell ref="J30:J31"/>
    <mergeCell ref="C34:D35"/>
    <mergeCell ref="E34:E35"/>
    <mergeCell ref="A30:B31"/>
    <mergeCell ref="A32:B33"/>
    <mergeCell ref="C32:D33"/>
    <mergeCell ref="E32:E33"/>
    <mergeCell ref="I32:I33"/>
    <mergeCell ref="J32:J33"/>
    <mergeCell ref="A34:B35"/>
    <mergeCell ref="I34:I35"/>
    <mergeCell ref="J34:J35"/>
    <mergeCell ref="A1:B3"/>
    <mergeCell ref="C1:D3"/>
    <mergeCell ref="E1:K1"/>
    <mergeCell ref="E2:E3"/>
    <mergeCell ref="I2:I3"/>
    <mergeCell ref="J2:J3"/>
    <mergeCell ref="A4:B4"/>
    <mergeCell ref="C4:D4"/>
    <mergeCell ref="A5:K5"/>
    <mergeCell ref="A6:B7"/>
    <mergeCell ref="C6:D7"/>
    <mergeCell ref="E6:E7"/>
    <mergeCell ref="I6:I7"/>
    <mergeCell ref="J6:J7"/>
    <mergeCell ref="I11:I12"/>
    <mergeCell ref="J11:J12"/>
    <mergeCell ref="I13:I14"/>
    <mergeCell ref="J13:J14"/>
    <mergeCell ref="I16:I17"/>
    <mergeCell ref="J16:J17"/>
    <mergeCell ref="I18:I19"/>
    <mergeCell ref="J18:J19"/>
    <mergeCell ref="A8:B9"/>
    <mergeCell ref="C8:D9"/>
    <mergeCell ref="E8:E9"/>
    <mergeCell ref="I8:I9"/>
    <mergeCell ref="J8:J9"/>
    <mergeCell ref="A10:K10"/>
    <mergeCell ref="A11:B12"/>
    <mergeCell ref="A15:K15"/>
    <mergeCell ref="C11:D12"/>
    <mergeCell ref="E11:E12"/>
    <mergeCell ref="A13:B14"/>
    <mergeCell ref="C13:D14"/>
    <mergeCell ref="E13:E14"/>
    <mergeCell ref="C16:D17"/>
    <mergeCell ref="E16:E17"/>
    <mergeCell ref="A16:B17"/>
    <mergeCell ref="A18:B19"/>
    <mergeCell ref="C18:D19"/>
    <mergeCell ref="E18:E19"/>
    <mergeCell ref="A20:K20"/>
    <mergeCell ref="C21:D22"/>
    <mergeCell ref="J21:J22"/>
    <mergeCell ref="C41:D42"/>
    <mergeCell ref="E41:E42"/>
    <mergeCell ref="A43:B44"/>
    <mergeCell ref="C43:D44"/>
    <mergeCell ref="E43:E44"/>
    <mergeCell ref="I43:I44"/>
    <mergeCell ref="J43:J44"/>
    <mergeCell ref="A36:K36"/>
    <mergeCell ref="C37:D38"/>
    <mergeCell ref="E37:E38"/>
    <mergeCell ref="I37:I38"/>
    <mergeCell ref="J37:J38"/>
    <mergeCell ref="I41:I42"/>
    <mergeCell ref="J41:J42"/>
    <mergeCell ref="A37:B38"/>
    <mergeCell ref="A39:B40"/>
    <mergeCell ref="C39:D40"/>
    <mergeCell ref="E39:E40"/>
    <mergeCell ref="I39:I40"/>
    <mergeCell ref="J39:J40"/>
    <mergeCell ref="A41:B42"/>
    <mergeCell ref="F88:K88"/>
    <mergeCell ref="F89:K89"/>
    <mergeCell ref="F90:K90"/>
    <mergeCell ref="F91:K91"/>
    <mergeCell ref="F99:K99"/>
    <mergeCell ref="F100:K100"/>
    <mergeCell ref="F92:K92"/>
    <mergeCell ref="F93:K93"/>
    <mergeCell ref="F94:K94"/>
    <mergeCell ref="F95:K95"/>
    <mergeCell ref="F96:K96"/>
    <mergeCell ref="F97:K97"/>
    <mergeCell ref="F98:K98"/>
    <mergeCell ref="E72:E73"/>
    <mergeCell ref="A74:B75"/>
    <mergeCell ref="C74:D75"/>
    <mergeCell ref="E74:E75"/>
    <mergeCell ref="A76:B77"/>
    <mergeCell ref="A78:B79"/>
    <mergeCell ref="C78:D79"/>
    <mergeCell ref="E78:E79"/>
    <mergeCell ref="A110:K110"/>
    <mergeCell ref="A98:E98"/>
    <mergeCell ref="A99:E99"/>
    <mergeCell ref="A100:E100"/>
    <mergeCell ref="A101:E101"/>
    <mergeCell ref="A102:B102"/>
    <mergeCell ref="A103:B103"/>
    <mergeCell ref="A104:B104"/>
    <mergeCell ref="F101:K101"/>
    <mergeCell ref="A108:B108"/>
    <mergeCell ref="A109:K109"/>
    <mergeCell ref="A105:B105"/>
    <mergeCell ref="A107:B107"/>
    <mergeCell ref="I78:I79"/>
    <mergeCell ref="J78:J79"/>
    <mergeCell ref="F87:K87"/>
    <mergeCell ref="A97:E97"/>
    <mergeCell ref="A90:E90"/>
    <mergeCell ref="C76:D77"/>
    <mergeCell ref="E76:E77"/>
    <mergeCell ref="A66:B67"/>
    <mergeCell ref="C66:D67"/>
    <mergeCell ref="E66:E67"/>
    <mergeCell ref="A68:B69"/>
    <mergeCell ref="C68:D69"/>
    <mergeCell ref="E68:E69"/>
    <mergeCell ref="A70:B71"/>
    <mergeCell ref="C70:D71"/>
    <mergeCell ref="E70:E71"/>
    <mergeCell ref="A87:E87"/>
    <mergeCell ref="A88:E88"/>
    <mergeCell ref="A89:E89"/>
    <mergeCell ref="A91:E91"/>
    <mergeCell ref="A92:E92"/>
    <mergeCell ref="A93:E93"/>
    <mergeCell ref="A94:E94"/>
    <mergeCell ref="A95:E95"/>
    <mergeCell ref="A96:E96"/>
    <mergeCell ref="A72:B73"/>
    <mergeCell ref="C72:D7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4"/>
  <sheetViews>
    <sheetView topLeftCell="A61" workbookViewId="0">
      <selection activeCell="H78" sqref="H78"/>
    </sheetView>
  </sheetViews>
  <sheetFormatPr defaultColWidth="12.625" defaultRowHeight="15" customHeight="1"/>
  <cols>
    <col min="1" max="1" width="7.625" customWidth="1"/>
    <col min="2" max="2" width="16.5" customWidth="1"/>
    <col min="3" max="3" width="33.125" customWidth="1"/>
    <col min="4" max="4" width="20.25" customWidth="1"/>
    <col min="5" max="5" width="10.625" customWidth="1"/>
    <col min="6" max="6" width="14.375" customWidth="1"/>
    <col min="7" max="7" width="9.5" customWidth="1"/>
    <col min="8" max="9" width="10.5" customWidth="1"/>
    <col min="10" max="10" width="13.375" customWidth="1"/>
    <col min="11" max="11" width="19.5" customWidth="1"/>
    <col min="12" max="12" width="22.75" customWidth="1"/>
    <col min="13" max="26" width="7.625" customWidth="1"/>
  </cols>
  <sheetData>
    <row r="1" spans="1:12" s="133" customFormat="1" ht="15" customHeight="1" thickBot="1">
      <c r="A1" s="146" t="s">
        <v>0</v>
      </c>
      <c r="B1" s="156" t="s">
        <v>1</v>
      </c>
      <c r="C1" s="156" t="s">
        <v>2</v>
      </c>
      <c r="D1" s="156" t="s">
        <v>3</v>
      </c>
      <c r="E1" s="157" t="s">
        <v>4</v>
      </c>
      <c r="F1" s="144"/>
      <c r="G1" s="144"/>
      <c r="H1" s="144"/>
      <c r="I1" s="144"/>
      <c r="J1" s="145"/>
      <c r="K1" s="146" t="s">
        <v>5</v>
      </c>
      <c r="L1" s="146" t="s">
        <v>6</v>
      </c>
    </row>
    <row r="2" spans="1:12" s="133" customFormat="1" ht="15" customHeight="1" thickBot="1">
      <c r="A2" s="147"/>
      <c r="B2" s="147"/>
      <c r="C2" s="147"/>
      <c r="D2" s="147"/>
      <c r="E2" s="158" t="s">
        <v>7</v>
      </c>
      <c r="F2" s="157" t="s">
        <v>8</v>
      </c>
      <c r="G2" s="145"/>
      <c r="H2" s="158" t="s">
        <v>9</v>
      </c>
      <c r="I2" s="146" t="s">
        <v>10</v>
      </c>
      <c r="J2" s="146" t="s">
        <v>11</v>
      </c>
      <c r="K2" s="147"/>
      <c r="L2" s="147"/>
    </row>
    <row r="3" spans="1:12" s="133" customFormat="1" ht="15" customHeight="1" thickBot="1">
      <c r="A3" s="148"/>
      <c r="B3" s="148"/>
      <c r="C3" s="148"/>
      <c r="D3" s="148"/>
      <c r="E3" s="159"/>
      <c r="F3" s="3" t="s">
        <v>11</v>
      </c>
      <c r="G3" s="3" t="s">
        <v>12</v>
      </c>
      <c r="H3" s="159"/>
      <c r="I3" s="148"/>
      <c r="J3" s="148"/>
      <c r="K3" s="148"/>
      <c r="L3" s="148"/>
    </row>
    <row r="4" spans="1:12" s="133" customFormat="1" ht="15" customHeight="1" thickBot="1">
      <c r="A4" s="4">
        <v>1</v>
      </c>
      <c r="B4" s="4">
        <v>2</v>
      </c>
      <c r="C4" s="4">
        <v>3</v>
      </c>
      <c r="D4" s="4">
        <v>4</v>
      </c>
      <c r="E4" s="4">
        <v>5</v>
      </c>
      <c r="F4" s="4">
        <v>6</v>
      </c>
      <c r="G4" s="4">
        <v>7</v>
      </c>
      <c r="H4" s="4">
        <v>8</v>
      </c>
      <c r="I4" s="4">
        <v>9</v>
      </c>
      <c r="J4" s="4">
        <v>10</v>
      </c>
      <c r="K4" s="4">
        <v>11</v>
      </c>
      <c r="L4" s="4">
        <v>12</v>
      </c>
    </row>
    <row r="5" spans="1:12" ht="15.75" thickTop="1">
      <c r="A5" s="175">
        <v>5</v>
      </c>
      <c r="B5" s="264" t="s">
        <v>294</v>
      </c>
      <c r="C5" s="252" t="s">
        <v>295</v>
      </c>
      <c r="D5" s="253" t="s">
        <v>283</v>
      </c>
      <c r="E5" s="255">
        <v>7221.46</v>
      </c>
      <c r="F5" s="326">
        <v>6279.16</v>
      </c>
      <c r="G5" s="326">
        <v>1555.54</v>
      </c>
      <c r="H5" s="255"/>
      <c r="I5" s="255"/>
      <c r="J5" s="255">
        <f>E5+F5</f>
        <v>13500.619999999999</v>
      </c>
      <c r="K5" s="255">
        <v>1009.66</v>
      </c>
      <c r="L5" s="255">
        <v>210.34</v>
      </c>
    </row>
    <row r="6" spans="1:12" ht="39.75" customHeight="1">
      <c r="A6" s="162"/>
      <c r="B6" s="301"/>
      <c r="C6" s="302"/>
      <c r="D6" s="255">
        <v>10.58</v>
      </c>
      <c r="E6" s="255">
        <f>E5*D6</f>
        <v>76403.046799999996</v>
      </c>
      <c r="F6" s="255">
        <f>F5*D6</f>
        <v>66433.512799999997</v>
      </c>
      <c r="G6" s="255">
        <f>G5*D6</f>
        <v>16457.6132</v>
      </c>
      <c r="H6" s="255"/>
      <c r="I6" s="255"/>
      <c r="J6" s="255">
        <f t="shared" ref="J6" si="0">J5*$D6</f>
        <v>142836.55959999998</v>
      </c>
      <c r="K6" s="255">
        <f>K5*$D6+22</f>
        <v>10704.202799999999</v>
      </c>
      <c r="L6" s="255">
        <f t="shared" ref="L6" si="1">L5*$D6</f>
        <v>2225.3971999999999</v>
      </c>
    </row>
    <row r="7" spans="1:12" ht="31.5">
      <c r="A7" s="177"/>
      <c r="B7" s="285" t="s">
        <v>257</v>
      </c>
      <c r="C7" s="298" t="s">
        <v>264</v>
      </c>
      <c r="D7" s="258" t="s">
        <v>63</v>
      </c>
      <c r="E7" s="255"/>
      <c r="F7" s="255"/>
      <c r="G7" s="255"/>
      <c r="H7" s="292">
        <v>5482.51</v>
      </c>
      <c r="I7" s="255">
        <f>H7*0.0704</f>
        <v>385.96870400000006</v>
      </c>
      <c r="J7" s="255">
        <f>I7+H7</f>
        <v>5868.4787040000001</v>
      </c>
      <c r="K7" s="255"/>
      <c r="L7" s="255"/>
    </row>
    <row r="8" spans="1:12" ht="15.75">
      <c r="A8" s="177"/>
      <c r="B8" s="284"/>
      <c r="C8" s="284"/>
      <c r="D8" s="258">
        <f>0.15*D6</f>
        <v>1.587</v>
      </c>
      <c r="E8" s="255"/>
      <c r="F8" s="255"/>
      <c r="G8" s="255"/>
      <c r="H8" s="255">
        <f>H7*D8</f>
        <v>8700.7433700000001</v>
      </c>
      <c r="I8" s="255">
        <f>I7*D8</f>
        <v>612.5323332480001</v>
      </c>
      <c r="J8" s="255">
        <f>J7*D8</f>
        <v>9313.2757032480004</v>
      </c>
      <c r="K8" s="255"/>
      <c r="L8" s="255"/>
    </row>
    <row r="9" spans="1:12" ht="45" customHeight="1">
      <c r="A9" s="177"/>
      <c r="B9" s="285" t="s">
        <v>258</v>
      </c>
      <c r="C9" s="298" t="s">
        <v>256</v>
      </c>
      <c r="D9" s="258" t="s">
        <v>284</v>
      </c>
      <c r="E9" s="255"/>
      <c r="F9" s="255"/>
      <c r="G9" s="255"/>
      <c r="H9" s="292">
        <v>2340</v>
      </c>
      <c r="I9" s="255">
        <f>H9*0.0704</f>
        <v>164.73600000000002</v>
      </c>
      <c r="J9" s="255">
        <f>I9+H9</f>
        <v>2504.7359999999999</v>
      </c>
      <c r="K9" s="287"/>
      <c r="L9" s="287"/>
    </row>
    <row r="10" spans="1:12" ht="27.75" customHeight="1">
      <c r="A10" s="177"/>
      <c r="B10" s="284"/>
      <c r="C10" s="296"/>
      <c r="D10" s="258">
        <f>0.02*D6</f>
        <v>0.21160000000000001</v>
      </c>
      <c r="E10" s="255"/>
      <c r="F10" s="255"/>
      <c r="G10" s="255"/>
      <c r="H10" s="255">
        <f t="shared" ref="H10" si="2">H9*$D10</f>
        <v>495.14400000000001</v>
      </c>
      <c r="I10" s="255">
        <f>I9*$D10</f>
        <v>34.858137600000006</v>
      </c>
      <c r="J10" s="255">
        <f>J9*$D10</f>
        <v>530.00213759999997</v>
      </c>
      <c r="K10" s="255"/>
      <c r="L10" s="255"/>
    </row>
    <row r="11" spans="1:12" ht="31.5">
      <c r="A11" s="177"/>
      <c r="B11" s="285" t="s">
        <v>41</v>
      </c>
      <c r="C11" s="298" t="s">
        <v>42</v>
      </c>
      <c r="D11" s="258" t="s">
        <v>64</v>
      </c>
      <c r="E11" s="255"/>
      <c r="F11" s="255"/>
      <c r="G11" s="255"/>
      <c r="H11" s="255">
        <v>2.81</v>
      </c>
      <c r="I11" s="255">
        <f>H11*0.0704</f>
        <v>0.19782400000000003</v>
      </c>
      <c r="J11" s="255">
        <f>I11+H11</f>
        <v>3.0078240000000003</v>
      </c>
      <c r="K11" s="287"/>
      <c r="L11" s="287"/>
    </row>
    <row r="12" spans="1:12" ht="15.75">
      <c r="A12" s="177"/>
      <c r="B12" s="284"/>
      <c r="C12" s="296"/>
      <c r="D12" s="258">
        <f>0.65*D6</f>
        <v>6.8770000000000007</v>
      </c>
      <c r="E12" s="255"/>
      <c r="F12" s="255"/>
      <c r="G12" s="255"/>
      <c r="H12" s="255">
        <f t="shared" ref="H12:J12" si="3">H11*$D12</f>
        <v>19.324370000000002</v>
      </c>
      <c r="I12" s="255">
        <f t="shared" si="3"/>
        <v>1.3604356480000004</v>
      </c>
      <c r="J12" s="255">
        <f t="shared" si="3"/>
        <v>20.684805648000005</v>
      </c>
      <c r="K12" s="255"/>
      <c r="L12" s="255"/>
    </row>
    <row r="13" spans="1:12" ht="31.5">
      <c r="A13" s="177"/>
      <c r="B13" s="285" t="s">
        <v>260</v>
      </c>
      <c r="C13" s="298" t="s">
        <v>259</v>
      </c>
      <c r="D13" s="258" t="s">
        <v>284</v>
      </c>
      <c r="E13" s="255"/>
      <c r="F13" s="255"/>
      <c r="G13" s="255"/>
      <c r="H13" s="292">
        <v>26.58</v>
      </c>
      <c r="I13" s="255">
        <f>H13*0.0704</f>
        <v>1.871232</v>
      </c>
      <c r="J13" s="255">
        <f>I13+H13</f>
        <v>28.451231999999997</v>
      </c>
      <c r="K13" s="287"/>
      <c r="L13" s="287"/>
    </row>
    <row r="14" spans="1:12" ht="15.75">
      <c r="A14" s="177"/>
      <c r="B14" s="284"/>
      <c r="C14" s="296"/>
      <c r="D14" s="258">
        <f>0.1*D6</f>
        <v>1.0580000000000001</v>
      </c>
      <c r="E14" s="255"/>
      <c r="F14" s="255"/>
      <c r="G14" s="255"/>
      <c r="H14" s="255">
        <f t="shared" ref="H14:J14" si="4">H13*$D14</f>
        <v>28.121639999999999</v>
      </c>
      <c r="I14" s="255">
        <f t="shared" si="4"/>
        <v>1.9797634560000001</v>
      </c>
      <c r="J14" s="255">
        <f t="shared" si="4"/>
        <v>30.101403456</v>
      </c>
      <c r="K14" s="255"/>
      <c r="L14" s="255"/>
    </row>
    <row r="15" spans="1:12" ht="31.5">
      <c r="A15" s="177"/>
      <c r="B15" s="285" t="s">
        <v>266</v>
      </c>
      <c r="C15" s="298" t="s">
        <v>265</v>
      </c>
      <c r="D15" s="258" t="s">
        <v>271</v>
      </c>
      <c r="E15" s="255"/>
      <c r="F15" s="255"/>
      <c r="G15" s="255"/>
      <c r="H15" s="255">
        <v>30.14</v>
      </c>
      <c r="I15" s="255">
        <f>H15*0.0704</f>
        <v>2.1218560000000002</v>
      </c>
      <c r="J15" s="255">
        <f>I15+H15</f>
        <v>32.261856000000002</v>
      </c>
      <c r="K15" s="287"/>
      <c r="L15" s="287"/>
    </row>
    <row r="16" spans="1:12" ht="15.75">
      <c r="A16" s="177"/>
      <c r="B16" s="284"/>
      <c r="C16" s="296"/>
      <c r="D16" s="258">
        <f>ROUNDUP(4*D6,0)</f>
        <v>43</v>
      </c>
      <c r="E16" s="255"/>
      <c r="F16" s="255"/>
      <c r="G16" s="255"/>
      <c r="H16" s="255">
        <f t="shared" ref="H16:J16" si="5">H15*$D16</f>
        <v>1296.02</v>
      </c>
      <c r="I16" s="255">
        <f t="shared" si="5"/>
        <v>91.239808000000011</v>
      </c>
      <c r="J16" s="255">
        <f t="shared" si="5"/>
        <v>1387.259808</v>
      </c>
      <c r="K16" s="255"/>
      <c r="L16" s="255"/>
    </row>
    <row r="17" spans="1:12" ht="15.75">
      <c r="A17" s="177"/>
      <c r="B17" s="286" t="s">
        <v>44</v>
      </c>
      <c r="C17" s="298" t="s">
        <v>45</v>
      </c>
      <c r="D17" s="258" t="s">
        <v>64</v>
      </c>
      <c r="E17" s="255"/>
      <c r="F17" s="255"/>
      <c r="G17" s="255"/>
      <c r="H17" s="255">
        <v>1.26</v>
      </c>
      <c r="I17" s="255">
        <f>H17*0.0704</f>
        <v>8.8704000000000005E-2</v>
      </c>
      <c r="J17" s="255">
        <f>I17+H17</f>
        <v>1.3487040000000001</v>
      </c>
      <c r="K17" s="287"/>
      <c r="L17" s="287"/>
    </row>
    <row r="18" spans="1:12" ht="15.75">
      <c r="A18" s="177"/>
      <c r="B18" s="284"/>
      <c r="C18" s="296"/>
      <c r="D18" s="258">
        <f>375*D6</f>
        <v>3967.5</v>
      </c>
      <c r="E18" s="255"/>
      <c r="F18" s="255"/>
      <c r="G18" s="255"/>
      <c r="H18" s="255">
        <f t="shared" ref="H18:J18" si="6">H17*$D18</f>
        <v>4999.05</v>
      </c>
      <c r="I18" s="255">
        <f t="shared" si="6"/>
        <v>351.93312000000003</v>
      </c>
      <c r="J18" s="255">
        <f t="shared" si="6"/>
        <v>5350.9831200000008</v>
      </c>
      <c r="K18" s="255"/>
      <c r="L18" s="255"/>
    </row>
    <row r="19" spans="1:12" ht="47.25">
      <c r="A19" s="177"/>
      <c r="B19" s="285" t="s">
        <v>262</v>
      </c>
      <c r="C19" s="298" t="s">
        <v>261</v>
      </c>
      <c r="D19" s="258" t="s">
        <v>64</v>
      </c>
      <c r="E19" s="255"/>
      <c r="F19" s="255"/>
      <c r="G19" s="255"/>
      <c r="H19" s="255">
        <v>84.92</v>
      </c>
      <c r="I19" s="255">
        <f>H19*0.0704</f>
        <v>5.9783680000000006</v>
      </c>
      <c r="J19" s="255">
        <f>I19+H19</f>
        <v>90.898368000000005</v>
      </c>
      <c r="K19" s="287"/>
      <c r="L19" s="287"/>
    </row>
    <row r="20" spans="1:12" ht="15.75">
      <c r="A20" s="177"/>
      <c r="B20" s="284"/>
      <c r="C20" s="296"/>
      <c r="D20" s="258">
        <f>20*D6</f>
        <v>211.6</v>
      </c>
      <c r="E20" s="255"/>
      <c r="F20" s="255"/>
      <c r="G20" s="255"/>
      <c r="H20" s="255">
        <f>H19*D20</f>
        <v>17969.072</v>
      </c>
      <c r="I20" s="255">
        <f t="shared" ref="I20:J20" si="7">I19*$D20</f>
        <v>1265.0226688</v>
      </c>
      <c r="J20" s="255">
        <f t="shared" si="7"/>
        <v>19234.0946688</v>
      </c>
      <c r="K20" s="255"/>
      <c r="L20" s="255"/>
    </row>
    <row r="21" spans="1:12" ht="31.5">
      <c r="A21" s="177"/>
      <c r="B21" s="285" t="s">
        <v>270</v>
      </c>
      <c r="C21" s="298" t="s">
        <v>314</v>
      </c>
      <c r="D21" s="258" t="s">
        <v>271</v>
      </c>
      <c r="E21" s="255"/>
      <c r="F21" s="255"/>
      <c r="G21" s="255"/>
      <c r="H21" s="255">
        <f>(64530-150)*0.001226</f>
        <v>78.929880000000011</v>
      </c>
      <c r="I21" s="255">
        <f>H21*0.0704</f>
        <v>5.5566635520000007</v>
      </c>
      <c r="J21" s="255">
        <f>I21+H21</f>
        <v>84.486543552000015</v>
      </c>
      <c r="K21" s="287"/>
      <c r="L21" s="287"/>
    </row>
    <row r="22" spans="1:12" ht="15.75">
      <c r="A22" s="177"/>
      <c r="B22" s="284"/>
      <c r="C22" s="296"/>
      <c r="D22" s="258">
        <f>D6*1000</f>
        <v>10580</v>
      </c>
      <c r="E22" s="255"/>
      <c r="F22" s="255"/>
      <c r="G22" s="255"/>
      <c r="H22" s="255">
        <f>H21*D22</f>
        <v>835078.13040000014</v>
      </c>
      <c r="I22" s="255">
        <f t="shared" ref="I22:J22" si="8">I21*$D22</f>
        <v>58789.500380160011</v>
      </c>
      <c r="J22" s="255">
        <f t="shared" si="8"/>
        <v>893867.63078016019</v>
      </c>
      <c r="K22" s="255"/>
      <c r="L22" s="255"/>
    </row>
    <row r="23" spans="1:12" ht="15.75">
      <c r="A23" s="177"/>
      <c r="B23" s="285" t="s">
        <v>274</v>
      </c>
      <c r="C23" s="297" t="s">
        <v>267</v>
      </c>
      <c r="D23" s="258" t="s">
        <v>46</v>
      </c>
      <c r="E23" s="255"/>
      <c r="F23" s="255"/>
      <c r="G23" s="255"/>
      <c r="H23" s="255">
        <v>30.56</v>
      </c>
      <c r="I23" s="255">
        <f>H23*0.0704</f>
        <v>2.151424</v>
      </c>
      <c r="J23" s="255">
        <f>I23+H23</f>
        <v>32.711424000000001</v>
      </c>
      <c r="K23" s="287"/>
      <c r="L23" s="287"/>
    </row>
    <row r="24" spans="1:12" ht="15.75">
      <c r="A24" s="177"/>
      <c r="B24" s="284"/>
      <c r="C24" s="296"/>
      <c r="D24" s="258">
        <f>ROUNDUP(D22/3.5,0)</f>
        <v>3023</v>
      </c>
      <c r="E24" s="255"/>
      <c r="F24" s="255"/>
      <c r="G24" s="255"/>
      <c r="H24" s="255">
        <f>H23*D24</f>
        <v>92382.87999999999</v>
      </c>
      <c r="I24" s="255">
        <f t="shared" ref="I24:J24" si="9">I23*$D24</f>
        <v>6503.7547519999998</v>
      </c>
      <c r="J24" s="255">
        <f t="shared" si="9"/>
        <v>98886.634751999998</v>
      </c>
      <c r="K24" s="255"/>
      <c r="L24" s="255"/>
    </row>
    <row r="25" spans="1:12" ht="15.75" customHeight="1">
      <c r="A25" s="177"/>
      <c r="B25" s="285" t="s">
        <v>273</v>
      </c>
      <c r="C25" s="298" t="s">
        <v>268</v>
      </c>
      <c r="D25" s="258" t="s">
        <v>64</v>
      </c>
      <c r="E25" s="255"/>
      <c r="F25" s="255"/>
      <c r="G25" s="255"/>
      <c r="H25" s="255">
        <f>(20537-15)*0.001226*(300/50)</f>
        <v>150.95983200000001</v>
      </c>
      <c r="I25" s="255">
        <f>H25*0.0704</f>
        <v>10.627572172800001</v>
      </c>
      <c r="J25" s="255">
        <f>I25+H25</f>
        <v>161.58740417280001</v>
      </c>
      <c r="K25" s="287"/>
      <c r="L25" s="287"/>
    </row>
    <row r="26" spans="1:12" ht="15.75" customHeight="1">
      <c r="A26" s="177"/>
      <c r="B26" s="284"/>
      <c r="C26" s="296"/>
      <c r="D26" s="258">
        <v>8</v>
      </c>
      <c r="E26" s="255"/>
      <c r="F26" s="255"/>
      <c r="G26" s="255"/>
      <c r="H26" s="255">
        <f>H25*D26</f>
        <v>1207.678656</v>
      </c>
      <c r="I26" s="255">
        <f t="shared" ref="I26:J26" si="10">I25*$D26</f>
        <v>85.020577382400006</v>
      </c>
      <c r="J26" s="255">
        <f t="shared" si="10"/>
        <v>1292.6992333824001</v>
      </c>
      <c r="K26" s="255"/>
      <c r="L26" s="255"/>
    </row>
    <row r="27" spans="1:12" ht="15.75" customHeight="1">
      <c r="A27" s="177"/>
      <c r="B27" s="285" t="s">
        <v>272</v>
      </c>
      <c r="C27" s="298" t="s">
        <v>269</v>
      </c>
      <c r="D27" s="299" t="s">
        <v>46</v>
      </c>
      <c r="E27" s="288"/>
      <c r="F27" s="288"/>
      <c r="G27" s="288"/>
      <c r="H27" s="288">
        <f>(1304190-4273)*0.001226</f>
        <v>1593.6982420000002</v>
      </c>
      <c r="I27" s="288">
        <f>H27*0.0704</f>
        <v>112.19635623680001</v>
      </c>
      <c r="J27" s="288">
        <f>I27+H27</f>
        <v>1705.8945982368002</v>
      </c>
      <c r="K27" s="289"/>
      <c r="L27" s="289"/>
    </row>
    <row r="28" spans="1:12" ht="15.75" customHeight="1">
      <c r="A28" s="177"/>
      <c r="B28" s="284"/>
      <c r="C28" s="296"/>
      <c r="D28" s="300">
        <v>1</v>
      </c>
      <c r="E28" s="290"/>
      <c r="F28" s="290"/>
      <c r="G28" s="290"/>
      <c r="H28" s="290">
        <f t="shared" ref="H28:J28" si="11">H27*$D28</f>
        <v>1593.6982420000002</v>
      </c>
      <c r="I28" s="290">
        <f t="shared" si="11"/>
        <v>112.19635623680001</v>
      </c>
      <c r="J28" s="290">
        <f t="shared" si="11"/>
        <v>1705.8945982368002</v>
      </c>
      <c r="K28" s="290"/>
      <c r="L28" s="290"/>
    </row>
    <row r="29" spans="1:12" ht="15.75" customHeight="1">
      <c r="A29" s="177"/>
      <c r="B29" s="285" t="s">
        <v>276</v>
      </c>
      <c r="C29" s="298" t="s">
        <v>275</v>
      </c>
      <c r="D29" s="300" t="s">
        <v>64</v>
      </c>
      <c r="E29" s="290"/>
      <c r="F29" s="290"/>
      <c r="G29" s="290"/>
      <c r="H29" s="290">
        <f>3.17*0.532</f>
        <v>1.6864400000000002</v>
      </c>
      <c r="I29" s="290">
        <f>H29*0.0704</f>
        <v>0.11872537600000002</v>
      </c>
      <c r="J29" s="290">
        <f>I29+H29</f>
        <v>1.8051653760000002</v>
      </c>
      <c r="K29" s="290"/>
      <c r="L29" s="290"/>
    </row>
    <row r="30" spans="1:12" ht="15.75" customHeight="1" thickBot="1">
      <c r="A30" s="176"/>
      <c r="B30" s="260"/>
      <c r="C30" s="338"/>
      <c r="D30" s="260">
        <f>D24*0.002658</f>
        <v>8.0351340000000011</v>
      </c>
      <c r="E30" s="289"/>
      <c r="F30" s="289"/>
      <c r="G30" s="289"/>
      <c r="H30" s="289">
        <f t="shared" ref="H30:J30" si="12">H29*$D30</f>
        <v>13.550771382960002</v>
      </c>
      <c r="I30" s="289">
        <f t="shared" si="12"/>
        <v>0.9539743053603843</v>
      </c>
      <c r="J30" s="289">
        <f t="shared" si="12"/>
        <v>14.504745688320387</v>
      </c>
      <c r="K30" s="289"/>
      <c r="L30" s="289"/>
    </row>
    <row r="31" spans="1:12" ht="15.75" customHeight="1">
      <c r="A31" s="339" t="s">
        <v>200</v>
      </c>
      <c r="B31" s="340"/>
      <c r="C31" s="340"/>
      <c r="D31" s="341"/>
      <c r="E31" s="341">
        <f>E6</f>
        <v>76403.046799999996</v>
      </c>
      <c r="F31" s="341">
        <f t="shared" ref="F31:G31" si="13">F6</f>
        <v>66433.512799999997</v>
      </c>
      <c r="G31" s="341">
        <f t="shared" si="13"/>
        <v>16457.6132</v>
      </c>
      <c r="H31" s="341">
        <f>H8+H10+H12+H14+H16+H18+H20+H22+H24+H26+H28+H30</f>
        <v>963783.41344938299</v>
      </c>
      <c r="I31" s="341">
        <f t="shared" ref="I31:J31" si="14">I8+I10+I12+I14+I16+I18+I20+I22+I24+I26+I28+I30</f>
        <v>67850.352306836576</v>
      </c>
      <c r="J31" s="341">
        <f t="shared" si="14"/>
        <v>1031633.7657562196</v>
      </c>
      <c r="K31" s="341">
        <f>K6</f>
        <v>10704.202799999999</v>
      </c>
      <c r="L31" s="342">
        <f>L6</f>
        <v>2225.3971999999999</v>
      </c>
    </row>
    <row r="32" spans="1:12" ht="15.75" customHeight="1">
      <c r="A32" s="343" t="s">
        <v>313</v>
      </c>
      <c r="B32" s="344"/>
      <c r="C32" s="344"/>
      <c r="D32" s="345"/>
      <c r="E32" s="346">
        <f>E5</f>
        <v>7221.46</v>
      </c>
      <c r="F32" s="346">
        <f t="shared" ref="F32:G32" si="15">F5</f>
        <v>6279.16</v>
      </c>
      <c r="G32" s="346">
        <f t="shared" si="15"/>
        <v>1555.54</v>
      </c>
      <c r="H32" s="346">
        <f>H7+H9+H11+H13+H15+H17+H19+H21+H23+H25+H27+H29</f>
        <v>9824.0543940000007</v>
      </c>
      <c r="I32" s="346">
        <f t="shared" ref="I32:J32" si="16">I7+I9+I11+I13+I15+I17+I19+I21+I23+I25+I27+I29</f>
        <v>691.61342933760022</v>
      </c>
      <c r="J32" s="346">
        <f t="shared" si="16"/>
        <v>10515.667823337599</v>
      </c>
      <c r="K32" s="346">
        <f>K5</f>
        <v>1009.66</v>
      </c>
      <c r="L32" s="347">
        <f>L5</f>
        <v>210.34</v>
      </c>
    </row>
    <row r="33" spans="1:12" ht="15.75" customHeight="1">
      <c r="A33" s="348" t="s">
        <v>34</v>
      </c>
      <c r="B33" s="344"/>
      <c r="C33" s="344"/>
      <c r="D33" s="345"/>
      <c r="E33" s="345"/>
      <c r="F33" s="345"/>
      <c r="G33" s="345"/>
      <c r="H33" s="345"/>
      <c r="I33" s="345"/>
      <c r="J33" s="349">
        <f>(E31+G31)*0.5748</f>
        <v>53376.307368000002</v>
      </c>
      <c r="K33" s="345"/>
      <c r="L33" s="350"/>
    </row>
    <row r="34" spans="1:12" ht="15.75" customHeight="1">
      <c r="A34" s="348" t="s">
        <v>201</v>
      </c>
      <c r="B34" s="344"/>
      <c r="C34" s="344"/>
      <c r="D34" s="345"/>
      <c r="E34" s="345"/>
      <c r="F34" s="345"/>
      <c r="G34" s="345"/>
      <c r="H34" s="345"/>
      <c r="I34" s="345"/>
      <c r="J34" s="349">
        <f>(E31+G31)*0.6354</f>
        <v>59003.663364</v>
      </c>
      <c r="K34" s="345"/>
      <c r="L34" s="350"/>
    </row>
    <row r="35" spans="1:12" ht="15.75" customHeight="1">
      <c r="A35" s="348" t="s">
        <v>202</v>
      </c>
      <c r="B35" s="344"/>
      <c r="C35" s="344"/>
      <c r="D35" s="345"/>
      <c r="E35" s="345"/>
      <c r="F35" s="345"/>
      <c r="G35" s="345"/>
      <c r="H35" s="345"/>
      <c r="I35" s="345"/>
      <c r="J35" s="346">
        <f>J31+J33+J34</f>
        <v>1144013.7364882196</v>
      </c>
      <c r="K35" s="345"/>
      <c r="L35" s="350"/>
    </row>
    <row r="36" spans="1:12" ht="15.75" customHeight="1">
      <c r="A36" s="348" t="s">
        <v>203</v>
      </c>
      <c r="B36" s="344"/>
      <c r="C36" s="344"/>
      <c r="D36" s="345"/>
      <c r="E36" s="345"/>
      <c r="F36" s="345"/>
      <c r="G36" s="345"/>
      <c r="H36" s="345"/>
      <c r="I36" s="345"/>
      <c r="J36" s="346">
        <f>K31</f>
        <v>10704.202799999999</v>
      </c>
      <c r="K36" s="345"/>
      <c r="L36" s="350"/>
    </row>
    <row r="37" spans="1:12" ht="15.75" customHeight="1" thickBot="1">
      <c r="A37" s="351" t="s">
        <v>204</v>
      </c>
      <c r="B37" s="352"/>
      <c r="C37" s="352"/>
      <c r="D37" s="353"/>
      <c r="E37" s="353"/>
      <c r="F37" s="353"/>
      <c r="G37" s="353"/>
      <c r="H37" s="353"/>
      <c r="I37" s="353"/>
      <c r="J37" s="354">
        <f>L31</f>
        <v>2225.3971999999999</v>
      </c>
      <c r="K37" s="353"/>
      <c r="L37" s="355"/>
    </row>
    <row r="38" spans="1:12" ht="15.75" customHeight="1">
      <c r="A38" s="1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</row>
    <row r="39" spans="1:12" ht="15.75" customHeight="1" thickBot="1">
      <c r="A39" s="1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</row>
    <row r="40" spans="1:12" ht="15.75" customHeight="1" thickBot="1">
      <c r="A40" s="146" t="s">
        <v>0</v>
      </c>
      <c r="B40" s="156" t="s">
        <v>1</v>
      </c>
      <c r="C40" s="156" t="s">
        <v>2</v>
      </c>
      <c r="D40" s="156" t="s">
        <v>3</v>
      </c>
      <c r="E40" s="157" t="s">
        <v>4</v>
      </c>
      <c r="F40" s="144"/>
      <c r="G40" s="144"/>
      <c r="H40" s="144"/>
      <c r="I40" s="144"/>
      <c r="J40" s="145"/>
      <c r="K40" s="146" t="s">
        <v>5</v>
      </c>
      <c r="L40" s="146" t="s">
        <v>6</v>
      </c>
    </row>
    <row r="41" spans="1:12" ht="15.75" customHeight="1" thickBot="1">
      <c r="A41" s="147"/>
      <c r="B41" s="147"/>
      <c r="C41" s="147"/>
      <c r="D41" s="147"/>
      <c r="E41" s="158" t="s">
        <v>7</v>
      </c>
      <c r="F41" s="157" t="s">
        <v>8</v>
      </c>
      <c r="G41" s="145"/>
      <c r="H41" s="158" t="s">
        <v>9</v>
      </c>
      <c r="I41" s="146" t="s">
        <v>10</v>
      </c>
      <c r="J41" s="146" t="s">
        <v>11</v>
      </c>
      <c r="K41" s="147"/>
      <c r="L41" s="147"/>
    </row>
    <row r="42" spans="1:12" ht="15.75" customHeight="1" thickBot="1">
      <c r="A42" s="148"/>
      <c r="B42" s="148"/>
      <c r="C42" s="148"/>
      <c r="D42" s="148"/>
      <c r="E42" s="159"/>
      <c r="F42" s="3" t="s">
        <v>11</v>
      </c>
      <c r="G42" s="3" t="s">
        <v>12</v>
      </c>
      <c r="H42" s="159"/>
      <c r="I42" s="148"/>
      <c r="J42" s="148"/>
      <c r="K42" s="148"/>
      <c r="L42" s="148"/>
    </row>
    <row r="43" spans="1:12" ht="15.75" customHeight="1" thickBot="1">
      <c r="A43" s="4">
        <v>1</v>
      </c>
      <c r="B43" s="4">
        <v>2</v>
      </c>
      <c r="C43" s="4">
        <v>3</v>
      </c>
      <c r="D43" s="4">
        <v>4</v>
      </c>
      <c r="E43" s="4">
        <v>5</v>
      </c>
      <c r="F43" s="4">
        <v>6</v>
      </c>
      <c r="G43" s="4">
        <v>7</v>
      </c>
      <c r="H43" s="4">
        <v>8</v>
      </c>
      <c r="I43" s="4">
        <v>9</v>
      </c>
      <c r="J43" s="4">
        <v>10</v>
      </c>
      <c r="K43" s="4">
        <v>11</v>
      </c>
      <c r="L43" s="4">
        <v>12</v>
      </c>
    </row>
    <row r="44" spans="1:12" ht="15.75" customHeight="1" thickTop="1">
      <c r="A44" s="175">
        <v>5</v>
      </c>
      <c r="B44" s="264" t="s">
        <v>294</v>
      </c>
      <c r="C44" s="252" t="s">
        <v>295</v>
      </c>
      <c r="D44" s="253" t="s">
        <v>283</v>
      </c>
      <c r="E44" s="255">
        <v>7221.46</v>
      </c>
      <c r="F44" s="326">
        <v>6279.16</v>
      </c>
      <c r="G44" s="326">
        <v>1555.54</v>
      </c>
      <c r="H44" s="255"/>
      <c r="I44" s="255"/>
      <c r="J44" s="255">
        <f>E44+F44</f>
        <v>13500.619999999999</v>
      </c>
      <c r="K44" s="255">
        <v>1009.66</v>
      </c>
      <c r="L44" s="255">
        <v>210.34</v>
      </c>
    </row>
    <row r="45" spans="1:12" ht="38.25" customHeight="1">
      <c r="A45" s="162"/>
      <c r="B45" s="301"/>
      <c r="C45" s="302"/>
      <c r="D45" s="255">
        <v>10.58</v>
      </c>
      <c r="E45" s="255">
        <f>E44*D45</f>
        <v>76403.046799999996</v>
      </c>
      <c r="F45" s="255">
        <f>F44*D45</f>
        <v>66433.512799999997</v>
      </c>
      <c r="G45" s="255">
        <f>G44*D45</f>
        <v>16457.6132</v>
      </c>
      <c r="H45" s="255"/>
      <c r="I45" s="255"/>
      <c r="J45" s="255">
        <f t="shared" ref="J45" si="17">J44*$D45</f>
        <v>142836.55959999998</v>
      </c>
      <c r="K45" s="255">
        <f>K44*$D45+22</f>
        <v>10704.202799999999</v>
      </c>
      <c r="L45" s="255">
        <f t="shared" ref="L45" si="18">L44*$D45</f>
        <v>2225.3971999999999</v>
      </c>
    </row>
    <row r="46" spans="1:12" ht="15.75" customHeight="1">
      <c r="A46" s="177"/>
      <c r="B46" s="285" t="s">
        <v>257</v>
      </c>
      <c r="C46" s="298" t="s">
        <v>264</v>
      </c>
      <c r="D46" s="258" t="s">
        <v>63</v>
      </c>
      <c r="E46" s="255"/>
      <c r="F46" s="255"/>
      <c r="G46" s="255"/>
      <c r="H46" s="292">
        <v>5482.51</v>
      </c>
      <c r="I46" s="255">
        <f>H46*0.0704</f>
        <v>385.96870400000006</v>
      </c>
      <c r="J46" s="255">
        <f>I46+H46</f>
        <v>5868.4787040000001</v>
      </c>
      <c r="K46" s="255"/>
      <c r="L46" s="255"/>
    </row>
    <row r="47" spans="1:12" ht="15.75" customHeight="1">
      <c r="A47" s="177"/>
      <c r="B47" s="284"/>
      <c r="C47" s="284"/>
      <c r="D47" s="258">
        <f>0.15*D45</f>
        <v>1.587</v>
      </c>
      <c r="E47" s="255"/>
      <c r="F47" s="255"/>
      <c r="G47" s="255"/>
      <c r="H47" s="255">
        <f>H46*D47</f>
        <v>8700.7433700000001</v>
      </c>
      <c r="I47" s="255">
        <f>I46*D47</f>
        <v>612.5323332480001</v>
      </c>
      <c r="J47" s="255">
        <f>J46*D47</f>
        <v>9313.2757032480004</v>
      </c>
      <c r="K47" s="255"/>
      <c r="L47" s="255"/>
    </row>
    <row r="48" spans="1:12" ht="34.15" customHeight="1">
      <c r="A48" s="177"/>
      <c r="B48" s="285" t="s">
        <v>258</v>
      </c>
      <c r="C48" s="298" t="s">
        <v>256</v>
      </c>
      <c r="D48" s="258" t="s">
        <v>284</v>
      </c>
      <c r="E48" s="255"/>
      <c r="F48" s="255"/>
      <c r="G48" s="255"/>
      <c r="H48" s="292">
        <v>2340</v>
      </c>
      <c r="I48" s="255">
        <f>H48*0.0704</f>
        <v>164.73600000000002</v>
      </c>
      <c r="J48" s="255">
        <f>I48+H48</f>
        <v>2504.7359999999999</v>
      </c>
      <c r="K48" s="287"/>
      <c r="L48" s="287"/>
    </row>
    <row r="49" spans="1:12" ht="43.15" customHeight="1">
      <c r="A49" s="177"/>
      <c r="B49" s="284"/>
      <c r="C49" s="296"/>
      <c r="D49" s="258">
        <f>0.02*D45</f>
        <v>0.21160000000000001</v>
      </c>
      <c r="E49" s="255"/>
      <c r="F49" s="255"/>
      <c r="G49" s="255"/>
      <c r="H49" s="255">
        <f t="shared" ref="H49" si="19">H48*$D49</f>
        <v>495.14400000000001</v>
      </c>
      <c r="I49" s="255">
        <f>I48*$D49</f>
        <v>34.858137600000006</v>
      </c>
      <c r="J49" s="255">
        <f>J48*$D49</f>
        <v>530.00213759999997</v>
      </c>
      <c r="K49" s="255"/>
      <c r="L49" s="255"/>
    </row>
    <row r="50" spans="1:12" ht="15.75" customHeight="1">
      <c r="A50" s="177"/>
      <c r="B50" s="285" t="s">
        <v>41</v>
      </c>
      <c r="C50" s="298" t="s">
        <v>42</v>
      </c>
      <c r="D50" s="258" t="s">
        <v>64</v>
      </c>
      <c r="E50" s="255"/>
      <c r="F50" s="255"/>
      <c r="G50" s="255"/>
      <c r="H50" s="255">
        <v>2.81</v>
      </c>
      <c r="I50" s="255">
        <f>H50*0.0704</f>
        <v>0.19782400000000003</v>
      </c>
      <c r="J50" s="255">
        <f>I50+H50</f>
        <v>3.0078240000000003</v>
      </c>
      <c r="K50" s="287"/>
      <c r="L50" s="287"/>
    </row>
    <row r="51" spans="1:12" ht="15.75" customHeight="1">
      <c r="A51" s="177"/>
      <c r="B51" s="284"/>
      <c r="C51" s="296"/>
      <c r="D51" s="258">
        <f>0.65*D45</f>
        <v>6.8770000000000007</v>
      </c>
      <c r="E51" s="255"/>
      <c r="F51" s="255"/>
      <c r="G51" s="255"/>
      <c r="H51" s="255">
        <f t="shared" ref="H51:J51" si="20">H50*$D51</f>
        <v>19.324370000000002</v>
      </c>
      <c r="I51" s="255">
        <f t="shared" si="20"/>
        <v>1.3604356480000004</v>
      </c>
      <c r="J51" s="255">
        <f t="shared" si="20"/>
        <v>20.684805648000005</v>
      </c>
      <c r="K51" s="255"/>
      <c r="L51" s="255"/>
    </row>
    <row r="52" spans="1:12" ht="15.75" customHeight="1">
      <c r="A52" s="177"/>
      <c r="B52" s="285" t="s">
        <v>260</v>
      </c>
      <c r="C52" s="298" t="s">
        <v>259</v>
      </c>
      <c r="D52" s="258" t="s">
        <v>284</v>
      </c>
      <c r="E52" s="255"/>
      <c r="F52" s="255"/>
      <c r="G52" s="255"/>
      <c r="H52" s="292">
        <v>26.58</v>
      </c>
      <c r="I52" s="255">
        <f>H52*0.0704</f>
        <v>1.871232</v>
      </c>
      <c r="J52" s="255">
        <f>I52+H52</f>
        <v>28.451231999999997</v>
      </c>
      <c r="K52" s="287"/>
      <c r="L52" s="287"/>
    </row>
    <row r="53" spans="1:12" ht="15.75" customHeight="1">
      <c r="A53" s="177"/>
      <c r="B53" s="284"/>
      <c r="C53" s="296"/>
      <c r="D53" s="258">
        <f>0.1*D45</f>
        <v>1.0580000000000001</v>
      </c>
      <c r="E53" s="255"/>
      <c r="F53" s="255"/>
      <c r="G53" s="255"/>
      <c r="H53" s="255">
        <f t="shared" ref="H53:J53" si="21">H52*$D53</f>
        <v>28.121639999999999</v>
      </c>
      <c r="I53" s="255">
        <f t="shared" si="21"/>
        <v>1.9797634560000001</v>
      </c>
      <c r="J53" s="255">
        <f t="shared" si="21"/>
        <v>30.101403456</v>
      </c>
      <c r="K53" s="255"/>
      <c r="L53" s="255"/>
    </row>
    <row r="54" spans="1:12" ht="15.75" customHeight="1">
      <c r="A54" s="177"/>
      <c r="B54" s="285" t="s">
        <v>266</v>
      </c>
      <c r="C54" s="298" t="s">
        <v>265</v>
      </c>
      <c r="D54" s="258" t="s">
        <v>271</v>
      </c>
      <c r="E54" s="255"/>
      <c r="F54" s="255"/>
      <c r="G54" s="255"/>
      <c r="H54" s="255">
        <v>30.14</v>
      </c>
      <c r="I54" s="255">
        <f>H54*0.0704</f>
        <v>2.1218560000000002</v>
      </c>
      <c r="J54" s="255">
        <f>I54+H54</f>
        <v>32.261856000000002</v>
      </c>
      <c r="K54" s="287"/>
      <c r="L54" s="287"/>
    </row>
    <row r="55" spans="1:12" ht="15.75" customHeight="1">
      <c r="A55" s="177"/>
      <c r="B55" s="284"/>
      <c r="C55" s="296"/>
      <c r="D55" s="258">
        <f>ROUNDUP(4*D45,0)</f>
        <v>43</v>
      </c>
      <c r="E55" s="255"/>
      <c r="F55" s="255"/>
      <c r="G55" s="255"/>
      <c r="H55" s="255">
        <f t="shared" ref="H55:J55" si="22">H54*$D55</f>
        <v>1296.02</v>
      </c>
      <c r="I55" s="255">
        <f t="shared" si="22"/>
        <v>91.239808000000011</v>
      </c>
      <c r="J55" s="255">
        <f t="shared" si="22"/>
        <v>1387.259808</v>
      </c>
      <c r="K55" s="255"/>
      <c r="L55" s="255"/>
    </row>
    <row r="56" spans="1:12" ht="15.75" customHeight="1">
      <c r="A56" s="177"/>
      <c r="B56" s="286" t="s">
        <v>44</v>
      </c>
      <c r="C56" s="298" t="s">
        <v>45</v>
      </c>
      <c r="D56" s="258" t="s">
        <v>64</v>
      </c>
      <c r="E56" s="255"/>
      <c r="F56" s="255"/>
      <c r="G56" s="255"/>
      <c r="H56" s="255">
        <v>1.26</v>
      </c>
      <c r="I56" s="255">
        <f>H56*0.0704</f>
        <v>8.8704000000000005E-2</v>
      </c>
      <c r="J56" s="255">
        <f>I56+H56</f>
        <v>1.3487040000000001</v>
      </c>
      <c r="K56" s="287"/>
      <c r="L56" s="287"/>
    </row>
    <row r="57" spans="1:12" ht="15.75" customHeight="1">
      <c r="A57" s="177"/>
      <c r="B57" s="284"/>
      <c r="C57" s="296"/>
      <c r="D57" s="258">
        <f>375*D45</f>
        <v>3967.5</v>
      </c>
      <c r="E57" s="255"/>
      <c r="F57" s="255"/>
      <c r="G57" s="255"/>
      <c r="H57" s="255">
        <f t="shared" ref="H57:J57" si="23">H56*$D57</f>
        <v>4999.05</v>
      </c>
      <c r="I57" s="255">
        <f t="shared" si="23"/>
        <v>351.93312000000003</v>
      </c>
      <c r="J57" s="255">
        <f t="shared" si="23"/>
        <v>5350.9831200000008</v>
      </c>
      <c r="K57" s="255"/>
      <c r="L57" s="255"/>
    </row>
    <row r="58" spans="1:12" ht="39" customHeight="1">
      <c r="A58" s="177"/>
      <c r="B58" s="285" t="s">
        <v>262</v>
      </c>
      <c r="C58" s="298" t="s">
        <v>261</v>
      </c>
      <c r="D58" s="258" t="s">
        <v>64</v>
      </c>
      <c r="E58" s="255"/>
      <c r="F58" s="255"/>
      <c r="G58" s="255"/>
      <c r="H58" s="255">
        <v>84.92</v>
      </c>
      <c r="I58" s="255">
        <f>H58*0.0704</f>
        <v>5.9783680000000006</v>
      </c>
      <c r="J58" s="255">
        <f>I58+H58</f>
        <v>90.898368000000005</v>
      </c>
      <c r="K58" s="287"/>
      <c r="L58" s="287"/>
    </row>
    <row r="59" spans="1:12" ht="15.75" customHeight="1">
      <c r="A59" s="177"/>
      <c r="B59" s="284"/>
      <c r="C59" s="296"/>
      <c r="D59" s="258">
        <f>20*D45</f>
        <v>211.6</v>
      </c>
      <c r="E59" s="255"/>
      <c r="F59" s="255"/>
      <c r="G59" s="255"/>
      <c r="H59" s="255">
        <f>H58*D59</f>
        <v>17969.072</v>
      </c>
      <c r="I59" s="255">
        <f t="shared" ref="I59:J59" si="24">I58*$D59</f>
        <v>1265.0226688</v>
      </c>
      <c r="J59" s="255">
        <f t="shared" si="24"/>
        <v>19234.0946688</v>
      </c>
      <c r="K59" s="255"/>
      <c r="L59" s="255"/>
    </row>
    <row r="60" spans="1:12" ht="15.75" customHeight="1">
      <c r="A60" s="177"/>
      <c r="B60" s="285" t="s">
        <v>316</v>
      </c>
      <c r="C60" s="298" t="s">
        <v>315</v>
      </c>
      <c r="D60" s="258" t="s">
        <v>271</v>
      </c>
      <c r="E60" s="255"/>
      <c r="F60" s="255"/>
      <c r="G60" s="255"/>
      <c r="H60" s="255">
        <f>(65962-437)*0.001226</f>
        <v>80.333650000000006</v>
      </c>
      <c r="I60" s="255">
        <f>H60*0.0704</f>
        <v>5.6554889600000005</v>
      </c>
      <c r="J60" s="255">
        <f>I60+H60</f>
        <v>85.989138960000005</v>
      </c>
      <c r="K60" s="287"/>
      <c r="L60" s="287"/>
    </row>
    <row r="61" spans="1:12" ht="15.75" customHeight="1">
      <c r="A61" s="177"/>
      <c r="B61" s="284"/>
      <c r="C61" s="296"/>
      <c r="D61" s="258">
        <f>D45*1000</f>
        <v>10580</v>
      </c>
      <c r="E61" s="255"/>
      <c r="F61" s="255"/>
      <c r="G61" s="255"/>
      <c r="H61" s="255">
        <f>H60*D61</f>
        <v>849930.01700000011</v>
      </c>
      <c r="I61" s="255">
        <f t="shared" ref="I61:J61" si="25">I60*$D61</f>
        <v>59835.073196800004</v>
      </c>
      <c r="J61" s="255">
        <f t="shared" si="25"/>
        <v>909765.09019680007</v>
      </c>
      <c r="K61" s="255"/>
      <c r="L61" s="255"/>
    </row>
    <row r="62" spans="1:12" ht="15.75" customHeight="1">
      <c r="A62" s="177"/>
      <c r="B62" s="285" t="s">
        <v>274</v>
      </c>
      <c r="C62" s="297" t="s">
        <v>267</v>
      </c>
      <c r="D62" s="258" t="s">
        <v>46</v>
      </c>
      <c r="E62" s="255"/>
      <c r="F62" s="255"/>
      <c r="G62" s="255"/>
      <c r="H62" s="255">
        <v>30.56</v>
      </c>
      <c r="I62" s="255">
        <f>H62*0.0704</f>
        <v>2.151424</v>
      </c>
      <c r="J62" s="255">
        <f>I62+H62</f>
        <v>32.711424000000001</v>
      </c>
      <c r="K62" s="287"/>
      <c r="L62" s="287"/>
    </row>
    <row r="63" spans="1:12" ht="15.75" customHeight="1">
      <c r="A63" s="177"/>
      <c r="B63" s="284"/>
      <c r="C63" s="296"/>
      <c r="D63" s="258">
        <f>ROUNDUP(D61/3.5,0)</f>
        <v>3023</v>
      </c>
      <c r="E63" s="255"/>
      <c r="F63" s="255"/>
      <c r="G63" s="255"/>
      <c r="H63" s="255">
        <f>H62*D63</f>
        <v>92382.87999999999</v>
      </c>
      <c r="I63" s="255">
        <f t="shared" ref="I63:J63" si="26">I62*$D63</f>
        <v>6503.7547519999998</v>
      </c>
      <c r="J63" s="255">
        <f t="shared" si="26"/>
        <v>98886.634751999998</v>
      </c>
      <c r="K63" s="255"/>
      <c r="L63" s="255"/>
    </row>
    <row r="64" spans="1:12" ht="15.75" customHeight="1">
      <c r="A64" s="177"/>
      <c r="B64" s="285" t="s">
        <v>273</v>
      </c>
      <c r="C64" s="298" t="s">
        <v>268</v>
      </c>
      <c r="D64" s="258" t="s">
        <v>64</v>
      </c>
      <c r="E64" s="255"/>
      <c r="F64" s="255"/>
      <c r="G64" s="255"/>
      <c r="H64" s="255">
        <f>(20537-15)*0.001226*(300/50)</f>
        <v>150.95983200000001</v>
      </c>
      <c r="I64" s="255">
        <f>H64*0.0704</f>
        <v>10.627572172800001</v>
      </c>
      <c r="J64" s="255">
        <f>I64+H64</f>
        <v>161.58740417280001</v>
      </c>
      <c r="K64" s="287"/>
      <c r="L64" s="287"/>
    </row>
    <row r="65" spans="1:12" ht="15.75" customHeight="1">
      <c r="A65" s="177"/>
      <c r="B65" s="284"/>
      <c r="C65" s="296"/>
      <c r="D65" s="258">
        <v>8</v>
      </c>
      <c r="E65" s="255"/>
      <c r="F65" s="255"/>
      <c r="G65" s="255"/>
      <c r="H65" s="255">
        <f>H64*D65</f>
        <v>1207.678656</v>
      </c>
      <c r="I65" s="255">
        <f t="shared" ref="I65:J65" si="27">I64*$D65</f>
        <v>85.020577382400006</v>
      </c>
      <c r="J65" s="255">
        <f t="shared" si="27"/>
        <v>1292.6992333824001</v>
      </c>
      <c r="K65" s="255"/>
      <c r="L65" s="255"/>
    </row>
    <row r="66" spans="1:12" ht="15.75" customHeight="1">
      <c r="A66" s="177"/>
      <c r="B66" s="285" t="s">
        <v>272</v>
      </c>
      <c r="C66" s="298" t="s">
        <v>269</v>
      </c>
      <c r="D66" s="299" t="s">
        <v>46</v>
      </c>
      <c r="E66" s="288"/>
      <c r="F66" s="288"/>
      <c r="G66" s="288"/>
      <c r="H66" s="288">
        <f>(1304190-4273)*0.001226</f>
        <v>1593.6982420000002</v>
      </c>
      <c r="I66" s="288">
        <f>H66*0.0704</f>
        <v>112.19635623680001</v>
      </c>
      <c r="J66" s="288">
        <f>I66+H66</f>
        <v>1705.8945982368002</v>
      </c>
      <c r="K66" s="289"/>
      <c r="L66" s="289"/>
    </row>
    <row r="67" spans="1:12" ht="15.75" customHeight="1">
      <c r="A67" s="177"/>
      <c r="B67" s="284"/>
      <c r="C67" s="296"/>
      <c r="D67" s="300">
        <v>1</v>
      </c>
      <c r="E67" s="290"/>
      <c r="F67" s="290"/>
      <c r="G67" s="290"/>
      <c r="H67" s="290">
        <f t="shared" ref="H67:J67" si="28">H66*$D67</f>
        <v>1593.6982420000002</v>
      </c>
      <c r="I67" s="290">
        <f t="shared" si="28"/>
        <v>112.19635623680001</v>
      </c>
      <c r="J67" s="290">
        <f t="shared" si="28"/>
        <v>1705.8945982368002</v>
      </c>
      <c r="K67" s="290"/>
      <c r="L67" s="290"/>
    </row>
    <row r="68" spans="1:12" ht="15.75" customHeight="1">
      <c r="A68" s="177"/>
      <c r="B68" s="285" t="s">
        <v>276</v>
      </c>
      <c r="C68" s="298" t="s">
        <v>275</v>
      </c>
      <c r="D68" s="300" t="s">
        <v>64</v>
      </c>
      <c r="E68" s="290"/>
      <c r="F68" s="290"/>
      <c r="G68" s="290"/>
      <c r="H68" s="290">
        <f>3.17*0.532</f>
        <v>1.6864400000000002</v>
      </c>
      <c r="I68" s="290">
        <f>H68*0.0704</f>
        <v>0.11872537600000002</v>
      </c>
      <c r="J68" s="290">
        <f>I68+H68</f>
        <v>1.8051653760000002</v>
      </c>
      <c r="K68" s="290"/>
      <c r="L68" s="290"/>
    </row>
    <row r="69" spans="1:12" ht="15.75" customHeight="1" thickBot="1">
      <c r="A69" s="176"/>
      <c r="B69" s="260"/>
      <c r="C69" s="338"/>
      <c r="D69" s="260">
        <f>D63*0.002658</f>
        <v>8.0351340000000011</v>
      </c>
      <c r="E69" s="289"/>
      <c r="F69" s="289"/>
      <c r="G69" s="289"/>
      <c r="H69" s="289">
        <f t="shared" ref="H69:J69" si="29">H68*$D69</f>
        <v>13.550771382960002</v>
      </c>
      <c r="I69" s="289">
        <f t="shared" si="29"/>
        <v>0.9539743053603843</v>
      </c>
      <c r="J69" s="289">
        <f t="shared" si="29"/>
        <v>14.504745688320387</v>
      </c>
      <c r="K69" s="289"/>
      <c r="L69" s="289"/>
    </row>
    <row r="70" spans="1:12" ht="15.75" customHeight="1">
      <c r="A70" s="339" t="s">
        <v>200</v>
      </c>
      <c r="B70" s="340"/>
      <c r="C70" s="340"/>
      <c r="D70" s="341"/>
      <c r="E70" s="341">
        <f>E45</f>
        <v>76403.046799999996</v>
      </c>
      <c r="F70" s="341">
        <f t="shared" ref="F70:G70" si="30">F45</f>
        <v>66433.512799999997</v>
      </c>
      <c r="G70" s="341">
        <f t="shared" si="30"/>
        <v>16457.6132</v>
      </c>
      <c r="H70" s="341">
        <f>H47+H49+H51+H53+H55+H57+H59+H61+H63+H65+H67+H69</f>
        <v>978635.30004938296</v>
      </c>
      <c r="I70" s="341">
        <f t="shared" ref="I70" si="31">I47+I49+I51+I53+I55+I57+I59+I61+I63+I65+I67+I69</f>
        <v>68895.925123476569</v>
      </c>
      <c r="J70" s="341">
        <f t="shared" ref="J70" si="32">J47+J49+J51+J53+J55+J57+J59+J61+J63+J65+J67+J69</f>
        <v>1047531.2251728595</v>
      </c>
      <c r="K70" s="341">
        <f>K45</f>
        <v>10704.202799999999</v>
      </c>
      <c r="L70" s="342">
        <f>L45</f>
        <v>2225.3971999999999</v>
      </c>
    </row>
    <row r="71" spans="1:12" ht="15.75" customHeight="1">
      <c r="A71" s="343" t="s">
        <v>313</v>
      </c>
      <c r="B71" s="344"/>
      <c r="C71" s="344"/>
      <c r="D71" s="345"/>
      <c r="E71" s="346">
        <f>E44</f>
        <v>7221.46</v>
      </c>
      <c r="F71" s="346">
        <f t="shared" ref="F71:G71" si="33">F44</f>
        <v>6279.16</v>
      </c>
      <c r="G71" s="346">
        <f t="shared" si="33"/>
        <v>1555.54</v>
      </c>
      <c r="H71" s="346">
        <f>H46+H48+H50+H52+H54+H56+H58+H60+H62+H64+H66+H68</f>
        <v>9825.4581640000015</v>
      </c>
      <c r="I71" s="346">
        <f t="shared" ref="I71:J71" si="34">I46+I48+I50+I52+I54+I56+I58+I60+I62+I64+I66+I68</f>
        <v>691.71225474560015</v>
      </c>
      <c r="J71" s="346">
        <f t="shared" si="34"/>
        <v>10517.170418745598</v>
      </c>
      <c r="K71" s="346">
        <f>K44</f>
        <v>1009.66</v>
      </c>
      <c r="L71" s="347">
        <f>L44</f>
        <v>210.34</v>
      </c>
    </row>
    <row r="72" spans="1:12" ht="15.75" customHeight="1">
      <c r="A72" s="348" t="s">
        <v>34</v>
      </c>
      <c r="B72" s="344"/>
      <c r="C72" s="344"/>
      <c r="D72" s="345"/>
      <c r="E72" s="345"/>
      <c r="F72" s="345"/>
      <c r="G72" s="345"/>
      <c r="H72" s="345"/>
      <c r="I72" s="345"/>
      <c r="J72" s="349">
        <f>(E70+G70)*0.5748</f>
        <v>53376.307368000002</v>
      </c>
      <c r="K72" s="345"/>
      <c r="L72" s="350"/>
    </row>
    <row r="73" spans="1:12" ht="15.75" customHeight="1">
      <c r="A73" s="348" t="s">
        <v>201</v>
      </c>
      <c r="B73" s="344"/>
      <c r="C73" s="344"/>
      <c r="D73" s="345"/>
      <c r="E73" s="345"/>
      <c r="F73" s="345"/>
      <c r="G73" s="345"/>
      <c r="H73" s="345"/>
      <c r="I73" s="345"/>
      <c r="J73" s="349">
        <f>(E70+G70)*0.6354</f>
        <v>59003.663364</v>
      </c>
      <c r="K73" s="345"/>
      <c r="L73" s="350"/>
    </row>
    <row r="74" spans="1:12" ht="15.75" customHeight="1">
      <c r="A74" s="348" t="s">
        <v>202</v>
      </c>
      <c r="B74" s="344"/>
      <c r="C74" s="344"/>
      <c r="D74" s="345"/>
      <c r="E74" s="345"/>
      <c r="F74" s="345"/>
      <c r="G74" s="345"/>
      <c r="H74" s="345"/>
      <c r="I74" s="345"/>
      <c r="J74" s="346">
        <f>J70+J72+J73</f>
        <v>1159911.1959048593</v>
      </c>
      <c r="K74" s="345"/>
      <c r="L74" s="350"/>
    </row>
    <row r="75" spans="1:12" ht="15.75" customHeight="1">
      <c r="A75" s="348" t="s">
        <v>203</v>
      </c>
      <c r="B75" s="344"/>
      <c r="C75" s="344"/>
      <c r="D75" s="345"/>
      <c r="E75" s="345"/>
      <c r="F75" s="345"/>
      <c r="G75" s="345"/>
      <c r="H75" s="345"/>
      <c r="I75" s="345"/>
      <c r="J75" s="346">
        <f>K70</f>
        <v>10704.202799999999</v>
      </c>
      <c r="K75" s="345"/>
      <c r="L75" s="350"/>
    </row>
    <row r="76" spans="1:12" ht="15.75" customHeight="1" thickBot="1">
      <c r="A76" s="351" t="s">
        <v>204</v>
      </c>
      <c r="B76" s="352"/>
      <c r="C76" s="352"/>
      <c r="D76" s="353"/>
      <c r="E76" s="353"/>
      <c r="F76" s="353"/>
      <c r="G76" s="353"/>
      <c r="H76" s="353"/>
      <c r="I76" s="353"/>
      <c r="J76" s="354">
        <f>L70</f>
        <v>2225.3971999999999</v>
      </c>
      <c r="K76" s="353"/>
      <c r="L76" s="355"/>
    </row>
    <row r="77" spans="1:12" ht="15.75" customHeight="1"/>
    <row r="78" spans="1:12" ht="47.25">
      <c r="C78" s="356" t="s">
        <v>314</v>
      </c>
      <c r="D78" s="298" t="s">
        <v>315</v>
      </c>
      <c r="K78" s="111"/>
    </row>
    <row r="79" spans="1:12" ht="15.75" customHeight="1">
      <c r="A79" s="2" t="s">
        <v>205</v>
      </c>
      <c r="B79" s="2" t="s">
        <v>206</v>
      </c>
      <c r="C79" s="94">
        <f>J31+J33</f>
        <v>1085010.0731242197</v>
      </c>
      <c r="D79" s="94">
        <f>J70+J72</f>
        <v>1100907.5325408594</v>
      </c>
    </row>
    <row r="80" spans="1:12" ht="15.75" customHeight="1"/>
    <row r="81" spans="2:9" ht="15.75" customHeight="1"/>
    <row r="82" spans="2:9" ht="15.75" customHeight="1"/>
    <row r="83" spans="2:9" ht="15.75" customHeight="1">
      <c r="B83" s="2" t="s">
        <v>207</v>
      </c>
      <c r="C83" s="2" t="s">
        <v>208</v>
      </c>
      <c r="E83" s="2" t="s">
        <v>209</v>
      </c>
      <c r="F83" s="2" t="s">
        <v>210</v>
      </c>
      <c r="G83" s="2" t="s">
        <v>211</v>
      </c>
      <c r="H83" s="2" t="s">
        <v>212</v>
      </c>
      <c r="I83" s="2" t="s">
        <v>213</v>
      </c>
    </row>
    <row r="84" spans="2:9" ht="15.75" customHeight="1">
      <c r="B84" s="2">
        <f>C79*D6</f>
        <v>11479406.573654244</v>
      </c>
      <c r="C84" s="2">
        <f>D79*D45</f>
        <v>11647601.694282293</v>
      </c>
      <c r="E84" s="2">
        <f>C84-B84</f>
        <v>168195.1206280496</v>
      </c>
      <c r="F84" s="2">
        <f>0.15*'сводный сметный'!H76*(1-G88/G89)</f>
        <v>2.0911958416273468</v>
      </c>
      <c r="G84" s="2">
        <f>E86+F84</f>
        <v>170.28631646967696</v>
      </c>
      <c r="H84" s="2">
        <f>смета!J307/1000</f>
        <v>1609.1685316440153</v>
      </c>
      <c r="I84" s="2">
        <f>G84/H84*100</f>
        <v>10.58225494229017</v>
      </c>
    </row>
    <row r="85" spans="2:9" ht="15.75" customHeight="1">
      <c r="E85" s="2" t="s">
        <v>214</v>
      </c>
      <c r="F85" s="111"/>
    </row>
    <row r="86" spans="2:9" ht="15.75" customHeight="1">
      <c r="E86" s="2">
        <f>E84/1000</f>
        <v>168.19512062804961</v>
      </c>
    </row>
    <row r="87" spans="2:9" ht="15.75" customHeight="1"/>
    <row r="88" spans="2:9" ht="15.75" customHeight="1">
      <c r="F88" s="2" t="s">
        <v>215</v>
      </c>
      <c r="G88" s="2">
        <v>147</v>
      </c>
    </row>
    <row r="89" spans="2:9" ht="15.75" customHeight="1">
      <c r="F89" s="99" t="s">
        <v>216</v>
      </c>
      <c r="G89" s="2">
        <f>G88+G88*0.1</f>
        <v>161.69999999999999</v>
      </c>
    </row>
    <row r="90" spans="2:9" ht="15.75" customHeight="1"/>
    <row r="91" spans="2:9" ht="15.75" customHeight="1"/>
    <row r="92" spans="2:9" ht="15.75" customHeight="1"/>
    <row r="93" spans="2:9" ht="15.75" customHeight="1"/>
    <row r="94" spans="2:9" ht="15.75" customHeight="1"/>
    <row r="95" spans="2:9" ht="15.75" customHeight="1"/>
    <row r="96" spans="2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44">
    <mergeCell ref="A73:C73"/>
    <mergeCell ref="A74:C74"/>
    <mergeCell ref="A75:C75"/>
    <mergeCell ref="A76:C76"/>
    <mergeCell ref="D40:D42"/>
    <mergeCell ref="E40:J40"/>
    <mergeCell ref="K40:K42"/>
    <mergeCell ref="L40:L42"/>
    <mergeCell ref="E41:E42"/>
    <mergeCell ref="F41:G41"/>
    <mergeCell ref="H41:H42"/>
    <mergeCell ref="I41:I42"/>
    <mergeCell ref="J41:J42"/>
    <mergeCell ref="A36:C36"/>
    <mergeCell ref="A37:C37"/>
    <mergeCell ref="A40:A42"/>
    <mergeCell ref="B40:B42"/>
    <mergeCell ref="C40:C42"/>
    <mergeCell ref="A31:C31"/>
    <mergeCell ref="A32:C32"/>
    <mergeCell ref="A33:C33"/>
    <mergeCell ref="A34:C34"/>
    <mergeCell ref="A35:C35"/>
    <mergeCell ref="A1:A3"/>
    <mergeCell ref="B1:B3"/>
    <mergeCell ref="C1:C3"/>
    <mergeCell ref="D1:D3"/>
    <mergeCell ref="E1:J1"/>
    <mergeCell ref="A5:A30"/>
    <mergeCell ref="B5:B6"/>
    <mergeCell ref="C5:C6"/>
    <mergeCell ref="K1:K3"/>
    <mergeCell ref="L1:L3"/>
    <mergeCell ref="J2:J3"/>
    <mergeCell ref="E2:E3"/>
    <mergeCell ref="F2:G2"/>
    <mergeCell ref="H2:H3"/>
    <mergeCell ref="I2:I3"/>
    <mergeCell ref="B44:B45"/>
    <mergeCell ref="C44:C45"/>
    <mergeCell ref="A44:A69"/>
    <mergeCell ref="A70:C70"/>
    <mergeCell ref="A71:C71"/>
    <mergeCell ref="A72:C7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tabSelected="1" workbookViewId="0">
      <selection activeCell="E19" sqref="E19"/>
    </sheetView>
  </sheetViews>
  <sheetFormatPr defaultColWidth="12.625" defaultRowHeight="15" customHeight="1"/>
  <cols>
    <col min="1" max="1" width="43.25" customWidth="1"/>
    <col min="2" max="2" width="13" customWidth="1"/>
    <col min="3" max="3" width="43.5" customWidth="1"/>
    <col min="4" max="4" width="19.875" customWidth="1"/>
    <col min="5" max="26" width="7.625" customWidth="1"/>
  </cols>
  <sheetData>
    <row r="1" spans="1:6">
      <c r="A1" s="100" t="s">
        <v>217</v>
      </c>
      <c r="B1" s="101" t="s">
        <v>218</v>
      </c>
      <c r="C1" s="101" t="s">
        <v>219</v>
      </c>
      <c r="D1" s="102" t="s">
        <v>220</v>
      </c>
    </row>
    <row r="2" spans="1:6">
      <c r="A2" s="103" t="s">
        <v>221</v>
      </c>
      <c r="B2" s="104" t="s">
        <v>222</v>
      </c>
      <c r="C2" s="2" t="s">
        <v>223</v>
      </c>
      <c r="D2" s="105">
        <f>'сводный сметный'!K76</f>
        <v>2131.6595383936251</v>
      </c>
      <c r="E2" s="98"/>
    </row>
    <row r="3" spans="1:6">
      <c r="A3" s="103" t="s">
        <v>224</v>
      </c>
      <c r="B3" s="2" t="s">
        <v>225</v>
      </c>
      <c r="C3" s="2" t="s">
        <v>226</v>
      </c>
      <c r="D3" s="105">
        <f>'сводный сметный'!L45</f>
        <v>1789.1467514396284</v>
      </c>
    </row>
    <row r="4" spans="1:6">
      <c r="A4" s="103" t="s">
        <v>227</v>
      </c>
      <c r="B4" s="2" t="s">
        <v>225</v>
      </c>
      <c r="C4" s="2" t="s">
        <v>228</v>
      </c>
      <c r="D4" s="105">
        <f>'сводный сметный'!K43</f>
        <v>98.690109334798109</v>
      </c>
    </row>
    <row r="5" spans="1:6">
      <c r="A5" s="103" t="s">
        <v>229</v>
      </c>
      <c r="B5" s="2" t="s">
        <v>230</v>
      </c>
      <c r="C5" s="2" t="s">
        <v>231</v>
      </c>
      <c r="D5" s="105">
        <v>13934</v>
      </c>
    </row>
    <row r="6" spans="1:6" ht="30">
      <c r="A6" s="103" t="s">
        <v>232</v>
      </c>
      <c r="B6" s="2" t="s">
        <v>233</v>
      </c>
      <c r="C6" s="2" t="s">
        <v>234</v>
      </c>
      <c r="D6" s="106">
        <f>D2/D5</f>
        <v>0.15298259928187349</v>
      </c>
      <c r="F6">
        <f>D5/100</f>
        <v>139.34</v>
      </c>
    </row>
    <row r="7" spans="1:6" ht="30">
      <c r="A7" s="103" t="s">
        <v>235</v>
      </c>
      <c r="B7" s="2" t="s">
        <v>225</v>
      </c>
      <c r="C7" s="2" t="s">
        <v>236</v>
      </c>
      <c r="D7" s="106">
        <f>D3/D5</f>
        <v>0.12840151797327604</v>
      </c>
    </row>
    <row r="8" spans="1:6">
      <c r="A8" s="103" t="s">
        <v>237</v>
      </c>
      <c r="B8" s="2" t="s">
        <v>238</v>
      </c>
      <c r="C8" s="2" t="s">
        <v>239</v>
      </c>
      <c r="D8" s="105">
        <f>'сводный сметный'!K77/8</f>
        <v>4432.8209280061164</v>
      </c>
    </row>
    <row r="9" spans="1:6">
      <c r="A9" s="103" t="s">
        <v>240</v>
      </c>
      <c r="B9" s="2" t="s">
        <v>241</v>
      </c>
      <c r="C9" s="2" t="s">
        <v>242</v>
      </c>
      <c r="D9" s="110">
        <f>D2/D8</f>
        <v>0.48088104009029886</v>
      </c>
    </row>
    <row r="10" spans="1:6">
      <c r="A10" s="103" t="s">
        <v>243</v>
      </c>
      <c r="B10" s="2" t="s">
        <v>225</v>
      </c>
      <c r="C10" s="2" t="s">
        <v>244</v>
      </c>
      <c r="D10" s="105">
        <f>'сводный сметный'!L77</f>
        <v>354.37118048294025</v>
      </c>
    </row>
    <row r="11" spans="1:6">
      <c r="A11" s="103" t="s">
        <v>245</v>
      </c>
      <c r="B11" s="2" t="s">
        <v>225</v>
      </c>
      <c r="C11" s="2" t="s">
        <v>246</v>
      </c>
      <c r="D11" s="109">
        <f>D10/D8-0.003</f>
        <v>7.6942588757434066E-2</v>
      </c>
    </row>
    <row r="12" spans="1:6">
      <c r="A12" s="103" t="s">
        <v>247</v>
      </c>
      <c r="B12" s="2" t="s">
        <v>248</v>
      </c>
      <c r="C12" s="2" t="s">
        <v>249</v>
      </c>
      <c r="D12" s="95">
        <v>150</v>
      </c>
    </row>
    <row r="13" spans="1:6">
      <c r="A13" s="103" t="s">
        <v>250</v>
      </c>
      <c r="B13" s="2" t="s">
        <v>248</v>
      </c>
      <c r="C13" s="2" t="s">
        <v>251</v>
      </c>
      <c r="D13" s="95">
        <v>147</v>
      </c>
    </row>
    <row r="14" spans="1:6">
      <c r="A14" s="107" t="s">
        <v>252</v>
      </c>
      <c r="B14" s="96" t="s">
        <v>96</v>
      </c>
      <c r="C14" s="96" t="s">
        <v>253</v>
      </c>
      <c r="D14" s="108">
        <f>варианты!I84</f>
        <v>10.58225494229017</v>
      </c>
      <c r="E14" s="9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смета</vt:lpstr>
      <vt:lpstr>ведомость</vt:lpstr>
      <vt:lpstr>сводный сметный</vt:lpstr>
      <vt:lpstr>варианты</vt:lpstr>
      <vt:lpstr>ТЭП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 Bogdanov</dc:creator>
  <cp:lastModifiedBy>Kostya</cp:lastModifiedBy>
  <dcterms:created xsi:type="dcterms:W3CDTF">2015-06-05T18:17:20Z</dcterms:created>
  <dcterms:modified xsi:type="dcterms:W3CDTF">2021-06-12T12:12:11Z</dcterms:modified>
</cp:coreProperties>
</file>