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diplom\ASK_Diplom\documentation\calculation\"/>
    </mc:Choice>
  </mc:AlternateContent>
  <xr:revisionPtr revIDLastSave="0" documentId="13_ncr:1_{9FABE397-1391-468E-B806-E036A93B5A93}" xr6:coauthVersionLast="46" xr6:coauthVersionMax="46" xr10:uidLastSave="{00000000-0000-0000-0000-000000000000}"/>
  <bookViews>
    <workbookView xWindow="-120" yWindow="-120" windowWidth="29040" windowHeight="15840" firstSheet="3" activeTab="8" xr2:uid="{00000000-000D-0000-FFFF-FFFF00000000}"/>
  </bookViews>
  <sheets>
    <sheet name="gazProperties" sheetId="1" r:id="rId1"/>
    <sheet name="расчетКол-ваЖит" sheetId="2" r:id="rId2"/>
    <sheet name="плотностьНаселения" sheetId="3" r:id="rId3"/>
    <sheet name="GRP" sheetId="4" r:id="rId4"/>
    <sheet name="расходГазаПотребителями" sheetId="5" r:id="rId5"/>
    <sheet name="РасхСосредоточПотреб" sheetId="6" r:id="rId6"/>
    <sheet name="РасчРасхСосредоточПотр" sheetId="7" r:id="rId7"/>
    <sheet name="ЧасовыеРасходы" sheetId="8" r:id="rId8"/>
    <sheet name="КольцевойРасчет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9" l="1"/>
  <c r="C46" i="9"/>
  <c r="H46" i="9" s="1"/>
  <c r="C45" i="9"/>
  <c r="H45" i="9" s="1"/>
  <c r="C44" i="9"/>
  <c r="H44" i="9" s="1"/>
  <c r="C43" i="9"/>
  <c r="H43" i="9" s="1"/>
  <c r="C42" i="9"/>
  <c r="H42" i="9" s="1"/>
  <c r="C41" i="9"/>
  <c r="H41" i="9" s="1"/>
  <c r="C40" i="9"/>
  <c r="H40" i="9" s="1"/>
  <c r="C37" i="9"/>
  <c r="H37" i="9" s="1"/>
  <c r="C38" i="9"/>
  <c r="H38" i="9" s="1"/>
  <c r="C36" i="9"/>
  <c r="H36" i="9" s="1"/>
  <c r="C35" i="9"/>
  <c r="H35" i="9" s="1"/>
  <c r="C34" i="9"/>
  <c r="H34" i="9" s="1"/>
  <c r="C33" i="9"/>
  <c r="H33" i="9" s="1"/>
  <c r="J33" i="9" s="1"/>
  <c r="I34" i="9" s="1"/>
  <c r="C30" i="9"/>
  <c r="H30" i="9" s="1"/>
  <c r="C29" i="9"/>
  <c r="H29" i="9" s="1"/>
  <c r="C28" i="9"/>
  <c r="H28" i="9" s="1"/>
  <c r="C27" i="9"/>
  <c r="H27" i="9" s="1"/>
  <c r="C26" i="9"/>
  <c r="H26" i="9" s="1"/>
  <c r="J26" i="9" s="1"/>
  <c r="I27" i="9" s="1"/>
  <c r="B18" i="8"/>
  <c r="B19" i="8" s="1"/>
  <c r="C21" i="9"/>
  <c r="H21" i="9" s="1"/>
  <c r="C22" i="9"/>
  <c r="H22" i="9" s="1"/>
  <c r="C23" i="9"/>
  <c r="H23" i="9" s="1"/>
  <c r="C11" i="9"/>
  <c r="H11" i="9" s="1"/>
  <c r="C12" i="9"/>
  <c r="H12" i="9" s="1"/>
  <c r="C13" i="9"/>
  <c r="H13" i="9" s="1"/>
  <c r="C20" i="9"/>
  <c r="H20" i="9" s="1"/>
  <c r="C19" i="9"/>
  <c r="H19" i="9" s="1"/>
  <c r="C18" i="9"/>
  <c r="H18" i="9" s="1"/>
  <c r="C17" i="9"/>
  <c r="H17" i="9" s="1"/>
  <c r="C16" i="9"/>
  <c r="H16" i="9" s="1"/>
  <c r="C15" i="9"/>
  <c r="H15" i="9" s="1"/>
  <c r="J15" i="9" s="1"/>
  <c r="I16" i="9" s="1"/>
  <c r="C6" i="9"/>
  <c r="H6" i="9" s="1"/>
  <c r="C7" i="9"/>
  <c r="H7" i="9" s="1"/>
  <c r="C8" i="9"/>
  <c r="H8" i="9" s="1"/>
  <c r="C9" i="9"/>
  <c r="H9" i="9" s="1"/>
  <c r="C10" i="9"/>
  <c r="H10" i="9" s="1"/>
  <c r="C5" i="9"/>
  <c r="J5" i="9" s="1"/>
  <c r="B16" i="8"/>
  <c r="I3" i="8"/>
  <c r="K7" i="8"/>
  <c r="K11" i="8"/>
  <c r="I11" i="8"/>
  <c r="I8" i="8"/>
  <c r="K9" i="8"/>
  <c r="I6" i="8"/>
  <c r="K4" i="8"/>
  <c r="E10" i="8"/>
  <c r="C10" i="8"/>
  <c r="E4" i="8"/>
  <c r="E5" i="8"/>
  <c r="E6" i="8"/>
  <c r="E7" i="8"/>
  <c r="E8" i="8"/>
  <c r="E9" i="8"/>
  <c r="E3" i="8"/>
  <c r="C9" i="8"/>
  <c r="C8" i="8"/>
  <c r="C7" i="8"/>
  <c r="C6" i="8"/>
  <c r="C5" i="8"/>
  <c r="C4" i="8"/>
  <c r="C3" i="8"/>
  <c r="B49" i="6"/>
  <c r="B48" i="6"/>
  <c r="B44" i="6"/>
  <c r="B43" i="6"/>
  <c r="F44" i="6"/>
  <c r="B50" i="6"/>
  <c r="B47" i="6"/>
  <c r="F46" i="6"/>
  <c r="J19" i="7"/>
  <c r="I18" i="7"/>
  <c r="I17" i="7"/>
  <c r="I16" i="7"/>
  <c r="G18" i="7"/>
  <c r="H18" i="7"/>
  <c r="J18" i="7" s="1"/>
  <c r="G17" i="7"/>
  <c r="H17" i="7" s="1"/>
  <c r="J17" i="7" s="1"/>
  <c r="G16" i="7"/>
  <c r="H16" i="7"/>
  <c r="J16" i="7" s="1"/>
  <c r="E18" i="7"/>
  <c r="E17" i="7"/>
  <c r="E16" i="7"/>
  <c r="B19" i="6"/>
  <c r="B14" i="6"/>
  <c r="A14" i="6"/>
  <c r="J14" i="7"/>
  <c r="G12" i="7"/>
  <c r="H12" i="7" s="1"/>
  <c r="J12" i="7" s="1"/>
  <c r="I12" i="7"/>
  <c r="G13" i="7"/>
  <c r="H13" i="7"/>
  <c r="I13" i="7"/>
  <c r="J13" i="7"/>
  <c r="G11" i="7"/>
  <c r="H11" i="7" s="1"/>
  <c r="I11" i="7"/>
  <c r="E12" i="7"/>
  <c r="E13" i="7"/>
  <c r="E11" i="7"/>
  <c r="B33" i="6"/>
  <c r="B32" i="6"/>
  <c r="B31" i="6"/>
  <c r="B22" i="6"/>
  <c r="J9" i="7"/>
  <c r="J8" i="7"/>
  <c r="C8" i="7"/>
  <c r="C7" i="6"/>
  <c r="C6" i="6"/>
  <c r="E7" i="7"/>
  <c r="H6" i="7"/>
  <c r="G6" i="7"/>
  <c r="I7" i="7"/>
  <c r="I6" i="7"/>
  <c r="J6" i="7"/>
  <c r="G7" i="7"/>
  <c r="H7" i="7"/>
  <c r="J7" i="7" s="1"/>
  <c r="I5" i="7"/>
  <c r="J5" i="7" s="1"/>
  <c r="H5" i="7"/>
  <c r="G5" i="7"/>
  <c r="E6" i="7"/>
  <c r="E5" i="7"/>
  <c r="B21" i="6"/>
  <c r="B20" i="6"/>
  <c r="B18" i="6"/>
  <c r="B17" i="6"/>
  <c r="B16" i="6"/>
  <c r="B7" i="6"/>
  <c r="B6" i="6"/>
  <c r="F9" i="6"/>
  <c r="H8" i="6"/>
  <c r="B3" i="6"/>
  <c r="B1" i="6"/>
  <c r="E29" i="2"/>
  <c r="H29" i="2"/>
  <c r="E14" i="5"/>
  <c r="G12" i="5"/>
  <c r="E12" i="5"/>
  <c r="I14" i="5"/>
  <c r="H14" i="5"/>
  <c r="G14" i="5"/>
  <c r="I12" i="5"/>
  <c r="H12" i="5"/>
  <c r="J9" i="5"/>
  <c r="J8" i="5"/>
  <c r="I8" i="5"/>
  <c r="H8" i="5"/>
  <c r="H6" i="5"/>
  <c r="G8" i="5"/>
  <c r="G6" i="5"/>
  <c r="E8" i="5"/>
  <c r="I6" i="5"/>
  <c r="J6" i="5"/>
  <c r="E6" i="5"/>
  <c r="N30" i="2"/>
  <c r="R30" i="2"/>
  <c r="S30" i="2"/>
  <c r="T30" i="2"/>
  <c r="U30" i="2"/>
  <c r="Q30" i="2"/>
  <c r="K30" i="2"/>
  <c r="L30" i="2"/>
  <c r="M30" i="2"/>
  <c r="J30" i="2"/>
  <c r="N29" i="2"/>
  <c r="H13" i="2"/>
  <c r="R29" i="2"/>
  <c r="S29" i="2"/>
  <c r="T29" i="2"/>
  <c r="U29" i="2"/>
  <c r="Q29" i="2"/>
  <c r="O29" i="2"/>
  <c r="K29" i="2"/>
  <c r="L29" i="2"/>
  <c r="M29" i="2"/>
  <c r="J29" i="2"/>
  <c r="O8" i="2"/>
  <c r="O9" i="2"/>
  <c r="O10" i="2"/>
  <c r="O11" i="2"/>
  <c r="O12" i="2"/>
  <c r="O7" i="2"/>
  <c r="O22" i="2"/>
  <c r="O23" i="2"/>
  <c r="O24" i="2"/>
  <c r="O25" i="2"/>
  <c r="O21" i="2"/>
  <c r="H27" i="2"/>
  <c r="H28" i="2"/>
  <c r="H26" i="2"/>
  <c r="H14" i="2"/>
  <c r="H15" i="2"/>
  <c r="H16" i="2"/>
  <c r="H17" i="2"/>
  <c r="H18" i="2"/>
  <c r="H19" i="2"/>
  <c r="H20" i="2"/>
  <c r="H3" i="2"/>
  <c r="H4" i="2"/>
  <c r="H5" i="2"/>
  <c r="H6" i="2"/>
  <c r="H2" i="2"/>
  <c r="C29" i="2"/>
  <c r="B1" i="4" s="1"/>
  <c r="D1" i="4" s="1"/>
  <c r="D4" i="2"/>
  <c r="E4" i="2" s="1"/>
  <c r="I4" i="2" s="1"/>
  <c r="D5" i="2"/>
  <c r="E5" i="2" s="1"/>
  <c r="I5" i="2" s="1"/>
  <c r="D6" i="2"/>
  <c r="E6" i="2" s="1"/>
  <c r="I6" i="2" s="1"/>
  <c r="D7" i="2"/>
  <c r="E7" i="2" s="1"/>
  <c r="P7" i="2" s="1"/>
  <c r="D8" i="2"/>
  <c r="E8" i="2" s="1"/>
  <c r="P8" i="2" s="1"/>
  <c r="D9" i="2"/>
  <c r="E9" i="2" s="1"/>
  <c r="P9" i="2" s="1"/>
  <c r="D10" i="2"/>
  <c r="E10" i="2" s="1"/>
  <c r="P10" i="2" s="1"/>
  <c r="D11" i="2"/>
  <c r="E11" i="2" s="1"/>
  <c r="P11" i="2" s="1"/>
  <c r="D12" i="2"/>
  <c r="E12" i="2" s="1"/>
  <c r="P12" i="2" s="1"/>
  <c r="D13" i="2"/>
  <c r="E13" i="2" s="1"/>
  <c r="I13" i="2" s="1"/>
  <c r="D14" i="2"/>
  <c r="E14" i="2" s="1"/>
  <c r="I14" i="2" s="1"/>
  <c r="D15" i="2"/>
  <c r="E15" i="2" s="1"/>
  <c r="I15" i="2" s="1"/>
  <c r="D16" i="2"/>
  <c r="E16" i="2" s="1"/>
  <c r="I16" i="2" s="1"/>
  <c r="D17" i="2"/>
  <c r="E17" i="2" s="1"/>
  <c r="I17" i="2" s="1"/>
  <c r="D18" i="2"/>
  <c r="E18" i="2" s="1"/>
  <c r="I18" i="2" s="1"/>
  <c r="D19" i="2"/>
  <c r="E19" i="2" s="1"/>
  <c r="I19" i="2" s="1"/>
  <c r="D20" i="2"/>
  <c r="E20" i="2" s="1"/>
  <c r="I20" i="2" s="1"/>
  <c r="D21" i="2"/>
  <c r="E21" i="2" s="1"/>
  <c r="P21" i="2" s="1"/>
  <c r="D22" i="2"/>
  <c r="E22" i="2" s="1"/>
  <c r="P22" i="2" s="1"/>
  <c r="D23" i="2"/>
  <c r="E23" i="2" s="1"/>
  <c r="P23" i="2" s="1"/>
  <c r="D24" i="2"/>
  <c r="E24" i="2" s="1"/>
  <c r="P24" i="2" s="1"/>
  <c r="D25" i="2"/>
  <c r="E25" i="2" s="1"/>
  <c r="P25" i="2" s="1"/>
  <c r="D26" i="2"/>
  <c r="E26" i="2" s="1"/>
  <c r="I26" i="2" s="1"/>
  <c r="D27" i="2"/>
  <c r="E27" i="2" s="1"/>
  <c r="I27" i="2" s="1"/>
  <c r="D28" i="2"/>
  <c r="E28" i="2" s="1"/>
  <c r="I28" i="2" s="1"/>
  <c r="D3" i="2"/>
  <c r="E3" i="2" s="1"/>
  <c r="I3" i="2" s="1"/>
  <c r="D2" i="2"/>
  <c r="E2" i="2" s="1"/>
  <c r="I2" i="2" s="1"/>
  <c r="B34" i="1"/>
  <c r="B26" i="1"/>
  <c r="B20" i="1"/>
  <c r="B32" i="1" s="1"/>
  <c r="E17" i="1"/>
  <c r="B18" i="1" s="1"/>
  <c r="B15" i="1"/>
  <c r="E8" i="1"/>
  <c r="E7" i="1"/>
  <c r="E6" i="1"/>
  <c r="E5" i="1"/>
  <c r="E4" i="1"/>
  <c r="E3" i="1"/>
  <c r="E2" i="1"/>
  <c r="B9" i="1"/>
  <c r="J34" i="9" l="1"/>
  <c r="I35" i="9" s="1"/>
  <c r="J35" i="9" s="1"/>
  <c r="J27" i="9"/>
  <c r="I6" i="9"/>
  <c r="J6" i="9" s="1"/>
  <c r="I7" i="9" s="1"/>
  <c r="J7" i="9" s="1"/>
  <c r="J16" i="9"/>
  <c r="B42" i="6"/>
  <c r="B45" i="6" s="1"/>
  <c r="B23" i="6"/>
  <c r="J11" i="7"/>
  <c r="J14" i="5"/>
  <c r="J12" i="5"/>
  <c r="J15" i="5" s="1"/>
  <c r="I29" i="2"/>
  <c r="P29" i="2"/>
  <c r="B30" i="1"/>
  <c r="B13" i="1"/>
  <c r="B22" i="1"/>
  <c r="B24" i="1" s="1"/>
  <c r="B17" i="1"/>
  <c r="B28" i="1"/>
  <c r="I28" i="9" l="1"/>
  <c r="J28" i="9" s="1"/>
  <c r="J40" i="9"/>
  <c r="I36" i="9"/>
  <c r="J36" i="9" s="1"/>
  <c r="I17" i="9"/>
  <c r="J17" i="9" s="1"/>
  <c r="I18" i="9" s="1"/>
  <c r="J18" i="9" s="1"/>
  <c r="I8" i="9"/>
  <c r="J8" i="9" s="1"/>
  <c r="I37" i="9" l="1"/>
  <c r="J37" i="9" s="1"/>
  <c r="I29" i="9"/>
  <c r="J29" i="9" s="1"/>
  <c r="I30" i="9" s="1"/>
  <c r="J30" i="9" s="1"/>
  <c r="J41" i="9"/>
  <c r="I38" i="9"/>
  <c r="J38" i="9" s="1"/>
  <c r="J43" i="9" s="1"/>
  <c r="J44" i="9"/>
  <c r="J45" i="9" s="1"/>
  <c r="J46" i="9" s="1"/>
  <c r="I19" i="9"/>
  <c r="J19" i="9" s="1"/>
  <c r="I9" i="9"/>
  <c r="J9" i="9" s="1"/>
  <c r="J42" i="9" l="1"/>
  <c r="I20" i="9"/>
  <c r="J20" i="9" s="1"/>
  <c r="I21" i="9" s="1"/>
  <c r="J21" i="9" s="1"/>
  <c r="I22" i="9" s="1"/>
  <c r="J22" i="9" s="1"/>
  <c r="I23" i="9" s="1"/>
  <c r="J23" i="9" s="1"/>
  <c r="I10" i="9"/>
  <c r="J10" i="9" s="1"/>
  <c r="I11" i="9" s="1"/>
  <c r="J11" i="9" s="1"/>
  <c r="I12" i="9" s="1"/>
  <c r="J12" i="9" s="1"/>
  <c r="I13" i="9" s="1"/>
  <c r="J13" i="9" s="1"/>
</calcChain>
</file>

<file path=xl/sharedStrings.xml><?xml version="1.0" encoding="utf-8"?>
<sst xmlns="http://schemas.openxmlformats.org/spreadsheetml/2006/main" count="284" uniqueCount="193">
  <si>
    <t>CH4</t>
  </si>
  <si>
    <t>%</t>
  </si>
  <si>
    <t>C2H6</t>
  </si>
  <si>
    <t>C3H8</t>
  </si>
  <si>
    <t>C5H12</t>
  </si>
  <si>
    <t>CO2</t>
  </si>
  <si>
    <t>редкие газа и N2</t>
  </si>
  <si>
    <r>
      <rPr>
        <sz val="14"/>
        <color theme="1"/>
        <rFont val="Calibri"/>
        <family val="2"/>
      </rPr>
      <t>p</t>
    </r>
    <r>
      <rPr>
        <sz val="11"/>
        <color theme="1"/>
        <rFont val="Calibri"/>
        <family val="2"/>
      </rPr>
      <t>см=</t>
    </r>
  </si>
  <si>
    <t>плотность</t>
  </si>
  <si>
    <t>Qн см =</t>
  </si>
  <si>
    <t>низшая т-та компонента</t>
  </si>
  <si>
    <t>нижний предел воспломенений</t>
  </si>
  <si>
    <t>верхний предел сгорания</t>
  </si>
  <si>
    <t>Б=</t>
  </si>
  <si>
    <t>L см н =</t>
  </si>
  <si>
    <t>L см в =</t>
  </si>
  <si>
    <t xml:space="preserve">V0 = </t>
  </si>
  <si>
    <t>V0 вл =</t>
  </si>
  <si>
    <t xml:space="preserve">Vд = </t>
  </si>
  <si>
    <t xml:space="preserve">α = </t>
  </si>
  <si>
    <t xml:space="preserve">V co2 = </t>
  </si>
  <si>
    <t>C4H10</t>
  </si>
  <si>
    <t xml:space="preserve">V h2o = </t>
  </si>
  <si>
    <t>V so2 =</t>
  </si>
  <si>
    <t>V N2 =</t>
  </si>
  <si>
    <t xml:space="preserve">V пр см = </t>
  </si>
  <si>
    <t>№ кв</t>
  </si>
  <si>
    <t>этажность</t>
  </si>
  <si>
    <t>площадь</t>
  </si>
  <si>
    <t>коло-во жит.</t>
  </si>
  <si>
    <t>плотность начеоения</t>
  </si>
  <si>
    <t>η =</t>
  </si>
  <si>
    <t xml:space="preserve">R опт = </t>
  </si>
  <si>
    <t>~</t>
  </si>
  <si>
    <t>ГРП 1</t>
  </si>
  <si>
    <t>ГРП 2</t>
  </si>
  <si>
    <t>общая численность населения</t>
  </si>
  <si>
    <t>5 эт</t>
  </si>
  <si>
    <t>7 эт</t>
  </si>
  <si>
    <t>8 эт</t>
  </si>
  <si>
    <t>6 эт</t>
  </si>
  <si>
    <t>9 эт</t>
  </si>
  <si>
    <t>№ квартала</t>
  </si>
  <si>
    <t>назначение расходуемого газа</t>
  </si>
  <si>
    <t>показатель потребления газа</t>
  </si>
  <si>
    <t>охват газоснабжением</t>
  </si>
  <si>
    <t>число едениц потребления</t>
  </si>
  <si>
    <t>годовая норма</t>
  </si>
  <si>
    <t>кДЖ/год</t>
  </si>
  <si>
    <t>м3/год</t>
  </si>
  <si>
    <t>годовой расход</t>
  </si>
  <si>
    <t>коэффициент часового максимума</t>
  </si>
  <si>
    <t>расчетный расход</t>
  </si>
  <si>
    <t>Зона пятиэтажной застройки</t>
  </si>
  <si>
    <t>Приготовление пищи и горячей воды в квартирах при наличии газо_x0002_вой плиты и газо_x0002_вого водонагрева_x0002_теля</t>
  </si>
  <si>
    <t>1 чел</t>
  </si>
  <si>
    <t>Зона шести – десятиэтажной застройки</t>
  </si>
  <si>
    <t>Приготовление пищи в квартирах при наличии газо_x0002_вой плиты и цен_x0002_трализованном го_x0002_рячем водоснаб_x0002_жении</t>
  </si>
  <si>
    <t>∑</t>
  </si>
  <si>
    <t xml:space="preserve">G = </t>
  </si>
  <si>
    <t>условие стирки =</t>
  </si>
  <si>
    <t xml:space="preserve">Число коек = </t>
  </si>
  <si>
    <t>Vо больница =</t>
  </si>
  <si>
    <t>лида</t>
  </si>
  <si>
    <t>tн =</t>
  </si>
  <si>
    <t>tв =</t>
  </si>
  <si>
    <t>qо =</t>
  </si>
  <si>
    <t>qв =</t>
  </si>
  <si>
    <t>β =</t>
  </si>
  <si>
    <t xml:space="preserve">V н = </t>
  </si>
  <si>
    <t>Vв больница =</t>
  </si>
  <si>
    <t>G1 =</t>
  </si>
  <si>
    <t>G2 =</t>
  </si>
  <si>
    <t>G3 =</t>
  </si>
  <si>
    <t>G4 =</t>
  </si>
  <si>
    <t>G5 =</t>
  </si>
  <si>
    <t>G6 =</t>
  </si>
  <si>
    <t>G7 =</t>
  </si>
  <si>
    <t>поликлиника</t>
  </si>
  <si>
    <t>баня</t>
  </si>
  <si>
    <t>гостиницы</t>
  </si>
  <si>
    <t>ясли</t>
  </si>
  <si>
    <t>детский сад</t>
  </si>
  <si>
    <t>прачичные</t>
  </si>
  <si>
    <t>Приготовление пищи</t>
  </si>
  <si>
    <t>Приготовление горячей воды для хозяй_x0002_ственно-быто_x0002_вых нужд и ле_x0002_чебных проце_x0002_дур (без стирки белья)</t>
  </si>
  <si>
    <t>Стирка белья в механизирован_x0002_ной прачечной, включая сушку и глажение</t>
  </si>
  <si>
    <t>Отопление и вентиляция больницы</t>
  </si>
  <si>
    <t>1 койка в год</t>
  </si>
  <si>
    <t>1 т сухого белья</t>
  </si>
  <si>
    <t>больница</t>
  </si>
  <si>
    <t>хлебзавод</t>
  </si>
  <si>
    <t>Выпечка хлеба формового</t>
  </si>
  <si>
    <t>Выпечка хлеба подового, бато_x0002_нов, булок, сдобы</t>
  </si>
  <si>
    <t>Выпечка кон_x0002_дитерских изде_x0002_лий</t>
  </si>
  <si>
    <t>1 т изделий</t>
  </si>
  <si>
    <t>хлебзавод потребление</t>
  </si>
  <si>
    <t>3 =</t>
  </si>
  <si>
    <t>2 =</t>
  </si>
  <si>
    <t>1 =</t>
  </si>
  <si>
    <t>банно-прачечный комбинат</t>
  </si>
  <si>
    <t>Мытье в бане без ванн</t>
  </si>
  <si>
    <t>Мытье в бане в ваннах</t>
  </si>
  <si>
    <t>Стирка белья в механизирован_x0002_ной прачечной, включая сушку и глаженье бе_x0002_лья</t>
  </si>
  <si>
    <t>1 помывка</t>
  </si>
  <si>
    <t>2 помывка</t>
  </si>
  <si>
    <t>Нагрузка ГРП БПК</t>
  </si>
  <si>
    <t>Нагрузка ГРП хлебозавода</t>
  </si>
  <si>
    <t>Нагрузка ГРП больницы</t>
  </si>
  <si>
    <t>расход газа котельными</t>
  </si>
  <si>
    <t>QоРК1 =</t>
  </si>
  <si>
    <t>QоРК2 =</t>
  </si>
  <si>
    <t>q0 =</t>
  </si>
  <si>
    <t>A зона1 =</t>
  </si>
  <si>
    <t>A зона2 =</t>
  </si>
  <si>
    <t>QвРК1 =</t>
  </si>
  <si>
    <t>K1 =</t>
  </si>
  <si>
    <t>K2 =</t>
  </si>
  <si>
    <t>QгвРК1 =</t>
  </si>
  <si>
    <t>qгв =</t>
  </si>
  <si>
    <t xml:space="preserve">VРК1 = </t>
  </si>
  <si>
    <t>Наименование потребителя</t>
  </si>
  <si>
    <t>Часовой расход, м3 /ч</t>
  </si>
  <si>
    <t>Часовой расход при аварии, м3 /ч</t>
  </si>
  <si>
    <t>Коэффициент обеспеченности при аварии</t>
  </si>
  <si>
    <t>№</t>
  </si>
  <si>
    <t>ГРП-1</t>
  </si>
  <si>
    <t>ГРП-2</t>
  </si>
  <si>
    <t>Больница</t>
  </si>
  <si>
    <t>Хлебозавод</t>
  </si>
  <si>
    <t>БПК</t>
  </si>
  <si>
    <t>РК №1</t>
  </si>
  <si>
    <t>РК №2</t>
  </si>
  <si>
    <t>QвРК2 =</t>
  </si>
  <si>
    <t>QгвРК2 =</t>
  </si>
  <si>
    <t xml:space="preserve">VРК2 = </t>
  </si>
  <si>
    <t>Сумма</t>
  </si>
  <si>
    <t>ГРП1</t>
  </si>
  <si>
    <t>ГРП2</t>
  </si>
  <si>
    <t>потери давления</t>
  </si>
  <si>
    <t>Vрэкв =</t>
  </si>
  <si>
    <t>Среднеквадратичный перепад давления</t>
  </si>
  <si>
    <t>А=</t>
  </si>
  <si>
    <t>Рн =</t>
  </si>
  <si>
    <t>Рк =</t>
  </si>
  <si>
    <t>Общая протяженность газопроdjljd</t>
  </si>
  <si>
    <t>∑L =</t>
  </si>
  <si>
    <t>МПа/км</t>
  </si>
  <si>
    <t>Па/м</t>
  </si>
  <si>
    <t>325-426</t>
  </si>
  <si>
    <t>м</t>
  </si>
  <si>
    <t>№ участка</t>
  </si>
  <si>
    <t>расчетная Lp=1.1L</t>
  </si>
  <si>
    <t>Расчетный расход газа на участке Vp, м3/ч</t>
  </si>
  <si>
    <t>Диаметр газопровода Dн×δ, мм</t>
  </si>
  <si>
    <t>Среднеквадратичное падение давления А, МПа2 /км</t>
  </si>
  <si>
    <t>Фактическое среднеквадратичное паде-ние давления Аф, МПа2/км</t>
  </si>
  <si>
    <t>Среднеквадратичные потери давления Аф×Lp, МПа2</t>
  </si>
  <si>
    <t>в начале участка Рн</t>
  </si>
  <si>
    <t>в конце участка Рк</t>
  </si>
  <si>
    <t>Давление газа, Мпа</t>
  </si>
  <si>
    <t>Аварийный режим 1</t>
  </si>
  <si>
    <t>ГРС-1</t>
  </si>
  <si>
    <t>1-2</t>
  </si>
  <si>
    <t>2-3</t>
  </si>
  <si>
    <t>3-4</t>
  </si>
  <si>
    <t>4-5</t>
  </si>
  <si>
    <t>5-6</t>
  </si>
  <si>
    <t>6-7</t>
  </si>
  <si>
    <t>7-8</t>
  </si>
  <si>
    <t>Длина участка, км</t>
  </si>
  <si>
    <t>по плану, км</t>
  </si>
  <si>
    <t>Аварийный режим 2</t>
  </si>
  <si>
    <t>8-ГРП2</t>
  </si>
  <si>
    <t>1-8</t>
  </si>
  <si>
    <t>8-7</t>
  </si>
  <si>
    <t>7-6</t>
  </si>
  <si>
    <t>6-5</t>
  </si>
  <si>
    <t>5-4</t>
  </si>
  <si>
    <t>4-3</t>
  </si>
  <si>
    <t>3-2</t>
  </si>
  <si>
    <t>2-ГРП1</t>
  </si>
  <si>
    <t>Полукольцо ГРС-1-2-3-4-РК1</t>
  </si>
  <si>
    <t>4-РК1</t>
  </si>
  <si>
    <t>Нормальный режим</t>
  </si>
  <si>
    <t>Полукольцо ГРС-1-8-7-6-5-РК2</t>
  </si>
  <si>
    <t>5-РК2</t>
  </si>
  <si>
    <t>Расчет ответвлений</t>
  </si>
  <si>
    <t>3-ХЗ</t>
  </si>
  <si>
    <t>6-Б</t>
  </si>
  <si>
    <t>7-БПК</t>
  </si>
  <si>
    <t>426x9</t>
  </si>
  <si>
    <t>325x8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</si>
</sst>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6" xfId="0" applyFill="1" applyBorder="1" applyAlignment="1">
      <alignment horizontal="center" wrapText="1"/>
    </xf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0" borderId="7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1" xfId="0" applyBorder="1"/>
    <xf numFmtId="0" fontId="0" fillId="0" borderId="15" xfId="0" applyBorder="1"/>
    <xf numFmtId="0" fontId="0" fillId="2" borderId="10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8" xfId="0" applyFill="1" applyBorder="1"/>
    <xf numFmtId="0" fontId="0" fillId="2" borderId="8" xfId="0" applyFill="1" applyBorder="1"/>
    <xf numFmtId="0" fontId="0" fillId="2" borderId="15" xfId="0" applyFill="1" applyBorder="1"/>
    <xf numFmtId="0" fontId="0" fillId="0" borderId="20" xfId="0" applyBorder="1"/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0" fillId="0" borderId="1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12" xfId="0" applyFill="1" applyBorder="1"/>
    <xf numFmtId="0" fontId="2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2" fillId="0" borderId="20" xfId="0" applyFont="1" applyBorder="1" applyAlignment="1">
      <alignment horizontal="right"/>
    </xf>
    <xf numFmtId="0" fontId="2" fillId="0" borderId="20" xfId="0" applyFont="1" applyBorder="1" applyAlignment="1">
      <alignment horizontal="right" vertical="center"/>
    </xf>
    <xf numFmtId="0" fontId="0" fillId="0" borderId="0" xfId="0" applyBorder="1"/>
    <xf numFmtId="0" fontId="0" fillId="0" borderId="6" xfId="0" applyBorder="1" applyAlignment="1">
      <alignment horizontal="center" vertical="center" wrapText="1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21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3" borderId="29" xfId="0" applyFill="1" applyBorder="1"/>
    <xf numFmtId="0" fontId="0" fillId="4" borderId="29" xfId="0" applyFill="1" applyBorder="1"/>
    <xf numFmtId="0" fontId="0" fillId="3" borderId="35" xfId="0" applyFill="1" applyBorder="1"/>
    <xf numFmtId="0" fontId="0" fillId="3" borderId="36" xfId="0" applyFill="1" applyBorder="1"/>
    <xf numFmtId="0" fontId="0" fillId="4" borderId="36" xfId="0" applyFill="1" applyBorder="1"/>
    <xf numFmtId="0" fontId="0" fillId="4" borderId="35" xfId="0" applyFill="1" applyBorder="1"/>
    <xf numFmtId="0" fontId="0" fillId="3" borderId="37" xfId="0" applyFill="1" applyBorder="1"/>
    <xf numFmtId="0" fontId="0" fillId="4" borderId="37" xfId="0" applyFill="1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11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18" xfId="0" quotePrefix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1" xfId="0" applyBorder="1" applyAlignment="1">
      <alignment horizontal="center" textRotation="90" wrapText="1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" xfId="0" applyBorder="1" applyAlignment="1">
      <alignment horizontal="center" textRotation="90" wrapText="1"/>
    </xf>
    <xf numFmtId="0" fontId="0" fillId="0" borderId="1" xfId="0" applyBorder="1" applyAlignment="1">
      <alignment textRotation="90" wrapText="1"/>
    </xf>
    <xf numFmtId="16" fontId="0" fillId="0" borderId="1" xfId="0" quotePrefix="1" applyNumberFormat="1" applyBorder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workbookViewId="0">
      <selection activeCell="B35" sqref="B35"/>
    </sheetView>
  </sheetViews>
  <sheetFormatPr defaultRowHeight="15" x14ac:dyDescent="0.25"/>
  <cols>
    <col min="1" max="1" width="16.28515625" bestFit="1" customWidth="1"/>
    <col min="4" max="4" width="15.7109375" bestFit="1" customWidth="1"/>
    <col min="5" max="5" width="10.28515625" bestFit="1" customWidth="1"/>
    <col min="7" max="7" width="23.5703125" bestFit="1" customWidth="1"/>
    <col min="9" max="9" width="31.28515625" bestFit="1" customWidth="1"/>
    <col min="11" max="11" width="25" bestFit="1" customWidth="1"/>
  </cols>
  <sheetData>
    <row r="1" spans="1:11" x14ac:dyDescent="0.25">
      <c r="E1" t="s">
        <v>8</v>
      </c>
      <c r="G1" t="s">
        <v>10</v>
      </c>
      <c r="I1" t="s">
        <v>11</v>
      </c>
      <c r="K1" t="s">
        <v>12</v>
      </c>
    </row>
    <row r="2" spans="1:11" x14ac:dyDescent="0.25">
      <c r="A2" t="s">
        <v>0</v>
      </c>
      <c r="B2">
        <v>98.3</v>
      </c>
      <c r="C2" t="s">
        <v>1</v>
      </c>
      <c r="E2">
        <f>16.043/22.38</f>
        <v>0.71684539767649691</v>
      </c>
      <c r="G2">
        <v>35760</v>
      </c>
      <c r="I2">
        <v>5</v>
      </c>
      <c r="K2">
        <v>15</v>
      </c>
    </row>
    <row r="3" spans="1:11" x14ac:dyDescent="0.25">
      <c r="A3" t="s">
        <v>2</v>
      </c>
      <c r="B3">
        <v>0.45</v>
      </c>
      <c r="C3" t="s">
        <v>1</v>
      </c>
      <c r="E3">
        <f>30.068/22.174</f>
        <v>1.3560025254802923</v>
      </c>
      <c r="G3">
        <v>63650</v>
      </c>
      <c r="I3">
        <v>3</v>
      </c>
      <c r="K3">
        <v>12.5</v>
      </c>
    </row>
    <row r="4" spans="1:11" x14ac:dyDescent="0.25">
      <c r="A4" t="s">
        <v>3</v>
      </c>
      <c r="B4">
        <v>0.25</v>
      </c>
      <c r="C4" t="s">
        <v>1</v>
      </c>
      <c r="E4">
        <f>44.097/21.997</f>
        <v>2.004682456698641</v>
      </c>
      <c r="G4">
        <v>91140</v>
      </c>
      <c r="I4">
        <v>2</v>
      </c>
      <c r="K4">
        <v>9.5</v>
      </c>
    </row>
    <row r="5" spans="1:11" x14ac:dyDescent="0.25">
      <c r="A5" t="s">
        <v>21</v>
      </c>
      <c r="B5">
        <v>0.3</v>
      </c>
      <c r="C5" t="s">
        <v>1</v>
      </c>
      <c r="E5">
        <f>58.124/21.5</f>
        <v>2.7034418604651163</v>
      </c>
      <c r="G5">
        <v>118530</v>
      </c>
      <c r="I5">
        <v>1.7</v>
      </c>
      <c r="K5">
        <v>8.5</v>
      </c>
    </row>
    <row r="6" spans="1:11" x14ac:dyDescent="0.25">
      <c r="A6" t="s">
        <v>4</v>
      </c>
      <c r="B6">
        <v>0</v>
      </c>
      <c r="C6" t="s">
        <v>1</v>
      </c>
      <c r="E6">
        <f>72.146/20.87</f>
        <v>3.4569238140872063</v>
      </c>
      <c r="G6">
        <v>146180</v>
      </c>
      <c r="I6">
        <v>1.35</v>
      </c>
      <c r="K6">
        <v>8</v>
      </c>
    </row>
    <row r="7" spans="1:11" x14ac:dyDescent="0.25">
      <c r="A7" t="s">
        <v>5</v>
      </c>
      <c r="B7">
        <v>0.1</v>
      </c>
      <c r="C7" t="s">
        <v>1</v>
      </c>
      <c r="E7">
        <f>44.097/22.27</f>
        <v>1.9801077682981592</v>
      </c>
    </row>
    <row r="8" spans="1:11" x14ac:dyDescent="0.25">
      <c r="A8" t="s">
        <v>6</v>
      </c>
      <c r="B8">
        <v>0.6</v>
      </c>
      <c r="C8" t="s">
        <v>1</v>
      </c>
      <c r="E8">
        <f>28.04/22.39</f>
        <v>1.2523447967842787</v>
      </c>
    </row>
    <row r="9" spans="1:11" x14ac:dyDescent="0.25">
      <c r="B9">
        <f>SUM(B2:B8)</f>
        <v>99.999999999999986</v>
      </c>
    </row>
    <row r="13" spans="1:11" ht="18.75" x14ac:dyDescent="0.3">
      <c r="A13" s="1" t="s">
        <v>7</v>
      </c>
      <c r="B13">
        <f>0.01*(B2*E2+B3*E3+B4*E4+B5*E5+B6*E6+B7*E7+B8*E8)</f>
        <v>0.73337724555280348</v>
      </c>
    </row>
    <row r="15" spans="1:11" x14ac:dyDescent="0.25">
      <c r="A15" t="s">
        <v>9</v>
      </c>
      <c r="B15">
        <f>0.01*(B2*G2+B3*G3+B4*G4+B5*G5+B6*G6)</f>
        <v>36021.945</v>
      </c>
    </row>
    <row r="17" spans="1:5" x14ac:dyDescent="0.25">
      <c r="A17" t="s">
        <v>14</v>
      </c>
      <c r="B17">
        <f>(100-E17)/(B2/I2+B3/I3+B4/I4+B5/I5+B6/I6)</f>
        <v>4.9374808055104644</v>
      </c>
      <c r="D17" s="2" t="s">
        <v>13</v>
      </c>
      <c r="E17" s="3">
        <f>B7+B8</f>
        <v>0.7</v>
      </c>
    </row>
    <row r="18" spans="1:5" x14ac:dyDescent="0.25">
      <c r="A18" t="s">
        <v>15</v>
      </c>
      <c r="B18">
        <f>(100-E17)/(B2/K2+B3/K3+B4/K4+B5/K5+B6/K6)</f>
        <v>14.930213115639303</v>
      </c>
    </row>
    <row r="20" spans="1:5" x14ac:dyDescent="0.25">
      <c r="A20" t="s">
        <v>16</v>
      </c>
      <c r="B20">
        <f>0.0476*(2*B2+2*6/4*B3+3*8/4*B4+4*10/4*B5+5*12/4*B6)</f>
        <v>9.6366200000000006</v>
      </c>
    </row>
    <row r="22" spans="1:5" x14ac:dyDescent="0.25">
      <c r="A22" t="s">
        <v>17</v>
      </c>
      <c r="B22">
        <f>B20+0.00124*5.62*B20</f>
        <v>9.7037756774560009</v>
      </c>
    </row>
    <row r="23" spans="1:5" x14ac:dyDescent="0.25">
      <c r="A23" t="s">
        <v>19</v>
      </c>
      <c r="B23">
        <v>1.1000000000000001</v>
      </c>
    </row>
    <row r="24" spans="1:5" x14ac:dyDescent="0.25">
      <c r="A24" t="s">
        <v>18</v>
      </c>
      <c r="B24">
        <f>B23*B22</f>
        <v>10.674153245201602</v>
      </c>
    </row>
    <row r="26" spans="1:5" x14ac:dyDescent="0.25">
      <c r="A26" t="s">
        <v>20</v>
      </c>
      <c r="B26">
        <f>0.01*(B2+2*B3+3*B4+4*B5+5*B6+B7)</f>
        <v>1.0125</v>
      </c>
    </row>
    <row r="28" spans="1:5" x14ac:dyDescent="0.25">
      <c r="A28" t="s">
        <v>22</v>
      </c>
      <c r="B28">
        <f>0.01*(2*B2+3*B3+4*B4+5*B5+6*B6+0.00124*(0+B23*5.62*B20))</f>
        <v>2.0052387124520159</v>
      </c>
    </row>
    <row r="30" spans="1:5" x14ac:dyDescent="0.25">
      <c r="A30" t="s">
        <v>23</v>
      </c>
      <c r="B30">
        <f>0.21*(B23-1)*B20</f>
        <v>0.2023690200000002</v>
      </c>
    </row>
    <row r="32" spans="1:5" x14ac:dyDescent="0.25">
      <c r="A32" t="s">
        <v>24</v>
      </c>
      <c r="B32">
        <f>0.79*B23*B20+0.01*B8</f>
        <v>8.3802227800000022</v>
      </c>
    </row>
    <row r="34" spans="1:2" x14ac:dyDescent="0.25">
      <c r="A34" t="s">
        <v>25</v>
      </c>
      <c r="B34">
        <f>B26+B28+B32+B30</f>
        <v>11.60033051245202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CB410-EB40-41A7-8023-5EC270239CE9}">
  <dimension ref="A1:U30"/>
  <sheetViews>
    <sheetView workbookViewId="0">
      <selection activeCell="P32" sqref="P32"/>
    </sheetView>
  </sheetViews>
  <sheetFormatPr defaultRowHeight="15" x14ac:dyDescent="0.25"/>
  <cols>
    <col min="2" max="2" width="12.7109375" customWidth="1"/>
    <col min="4" max="4" width="13.42578125" customWidth="1"/>
    <col min="9" max="9" width="20.140625" customWidth="1"/>
    <col min="10" max="10" width="6.85546875" customWidth="1"/>
    <col min="11" max="11" width="6" customWidth="1"/>
    <col min="12" max="12" width="6.140625" customWidth="1"/>
    <col min="13" max="13" width="6.28515625" customWidth="1"/>
    <col min="14" max="14" width="5" customWidth="1"/>
    <col min="16" max="16" width="25.85546875" customWidth="1"/>
    <col min="17" max="17" width="5.42578125" customWidth="1"/>
    <col min="18" max="18" width="6" customWidth="1"/>
    <col min="19" max="19" width="7.5703125" customWidth="1"/>
    <col min="20" max="20" width="6.7109375" customWidth="1"/>
    <col min="21" max="21" width="7.42578125" customWidth="1"/>
  </cols>
  <sheetData>
    <row r="1" spans="1:21" ht="36.75" customHeight="1" thickBot="1" x14ac:dyDescent="0.3">
      <c r="A1" s="6" t="s">
        <v>26</v>
      </c>
      <c r="B1" s="7" t="s">
        <v>27</v>
      </c>
      <c r="C1" s="7" t="s">
        <v>28</v>
      </c>
      <c r="D1" s="7" t="s">
        <v>30</v>
      </c>
      <c r="E1" s="8" t="s">
        <v>29</v>
      </c>
      <c r="H1" s="10" t="s">
        <v>34</v>
      </c>
      <c r="I1" s="14" t="s">
        <v>36</v>
      </c>
      <c r="J1" s="15" t="s">
        <v>37</v>
      </c>
      <c r="K1" s="15" t="s">
        <v>40</v>
      </c>
      <c r="L1" s="15" t="s">
        <v>38</v>
      </c>
      <c r="M1" s="15" t="s">
        <v>39</v>
      </c>
      <c r="N1" s="12" t="s">
        <v>41</v>
      </c>
      <c r="O1" s="13" t="s">
        <v>35</v>
      </c>
      <c r="P1" s="14" t="s">
        <v>36</v>
      </c>
      <c r="Q1" s="15" t="s">
        <v>37</v>
      </c>
      <c r="R1" s="15" t="s">
        <v>40</v>
      </c>
      <c r="S1" s="15" t="s">
        <v>38</v>
      </c>
      <c r="T1" s="15" t="s">
        <v>39</v>
      </c>
      <c r="U1" s="12" t="s">
        <v>41</v>
      </c>
    </row>
    <row r="2" spans="1:21" x14ac:dyDescent="0.25">
      <c r="A2" s="5">
        <v>1</v>
      </c>
      <c r="B2" s="5">
        <v>5</v>
      </c>
      <c r="C2" s="5">
        <v>3.9</v>
      </c>
      <c r="D2" s="5">
        <f>VLOOKUP(B2,плотностьНаселения!$A$1:$B$10,2,FALSE)</f>
        <v>230</v>
      </c>
      <c r="E2" s="5">
        <f>ROUNDUP(C2*D2,0)</f>
        <v>897</v>
      </c>
      <c r="H2" s="26">
        <f>B2</f>
        <v>5</v>
      </c>
      <c r="I2" s="4">
        <f>E2</f>
        <v>897</v>
      </c>
      <c r="J2" s="59">
        <v>5</v>
      </c>
      <c r="K2" s="59">
        <v>6</v>
      </c>
      <c r="L2" s="59">
        <v>7</v>
      </c>
      <c r="M2" s="59">
        <v>8</v>
      </c>
      <c r="N2" s="61">
        <v>9</v>
      </c>
      <c r="O2" s="11"/>
      <c r="P2" s="4"/>
      <c r="Q2" s="59">
        <v>5</v>
      </c>
      <c r="R2" s="59">
        <v>6</v>
      </c>
      <c r="S2" s="59">
        <v>7</v>
      </c>
      <c r="T2" s="59">
        <v>8</v>
      </c>
      <c r="U2" s="61">
        <v>9</v>
      </c>
    </row>
    <row r="3" spans="1:21" x14ac:dyDescent="0.25">
      <c r="A3" s="4">
        <v>2</v>
      </c>
      <c r="B3" s="4">
        <v>8</v>
      </c>
      <c r="C3" s="4">
        <v>4.7699999999999996</v>
      </c>
      <c r="D3" s="5">
        <f>VLOOKUP(B3,плотностьНаселения!$A$1:$B$10,2,FALSE)</f>
        <v>350</v>
      </c>
      <c r="E3" s="5">
        <f t="shared" ref="E3:E27" si="0">ROUNDUP(C3*D3,0)</f>
        <v>1670</v>
      </c>
      <c r="H3" s="26">
        <f t="shared" ref="H3:H6" si="1">B3</f>
        <v>8</v>
      </c>
      <c r="I3" s="4">
        <f t="shared" ref="I3:I28" si="2">E3</f>
        <v>1670</v>
      </c>
      <c r="J3" s="60"/>
      <c r="K3" s="60"/>
      <c r="L3" s="60"/>
      <c r="M3" s="60"/>
      <c r="N3" s="62"/>
      <c r="O3" s="11"/>
      <c r="P3" s="4"/>
      <c r="Q3" s="60"/>
      <c r="R3" s="60"/>
      <c r="S3" s="60"/>
      <c r="T3" s="60"/>
      <c r="U3" s="62"/>
    </row>
    <row r="4" spans="1:21" x14ac:dyDescent="0.25">
      <c r="A4" s="4">
        <v>3</v>
      </c>
      <c r="B4" s="4">
        <v>9</v>
      </c>
      <c r="C4" s="4">
        <v>4.5199999999999996</v>
      </c>
      <c r="D4" s="5">
        <f>VLOOKUP(B4,плотностьНаселения!$A$1:$B$10,2,FALSE)</f>
        <v>420</v>
      </c>
      <c r="E4" s="5">
        <f t="shared" si="0"/>
        <v>1899</v>
      </c>
      <c r="H4" s="26">
        <f t="shared" si="1"/>
        <v>9</v>
      </c>
      <c r="I4" s="4">
        <f t="shared" si="2"/>
        <v>1899</v>
      </c>
      <c r="J4" s="60"/>
      <c r="K4" s="60"/>
      <c r="L4" s="60"/>
      <c r="M4" s="60"/>
      <c r="N4" s="62"/>
      <c r="O4" s="11"/>
      <c r="P4" s="4"/>
      <c r="Q4" s="60"/>
      <c r="R4" s="60"/>
      <c r="S4" s="60"/>
      <c r="T4" s="60"/>
      <c r="U4" s="62"/>
    </row>
    <row r="5" spans="1:21" x14ac:dyDescent="0.25">
      <c r="A5" s="5">
        <v>4</v>
      </c>
      <c r="B5" s="4">
        <v>8</v>
      </c>
      <c r="C5" s="4">
        <v>10.59</v>
      </c>
      <c r="D5" s="5">
        <f>VLOOKUP(B5,плотностьНаселения!$A$1:$B$10,2,FALSE)</f>
        <v>350</v>
      </c>
      <c r="E5" s="5">
        <f t="shared" si="0"/>
        <v>3707</v>
      </c>
      <c r="H5" s="26">
        <f t="shared" si="1"/>
        <v>8</v>
      </c>
      <c r="I5" s="4">
        <f t="shared" si="2"/>
        <v>3707</v>
      </c>
      <c r="J5" s="60"/>
      <c r="K5" s="60"/>
      <c r="L5" s="60"/>
      <c r="M5" s="60"/>
      <c r="N5" s="62"/>
      <c r="O5" s="11"/>
      <c r="P5" s="4"/>
      <c r="Q5" s="60"/>
      <c r="R5" s="60"/>
      <c r="S5" s="60"/>
      <c r="T5" s="60"/>
      <c r="U5" s="62"/>
    </row>
    <row r="6" spans="1:21" x14ac:dyDescent="0.25">
      <c r="A6" s="4">
        <v>5</v>
      </c>
      <c r="B6" s="4">
        <v>9</v>
      </c>
      <c r="C6" s="4">
        <v>11.98</v>
      </c>
      <c r="D6" s="5">
        <f>VLOOKUP(B6,плотностьНаселения!$A$1:$B$10,2,FALSE)</f>
        <v>420</v>
      </c>
      <c r="E6" s="5">
        <f t="shared" si="0"/>
        <v>5032</v>
      </c>
      <c r="H6" s="26">
        <f t="shared" si="1"/>
        <v>9</v>
      </c>
      <c r="I6" s="4">
        <f t="shared" si="2"/>
        <v>5032</v>
      </c>
      <c r="J6" s="60"/>
      <c r="K6" s="60"/>
      <c r="L6" s="60"/>
      <c r="M6" s="60"/>
      <c r="N6" s="62"/>
      <c r="O6" s="11"/>
      <c r="P6" s="4"/>
      <c r="Q6" s="60"/>
      <c r="R6" s="60"/>
      <c r="S6" s="60"/>
      <c r="T6" s="60"/>
      <c r="U6" s="62"/>
    </row>
    <row r="7" spans="1:21" x14ac:dyDescent="0.25">
      <c r="A7" s="4">
        <v>6</v>
      </c>
      <c r="B7" s="4">
        <v>7</v>
      </c>
      <c r="C7" s="4">
        <v>16.64</v>
      </c>
      <c r="D7" s="5">
        <f>VLOOKUP(B7,плотностьНаселения!$A$1:$B$10,2,FALSE)</f>
        <v>350</v>
      </c>
      <c r="E7" s="5">
        <f t="shared" si="0"/>
        <v>5824</v>
      </c>
      <c r="H7" s="11"/>
      <c r="I7" s="4"/>
      <c r="J7" s="60"/>
      <c r="K7" s="60"/>
      <c r="L7" s="60"/>
      <c r="M7" s="60"/>
      <c r="N7" s="62"/>
      <c r="O7" s="25">
        <f>B7</f>
        <v>7</v>
      </c>
      <c r="P7" s="4">
        <f t="shared" ref="P7:P12" si="3">E7</f>
        <v>5824</v>
      </c>
      <c r="Q7" s="60"/>
      <c r="R7" s="60"/>
      <c r="S7" s="60"/>
      <c r="T7" s="60"/>
      <c r="U7" s="62"/>
    </row>
    <row r="8" spans="1:21" x14ac:dyDescent="0.25">
      <c r="A8" s="5">
        <v>7</v>
      </c>
      <c r="B8" s="4">
        <v>8</v>
      </c>
      <c r="C8" s="4">
        <v>7.98</v>
      </c>
      <c r="D8" s="5">
        <f>VLOOKUP(B8,плотностьНаселения!$A$1:$B$10,2,FALSE)</f>
        <v>350</v>
      </c>
      <c r="E8" s="5">
        <f t="shared" si="0"/>
        <v>2793</v>
      </c>
      <c r="H8" s="11"/>
      <c r="I8" s="4"/>
      <c r="J8" s="60"/>
      <c r="K8" s="60"/>
      <c r="L8" s="60"/>
      <c r="M8" s="60"/>
      <c r="N8" s="62"/>
      <c r="O8" s="25">
        <f t="shared" ref="O8:O12" si="4">B8</f>
        <v>8</v>
      </c>
      <c r="P8" s="4">
        <f t="shared" si="3"/>
        <v>2793</v>
      </c>
      <c r="Q8" s="60"/>
      <c r="R8" s="60"/>
      <c r="S8" s="60"/>
      <c r="T8" s="60"/>
      <c r="U8" s="62"/>
    </row>
    <row r="9" spans="1:21" x14ac:dyDescent="0.25">
      <c r="A9" s="4">
        <v>8</v>
      </c>
      <c r="B9" s="4">
        <v>7</v>
      </c>
      <c r="C9" s="4">
        <v>9.93</v>
      </c>
      <c r="D9" s="5">
        <f>VLOOKUP(B9,плотностьНаселения!$A$1:$B$10,2,FALSE)</f>
        <v>350</v>
      </c>
      <c r="E9" s="5">
        <f t="shared" si="0"/>
        <v>3476</v>
      </c>
      <c r="H9" s="11"/>
      <c r="I9" s="4"/>
      <c r="J9" s="60"/>
      <c r="K9" s="60"/>
      <c r="L9" s="60"/>
      <c r="M9" s="60"/>
      <c r="N9" s="62"/>
      <c r="O9" s="25">
        <f t="shared" si="4"/>
        <v>7</v>
      </c>
      <c r="P9" s="4">
        <f t="shared" si="3"/>
        <v>3476</v>
      </c>
      <c r="Q9" s="60"/>
      <c r="R9" s="60"/>
      <c r="S9" s="60"/>
      <c r="T9" s="60"/>
      <c r="U9" s="62"/>
    </row>
    <row r="10" spans="1:21" x14ac:dyDescent="0.25">
      <c r="A10" s="4">
        <v>9</v>
      </c>
      <c r="B10" s="4">
        <v>5</v>
      </c>
      <c r="C10" s="4">
        <v>5.86</v>
      </c>
      <c r="D10" s="5">
        <f>VLOOKUP(B10,плотностьНаселения!$A$1:$B$10,2,FALSE)</f>
        <v>230</v>
      </c>
      <c r="E10" s="5">
        <f t="shared" si="0"/>
        <v>1348</v>
      </c>
      <c r="H10" s="11"/>
      <c r="I10" s="4"/>
      <c r="J10" s="60"/>
      <c r="K10" s="60"/>
      <c r="L10" s="60"/>
      <c r="M10" s="60"/>
      <c r="N10" s="62"/>
      <c r="O10" s="25">
        <f t="shared" si="4"/>
        <v>5</v>
      </c>
      <c r="P10" s="4">
        <f t="shared" si="3"/>
        <v>1348</v>
      </c>
      <c r="Q10" s="60"/>
      <c r="R10" s="60"/>
      <c r="S10" s="60"/>
      <c r="T10" s="60"/>
      <c r="U10" s="62"/>
    </row>
    <row r="11" spans="1:21" x14ac:dyDescent="0.25">
      <c r="A11" s="5">
        <v>10</v>
      </c>
      <c r="B11" s="4">
        <v>7</v>
      </c>
      <c r="C11" s="4">
        <v>12.99</v>
      </c>
      <c r="D11" s="5">
        <f>VLOOKUP(B11,плотностьНаселения!$A$1:$B$10,2,FALSE)</f>
        <v>350</v>
      </c>
      <c r="E11" s="5">
        <f t="shared" si="0"/>
        <v>4547</v>
      </c>
      <c r="H11" s="11"/>
      <c r="I11" s="4"/>
      <c r="J11" s="60"/>
      <c r="K11" s="60"/>
      <c r="L11" s="60"/>
      <c r="M11" s="60"/>
      <c r="N11" s="62"/>
      <c r="O11" s="25">
        <f t="shared" si="4"/>
        <v>7</v>
      </c>
      <c r="P11" s="4">
        <f t="shared" si="3"/>
        <v>4547</v>
      </c>
      <c r="Q11" s="60"/>
      <c r="R11" s="60"/>
      <c r="S11" s="60"/>
      <c r="T11" s="60"/>
      <c r="U11" s="62"/>
    </row>
    <row r="12" spans="1:21" x14ac:dyDescent="0.25">
      <c r="A12" s="4">
        <v>11</v>
      </c>
      <c r="B12" s="4">
        <v>6</v>
      </c>
      <c r="C12" s="4">
        <v>5.85</v>
      </c>
      <c r="D12" s="5">
        <f>VLOOKUP(B12,плотностьНаселения!$A$1:$B$10,2,FALSE)</f>
        <v>350</v>
      </c>
      <c r="E12" s="5">
        <f t="shared" si="0"/>
        <v>2048</v>
      </c>
      <c r="H12" s="11"/>
      <c r="I12" s="4"/>
      <c r="J12" s="60"/>
      <c r="K12" s="60"/>
      <c r="L12" s="60"/>
      <c r="M12" s="60"/>
      <c r="N12" s="62"/>
      <c r="O12" s="25">
        <f t="shared" si="4"/>
        <v>6</v>
      </c>
      <c r="P12" s="4">
        <f t="shared" si="3"/>
        <v>2048</v>
      </c>
      <c r="Q12" s="60"/>
      <c r="R12" s="60"/>
      <c r="S12" s="60"/>
      <c r="T12" s="60"/>
      <c r="U12" s="62"/>
    </row>
    <row r="13" spans="1:21" x14ac:dyDescent="0.25">
      <c r="A13" s="4">
        <v>12</v>
      </c>
      <c r="B13" s="4">
        <v>6</v>
      </c>
      <c r="C13" s="4">
        <v>9.08</v>
      </c>
      <c r="D13" s="5">
        <f>VLOOKUP(B13,плотностьНаселения!$A$1:$B$10,2,FALSE)</f>
        <v>350</v>
      </c>
      <c r="E13" s="5">
        <f t="shared" si="0"/>
        <v>3178</v>
      </c>
      <c r="H13" s="26">
        <f>B13</f>
        <v>6</v>
      </c>
      <c r="I13" s="4">
        <f t="shared" si="2"/>
        <v>3178</v>
      </c>
      <c r="J13" s="60"/>
      <c r="K13" s="60"/>
      <c r="L13" s="60"/>
      <c r="M13" s="60"/>
      <c r="N13" s="62"/>
      <c r="O13" s="11"/>
      <c r="P13" s="4"/>
      <c r="Q13" s="60"/>
      <c r="R13" s="60"/>
      <c r="S13" s="60"/>
      <c r="T13" s="60"/>
      <c r="U13" s="62"/>
    </row>
    <row r="14" spans="1:21" x14ac:dyDescent="0.25">
      <c r="A14" s="5">
        <v>13</v>
      </c>
      <c r="B14" s="4">
        <v>5</v>
      </c>
      <c r="C14" s="4">
        <v>7.85</v>
      </c>
      <c r="D14" s="5">
        <f>VLOOKUP(B14,плотностьНаселения!$A$1:$B$10,2,FALSE)</f>
        <v>230</v>
      </c>
      <c r="E14" s="5">
        <f t="shared" si="0"/>
        <v>1806</v>
      </c>
      <c r="H14" s="26">
        <f t="shared" ref="H14:H20" si="5">B14</f>
        <v>5</v>
      </c>
      <c r="I14" s="4">
        <f t="shared" si="2"/>
        <v>1806</v>
      </c>
      <c r="J14" s="60"/>
      <c r="K14" s="60"/>
      <c r="L14" s="60"/>
      <c r="M14" s="60"/>
      <c r="N14" s="62"/>
      <c r="O14" s="11"/>
      <c r="P14" s="4"/>
      <c r="Q14" s="60"/>
      <c r="R14" s="60"/>
      <c r="S14" s="60"/>
      <c r="T14" s="60"/>
      <c r="U14" s="62"/>
    </row>
    <row r="15" spans="1:21" x14ac:dyDescent="0.25">
      <c r="A15" s="4">
        <v>14</v>
      </c>
      <c r="B15" s="4">
        <v>9</v>
      </c>
      <c r="C15" s="4">
        <v>4.41</v>
      </c>
      <c r="D15" s="5">
        <f>VLOOKUP(B15,плотностьНаселения!$A$1:$B$10,2,FALSE)</f>
        <v>420</v>
      </c>
      <c r="E15" s="5">
        <f t="shared" si="0"/>
        <v>1853</v>
      </c>
      <c r="H15" s="26">
        <f t="shared" si="5"/>
        <v>9</v>
      </c>
      <c r="I15" s="4">
        <f t="shared" si="2"/>
        <v>1853</v>
      </c>
      <c r="J15" s="60"/>
      <c r="K15" s="60"/>
      <c r="L15" s="60"/>
      <c r="M15" s="60"/>
      <c r="N15" s="62"/>
      <c r="O15" s="11"/>
      <c r="P15" s="4"/>
      <c r="Q15" s="60"/>
      <c r="R15" s="60"/>
      <c r="S15" s="60"/>
      <c r="T15" s="60"/>
      <c r="U15" s="62"/>
    </row>
    <row r="16" spans="1:21" x14ac:dyDescent="0.25">
      <c r="A16" s="4">
        <v>15</v>
      </c>
      <c r="B16" s="4">
        <v>7</v>
      </c>
      <c r="C16" s="4">
        <v>3.02</v>
      </c>
      <c r="D16" s="5">
        <f>VLOOKUP(B16,плотностьНаселения!$A$1:$B$10,2,FALSE)</f>
        <v>350</v>
      </c>
      <c r="E16" s="5">
        <f t="shared" si="0"/>
        <v>1057</v>
      </c>
      <c r="H16" s="26">
        <f t="shared" si="5"/>
        <v>7</v>
      </c>
      <c r="I16" s="4">
        <f t="shared" si="2"/>
        <v>1057</v>
      </c>
      <c r="J16" s="60"/>
      <c r="K16" s="60"/>
      <c r="L16" s="60"/>
      <c r="M16" s="60"/>
      <c r="N16" s="62"/>
      <c r="O16" s="11"/>
      <c r="P16" s="4"/>
      <c r="Q16" s="60"/>
      <c r="R16" s="60"/>
      <c r="S16" s="60"/>
      <c r="T16" s="60"/>
      <c r="U16" s="62"/>
    </row>
    <row r="17" spans="1:21" x14ac:dyDescent="0.25">
      <c r="A17" s="5">
        <v>16</v>
      </c>
      <c r="B17" s="4">
        <v>8</v>
      </c>
      <c r="C17" s="4">
        <v>5.0199999999999996</v>
      </c>
      <c r="D17" s="5">
        <f>VLOOKUP(B17,плотностьНаселения!$A$1:$B$10,2,FALSE)</f>
        <v>350</v>
      </c>
      <c r="E17" s="5">
        <f t="shared" si="0"/>
        <v>1757</v>
      </c>
      <c r="H17" s="26">
        <f t="shared" si="5"/>
        <v>8</v>
      </c>
      <c r="I17" s="4">
        <f t="shared" si="2"/>
        <v>1757</v>
      </c>
      <c r="J17" s="60"/>
      <c r="K17" s="60"/>
      <c r="L17" s="60"/>
      <c r="M17" s="60"/>
      <c r="N17" s="62"/>
      <c r="O17" s="11"/>
      <c r="P17" s="4"/>
      <c r="Q17" s="60"/>
      <c r="R17" s="60"/>
      <c r="S17" s="60"/>
      <c r="T17" s="60"/>
      <c r="U17" s="62"/>
    </row>
    <row r="18" spans="1:21" x14ac:dyDescent="0.25">
      <c r="A18" s="4">
        <v>17</v>
      </c>
      <c r="B18" s="4">
        <v>6</v>
      </c>
      <c r="C18" s="4">
        <v>6.08</v>
      </c>
      <c r="D18" s="5">
        <f>VLOOKUP(B18,плотностьНаселения!$A$1:$B$10,2,FALSE)</f>
        <v>350</v>
      </c>
      <c r="E18" s="5">
        <f t="shared" si="0"/>
        <v>2128</v>
      </c>
      <c r="H18" s="26">
        <f t="shared" si="5"/>
        <v>6</v>
      </c>
      <c r="I18" s="4">
        <f t="shared" si="2"/>
        <v>2128</v>
      </c>
      <c r="J18" s="60"/>
      <c r="K18" s="60"/>
      <c r="L18" s="60"/>
      <c r="M18" s="60"/>
      <c r="N18" s="62"/>
      <c r="O18" s="11"/>
      <c r="P18" s="4"/>
      <c r="Q18" s="60"/>
      <c r="R18" s="60"/>
      <c r="S18" s="60"/>
      <c r="T18" s="60"/>
      <c r="U18" s="62"/>
    </row>
    <row r="19" spans="1:21" x14ac:dyDescent="0.25">
      <c r="A19" s="4">
        <v>18</v>
      </c>
      <c r="B19" s="4">
        <v>7</v>
      </c>
      <c r="C19" s="4">
        <v>12.87</v>
      </c>
      <c r="D19" s="5">
        <f>VLOOKUP(B19,плотностьНаселения!$A$1:$B$10,2,FALSE)</f>
        <v>350</v>
      </c>
      <c r="E19" s="5">
        <f t="shared" si="0"/>
        <v>4505</v>
      </c>
      <c r="H19" s="26">
        <f t="shared" si="5"/>
        <v>7</v>
      </c>
      <c r="I19" s="4">
        <f t="shared" si="2"/>
        <v>4505</v>
      </c>
      <c r="J19" s="60"/>
      <c r="K19" s="60"/>
      <c r="L19" s="60"/>
      <c r="M19" s="60"/>
      <c r="N19" s="62"/>
      <c r="O19" s="11"/>
      <c r="P19" s="4"/>
      <c r="Q19" s="60"/>
      <c r="R19" s="60"/>
      <c r="S19" s="60"/>
      <c r="T19" s="60"/>
      <c r="U19" s="62"/>
    </row>
    <row r="20" spans="1:21" x14ac:dyDescent="0.25">
      <c r="A20" s="5">
        <v>19</v>
      </c>
      <c r="B20" s="4">
        <v>5</v>
      </c>
      <c r="C20" s="4">
        <v>14.47</v>
      </c>
      <c r="D20" s="5">
        <f>VLOOKUP(B20,плотностьНаселения!$A$1:$B$10,2,FALSE)</f>
        <v>230</v>
      </c>
      <c r="E20" s="5">
        <f t="shared" si="0"/>
        <v>3329</v>
      </c>
      <c r="H20" s="26">
        <f t="shared" si="5"/>
        <v>5</v>
      </c>
      <c r="I20" s="4">
        <f t="shared" si="2"/>
        <v>3329</v>
      </c>
      <c r="J20" s="60"/>
      <c r="K20" s="60"/>
      <c r="L20" s="60"/>
      <c r="M20" s="60"/>
      <c r="N20" s="62"/>
      <c r="O20" s="11"/>
      <c r="P20" s="4"/>
      <c r="Q20" s="60"/>
      <c r="R20" s="60"/>
      <c r="S20" s="60"/>
      <c r="T20" s="60"/>
      <c r="U20" s="62"/>
    </row>
    <row r="21" spans="1:21" x14ac:dyDescent="0.25">
      <c r="A21" s="4">
        <v>20</v>
      </c>
      <c r="B21" s="4">
        <v>5</v>
      </c>
      <c r="C21" s="4">
        <v>9.3699999999999992</v>
      </c>
      <c r="D21" s="5">
        <f>VLOOKUP(B21,плотностьНаселения!$A$1:$B$10,2,FALSE)</f>
        <v>230</v>
      </c>
      <c r="E21" s="5">
        <f t="shared" si="0"/>
        <v>2156</v>
      </c>
      <c r="H21" s="11"/>
      <c r="I21" s="4"/>
      <c r="J21" s="60"/>
      <c r="K21" s="60"/>
      <c r="L21" s="60"/>
      <c r="M21" s="60"/>
      <c r="N21" s="62"/>
      <c r="O21" s="25">
        <f>B21</f>
        <v>5</v>
      </c>
      <c r="P21" s="4">
        <f>E21</f>
        <v>2156</v>
      </c>
      <c r="Q21" s="60"/>
      <c r="R21" s="60"/>
      <c r="S21" s="60"/>
      <c r="T21" s="60"/>
      <c r="U21" s="62"/>
    </row>
    <row r="22" spans="1:21" x14ac:dyDescent="0.25">
      <c r="A22" s="4">
        <v>21</v>
      </c>
      <c r="B22" s="4">
        <v>8</v>
      </c>
      <c r="C22" s="4">
        <v>4.7</v>
      </c>
      <c r="D22" s="5">
        <f>VLOOKUP(B22,плотностьНаселения!$A$1:$B$10,2,FALSE)</f>
        <v>350</v>
      </c>
      <c r="E22" s="5">
        <f t="shared" si="0"/>
        <v>1645</v>
      </c>
      <c r="H22" s="11"/>
      <c r="I22" s="4"/>
      <c r="J22" s="60"/>
      <c r="K22" s="60"/>
      <c r="L22" s="60"/>
      <c r="M22" s="60"/>
      <c r="N22" s="62"/>
      <c r="O22" s="25">
        <f t="shared" ref="O22:O25" si="6">B22</f>
        <v>8</v>
      </c>
      <c r="P22" s="4">
        <f>E22</f>
        <v>1645</v>
      </c>
      <c r="Q22" s="60"/>
      <c r="R22" s="60"/>
      <c r="S22" s="60"/>
      <c r="T22" s="60"/>
      <c r="U22" s="62"/>
    </row>
    <row r="23" spans="1:21" x14ac:dyDescent="0.25">
      <c r="A23" s="5">
        <v>22</v>
      </c>
      <c r="B23" s="4">
        <v>6</v>
      </c>
      <c r="C23" s="4">
        <v>4.43</v>
      </c>
      <c r="D23" s="5">
        <f>VLOOKUP(B23,плотностьНаселения!$A$1:$B$10,2,FALSE)</f>
        <v>350</v>
      </c>
      <c r="E23" s="5">
        <f t="shared" si="0"/>
        <v>1551</v>
      </c>
      <c r="H23" s="11"/>
      <c r="I23" s="4"/>
      <c r="J23" s="60"/>
      <c r="K23" s="60"/>
      <c r="L23" s="60"/>
      <c r="M23" s="60"/>
      <c r="N23" s="62"/>
      <c r="O23" s="25">
        <f t="shared" si="6"/>
        <v>6</v>
      </c>
      <c r="P23" s="4">
        <f>E23</f>
        <v>1551</v>
      </c>
      <c r="Q23" s="60"/>
      <c r="R23" s="60"/>
      <c r="S23" s="60"/>
      <c r="T23" s="60"/>
      <c r="U23" s="62"/>
    </row>
    <row r="24" spans="1:21" x14ac:dyDescent="0.25">
      <c r="A24" s="4">
        <v>23</v>
      </c>
      <c r="B24" s="4">
        <v>7</v>
      </c>
      <c r="C24" s="4">
        <v>13.76</v>
      </c>
      <c r="D24" s="5">
        <f>VLOOKUP(B24,плотностьНаселения!$A$1:$B$10,2,FALSE)</f>
        <v>350</v>
      </c>
      <c r="E24" s="5">
        <f t="shared" si="0"/>
        <v>4816</v>
      </c>
      <c r="H24" s="11"/>
      <c r="I24" s="4"/>
      <c r="J24" s="60"/>
      <c r="K24" s="60"/>
      <c r="L24" s="60"/>
      <c r="M24" s="60"/>
      <c r="N24" s="62"/>
      <c r="O24" s="25">
        <f t="shared" si="6"/>
        <v>7</v>
      </c>
      <c r="P24" s="4">
        <f>E24</f>
        <v>4816</v>
      </c>
      <c r="Q24" s="60"/>
      <c r="R24" s="60"/>
      <c r="S24" s="60"/>
      <c r="T24" s="60"/>
      <c r="U24" s="62"/>
    </row>
    <row r="25" spans="1:21" x14ac:dyDescent="0.25">
      <c r="A25" s="4">
        <v>24</v>
      </c>
      <c r="B25" s="4">
        <v>9</v>
      </c>
      <c r="C25" s="4">
        <v>12.04</v>
      </c>
      <c r="D25" s="5">
        <f>VLOOKUP(B25,плотностьНаселения!$A$1:$B$10,2,FALSE)</f>
        <v>420</v>
      </c>
      <c r="E25" s="5">
        <f t="shared" si="0"/>
        <v>5057</v>
      </c>
      <c r="H25" s="11"/>
      <c r="I25" s="4"/>
      <c r="J25" s="60"/>
      <c r="K25" s="60"/>
      <c r="L25" s="60"/>
      <c r="M25" s="60"/>
      <c r="N25" s="62"/>
      <c r="O25" s="25">
        <f t="shared" si="6"/>
        <v>9</v>
      </c>
      <c r="P25" s="4">
        <f>E25</f>
        <v>5057</v>
      </c>
      <c r="Q25" s="60"/>
      <c r="R25" s="60"/>
      <c r="S25" s="60"/>
      <c r="T25" s="60"/>
      <c r="U25" s="62"/>
    </row>
    <row r="26" spans="1:21" x14ac:dyDescent="0.25">
      <c r="A26" s="5">
        <v>25</v>
      </c>
      <c r="B26" s="4">
        <v>8</v>
      </c>
      <c r="C26" s="4">
        <v>12.81</v>
      </c>
      <c r="D26" s="5">
        <f>VLOOKUP(B26,плотностьНаселения!$A$1:$B$10,2,FALSE)</f>
        <v>350</v>
      </c>
      <c r="E26" s="5">
        <f t="shared" si="0"/>
        <v>4484</v>
      </c>
      <c r="H26" s="26">
        <f>B26</f>
        <v>8</v>
      </c>
      <c r="I26" s="4">
        <f t="shared" si="2"/>
        <v>4484</v>
      </c>
      <c r="J26" s="60"/>
      <c r="K26" s="60"/>
      <c r="L26" s="60"/>
      <c r="M26" s="60"/>
      <c r="N26" s="62"/>
      <c r="O26" s="11"/>
      <c r="P26" s="4"/>
      <c r="Q26" s="60"/>
      <c r="R26" s="60"/>
      <c r="S26" s="60"/>
      <c r="T26" s="60"/>
      <c r="U26" s="62"/>
    </row>
    <row r="27" spans="1:21" x14ac:dyDescent="0.25">
      <c r="A27" s="4">
        <v>26</v>
      </c>
      <c r="B27" s="4">
        <v>6</v>
      </c>
      <c r="C27" s="4">
        <v>9.9600000000000009</v>
      </c>
      <c r="D27" s="5">
        <f>VLOOKUP(B27,плотностьНаселения!$A$1:$B$10,2,FALSE)</f>
        <v>350</v>
      </c>
      <c r="E27" s="5">
        <f t="shared" si="0"/>
        <v>3486</v>
      </c>
      <c r="H27" s="26">
        <f t="shared" ref="H27:H28" si="7">B27</f>
        <v>6</v>
      </c>
      <c r="I27" s="4">
        <f t="shared" si="2"/>
        <v>3486</v>
      </c>
      <c r="J27" s="60"/>
      <c r="K27" s="60"/>
      <c r="L27" s="60"/>
      <c r="M27" s="60"/>
      <c r="N27" s="62"/>
      <c r="O27" s="11"/>
      <c r="P27" s="4"/>
      <c r="Q27" s="60"/>
      <c r="R27" s="60"/>
      <c r="S27" s="60"/>
      <c r="T27" s="60"/>
      <c r="U27" s="62"/>
    </row>
    <row r="28" spans="1:21" ht="15.75" thickBot="1" x14ac:dyDescent="0.3">
      <c r="A28" s="4">
        <v>27</v>
      </c>
      <c r="B28" s="4">
        <v>7</v>
      </c>
      <c r="C28" s="4">
        <v>9.9499999999999993</v>
      </c>
      <c r="D28" s="5">
        <f>VLOOKUP(B28,плотностьНаселения!$A$1:$B$10,2,FALSE)</f>
        <v>350</v>
      </c>
      <c r="E28" s="5">
        <f>ROUNDUP(C28*D28,0)</f>
        <v>3483</v>
      </c>
      <c r="H28" s="27">
        <f t="shared" si="7"/>
        <v>7</v>
      </c>
      <c r="I28" s="16">
        <f t="shared" si="2"/>
        <v>3483</v>
      </c>
      <c r="J28" s="60"/>
      <c r="K28" s="60"/>
      <c r="L28" s="60"/>
      <c r="M28" s="60"/>
      <c r="N28" s="62"/>
      <c r="O28" s="17"/>
      <c r="P28" s="16"/>
      <c r="Q28" s="60"/>
      <c r="R28" s="60"/>
      <c r="S28" s="60"/>
      <c r="T28" s="60"/>
      <c r="U28" s="62"/>
    </row>
    <row r="29" spans="1:21" ht="15.75" thickBot="1" x14ac:dyDescent="0.3">
      <c r="C29">
        <f>SUM(C2:C28)</f>
        <v>234.82999999999996</v>
      </c>
      <c r="E29" s="38">
        <f>SUM(E2:E28)</f>
        <v>79532</v>
      </c>
      <c r="H29" s="18">
        <f>COUNT(H2:H28)</f>
        <v>16</v>
      </c>
      <c r="I29" s="19">
        <f>SUM(I2:I28)</f>
        <v>44271</v>
      </c>
      <c r="J29" s="20">
        <f>COUNTIF($H$2:$H$28,J2)</f>
        <v>3</v>
      </c>
      <c r="K29" s="20">
        <f>COUNTIF($H$2:$H$28,K2)</f>
        <v>3</v>
      </c>
      <c r="L29" s="20">
        <f t="shared" ref="L29:M29" si="8">COUNTIF($H$2:$H$28,L2)</f>
        <v>3</v>
      </c>
      <c r="M29" s="20">
        <f t="shared" si="8"/>
        <v>4</v>
      </c>
      <c r="N29" s="21">
        <f>COUNTIF($H$2:$H$28,N2)</f>
        <v>3</v>
      </c>
      <c r="O29" s="22">
        <f>COUNT(O2:O28)</f>
        <v>11</v>
      </c>
      <c r="P29" s="23">
        <f>SUM(P2:P28)</f>
        <v>35261</v>
      </c>
      <c r="Q29" s="23">
        <f>COUNTIF($O$2:$O$28,Q2)</f>
        <v>2</v>
      </c>
      <c r="R29" s="23">
        <f t="shared" ref="R29:U29" si="9">COUNTIF($O$2:$O$28,R2)</f>
        <v>2</v>
      </c>
      <c r="S29" s="23">
        <f t="shared" si="9"/>
        <v>4</v>
      </c>
      <c r="T29" s="23">
        <f t="shared" si="9"/>
        <v>2</v>
      </c>
      <c r="U29" s="24">
        <f t="shared" si="9"/>
        <v>1</v>
      </c>
    </row>
    <row r="30" spans="1:21" x14ac:dyDescent="0.25">
      <c r="J30">
        <f>SUMIF($H$2:$H$28,J2,$I$2:$I$28)</f>
        <v>6032</v>
      </c>
      <c r="K30">
        <f t="shared" ref="K30:M30" si="10">SUMIF($H$2:$H$28,K2,$I$2:$I$28)</f>
        <v>8792</v>
      </c>
      <c r="L30">
        <f t="shared" si="10"/>
        <v>9045</v>
      </c>
      <c r="M30">
        <f t="shared" si="10"/>
        <v>11618</v>
      </c>
      <c r="N30">
        <f>SUMIF($H$2:$H$28,N2,$I$2:$I$28)</f>
        <v>8784</v>
      </c>
      <c r="Q30">
        <f>SUMIF($O$2:$O$28,Q2,$P$2:$P$28)</f>
        <v>3504</v>
      </c>
      <c r="R30">
        <f t="shared" ref="R30:U30" si="11">SUMIF($O$2:$O$28,R2,$P$2:$P$28)</f>
        <v>3599</v>
      </c>
      <c r="S30">
        <f t="shared" si="11"/>
        <v>18663</v>
      </c>
      <c r="T30">
        <f t="shared" si="11"/>
        <v>4438</v>
      </c>
      <c r="U30">
        <f t="shared" si="11"/>
        <v>5057</v>
      </c>
    </row>
  </sheetData>
  <mergeCells count="10">
    <mergeCell ref="R2:R28"/>
    <mergeCell ref="S2:S28"/>
    <mergeCell ref="T2:T28"/>
    <mergeCell ref="U2:U28"/>
    <mergeCell ref="J2:J28"/>
    <mergeCell ref="K2:K28"/>
    <mergeCell ref="L2:L28"/>
    <mergeCell ref="M2:M28"/>
    <mergeCell ref="N2:N28"/>
    <mergeCell ref="Q2:Q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E714-ADEC-45CA-B127-CCCD2748ADF3}">
  <dimension ref="A1:B10"/>
  <sheetViews>
    <sheetView workbookViewId="0">
      <selection activeCell="B7" sqref="B7"/>
    </sheetView>
  </sheetViews>
  <sheetFormatPr defaultRowHeight="15" x14ac:dyDescent="0.25"/>
  <sheetData>
    <row r="1" spans="1:2" x14ac:dyDescent="0.25">
      <c r="A1">
        <v>1</v>
      </c>
      <c r="B1">
        <v>60</v>
      </c>
    </row>
    <row r="2" spans="1:2" x14ac:dyDescent="0.25">
      <c r="A2">
        <v>2</v>
      </c>
      <c r="B2">
        <v>70</v>
      </c>
    </row>
    <row r="3" spans="1:2" x14ac:dyDescent="0.25">
      <c r="A3">
        <v>3</v>
      </c>
      <c r="B3">
        <v>200</v>
      </c>
    </row>
    <row r="4" spans="1:2" x14ac:dyDescent="0.25">
      <c r="A4">
        <v>4</v>
      </c>
      <c r="B4">
        <v>215</v>
      </c>
    </row>
    <row r="5" spans="1:2" x14ac:dyDescent="0.25">
      <c r="A5">
        <v>5</v>
      </c>
      <c r="B5">
        <v>230</v>
      </c>
    </row>
    <row r="6" spans="1:2" x14ac:dyDescent="0.25">
      <c r="A6">
        <v>6</v>
      </c>
      <c r="B6">
        <v>350</v>
      </c>
    </row>
    <row r="7" spans="1:2" x14ac:dyDescent="0.25">
      <c r="A7">
        <v>7</v>
      </c>
      <c r="B7">
        <v>350</v>
      </c>
    </row>
    <row r="8" spans="1:2" x14ac:dyDescent="0.25">
      <c r="A8">
        <v>8</v>
      </c>
      <c r="B8">
        <v>350</v>
      </c>
    </row>
    <row r="9" spans="1:2" x14ac:dyDescent="0.25">
      <c r="A9">
        <v>9</v>
      </c>
      <c r="B9">
        <v>420</v>
      </c>
    </row>
    <row r="10" spans="1:2" x14ac:dyDescent="0.25">
      <c r="A10">
        <v>10</v>
      </c>
      <c r="B10">
        <v>420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D22C8-ECD6-4798-BD57-3882C5B7C7D5}">
  <dimension ref="A1:D3"/>
  <sheetViews>
    <sheetView workbookViewId="0">
      <selection activeCell="B3" sqref="B3"/>
    </sheetView>
  </sheetViews>
  <sheetFormatPr defaultRowHeight="15" x14ac:dyDescent="0.25"/>
  <cols>
    <col min="2" max="2" width="12" bestFit="1" customWidth="1"/>
  </cols>
  <sheetData>
    <row r="1" spans="1:4" x14ac:dyDescent="0.25">
      <c r="A1" s="1" t="s">
        <v>31</v>
      </c>
      <c r="B1">
        <f>'расчетКол-ваЖит'!C29*10000/(2*POWER(B3,2))</f>
        <v>1.8346093749999997</v>
      </c>
      <c r="C1" s="9" t="s">
        <v>33</v>
      </c>
      <c r="D1">
        <f>ROUND(B1,0)</f>
        <v>2</v>
      </c>
    </row>
    <row r="3" spans="1:4" x14ac:dyDescent="0.25">
      <c r="A3" t="s">
        <v>32</v>
      </c>
      <c r="B3">
        <v>800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35FD5-04D2-4D7F-99BE-F176EC4254F0}">
  <dimension ref="A1:L22"/>
  <sheetViews>
    <sheetView workbookViewId="0">
      <selection activeCell="F6" sqref="F6"/>
    </sheetView>
  </sheetViews>
  <sheetFormatPr defaultRowHeight="15" x14ac:dyDescent="0.25"/>
  <cols>
    <col min="1" max="1" width="14.140625" customWidth="1"/>
    <col min="2" max="2" width="21.140625" customWidth="1"/>
    <col min="3" max="3" width="12.42578125" customWidth="1"/>
    <col min="4" max="4" width="17.5703125" customWidth="1"/>
    <col min="5" max="5" width="12.85546875" customWidth="1"/>
    <col min="8" max="8" width="14.28515625" customWidth="1"/>
    <col min="9" max="9" width="12.7109375" customWidth="1"/>
    <col min="10" max="10" width="9.28515625" customWidth="1"/>
    <col min="12" max="12" width="9.5703125" bestFit="1" customWidth="1"/>
  </cols>
  <sheetData>
    <row r="1" spans="1:12" ht="82.5" customHeight="1" x14ac:dyDescent="0.25">
      <c r="A1" s="69" t="s">
        <v>42</v>
      </c>
      <c r="B1" s="69" t="s">
        <v>43</v>
      </c>
      <c r="C1" s="69" t="s">
        <v>44</v>
      </c>
      <c r="D1" s="69" t="s">
        <v>45</v>
      </c>
      <c r="E1" s="69" t="s">
        <v>46</v>
      </c>
      <c r="F1" s="71" t="s">
        <v>47</v>
      </c>
      <c r="G1" s="72"/>
      <c r="H1" s="69" t="s">
        <v>50</v>
      </c>
      <c r="I1" s="69" t="s">
        <v>51</v>
      </c>
      <c r="J1" s="69" t="s">
        <v>52</v>
      </c>
    </row>
    <row r="2" spans="1:12" ht="78.75" customHeight="1" x14ac:dyDescent="0.25">
      <c r="A2" s="70"/>
      <c r="B2" s="70"/>
      <c r="C2" s="70"/>
      <c r="D2" s="70"/>
      <c r="E2" s="70"/>
      <c r="F2" s="29" t="s">
        <v>48</v>
      </c>
      <c r="G2" s="29" t="s">
        <v>49</v>
      </c>
      <c r="H2" s="70"/>
      <c r="I2" s="70"/>
      <c r="J2" s="70"/>
    </row>
    <row r="3" spans="1:12" ht="15.75" thickBot="1" x14ac:dyDescent="0.3">
      <c r="A3" s="28">
        <v>1</v>
      </c>
      <c r="B3" s="28">
        <v>2</v>
      </c>
      <c r="C3" s="28">
        <v>3</v>
      </c>
      <c r="D3" s="28">
        <v>4</v>
      </c>
      <c r="E3" s="28">
        <v>5</v>
      </c>
      <c r="F3" s="28">
        <v>6</v>
      </c>
      <c r="G3" s="28">
        <v>7</v>
      </c>
      <c r="H3" s="28">
        <v>8</v>
      </c>
      <c r="I3" s="28">
        <v>9</v>
      </c>
      <c r="J3" s="28">
        <v>10</v>
      </c>
    </row>
    <row r="4" spans="1:12" x14ac:dyDescent="0.25">
      <c r="A4" s="63" t="s">
        <v>34</v>
      </c>
      <c r="B4" s="64"/>
      <c r="C4" s="64"/>
      <c r="D4" s="64"/>
      <c r="E4" s="64"/>
      <c r="F4" s="64"/>
      <c r="G4" s="64"/>
      <c r="H4" s="64"/>
      <c r="I4" s="64"/>
      <c r="J4" s="65"/>
    </row>
    <row r="5" spans="1:12" x14ac:dyDescent="0.25">
      <c r="A5" s="66" t="s">
        <v>53</v>
      </c>
      <c r="B5" s="67"/>
      <c r="C5" s="67"/>
      <c r="D5" s="67"/>
      <c r="E5" s="67"/>
      <c r="F5" s="67"/>
      <c r="G5" s="67"/>
      <c r="H5" s="67"/>
      <c r="I5" s="67"/>
      <c r="J5" s="68"/>
    </row>
    <row r="6" spans="1:12" ht="90" x14ac:dyDescent="0.25">
      <c r="A6" s="30">
        <v>1</v>
      </c>
      <c r="B6" s="31" t="s">
        <v>54</v>
      </c>
      <c r="C6" s="30" t="s">
        <v>55</v>
      </c>
      <c r="D6" s="30">
        <v>100</v>
      </c>
      <c r="E6" s="30">
        <f>'расчетКол-ваЖит'!J30</f>
        <v>6032</v>
      </c>
      <c r="F6" s="30">
        <v>8000000</v>
      </c>
      <c r="G6" s="30">
        <f>F6/gazProperties!$B$15</f>
        <v>222.08684178491751</v>
      </c>
      <c r="H6" s="30">
        <f>E6*G6</f>
        <v>1339627.8296466225</v>
      </c>
      <c r="I6" s="33">
        <f>1/2350</f>
        <v>4.2553191489361702E-4</v>
      </c>
      <c r="J6" s="30">
        <f>I6*H6</f>
        <v>570.05439559430749</v>
      </c>
      <c r="L6" s="32"/>
    </row>
    <row r="7" spans="1:12" x14ac:dyDescent="0.25">
      <c r="A7" s="67" t="s">
        <v>56</v>
      </c>
      <c r="B7" s="67"/>
      <c r="C7" s="67"/>
      <c r="D7" s="67"/>
      <c r="E7" s="67"/>
      <c r="F7" s="67"/>
      <c r="G7" s="67"/>
      <c r="H7" s="67"/>
      <c r="I7" s="67"/>
      <c r="J7" s="68"/>
    </row>
    <row r="8" spans="1:12" ht="105" x14ac:dyDescent="0.25">
      <c r="A8" s="30">
        <v>2</v>
      </c>
      <c r="B8" s="31" t="s">
        <v>57</v>
      </c>
      <c r="C8" s="30" t="s">
        <v>55</v>
      </c>
      <c r="D8" s="30">
        <v>100</v>
      </c>
      <c r="E8" s="30">
        <f>SUM('расчетКол-ваЖит'!K30:N30)</f>
        <v>38239</v>
      </c>
      <c r="F8" s="30">
        <v>2800000</v>
      </c>
      <c r="G8" s="30">
        <f>F8/gazProperties!$B$15</f>
        <v>77.730394624721129</v>
      </c>
      <c r="H8" s="30">
        <f>E8*G8</f>
        <v>2972332.5600547111</v>
      </c>
      <c r="I8" s="33">
        <f>1/2350</f>
        <v>4.2553191489361702E-4</v>
      </c>
      <c r="J8" s="30">
        <f>I8*H8</f>
        <v>1264.8223659807281</v>
      </c>
    </row>
    <row r="9" spans="1:12" ht="15.75" thickBot="1" x14ac:dyDescent="0.3">
      <c r="A9" s="30"/>
      <c r="B9" s="30"/>
      <c r="C9" s="30"/>
      <c r="D9" s="30"/>
      <c r="E9" s="30"/>
      <c r="F9" s="30"/>
      <c r="G9" s="30"/>
      <c r="H9" s="30"/>
      <c r="I9" s="34" t="s">
        <v>58</v>
      </c>
      <c r="J9" s="30">
        <f>SUM(J6,J8)</f>
        <v>1834.8767615750357</v>
      </c>
    </row>
    <row r="10" spans="1:12" x14ac:dyDescent="0.25">
      <c r="A10" s="63" t="s">
        <v>35</v>
      </c>
      <c r="B10" s="64"/>
      <c r="C10" s="64"/>
      <c r="D10" s="64"/>
      <c r="E10" s="64"/>
      <c r="F10" s="64"/>
      <c r="G10" s="64"/>
      <c r="H10" s="64"/>
      <c r="I10" s="64"/>
      <c r="J10" s="65"/>
    </row>
    <row r="11" spans="1:12" x14ac:dyDescent="0.25">
      <c r="A11" s="66" t="s">
        <v>53</v>
      </c>
      <c r="B11" s="67"/>
      <c r="C11" s="67"/>
      <c r="D11" s="67"/>
      <c r="E11" s="67"/>
      <c r="F11" s="67"/>
      <c r="G11" s="67"/>
      <c r="H11" s="67"/>
      <c r="I11" s="67"/>
      <c r="J11" s="68"/>
    </row>
    <row r="12" spans="1:12" ht="90" x14ac:dyDescent="0.25">
      <c r="A12" s="30">
        <v>1</v>
      </c>
      <c r="B12" s="31" t="s">
        <v>54</v>
      </c>
      <c r="C12" s="30" t="s">
        <v>55</v>
      </c>
      <c r="D12" s="30">
        <v>100</v>
      </c>
      <c r="E12" s="30">
        <f>'расчетКол-ваЖит'!Q30</f>
        <v>3504</v>
      </c>
      <c r="F12" s="30">
        <v>8000000</v>
      </c>
      <c r="G12" s="30">
        <f>F12/gazProperties!$B$15</f>
        <v>222.08684178491751</v>
      </c>
      <c r="H12" s="30">
        <f>E12*G12</f>
        <v>778192.29361435096</v>
      </c>
      <c r="I12" s="33">
        <f>1/2350</f>
        <v>4.2553191489361702E-4</v>
      </c>
      <c r="J12" s="30">
        <f>I12*H12</f>
        <v>331.14565685717059</v>
      </c>
    </row>
    <row r="13" spans="1:12" x14ac:dyDescent="0.25">
      <c r="A13" s="67" t="s">
        <v>56</v>
      </c>
      <c r="B13" s="67"/>
      <c r="C13" s="67"/>
      <c r="D13" s="67"/>
      <c r="E13" s="67"/>
      <c r="F13" s="67"/>
      <c r="G13" s="67"/>
      <c r="H13" s="67"/>
      <c r="I13" s="67"/>
      <c r="J13" s="68"/>
    </row>
    <row r="14" spans="1:12" ht="105" x14ac:dyDescent="0.25">
      <c r="A14" s="30">
        <v>2</v>
      </c>
      <c r="B14" s="31" t="s">
        <v>57</v>
      </c>
      <c r="C14" s="30" t="s">
        <v>55</v>
      </c>
      <c r="D14" s="30">
        <v>100</v>
      </c>
      <c r="E14" s="30">
        <f>SUM('расчетКол-ваЖит'!R30:U30)</f>
        <v>31757</v>
      </c>
      <c r="F14" s="30">
        <v>2800000</v>
      </c>
      <c r="G14" s="30">
        <f>F14/gazProperties!$B$15</f>
        <v>77.730394624721129</v>
      </c>
      <c r="H14" s="30">
        <f>E14*G14</f>
        <v>2468484.1420972687</v>
      </c>
      <c r="I14" s="33">
        <f>1/2350</f>
        <v>4.2553191489361702E-4</v>
      </c>
      <c r="J14" s="30">
        <f>I14*H14</f>
        <v>1050.4187838711782</v>
      </c>
    </row>
    <row r="15" spans="1:12" ht="15.75" thickBot="1" x14ac:dyDescent="0.3">
      <c r="A15" s="36"/>
      <c r="B15" s="36"/>
      <c r="C15" s="36"/>
      <c r="D15" s="36"/>
      <c r="E15" s="36"/>
      <c r="F15" s="36"/>
      <c r="G15" s="36"/>
      <c r="H15" s="36"/>
      <c r="I15" s="37" t="s">
        <v>58</v>
      </c>
      <c r="J15" s="36">
        <f>SUM(J12,J14)</f>
        <v>1381.5644407283489</v>
      </c>
    </row>
    <row r="16" spans="1:12" x14ac:dyDescent="0.25">
      <c r="A16" s="35"/>
      <c r="B16" s="35"/>
      <c r="C16" s="35"/>
      <c r="D16" s="35"/>
      <c r="E16" s="35"/>
      <c r="F16" s="35"/>
      <c r="G16" s="35"/>
      <c r="H16" s="35"/>
      <c r="I16" s="35"/>
      <c r="J16" s="35"/>
    </row>
    <row r="17" spans="1:10" x14ac:dyDescent="0.25">
      <c r="A17" s="35"/>
      <c r="B17" s="35"/>
      <c r="C17" s="35"/>
      <c r="D17" s="35"/>
      <c r="E17" s="35"/>
      <c r="F17" s="35"/>
      <c r="G17" s="35"/>
      <c r="H17" s="35"/>
      <c r="I17" s="35"/>
      <c r="J17" s="35"/>
    </row>
    <row r="18" spans="1:10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</row>
    <row r="19" spans="1:10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</row>
    <row r="20" spans="1:10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</row>
    <row r="21" spans="1:10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</row>
    <row r="22" spans="1:10" x14ac:dyDescent="0.25">
      <c r="A22" s="35"/>
      <c r="B22" s="35"/>
      <c r="C22" s="35"/>
      <c r="D22" s="35"/>
      <c r="E22" s="35"/>
      <c r="F22" s="35"/>
      <c r="G22" s="35"/>
      <c r="H22" s="35"/>
      <c r="I22" s="35"/>
      <c r="J22" s="35"/>
    </row>
  </sheetData>
  <mergeCells count="15">
    <mergeCell ref="A10:J10"/>
    <mergeCell ref="A11:J11"/>
    <mergeCell ref="A13:J13"/>
    <mergeCell ref="J1:J2"/>
    <mergeCell ref="I1:I2"/>
    <mergeCell ref="H1:H2"/>
    <mergeCell ref="A4:J4"/>
    <mergeCell ref="A5:J5"/>
    <mergeCell ref="A7:J7"/>
    <mergeCell ref="F1:G1"/>
    <mergeCell ref="E1:E2"/>
    <mergeCell ref="D1:D2"/>
    <mergeCell ref="C1:C2"/>
    <mergeCell ref="B1:B2"/>
    <mergeCell ref="A1:A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AAA4-CEDA-4DBB-82AC-0AD67E237AF8}">
  <dimension ref="A1:I50"/>
  <sheetViews>
    <sheetView topLeftCell="A16" workbookViewId="0">
      <selection activeCell="A51" sqref="A51"/>
    </sheetView>
  </sheetViews>
  <sheetFormatPr defaultRowHeight="15" x14ac:dyDescent="0.25"/>
  <cols>
    <col min="1" max="1" width="14.28515625" bestFit="1" customWidth="1"/>
    <col min="2" max="2" width="11.7109375" customWidth="1"/>
    <col min="3" max="3" width="13.28515625" bestFit="1" customWidth="1"/>
    <col min="5" max="5" width="16.5703125" bestFit="1" customWidth="1"/>
  </cols>
  <sheetData>
    <row r="1" spans="1:8" x14ac:dyDescent="0.25">
      <c r="A1" t="s">
        <v>61</v>
      </c>
      <c r="B1">
        <f>ROUNDUP(0.012*'расчетКол-ваЖит'!E29, 0)</f>
        <v>955</v>
      </c>
    </row>
    <row r="3" spans="1:8" x14ac:dyDescent="0.25">
      <c r="A3" t="s">
        <v>59</v>
      </c>
      <c r="B3">
        <f>ROUNDUP(F3*B1,0)</f>
        <v>459</v>
      </c>
      <c r="E3" t="s">
        <v>60</v>
      </c>
      <c r="F3">
        <v>0.48</v>
      </c>
    </row>
    <row r="5" spans="1:8" x14ac:dyDescent="0.25">
      <c r="F5" t="s">
        <v>63</v>
      </c>
    </row>
    <row r="6" spans="1:8" x14ac:dyDescent="0.25">
      <c r="A6" t="s">
        <v>62</v>
      </c>
      <c r="B6">
        <f>(3.6*1.1*$F$7*$F$9*($H$6-$F$6)*$H$8)/($F$8*gazProperties!$B$15)</f>
        <v>376.26983218146614</v>
      </c>
      <c r="C6">
        <f>ROUND(B6,3)</f>
        <v>376.27</v>
      </c>
      <c r="E6" s="2" t="s">
        <v>64</v>
      </c>
      <c r="F6" s="3">
        <v>-22</v>
      </c>
      <c r="G6" s="2" t="s">
        <v>65</v>
      </c>
      <c r="H6" s="3">
        <v>18</v>
      </c>
    </row>
    <row r="7" spans="1:8" x14ac:dyDescent="0.25">
      <c r="A7" t="s">
        <v>70</v>
      </c>
      <c r="B7">
        <f>(3.6*$H$7*$F$9*($H$6-$F$6))/($F$8*gazProperties!$B$15)</f>
        <v>229.0603686169639</v>
      </c>
      <c r="C7">
        <f>ROUND(B7,3)</f>
        <v>229.06</v>
      </c>
      <c r="E7" s="2" t="s">
        <v>66</v>
      </c>
      <c r="F7" s="3">
        <v>0.4</v>
      </c>
      <c r="G7" s="2" t="s">
        <v>67</v>
      </c>
      <c r="H7" s="3">
        <v>0.3</v>
      </c>
    </row>
    <row r="8" spans="1:8" x14ac:dyDescent="0.25">
      <c r="E8" s="39" t="s">
        <v>31</v>
      </c>
      <c r="F8" s="3">
        <v>0.8</v>
      </c>
      <c r="G8" s="39" t="s">
        <v>68</v>
      </c>
      <c r="H8" s="3">
        <f>1+0.6*(30+F6)/(H6-F6)</f>
        <v>1.1200000000000001</v>
      </c>
    </row>
    <row r="9" spans="1:8" x14ac:dyDescent="0.25">
      <c r="E9" s="39" t="s">
        <v>69</v>
      </c>
      <c r="F9">
        <f>B1*160</f>
        <v>152800</v>
      </c>
    </row>
    <row r="14" spans="1:8" x14ac:dyDescent="0.25">
      <c r="A14" t="str">
        <f>52&amp;"*"&amp;0.05&amp;"*"&amp;'расчетКол-ваЖит'!E29</f>
        <v>52*0.05*79532</v>
      </c>
      <c r="B14">
        <f>52*0.05*'расчетКол-ваЖит'!E29</f>
        <v>206783.2</v>
      </c>
    </row>
    <row r="16" spans="1:8" x14ac:dyDescent="0.25">
      <c r="A16" t="s">
        <v>71</v>
      </c>
      <c r="B16">
        <f>ROUNDUP((75/1000)*0.5*'расчетКол-ваЖит'!E29,0)</f>
        <v>2983</v>
      </c>
      <c r="C16" t="s">
        <v>83</v>
      </c>
    </row>
    <row r="17" spans="1:3" x14ac:dyDescent="0.25">
      <c r="A17" t="s">
        <v>72</v>
      </c>
      <c r="B17">
        <f>ROUNDUP((0.01/1000)*(360*0.25*1*'расчетКол-ваЖит'!E29)*2,0)</f>
        <v>144</v>
      </c>
    </row>
    <row r="18" spans="1:3" x14ac:dyDescent="0.25">
      <c r="A18" t="s">
        <v>73</v>
      </c>
      <c r="B18">
        <f>ROUNDUP(0.125/1000*30*'расчетКол-ваЖит'!E29/1000*310,0)</f>
        <v>93</v>
      </c>
      <c r="C18" t="s">
        <v>78</v>
      </c>
    </row>
    <row r="19" spans="1:3" x14ac:dyDescent="0.25">
      <c r="A19" t="s">
        <v>74</v>
      </c>
      <c r="B19">
        <f>ROUNDUP(75/1000*(B14*2)/1000,0)</f>
        <v>32</v>
      </c>
      <c r="C19" t="s">
        <v>79</v>
      </c>
    </row>
    <row r="20" spans="1:3" x14ac:dyDescent="0.25">
      <c r="A20" t="s">
        <v>75</v>
      </c>
      <c r="B20">
        <f>ROUNDUP(0.3*6*'расчетКол-ваЖит'!E29/1000,0)</f>
        <v>144</v>
      </c>
      <c r="C20" t="s">
        <v>80</v>
      </c>
    </row>
    <row r="21" spans="1:3" x14ac:dyDescent="0.25">
      <c r="A21" t="s">
        <v>76</v>
      </c>
      <c r="B21">
        <f>ROUNDUP(0.48*0.08*0.85*'расчетКол-ваЖит'!$E$29,0)</f>
        <v>2596</v>
      </c>
      <c r="C21" t="s">
        <v>81</v>
      </c>
    </row>
    <row r="22" spans="1:3" x14ac:dyDescent="0.25">
      <c r="A22" t="s">
        <v>77</v>
      </c>
      <c r="B22">
        <f>ROUNDUP(0.36*0.1*0.85*'расчетКол-ваЖит'!$E$29,0)</f>
        <v>2434</v>
      </c>
      <c r="C22" t="s">
        <v>82</v>
      </c>
    </row>
    <row r="23" spans="1:3" x14ac:dyDescent="0.25">
      <c r="A23" s="39" t="s">
        <v>58</v>
      </c>
      <c r="B23">
        <f>SUM(B16:B22)</f>
        <v>8426</v>
      </c>
    </row>
    <row r="30" spans="1:3" x14ac:dyDescent="0.25">
      <c r="A30" t="s">
        <v>96</v>
      </c>
    </row>
    <row r="31" spans="1:3" x14ac:dyDescent="0.25">
      <c r="A31" t="s">
        <v>99</v>
      </c>
      <c r="B31">
        <f>ROUNDUP(0.2*219*'расчетКол-ваЖит'!$E$29/1000,0)</f>
        <v>3484</v>
      </c>
    </row>
    <row r="32" spans="1:3" x14ac:dyDescent="0.25">
      <c r="A32" t="s">
        <v>98</v>
      </c>
      <c r="B32">
        <f>ROUNDUP(0.8*219*'расчетКол-ваЖит'!$E$29/1000,0)</f>
        <v>13935</v>
      </c>
    </row>
    <row r="33" spans="1:9" x14ac:dyDescent="0.25">
      <c r="A33" t="s">
        <v>97</v>
      </c>
      <c r="B33">
        <f>ROUNDUP(36.5*'расчетКол-ваЖит'!$E$29/1000,0)</f>
        <v>2903</v>
      </c>
    </row>
    <row r="40" spans="1:9" x14ac:dyDescent="0.25">
      <c r="A40" t="s">
        <v>109</v>
      </c>
    </row>
    <row r="42" spans="1:9" x14ac:dyDescent="0.25">
      <c r="A42" s="2" t="s">
        <v>110</v>
      </c>
      <c r="B42">
        <f>F44*$F$42*(1+I42)*POWER(10,-3)</f>
        <v>84269.848500000007</v>
      </c>
      <c r="E42" t="s">
        <v>112</v>
      </c>
      <c r="F42">
        <v>84.6</v>
      </c>
      <c r="H42" t="s">
        <v>116</v>
      </c>
      <c r="I42">
        <v>0.25</v>
      </c>
    </row>
    <row r="43" spans="1:9" x14ac:dyDescent="0.25">
      <c r="A43" s="2" t="s">
        <v>115</v>
      </c>
      <c r="B43">
        <f>$I$42*$I$43*$F$42*F44*POWER(10,-3)</f>
        <v>10112.381820000001</v>
      </c>
      <c r="E43" t="s">
        <v>119</v>
      </c>
      <c r="F43">
        <v>376</v>
      </c>
      <c r="H43" t="s">
        <v>117</v>
      </c>
      <c r="I43">
        <v>0.6</v>
      </c>
    </row>
    <row r="44" spans="1:9" x14ac:dyDescent="0.25">
      <c r="A44" s="2" t="s">
        <v>118</v>
      </c>
      <c r="B44">
        <f>$F$43*'расчетКол-ваЖит'!I29*POWER(10,-3)</f>
        <v>16645.896000000001</v>
      </c>
      <c r="E44" t="s">
        <v>113</v>
      </c>
      <c r="F44">
        <f>18*'расчетКол-ваЖит'!I29</f>
        <v>796878</v>
      </c>
    </row>
    <row r="45" spans="1:9" x14ac:dyDescent="0.25">
      <c r="A45" s="2" t="s">
        <v>120</v>
      </c>
      <c r="B45">
        <f>(3600*SUM(B42:B44))/($F$8*gazProperties!$B$15)</f>
        <v>13870.060832084442</v>
      </c>
    </row>
    <row r="46" spans="1:9" x14ac:dyDescent="0.25">
      <c r="A46" s="2"/>
      <c r="E46" t="s">
        <v>114</v>
      </c>
      <c r="F46">
        <f>18*'расчетКол-ваЖит'!P29</f>
        <v>634698</v>
      </c>
    </row>
    <row r="47" spans="1:9" x14ac:dyDescent="0.25">
      <c r="A47" s="2" t="s">
        <v>111</v>
      </c>
      <c r="B47">
        <f>F46*$F$42*(1+I42)*POWER(10,-3)</f>
        <v>67119.313500000004</v>
      </c>
    </row>
    <row r="48" spans="1:9" x14ac:dyDescent="0.25">
      <c r="A48" s="2" t="s">
        <v>133</v>
      </c>
      <c r="B48">
        <f>$I$42*$I$43*$F$42*F46*POWER(10,-3)</f>
        <v>8054.3176200000007</v>
      </c>
    </row>
    <row r="49" spans="1:2" x14ac:dyDescent="0.25">
      <c r="A49" s="2" t="s">
        <v>134</v>
      </c>
      <c r="B49">
        <f>$F$43*'расчетКол-ваЖит'!P29*POWER(10,-3)</f>
        <v>13258.136</v>
      </c>
    </row>
    <row r="50" spans="1:2" x14ac:dyDescent="0.25">
      <c r="A50" s="2" t="s">
        <v>135</v>
      </c>
      <c r="B50">
        <f>(3600*SUM(B47:B49))/($F$8*gazProperties!$B$15)</f>
        <v>11047.236678641313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D7318-8A47-492B-BAB1-7E25EB2B5EE2}">
  <dimension ref="A1:J28"/>
  <sheetViews>
    <sheetView topLeftCell="A10" workbookViewId="0">
      <selection activeCell="F20" sqref="F20"/>
    </sheetView>
  </sheetViews>
  <sheetFormatPr defaultRowHeight="15" x14ac:dyDescent="0.25"/>
  <cols>
    <col min="2" max="2" width="21.42578125" customWidth="1"/>
    <col min="3" max="3" width="10.5703125" customWidth="1"/>
  </cols>
  <sheetData>
    <row r="1" spans="1:10" ht="42.75" customHeight="1" x14ac:dyDescent="0.25">
      <c r="A1" s="69" t="s">
        <v>42</v>
      </c>
      <c r="B1" s="69" t="s">
        <v>43</v>
      </c>
      <c r="C1" s="69" t="s">
        <v>44</v>
      </c>
      <c r="D1" s="69" t="s">
        <v>45</v>
      </c>
      <c r="E1" s="69" t="s">
        <v>46</v>
      </c>
      <c r="F1" s="71" t="s">
        <v>47</v>
      </c>
      <c r="G1" s="72"/>
      <c r="H1" s="69" t="s">
        <v>50</v>
      </c>
      <c r="I1" s="69" t="s">
        <v>51</v>
      </c>
      <c r="J1" s="69" t="s">
        <v>52</v>
      </c>
    </row>
    <row r="2" spans="1:10" ht="96.75" customHeight="1" x14ac:dyDescent="0.25">
      <c r="A2" s="70"/>
      <c r="B2" s="70"/>
      <c r="C2" s="70"/>
      <c r="D2" s="70"/>
      <c r="E2" s="70"/>
      <c r="F2" s="29" t="s">
        <v>48</v>
      </c>
      <c r="G2" s="29" t="s">
        <v>49</v>
      </c>
      <c r="H2" s="70"/>
      <c r="I2" s="70"/>
      <c r="J2" s="70"/>
    </row>
    <row r="3" spans="1:10" ht="15.75" customHeight="1" thickBot="1" x14ac:dyDescent="0.3">
      <c r="A3" s="28">
        <v>1</v>
      </c>
      <c r="B3" s="28">
        <v>2</v>
      </c>
      <c r="C3" s="28">
        <v>3</v>
      </c>
      <c r="D3" s="28">
        <v>4</v>
      </c>
      <c r="E3" s="28">
        <v>5</v>
      </c>
      <c r="F3" s="28">
        <v>6</v>
      </c>
      <c r="G3" s="28">
        <v>7</v>
      </c>
      <c r="H3" s="28">
        <v>8</v>
      </c>
      <c r="I3" s="28">
        <v>9</v>
      </c>
      <c r="J3" s="28">
        <v>10</v>
      </c>
    </row>
    <row r="4" spans="1:10" ht="15.75" customHeight="1" x14ac:dyDescent="0.25">
      <c r="A4" s="63" t="s">
        <v>90</v>
      </c>
      <c r="B4" s="64"/>
      <c r="C4" s="64"/>
      <c r="D4" s="64"/>
      <c r="E4" s="64"/>
      <c r="F4" s="64"/>
      <c r="G4" s="64"/>
      <c r="H4" s="64"/>
      <c r="I4" s="64"/>
      <c r="J4" s="65"/>
    </row>
    <row r="5" spans="1:10" ht="33" customHeight="1" x14ac:dyDescent="0.25">
      <c r="A5" s="30">
        <v>1</v>
      </c>
      <c r="B5" s="40" t="s">
        <v>84</v>
      </c>
      <c r="C5" s="40" t="s">
        <v>88</v>
      </c>
      <c r="D5" s="30">
        <v>100</v>
      </c>
      <c r="E5" s="30">
        <f>РасхСосредоточПотреб!$B$1</f>
        <v>955</v>
      </c>
      <c r="F5" s="30">
        <v>3200000</v>
      </c>
      <c r="G5" s="30">
        <f>F5/gazProperties!$B$15</f>
        <v>88.834736713967004</v>
      </c>
      <c r="H5" s="30">
        <f>E5*G5</f>
        <v>84837.173561838485</v>
      </c>
      <c r="I5" s="30">
        <f>1/1800</f>
        <v>5.5555555555555556E-4</v>
      </c>
      <c r="J5" s="30">
        <f>I5*H5</f>
        <v>47.131763089910272</v>
      </c>
    </row>
    <row r="6" spans="1:10" ht="102.75" customHeight="1" x14ac:dyDescent="0.25">
      <c r="A6" s="30">
        <v>2</v>
      </c>
      <c r="B6" s="40" t="s">
        <v>85</v>
      </c>
      <c r="C6" s="40" t="s">
        <v>88</v>
      </c>
      <c r="D6" s="30">
        <v>100</v>
      </c>
      <c r="E6" s="30">
        <f>РасхСосредоточПотреб!$B$1</f>
        <v>955</v>
      </c>
      <c r="F6" s="30">
        <v>9200000</v>
      </c>
      <c r="G6" s="30">
        <f>F6/gazProperties!$B$15</f>
        <v>255.39986805265514</v>
      </c>
      <c r="H6" s="30">
        <f>E6*G6</f>
        <v>243906.87399028565</v>
      </c>
      <c r="I6" s="30">
        <f>1/1800</f>
        <v>5.5555555555555556E-4</v>
      </c>
      <c r="J6" s="30">
        <f t="shared" ref="J6:J7" si="0">I6*H6</f>
        <v>135.50381888349202</v>
      </c>
    </row>
    <row r="7" spans="1:10" ht="85.5" customHeight="1" x14ac:dyDescent="0.25">
      <c r="A7" s="30">
        <v>3</v>
      </c>
      <c r="B7" s="40" t="s">
        <v>86</v>
      </c>
      <c r="C7" s="40" t="s">
        <v>89</v>
      </c>
      <c r="D7" s="30">
        <v>100</v>
      </c>
      <c r="E7" s="30">
        <f>РасхСосредоточПотреб!B3</f>
        <v>459</v>
      </c>
      <c r="F7" s="30">
        <v>18800000</v>
      </c>
      <c r="G7" s="30">
        <f>F7/gazProperties!$B$15</f>
        <v>521.90407819455618</v>
      </c>
      <c r="H7" s="30">
        <f t="shared" ref="H7" si="1">E7*G7</f>
        <v>239553.97189130128</v>
      </c>
      <c r="I7" s="30">
        <f>1/2900</f>
        <v>3.4482758620689653E-4</v>
      </c>
      <c r="J7" s="30">
        <f t="shared" si="0"/>
        <v>82.604817893552152</v>
      </c>
    </row>
    <row r="8" spans="1:10" ht="36.75" customHeight="1" x14ac:dyDescent="0.25">
      <c r="A8" s="30">
        <v>4</v>
      </c>
      <c r="B8" s="40" t="s">
        <v>87</v>
      </c>
      <c r="C8" s="75" t="str">
        <f>РасхСосредоточПотреб!C6&amp;"+"&amp;РасхСосредоточПотреб!C7</f>
        <v>376.27+229.06</v>
      </c>
      <c r="D8" s="76"/>
      <c r="E8" s="76"/>
      <c r="F8" s="76"/>
      <c r="G8" s="76"/>
      <c r="H8" s="76"/>
      <c r="I8" s="77"/>
      <c r="J8" s="30">
        <f>РасхСосредоточПотреб!B6+РасхСосредоточПотреб!B7</f>
        <v>605.33020079843004</v>
      </c>
    </row>
    <row r="9" spans="1:10" ht="15.75" customHeight="1" thickBot="1" x14ac:dyDescent="0.3">
      <c r="A9" s="73" t="s">
        <v>108</v>
      </c>
      <c r="B9" s="73"/>
      <c r="C9" s="73"/>
      <c r="D9" s="73"/>
      <c r="E9" s="73"/>
      <c r="F9" s="73"/>
      <c r="G9" s="73"/>
      <c r="H9" s="74"/>
      <c r="I9" s="41" t="s">
        <v>58</v>
      </c>
      <c r="J9" s="28">
        <f>SUM(J5:J8)</f>
        <v>870.57060066538452</v>
      </c>
    </row>
    <row r="10" spans="1:10" ht="15.75" customHeight="1" x14ac:dyDescent="0.25">
      <c r="A10" s="78" t="s">
        <v>91</v>
      </c>
      <c r="B10" s="79"/>
      <c r="C10" s="79"/>
      <c r="D10" s="79"/>
      <c r="E10" s="79"/>
      <c r="F10" s="79"/>
      <c r="G10" s="79"/>
      <c r="H10" s="79"/>
      <c r="I10" s="79"/>
      <c r="J10" s="80"/>
    </row>
    <row r="11" spans="1:10" ht="30" x14ac:dyDescent="0.25">
      <c r="A11" s="30">
        <v>1</v>
      </c>
      <c r="B11" s="40" t="s">
        <v>92</v>
      </c>
      <c r="C11" s="81" t="s">
        <v>95</v>
      </c>
      <c r="D11" s="77"/>
      <c r="E11" s="30">
        <f>РасхСосредоточПотреб!B31</f>
        <v>3484</v>
      </c>
      <c r="F11" s="30">
        <v>2500000</v>
      </c>
      <c r="G11" s="30">
        <f>F11/gazProperties!$B$15</f>
        <v>69.402138057786715</v>
      </c>
      <c r="H11" s="30">
        <f>E11*G11</f>
        <v>241797.04899332891</v>
      </c>
      <c r="I11" s="30">
        <f>1/6000</f>
        <v>1.6666666666666666E-4</v>
      </c>
      <c r="J11" s="30">
        <f>I11*H11</f>
        <v>40.299508165554819</v>
      </c>
    </row>
    <row r="12" spans="1:10" ht="45" x14ac:dyDescent="0.25">
      <c r="A12" s="30">
        <v>2</v>
      </c>
      <c r="B12" s="40" t="s">
        <v>93</v>
      </c>
      <c r="C12" s="81" t="s">
        <v>95</v>
      </c>
      <c r="D12" s="77"/>
      <c r="E12" s="30">
        <f>РасхСосредоточПотреб!B32</f>
        <v>13935</v>
      </c>
      <c r="F12" s="30">
        <v>5450000</v>
      </c>
      <c r="G12" s="30">
        <f>F12/gazProperties!$B$15</f>
        <v>151.29666096597504</v>
      </c>
      <c r="H12" s="30">
        <f t="shared" ref="H12:H13" si="2">E12*G12</f>
        <v>2108318.9705608622</v>
      </c>
      <c r="I12" s="30">
        <f t="shared" ref="I12:I13" si="3">1/6000</f>
        <v>1.6666666666666666E-4</v>
      </c>
      <c r="J12" s="30">
        <f t="shared" ref="J12:J13" si="4">I12*H12</f>
        <v>351.38649509347704</v>
      </c>
    </row>
    <row r="13" spans="1:10" ht="45" x14ac:dyDescent="0.25">
      <c r="A13" s="30">
        <v>3</v>
      </c>
      <c r="B13" s="40" t="s">
        <v>94</v>
      </c>
      <c r="C13" s="81" t="s">
        <v>95</v>
      </c>
      <c r="D13" s="77"/>
      <c r="E13" s="30">
        <f>РасхСосредоточПотреб!B33</f>
        <v>2903</v>
      </c>
      <c r="F13" s="30">
        <v>7750000</v>
      </c>
      <c r="G13" s="30">
        <f>F13/gazProperties!$B$15</f>
        <v>215.14662797913883</v>
      </c>
      <c r="H13" s="30">
        <f t="shared" si="2"/>
        <v>624570.66102344007</v>
      </c>
      <c r="I13" s="30">
        <f t="shared" si="3"/>
        <v>1.6666666666666666E-4</v>
      </c>
      <c r="J13" s="30">
        <f t="shared" si="4"/>
        <v>104.09511017057334</v>
      </c>
    </row>
    <row r="14" spans="1:10" ht="15.75" thickBot="1" x14ac:dyDescent="0.3">
      <c r="A14" s="73" t="s">
        <v>107</v>
      </c>
      <c r="B14" s="73"/>
      <c r="C14" s="73"/>
      <c r="D14" s="73"/>
      <c r="E14" s="73"/>
      <c r="F14" s="73"/>
      <c r="G14" s="73"/>
      <c r="H14" s="74"/>
      <c r="I14" s="42" t="s">
        <v>58</v>
      </c>
      <c r="J14" s="36">
        <f>SUM(J11:J13)</f>
        <v>495.78111342960517</v>
      </c>
    </row>
    <row r="15" spans="1:10" x14ac:dyDescent="0.25">
      <c r="A15" s="63" t="s">
        <v>100</v>
      </c>
      <c r="B15" s="64"/>
      <c r="C15" s="64"/>
      <c r="D15" s="64"/>
      <c r="E15" s="64"/>
      <c r="F15" s="64"/>
      <c r="G15" s="64"/>
      <c r="H15" s="64"/>
      <c r="I15" s="64"/>
      <c r="J15" s="65"/>
    </row>
    <row r="16" spans="1:10" ht="30" x14ac:dyDescent="0.25">
      <c r="A16" s="30">
        <v>1</v>
      </c>
      <c r="B16" s="40" t="s">
        <v>101</v>
      </c>
      <c r="C16" s="30" t="s">
        <v>104</v>
      </c>
      <c r="D16" s="30">
        <v>5</v>
      </c>
      <c r="E16" s="30">
        <f>РасхСосредоточПотреб!$B$14</f>
        <v>206783.2</v>
      </c>
      <c r="F16" s="30">
        <v>40000</v>
      </c>
      <c r="G16" s="30">
        <f>F16/gazProperties!$B$15</f>
        <v>1.1104342089245876</v>
      </c>
      <c r="H16" s="30">
        <f>E16*G16</f>
        <v>229619.13911089479</v>
      </c>
      <c r="I16" s="30">
        <f>1/2700</f>
        <v>3.7037037037037035E-4</v>
      </c>
      <c r="J16" s="30">
        <f>I16*H16</f>
        <v>85.044125596627694</v>
      </c>
    </row>
    <row r="17" spans="1:10" ht="30" x14ac:dyDescent="0.25">
      <c r="A17" s="30">
        <v>2</v>
      </c>
      <c r="B17" s="40" t="s">
        <v>102</v>
      </c>
      <c r="C17" s="30" t="s">
        <v>105</v>
      </c>
      <c r="D17" s="30">
        <v>5</v>
      </c>
      <c r="E17" s="30">
        <f>РасхСосредоточПотреб!$B$14</f>
        <v>206783.2</v>
      </c>
      <c r="F17" s="30">
        <v>50000</v>
      </c>
      <c r="G17" s="30">
        <f>F17/gazProperties!$B$15</f>
        <v>1.3880427611557344</v>
      </c>
      <c r="H17" s="30">
        <f t="shared" ref="H17" si="5">E17*G17</f>
        <v>287023.92388861848</v>
      </c>
      <c r="I17" s="30">
        <f>1/2700</f>
        <v>3.7037037037037035E-4</v>
      </c>
      <c r="J17" s="30">
        <f t="shared" ref="J17:J18" si="6">I17*H17</f>
        <v>106.30515699578461</v>
      </c>
    </row>
    <row r="18" spans="1:10" ht="75" x14ac:dyDescent="0.25">
      <c r="A18" s="30">
        <v>3</v>
      </c>
      <c r="B18" s="40" t="s">
        <v>103</v>
      </c>
      <c r="C18" s="40" t="s">
        <v>89</v>
      </c>
      <c r="D18" s="30">
        <v>50</v>
      </c>
      <c r="E18" s="30">
        <f>РасхСосредоточПотреб!B23</f>
        <v>8426</v>
      </c>
      <c r="F18" s="30">
        <v>18000000</v>
      </c>
      <c r="G18" s="30">
        <f>F18/gazProperties!$B$15</f>
        <v>499.69539401606437</v>
      </c>
      <c r="H18" s="30">
        <f>E18*G18</f>
        <v>4210433.3899793588</v>
      </c>
      <c r="I18" s="30">
        <f>1/2900</f>
        <v>3.4482758620689653E-4</v>
      </c>
      <c r="J18" s="30">
        <f t="shared" si="6"/>
        <v>1451.8735827515029</v>
      </c>
    </row>
    <row r="19" spans="1:10" ht="15.75" thickBot="1" x14ac:dyDescent="0.3">
      <c r="A19" s="73" t="s">
        <v>106</v>
      </c>
      <c r="B19" s="73"/>
      <c r="C19" s="73"/>
      <c r="D19" s="73"/>
      <c r="E19" s="73"/>
      <c r="F19" s="73"/>
      <c r="G19" s="73"/>
      <c r="H19" s="74"/>
      <c r="I19" s="41" t="s">
        <v>58</v>
      </c>
      <c r="J19" s="28">
        <f>SUM(J16:J18)</f>
        <v>1643.2228653439151</v>
      </c>
    </row>
    <row r="20" spans="1:10" x14ac:dyDescent="0.25">
      <c r="A20" s="43"/>
      <c r="B20" s="43"/>
      <c r="C20" s="43"/>
      <c r="D20" s="43"/>
      <c r="E20" s="43"/>
      <c r="F20" s="43"/>
      <c r="G20" s="43"/>
      <c r="H20" s="43"/>
      <c r="I20" s="43"/>
      <c r="J20" s="43"/>
    </row>
    <row r="21" spans="1:10" x14ac:dyDescent="0.25">
      <c r="A21" s="43"/>
      <c r="B21" s="43"/>
      <c r="C21" s="43"/>
      <c r="D21" s="43"/>
      <c r="E21" s="43"/>
      <c r="F21" s="43"/>
      <c r="G21" s="43"/>
      <c r="H21" s="43"/>
      <c r="I21" s="43"/>
      <c r="J21" s="43"/>
    </row>
    <row r="22" spans="1:10" x14ac:dyDescent="0.25">
      <c r="A22" s="43"/>
      <c r="B22" s="43"/>
      <c r="C22" s="43"/>
      <c r="D22" s="43"/>
      <c r="E22" s="43"/>
      <c r="F22" s="43"/>
      <c r="G22" s="43"/>
      <c r="H22" s="43"/>
      <c r="I22" s="43"/>
      <c r="J22" s="43"/>
    </row>
    <row r="23" spans="1:10" x14ac:dyDescent="0.25">
      <c r="A23" s="43"/>
      <c r="B23" s="43"/>
      <c r="C23" s="43"/>
      <c r="D23" s="43"/>
      <c r="E23" s="43"/>
      <c r="F23" s="43"/>
      <c r="G23" s="43"/>
      <c r="H23" s="43"/>
      <c r="I23" s="43"/>
      <c r="J23" s="43"/>
    </row>
    <row r="24" spans="1:10" x14ac:dyDescent="0.25">
      <c r="A24" s="43"/>
      <c r="B24" s="43"/>
      <c r="C24" s="43"/>
      <c r="D24" s="43"/>
      <c r="E24" s="43"/>
      <c r="F24" s="43"/>
      <c r="G24" s="43"/>
      <c r="H24" s="43"/>
      <c r="I24" s="43"/>
      <c r="J24" s="43"/>
    </row>
    <row r="25" spans="1:10" x14ac:dyDescent="0.25">
      <c r="A25" s="43"/>
      <c r="B25" s="43"/>
      <c r="C25" s="43"/>
      <c r="D25" s="43"/>
      <c r="E25" s="43"/>
      <c r="F25" s="43"/>
      <c r="G25" s="43"/>
      <c r="H25" s="43"/>
      <c r="I25" s="43"/>
      <c r="J25" s="43"/>
    </row>
    <row r="26" spans="1:10" x14ac:dyDescent="0.25">
      <c r="A26" s="43"/>
      <c r="B26" s="43"/>
      <c r="C26" s="43"/>
      <c r="D26" s="43"/>
      <c r="E26" s="43"/>
      <c r="F26" s="43"/>
      <c r="G26" s="43"/>
      <c r="H26" s="43"/>
      <c r="I26" s="43"/>
      <c r="J26" s="43"/>
    </row>
    <row r="27" spans="1:10" x14ac:dyDescent="0.25">
      <c r="A27" s="43"/>
      <c r="B27" s="43"/>
      <c r="C27" s="43"/>
      <c r="D27" s="43"/>
      <c r="E27" s="43"/>
      <c r="F27" s="43"/>
      <c r="G27" s="43"/>
      <c r="H27" s="43"/>
      <c r="I27" s="43"/>
      <c r="J27" s="43"/>
    </row>
    <row r="28" spans="1:10" x14ac:dyDescent="0.25">
      <c r="A28" s="43"/>
      <c r="B28" s="43"/>
      <c r="C28" s="43"/>
      <c r="D28" s="43"/>
      <c r="E28" s="43"/>
      <c r="F28" s="43"/>
      <c r="G28" s="43"/>
      <c r="H28" s="43"/>
      <c r="I28" s="43"/>
      <c r="J28" s="43"/>
    </row>
  </sheetData>
  <mergeCells count="19">
    <mergeCell ref="H1:H2"/>
    <mergeCell ref="I1:I2"/>
    <mergeCell ref="J1:J2"/>
    <mergeCell ref="A4:J4"/>
    <mergeCell ref="A1:A2"/>
    <mergeCell ref="B1:B2"/>
    <mergeCell ref="C1:C2"/>
    <mergeCell ref="D1:D2"/>
    <mergeCell ref="E1:E2"/>
    <mergeCell ref="F1:G1"/>
    <mergeCell ref="A15:J15"/>
    <mergeCell ref="A14:H14"/>
    <mergeCell ref="A19:H19"/>
    <mergeCell ref="C8:I8"/>
    <mergeCell ref="A9:H9"/>
    <mergeCell ref="A10:J10"/>
    <mergeCell ref="C11:D11"/>
    <mergeCell ref="C12:D12"/>
    <mergeCell ref="C13:D1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937C0-5E57-457A-81B6-0468CB5DE98C}">
  <dimension ref="A1:K22"/>
  <sheetViews>
    <sheetView workbookViewId="0">
      <selection activeCell="K22" sqref="K22"/>
    </sheetView>
  </sheetViews>
  <sheetFormatPr defaultRowHeight="15" x14ac:dyDescent="0.25"/>
  <cols>
    <col min="1" max="1" width="9.140625" customWidth="1"/>
    <col min="2" max="2" width="16.7109375" customWidth="1"/>
    <col min="3" max="3" width="13" customWidth="1"/>
    <col min="4" max="4" width="20.28515625" customWidth="1"/>
    <col min="5" max="5" width="11.85546875" customWidth="1"/>
    <col min="9" max="9" width="12" bestFit="1" customWidth="1"/>
    <col min="11" max="11" width="12" bestFit="1" customWidth="1"/>
  </cols>
  <sheetData>
    <row r="1" spans="1:11" ht="60.75" customHeight="1" x14ac:dyDescent="0.25">
      <c r="A1" s="44" t="s">
        <v>125</v>
      </c>
      <c r="B1" s="49" t="s">
        <v>121</v>
      </c>
      <c r="C1" s="49" t="s">
        <v>122</v>
      </c>
      <c r="D1" s="49" t="s">
        <v>124</v>
      </c>
      <c r="E1" s="50" t="s">
        <v>123</v>
      </c>
      <c r="I1" s="54" t="s">
        <v>137</v>
      </c>
      <c r="J1" s="43"/>
      <c r="K1" s="55" t="s">
        <v>138</v>
      </c>
    </row>
    <row r="2" spans="1:11" ht="15.75" thickBot="1" x14ac:dyDescent="0.3">
      <c r="A2" s="46">
        <v>1</v>
      </c>
      <c r="B2" s="45">
        <v>2</v>
      </c>
      <c r="C2" s="47">
        <v>3</v>
      </c>
      <c r="D2" s="45">
        <v>4</v>
      </c>
      <c r="E2" s="48">
        <v>5</v>
      </c>
      <c r="I2" s="53"/>
      <c r="J2" s="43"/>
      <c r="K2" s="56"/>
    </row>
    <row r="3" spans="1:11" x14ac:dyDescent="0.25">
      <c r="A3" s="5">
        <v>1</v>
      </c>
      <c r="B3" s="5" t="s">
        <v>126</v>
      </c>
      <c r="C3" s="5">
        <f>расходГазаПотребителями!J9</f>
        <v>1834.8767615750357</v>
      </c>
      <c r="D3" s="5">
        <v>0.8</v>
      </c>
      <c r="E3" s="5">
        <f>C3*D3</f>
        <v>1467.9014092600287</v>
      </c>
      <c r="I3" s="54">
        <f>C3</f>
        <v>1834.8767615750357</v>
      </c>
      <c r="K3" s="55"/>
    </row>
    <row r="4" spans="1:11" x14ac:dyDescent="0.25">
      <c r="A4" s="4">
        <v>2</v>
      </c>
      <c r="B4" s="5" t="s">
        <v>127</v>
      </c>
      <c r="C4" s="4">
        <f>расходГазаПотребителями!J15</f>
        <v>1381.5644407283489</v>
      </c>
      <c r="D4" s="4">
        <v>0.8</v>
      </c>
      <c r="E4" s="5">
        <f t="shared" ref="E4:E9" si="0">C4*D4</f>
        <v>1105.2515525826791</v>
      </c>
      <c r="I4" s="57"/>
      <c r="K4" s="58">
        <f>C5</f>
        <v>870.57060066538452</v>
      </c>
    </row>
    <row r="5" spans="1:11" x14ac:dyDescent="0.25">
      <c r="A5" s="5">
        <v>3</v>
      </c>
      <c r="B5" s="4" t="s">
        <v>128</v>
      </c>
      <c r="C5" s="4">
        <f>РасчРасхСосредоточПотр!J9</f>
        <v>870.57060066538452</v>
      </c>
      <c r="D5" s="4">
        <v>0.85</v>
      </c>
      <c r="E5" s="5">
        <f t="shared" si="0"/>
        <v>739.98501056557677</v>
      </c>
      <c r="I5" s="57"/>
      <c r="K5" s="58"/>
    </row>
    <row r="6" spans="1:11" x14ac:dyDescent="0.25">
      <c r="A6" s="4">
        <v>4</v>
      </c>
      <c r="B6" s="4" t="s">
        <v>129</v>
      </c>
      <c r="C6" s="4">
        <f>РасчРасхСосредоточПотр!J14</f>
        <v>495.78111342960517</v>
      </c>
      <c r="D6" s="4">
        <v>0.7</v>
      </c>
      <c r="E6" s="5">
        <f t="shared" si="0"/>
        <v>347.04677940072361</v>
      </c>
      <c r="I6" s="57">
        <f>C6</f>
        <v>495.78111342960517</v>
      </c>
      <c r="K6" s="58"/>
    </row>
    <row r="7" spans="1:11" x14ac:dyDescent="0.25">
      <c r="A7" s="5">
        <v>5</v>
      </c>
      <c r="B7" s="4" t="s">
        <v>130</v>
      </c>
      <c r="C7" s="4">
        <f>РасчРасхСосредоточПотр!J19</f>
        <v>1643.2228653439151</v>
      </c>
      <c r="D7" s="4">
        <v>0.6</v>
      </c>
      <c r="E7" s="5">
        <f t="shared" si="0"/>
        <v>985.933719206349</v>
      </c>
      <c r="I7" s="57"/>
      <c r="K7" s="58">
        <f>C7</f>
        <v>1643.2228653439151</v>
      </c>
    </row>
    <row r="8" spans="1:11" x14ac:dyDescent="0.25">
      <c r="A8" s="4">
        <v>6</v>
      </c>
      <c r="B8" s="4" t="s">
        <v>131</v>
      </c>
      <c r="C8" s="4">
        <f>РасхСосредоточПотреб!B45</f>
        <v>13870.060832084442</v>
      </c>
      <c r="D8" s="4">
        <v>0.75</v>
      </c>
      <c r="E8" s="5">
        <f t="shared" si="0"/>
        <v>10402.545624063332</v>
      </c>
      <c r="I8" s="57">
        <f>C8</f>
        <v>13870.060832084442</v>
      </c>
      <c r="K8" s="58"/>
    </row>
    <row r="9" spans="1:11" x14ac:dyDescent="0.25">
      <c r="A9" s="5">
        <v>7</v>
      </c>
      <c r="B9" s="4" t="s">
        <v>132</v>
      </c>
      <c r="C9" s="4">
        <f>РасхСосредоточПотреб!B50</f>
        <v>11047.236678641313</v>
      </c>
      <c r="D9" s="4">
        <v>0.75</v>
      </c>
      <c r="E9" s="5">
        <f t="shared" si="0"/>
        <v>8285.4275089809853</v>
      </c>
      <c r="I9" s="57"/>
      <c r="K9" s="58">
        <f>C9</f>
        <v>11047.236678641313</v>
      </c>
    </row>
    <row r="10" spans="1:11" ht="15.75" thickBot="1" x14ac:dyDescent="0.3">
      <c r="A10" s="82" t="s">
        <v>136</v>
      </c>
      <c r="B10" s="83"/>
      <c r="C10" s="4">
        <f>SUM(C3:C9)</f>
        <v>31143.313292468047</v>
      </c>
      <c r="D10" s="4"/>
      <c r="E10" s="4">
        <f>SUM(E3:E9)</f>
        <v>23334.091604059675</v>
      </c>
      <c r="I10" s="57"/>
      <c r="K10" s="58"/>
    </row>
    <row r="11" spans="1:11" ht="15.75" thickBot="1" x14ac:dyDescent="0.3">
      <c r="A11" s="4"/>
      <c r="B11" s="4"/>
      <c r="C11" s="4"/>
      <c r="D11" s="4"/>
      <c r="E11" s="4"/>
      <c r="I11" s="51">
        <f>SUM(I2:I8)</f>
        <v>16200.718707089083</v>
      </c>
      <c r="K11" s="52">
        <f>SUM(K2:K10)</f>
        <v>13561.030144650613</v>
      </c>
    </row>
    <row r="15" spans="1:11" x14ac:dyDescent="0.25">
      <c r="A15" t="s">
        <v>139</v>
      </c>
      <c r="E15" t="s">
        <v>143</v>
      </c>
      <c r="F15">
        <v>0.6</v>
      </c>
      <c r="H15" t="s">
        <v>145</v>
      </c>
    </row>
    <row r="16" spans="1:11" x14ac:dyDescent="0.25">
      <c r="A16" t="s">
        <v>140</v>
      </c>
      <c r="B16">
        <f>0.59*(E3+E4+E8+E9)</f>
        <v>12544.064395983345</v>
      </c>
      <c r="E16" t="s">
        <v>144</v>
      </c>
      <c r="F16">
        <v>0.25</v>
      </c>
      <c r="H16" t="s">
        <v>146</v>
      </c>
      <c r="I16">
        <v>11936</v>
      </c>
      <c r="J16" t="s">
        <v>150</v>
      </c>
    </row>
    <row r="17" spans="1:3" x14ac:dyDescent="0.25">
      <c r="A17" t="s">
        <v>141</v>
      </c>
    </row>
    <row r="18" spans="1:3" x14ac:dyDescent="0.25">
      <c r="A18" t="s">
        <v>142</v>
      </c>
      <c r="B18">
        <f>(POWER(F15,2)+POWER(F16,2))/(1.1*I16/1000)</f>
        <v>3.2179198147696805E-2</v>
      </c>
      <c r="C18" t="s">
        <v>147</v>
      </c>
    </row>
    <row r="19" spans="1:3" x14ac:dyDescent="0.25">
      <c r="B19">
        <f>B18*1000</f>
        <v>32.179198147696802</v>
      </c>
      <c r="C19" t="s">
        <v>148</v>
      </c>
    </row>
    <row r="22" spans="1:3" x14ac:dyDescent="0.25">
      <c r="B22" t="s">
        <v>149</v>
      </c>
    </row>
  </sheetData>
  <mergeCells count="1">
    <mergeCell ref="A10:B10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A6797-C0EB-4566-9FAB-3CEBA037D098}">
  <dimension ref="A1:J46"/>
  <sheetViews>
    <sheetView tabSelected="1" topLeftCell="A7" workbookViewId="0">
      <selection activeCell="M26" sqref="M26"/>
    </sheetView>
  </sheetViews>
  <sheetFormatPr defaultRowHeight="15" x14ac:dyDescent="0.25"/>
  <sheetData>
    <row r="1" spans="1:10" ht="43.5" customHeight="1" x14ac:dyDescent="0.25">
      <c r="A1" s="84" t="s">
        <v>151</v>
      </c>
      <c r="B1" s="85" t="s">
        <v>170</v>
      </c>
      <c r="C1" s="86"/>
      <c r="D1" s="84" t="s">
        <v>153</v>
      </c>
      <c r="E1" s="84" t="s">
        <v>154</v>
      </c>
      <c r="F1" s="84" t="s">
        <v>155</v>
      </c>
      <c r="G1" s="84" t="s">
        <v>156</v>
      </c>
      <c r="H1" s="84" t="s">
        <v>157</v>
      </c>
      <c r="I1" s="85" t="s">
        <v>160</v>
      </c>
      <c r="J1" s="86"/>
    </row>
    <row r="2" spans="1:10" ht="95.25" customHeight="1" x14ac:dyDescent="0.25">
      <c r="A2" s="87"/>
      <c r="B2" s="88" t="s">
        <v>171</v>
      </c>
      <c r="C2" s="88" t="s">
        <v>152</v>
      </c>
      <c r="D2" s="87"/>
      <c r="E2" s="87"/>
      <c r="F2" s="87"/>
      <c r="G2" s="87"/>
      <c r="H2" s="87"/>
      <c r="I2" s="88" t="s">
        <v>158</v>
      </c>
      <c r="J2" s="88" t="s">
        <v>159</v>
      </c>
    </row>
    <row r="3" spans="1:10" ht="17.25" customHeight="1" x14ac:dyDescent="0.25">
      <c r="A3" s="4">
        <v>1</v>
      </c>
      <c r="B3" s="4">
        <v>2</v>
      </c>
      <c r="C3" s="4">
        <v>3</v>
      </c>
      <c r="D3" s="4">
        <v>4</v>
      </c>
      <c r="E3" s="4">
        <v>5</v>
      </c>
      <c r="F3" s="4">
        <v>6</v>
      </c>
      <c r="G3" s="4">
        <v>7</v>
      </c>
      <c r="H3" s="4">
        <v>8</v>
      </c>
      <c r="I3" s="4">
        <v>9</v>
      </c>
      <c r="J3" s="4">
        <v>10</v>
      </c>
    </row>
    <row r="4" spans="1:10" x14ac:dyDescent="0.25">
      <c r="A4" s="66" t="s">
        <v>161</v>
      </c>
      <c r="B4" s="67"/>
      <c r="C4" s="67"/>
      <c r="D4" s="67"/>
      <c r="E4" s="67"/>
      <c r="F4" s="67"/>
      <c r="G4" s="67"/>
      <c r="H4" s="67"/>
      <c r="I4" s="67"/>
      <c r="J4" s="68"/>
    </row>
    <row r="5" spans="1:10" x14ac:dyDescent="0.25">
      <c r="A5" s="4" t="s">
        <v>162</v>
      </c>
      <c r="B5" s="4">
        <v>0.5</v>
      </c>
      <c r="C5" s="4">
        <f>1.1*B5</f>
        <v>0.55000000000000004</v>
      </c>
      <c r="D5" s="4">
        <v>23334.09</v>
      </c>
      <c r="E5" s="4" t="s">
        <v>191</v>
      </c>
      <c r="F5" s="4"/>
      <c r="G5" s="4"/>
      <c r="H5" s="4">
        <f>C5*G5</f>
        <v>0</v>
      </c>
      <c r="I5" s="4">
        <v>0.6</v>
      </c>
      <c r="J5" s="4">
        <f>I5-H5</f>
        <v>0.6</v>
      </c>
    </row>
    <row r="6" spans="1:10" x14ac:dyDescent="0.25">
      <c r="A6" s="89" t="s">
        <v>174</v>
      </c>
      <c r="B6" s="4">
        <v>0.95099999999999996</v>
      </c>
      <c r="C6" s="4">
        <f t="shared" ref="C6:C13" si="0">1.1*B6</f>
        <v>1.0461</v>
      </c>
      <c r="D6" s="4">
        <v>23334.09</v>
      </c>
      <c r="E6" s="4" t="s">
        <v>191</v>
      </c>
      <c r="F6" s="4"/>
      <c r="G6" s="4"/>
      <c r="H6" s="4">
        <f t="shared" ref="H6:H10" si="1">C6*G6</f>
        <v>0</v>
      </c>
      <c r="I6" s="4">
        <f>J5</f>
        <v>0.6</v>
      </c>
      <c r="J6" s="4">
        <f t="shared" ref="J6:J10" si="2">I6-H6</f>
        <v>0.6</v>
      </c>
    </row>
    <row r="7" spans="1:10" x14ac:dyDescent="0.25">
      <c r="A7" s="90" t="s">
        <v>175</v>
      </c>
      <c r="B7" s="4">
        <v>0.67200000000000004</v>
      </c>
      <c r="C7" s="4">
        <f t="shared" si="0"/>
        <v>0.73920000000000008</v>
      </c>
      <c r="D7" s="4">
        <v>22228.84</v>
      </c>
      <c r="E7" s="4" t="s">
        <v>191</v>
      </c>
      <c r="F7" s="4"/>
      <c r="G7" s="4"/>
      <c r="H7" s="4">
        <f t="shared" si="1"/>
        <v>0</v>
      </c>
      <c r="I7" s="4">
        <f t="shared" ref="I7:I13" si="3">J6</f>
        <v>0.6</v>
      </c>
      <c r="J7" s="4">
        <f t="shared" si="2"/>
        <v>0.6</v>
      </c>
    </row>
    <row r="8" spans="1:10" x14ac:dyDescent="0.25">
      <c r="A8" s="89" t="s">
        <v>176</v>
      </c>
      <c r="B8" s="4">
        <v>1.224</v>
      </c>
      <c r="C8" s="4">
        <f t="shared" si="0"/>
        <v>1.3464</v>
      </c>
      <c r="D8" s="4">
        <v>21242.91</v>
      </c>
      <c r="E8" s="4" t="s">
        <v>191</v>
      </c>
      <c r="F8" s="4"/>
      <c r="G8" s="4"/>
      <c r="H8" s="4">
        <f t="shared" si="1"/>
        <v>0</v>
      </c>
      <c r="I8" s="4">
        <f t="shared" si="3"/>
        <v>0.6</v>
      </c>
      <c r="J8" s="4">
        <f t="shared" si="2"/>
        <v>0.6</v>
      </c>
    </row>
    <row r="9" spans="1:10" x14ac:dyDescent="0.25">
      <c r="A9" s="90" t="s">
        <v>177</v>
      </c>
      <c r="B9" s="4">
        <v>1.42</v>
      </c>
      <c r="C9" s="4">
        <f t="shared" si="0"/>
        <v>1.5620000000000001</v>
      </c>
      <c r="D9" s="4">
        <v>20502.919999999998</v>
      </c>
      <c r="E9" s="4" t="s">
        <v>191</v>
      </c>
      <c r="F9" s="4"/>
      <c r="G9" s="4"/>
      <c r="H9" s="4">
        <f t="shared" si="1"/>
        <v>0</v>
      </c>
      <c r="I9" s="4">
        <f t="shared" si="3"/>
        <v>0.6</v>
      </c>
      <c r="J9" s="4">
        <f t="shared" si="2"/>
        <v>0.6</v>
      </c>
    </row>
    <row r="10" spans="1:10" x14ac:dyDescent="0.25">
      <c r="A10" s="89" t="s">
        <v>178</v>
      </c>
      <c r="B10" s="4">
        <v>1.379</v>
      </c>
      <c r="C10" s="4">
        <f t="shared" si="0"/>
        <v>1.5169000000000001</v>
      </c>
      <c r="D10" s="4">
        <v>12217.49</v>
      </c>
      <c r="E10" s="4" t="s">
        <v>191</v>
      </c>
      <c r="F10" s="4"/>
      <c r="G10" s="4"/>
      <c r="H10" s="4">
        <f t="shared" si="1"/>
        <v>0</v>
      </c>
      <c r="I10" s="4">
        <f t="shared" si="3"/>
        <v>0.6</v>
      </c>
      <c r="J10" s="4">
        <f t="shared" si="2"/>
        <v>0.6</v>
      </c>
    </row>
    <row r="11" spans="1:10" x14ac:dyDescent="0.25">
      <c r="A11" s="89" t="s">
        <v>179</v>
      </c>
      <c r="B11" s="4">
        <v>2.0470000000000002</v>
      </c>
      <c r="C11" s="4">
        <f t="shared" si="0"/>
        <v>2.2517000000000005</v>
      </c>
      <c r="D11" s="4">
        <v>1814.95</v>
      </c>
      <c r="E11" s="4" t="s">
        <v>191</v>
      </c>
      <c r="F11" s="4"/>
      <c r="G11" s="4"/>
      <c r="H11" s="4">
        <f t="shared" ref="H11:H13" si="4">C11*G11</f>
        <v>0</v>
      </c>
      <c r="I11" s="4">
        <f t="shared" si="3"/>
        <v>0.6</v>
      </c>
      <c r="J11" s="4">
        <f t="shared" ref="J11:J13" si="5">I11-H11</f>
        <v>0.6</v>
      </c>
    </row>
    <row r="12" spans="1:10" x14ac:dyDescent="0.25">
      <c r="A12" s="89" t="s">
        <v>180</v>
      </c>
      <c r="B12" s="4">
        <v>1.3109999999999999</v>
      </c>
      <c r="C12" s="4">
        <f t="shared" si="0"/>
        <v>1.4421000000000002</v>
      </c>
      <c r="D12" s="4">
        <v>1467.9</v>
      </c>
      <c r="E12" s="4" t="s">
        <v>191</v>
      </c>
      <c r="F12" s="4"/>
      <c r="G12" s="4"/>
      <c r="H12" s="4">
        <f t="shared" si="4"/>
        <v>0</v>
      </c>
      <c r="I12" s="4">
        <f t="shared" si="3"/>
        <v>0.6</v>
      </c>
      <c r="J12" s="4">
        <f t="shared" si="5"/>
        <v>0.6</v>
      </c>
    </row>
    <row r="13" spans="1:10" x14ac:dyDescent="0.25">
      <c r="A13" s="89" t="s">
        <v>181</v>
      </c>
      <c r="B13" s="4">
        <v>1.032</v>
      </c>
      <c r="C13" s="4">
        <f t="shared" si="0"/>
        <v>1.1352000000000002</v>
      </c>
      <c r="D13" s="4">
        <v>1467.9</v>
      </c>
      <c r="E13" s="4" t="s">
        <v>192</v>
      </c>
      <c r="F13" s="4"/>
      <c r="G13" s="4"/>
      <c r="H13" s="4">
        <f t="shared" si="4"/>
        <v>0</v>
      </c>
      <c r="I13" s="4">
        <f t="shared" si="3"/>
        <v>0.6</v>
      </c>
      <c r="J13" s="4">
        <f t="shared" si="5"/>
        <v>0.6</v>
      </c>
    </row>
    <row r="14" spans="1:10" x14ac:dyDescent="0.25">
      <c r="A14" s="66" t="s">
        <v>172</v>
      </c>
      <c r="B14" s="67"/>
      <c r="C14" s="67"/>
      <c r="D14" s="67"/>
      <c r="E14" s="67"/>
      <c r="F14" s="67"/>
      <c r="G14" s="67"/>
      <c r="H14" s="67"/>
      <c r="I14" s="67"/>
      <c r="J14" s="68"/>
    </row>
    <row r="15" spans="1:10" x14ac:dyDescent="0.25">
      <c r="A15" s="4" t="s">
        <v>162</v>
      </c>
      <c r="B15" s="4">
        <v>0.5</v>
      </c>
      <c r="C15" s="4">
        <f>1.1*B15</f>
        <v>0.55000000000000004</v>
      </c>
      <c r="D15" s="4">
        <v>23334.09</v>
      </c>
      <c r="E15" s="4" t="s">
        <v>191</v>
      </c>
      <c r="F15" s="4"/>
      <c r="G15" s="4"/>
      <c r="H15" s="4">
        <f>C15*G15</f>
        <v>0</v>
      </c>
      <c r="I15" s="4">
        <v>0.6</v>
      </c>
      <c r="J15" s="4">
        <f>I15-H15</f>
        <v>0.6</v>
      </c>
    </row>
    <row r="16" spans="1:10" x14ac:dyDescent="0.25">
      <c r="A16" s="89" t="s">
        <v>163</v>
      </c>
      <c r="B16" s="4">
        <v>1.08</v>
      </c>
      <c r="C16" s="4">
        <f t="shared" ref="C16:C23" si="6">1.1*B16</f>
        <v>1.1880000000000002</v>
      </c>
      <c r="D16" s="4">
        <v>23334.09</v>
      </c>
      <c r="E16" s="4" t="s">
        <v>191</v>
      </c>
      <c r="F16" s="4"/>
      <c r="G16" s="4"/>
      <c r="H16" s="4">
        <f t="shared" ref="H16:H20" si="7">C16*G16</f>
        <v>0</v>
      </c>
      <c r="I16" s="4">
        <f>J15</f>
        <v>0.6</v>
      </c>
      <c r="J16" s="4">
        <f t="shared" ref="J16:J20" si="8">I16-H16</f>
        <v>0.6</v>
      </c>
    </row>
    <row r="17" spans="1:10" x14ac:dyDescent="0.25">
      <c r="A17" s="90" t="s">
        <v>164</v>
      </c>
      <c r="B17" s="4">
        <v>1.3109999999999999</v>
      </c>
      <c r="C17" s="4">
        <f t="shared" si="6"/>
        <v>1.4421000000000002</v>
      </c>
      <c r="D17" s="4">
        <v>21866.19</v>
      </c>
      <c r="E17" s="4" t="s">
        <v>191</v>
      </c>
      <c r="F17" s="4"/>
      <c r="G17" s="4"/>
      <c r="H17" s="4">
        <f t="shared" si="7"/>
        <v>0</v>
      </c>
      <c r="I17" s="4">
        <f t="shared" ref="I17:I23" si="9">J16</f>
        <v>0.6</v>
      </c>
      <c r="J17" s="4">
        <f t="shared" si="8"/>
        <v>0.6</v>
      </c>
    </row>
    <row r="18" spans="1:10" x14ac:dyDescent="0.25">
      <c r="A18" s="89" t="s">
        <v>165</v>
      </c>
      <c r="B18" s="4">
        <v>2.0470000000000002</v>
      </c>
      <c r="C18" s="4">
        <f t="shared" si="6"/>
        <v>2.2517000000000005</v>
      </c>
      <c r="D18" s="4">
        <v>21519.14</v>
      </c>
      <c r="E18" s="4" t="s">
        <v>191</v>
      </c>
      <c r="F18" s="4"/>
      <c r="G18" s="4"/>
      <c r="H18" s="4">
        <f t="shared" si="7"/>
        <v>0</v>
      </c>
      <c r="I18" s="4">
        <f t="shared" si="9"/>
        <v>0.6</v>
      </c>
      <c r="J18" s="4">
        <f t="shared" si="8"/>
        <v>0.6</v>
      </c>
    </row>
    <row r="19" spans="1:10" x14ac:dyDescent="0.25">
      <c r="A19" s="90" t="s">
        <v>166</v>
      </c>
      <c r="B19" s="4">
        <v>1.379</v>
      </c>
      <c r="C19" s="4">
        <f t="shared" si="6"/>
        <v>1.5169000000000001</v>
      </c>
      <c r="D19" s="4">
        <v>11116.6</v>
      </c>
      <c r="E19" s="4" t="s">
        <v>191</v>
      </c>
      <c r="F19" s="4"/>
      <c r="G19" s="4"/>
      <c r="H19" s="4">
        <f t="shared" si="7"/>
        <v>0</v>
      </c>
      <c r="I19" s="4">
        <f t="shared" si="9"/>
        <v>0.6</v>
      </c>
      <c r="J19" s="4">
        <f t="shared" si="8"/>
        <v>0.6</v>
      </c>
    </row>
    <row r="20" spans="1:10" x14ac:dyDescent="0.25">
      <c r="A20" s="89" t="s">
        <v>167</v>
      </c>
      <c r="B20" s="4">
        <v>1.42</v>
      </c>
      <c r="C20" s="4">
        <f t="shared" si="6"/>
        <v>1.5620000000000001</v>
      </c>
      <c r="D20" s="4">
        <v>2831.17</v>
      </c>
      <c r="E20" s="4" t="s">
        <v>191</v>
      </c>
      <c r="F20" s="4"/>
      <c r="G20" s="4"/>
      <c r="H20" s="4">
        <f t="shared" si="7"/>
        <v>0</v>
      </c>
      <c r="I20" s="4">
        <f t="shared" si="9"/>
        <v>0.6</v>
      </c>
      <c r="J20" s="4">
        <f t="shared" si="8"/>
        <v>0.6</v>
      </c>
    </row>
    <row r="21" spans="1:10" x14ac:dyDescent="0.25">
      <c r="A21" s="89" t="s">
        <v>168</v>
      </c>
      <c r="B21" s="4">
        <v>1.224</v>
      </c>
      <c r="C21" s="4">
        <f t="shared" si="6"/>
        <v>1.3464</v>
      </c>
      <c r="D21" s="4">
        <v>2091.1799999999998</v>
      </c>
      <c r="E21" s="4" t="s">
        <v>191</v>
      </c>
      <c r="F21" s="4"/>
      <c r="G21" s="4"/>
      <c r="H21" s="4">
        <f t="shared" ref="H21:H23" si="10">C21*G21</f>
        <v>0</v>
      </c>
      <c r="I21" s="4">
        <f t="shared" si="9"/>
        <v>0.6</v>
      </c>
      <c r="J21" s="4">
        <f t="shared" ref="J21:J23" si="11">I21-H21</f>
        <v>0.6</v>
      </c>
    </row>
    <row r="22" spans="1:10" x14ac:dyDescent="0.25">
      <c r="A22" s="89" t="s">
        <v>169</v>
      </c>
      <c r="B22" s="4">
        <v>0.67200000000000004</v>
      </c>
      <c r="C22" s="4">
        <f t="shared" si="6"/>
        <v>0.73920000000000008</v>
      </c>
      <c r="D22" s="4">
        <v>1105.25</v>
      </c>
      <c r="E22" s="4" t="s">
        <v>191</v>
      </c>
      <c r="F22" s="4"/>
      <c r="G22" s="4"/>
      <c r="H22" s="4">
        <f t="shared" si="10"/>
        <v>0</v>
      </c>
      <c r="I22" s="4">
        <f t="shared" si="9"/>
        <v>0.6</v>
      </c>
      <c r="J22" s="4">
        <f t="shared" si="11"/>
        <v>0.6</v>
      </c>
    </row>
    <row r="23" spans="1:10" x14ac:dyDescent="0.25">
      <c r="A23" s="89" t="s">
        <v>173</v>
      </c>
      <c r="B23" s="4">
        <v>0.56399999999999995</v>
      </c>
      <c r="C23" s="4">
        <f t="shared" si="6"/>
        <v>0.62039999999999995</v>
      </c>
      <c r="D23" s="4">
        <v>1105.25</v>
      </c>
      <c r="E23" s="4" t="s">
        <v>192</v>
      </c>
      <c r="F23" s="4"/>
      <c r="G23" s="4"/>
      <c r="H23" s="4">
        <f t="shared" si="10"/>
        <v>0</v>
      </c>
      <c r="I23" s="4">
        <f t="shared" si="9"/>
        <v>0.6</v>
      </c>
      <c r="J23" s="4">
        <f t="shared" si="11"/>
        <v>0.6</v>
      </c>
    </row>
    <row r="24" spans="1:10" x14ac:dyDescent="0.25">
      <c r="A24" s="66" t="s">
        <v>184</v>
      </c>
      <c r="B24" s="67"/>
      <c r="C24" s="67"/>
      <c r="D24" s="67"/>
      <c r="E24" s="67"/>
      <c r="F24" s="67"/>
      <c r="G24" s="67"/>
      <c r="H24" s="67"/>
      <c r="I24" s="67"/>
      <c r="J24" s="68"/>
    </row>
    <row r="25" spans="1:10" x14ac:dyDescent="0.25">
      <c r="A25" s="66" t="s">
        <v>182</v>
      </c>
      <c r="B25" s="67"/>
      <c r="C25" s="67"/>
      <c r="D25" s="67"/>
      <c r="E25" s="67"/>
      <c r="F25" s="67"/>
      <c r="G25" s="67"/>
      <c r="H25" s="67"/>
      <c r="I25" s="67"/>
      <c r="J25" s="68"/>
    </row>
    <row r="26" spans="1:10" x14ac:dyDescent="0.25">
      <c r="A26" s="4" t="s">
        <v>162</v>
      </c>
      <c r="B26" s="4">
        <v>0.5</v>
      </c>
      <c r="C26" s="4">
        <f>1.1*B26</f>
        <v>0.55000000000000004</v>
      </c>
      <c r="D26" s="4">
        <v>31143.3</v>
      </c>
      <c r="E26" s="4" t="s">
        <v>191</v>
      </c>
      <c r="F26" s="4"/>
      <c r="G26" s="4"/>
      <c r="H26" s="4">
        <f>C26*G26</f>
        <v>0</v>
      </c>
      <c r="I26" s="4">
        <v>0.6</v>
      </c>
      <c r="J26" s="4">
        <f>I26-H26</f>
        <v>0.6</v>
      </c>
    </row>
    <row r="27" spans="1:10" x14ac:dyDescent="0.25">
      <c r="A27" s="89" t="s">
        <v>163</v>
      </c>
      <c r="B27" s="4">
        <v>1.08</v>
      </c>
      <c r="C27" s="4">
        <f t="shared" ref="C27:C30" si="12">1.1*B27</f>
        <v>1.1880000000000002</v>
      </c>
      <c r="D27" s="4">
        <v>16200.71</v>
      </c>
      <c r="E27" s="4" t="s">
        <v>191</v>
      </c>
      <c r="F27" s="4"/>
      <c r="G27" s="4"/>
      <c r="H27" s="4">
        <f t="shared" ref="H27:H30" si="13">C27*G27</f>
        <v>0</v>
      </c>
      <c r="I27" s="4">
        <f>J26</f>
        <v>0.6</v>
      </c>
      <c r="J27" s="4">
        <f t="shared" ref="J27:J30" si="14">I27-H27</f>
        <v>0.6</v>
      </c>
    </row>
    <row r="28" spans="1:10" x14ac:dyDescent="0.25">
      <c r="A28" s="90" t="s">
        <v>164</v>
      </c>
      <c r="B28" s="4">
        <v>1.3109999999999999</v>
      </c>
      <c r="C28" s="4">
        <f t="shared" si="12"/>
        <v>1.4421000000000002</v>
      </c>
      <c r="D28" s="4">
        <v>14365.84</v>
      </c>
      <c r="E28" s="4" t="s">
        <v>191</v>
      </c>
      <c r="F28" s="4"/>
      <c r="G28" s="4"/>
      <c r="H28" s="4">
        <f t="shared" si="13"/>
        <v>0</v>
      </c>
      <c r="I28" s="4">
        <f t="shared" ref="I28:I30" si="15">J27</f>
        <v>0.6</v>
      </c>
      <c r="J28" s="4">
        <f t="shared" si="14"/>
        <v>0.6</v>
      </c>
    </row>
    <row r="29" spans="1:10" x14ac:dyDescent="0.25">
      <c r="A29" s="89" t="s">
        <v>165</v>
      </c>
      <c r="B29" s="4">
        <v>2.0470000000000002</v>
      </c>
      <c r="C29" s="4">
        <f t="shared" si="12"/>
        <v>2.2517000000000005</v>
      </c>
      <c r="D29" s="4">
        <v>13870.06</v>
      </c>
      <c r="E29" s="4" t="s">
        <v>191</v>
      </c>
      <c r="F29" s="4"/>
      <c r="G29" s="4"/>
      <c r="H29" s="4">
        <f t="shared" si="13"/>
        <v>0</v>
      </c>
      <c r="I29" s="4">
        <f t="shared" si="15"/>
        <v>0.6</v>
      </c>
      <c r="J29" s="4">
        <f t="shared" si="14"/>
        <v>0.6</v>
      </c>
    </row>
    <row r="30" spans="1:10" x14ac:dyDescent="0.25">
      <c r="A30" s="90" t="s">
        <v>183</v>
      </c>
      <c r="B30" s="4">
        <v>7.9000000000000001E-2</v>
      </c>
      <c r="C30" s="4">
        <f t="shared" si="12"/>
        <v>8.6900000000000005E-2</v>
      </c>
      <c r="D30" s="4">
        <v>13870.06</v>
      </c>
      <c r="E30" s="4" t="s">
        <v>192</v>
      </c>
      <c r="F30" s="4"/>
      <c r="G30" s="4"/>
      <c r="H30" s="4">
        <f t="shared" si="13"/>
        <v>0</v>
      </c>
      <c r="I30" s="4">
        <f t="shared" si="15"/>
        <v>0.6</v>
      </c>
      <c r="J30" s="4">
        <f t="shared" si="14"/>
        <v>0.6</v>
      </c>
    </row>
    <row r="31" spans="1:10" x14ac:dyDescent="0.25">
      <c r="A31" s="66" t="s">
        <v>184</v>
      </c>
      <c r="B31" s="67"/>
      <c r="C31" s="67"/>
      <c r="D31" s="67"/>
      <c r="E31" s="67"/>
      <c r="F31" s="67"/>
      <c r="G31" s="67"/>
      <c r="H31" s="67"/>
      <c r="I31" s="67"/>
      <c r="J31" s="68"/>
    </row>
    <row r="32" spans="1:10" x14ac:dyDescent="0.25">
      <c r="A32" s="66" t="s">
        <v>185</v>
      </c>
      <c r="B32" s="67"/>
      <c r="C32" s="67"/>
      <c r="D32" s="67"/>
      <c r="E32" s="67"/>
      <c r="F32" s="67"/>
      <c r="G32" s="67"/>
      <c r="H32" s="67"/>
      <c r="I32" s="67"/>
      <c r="J32" s="68"/>
    </row>
    <row r="33" spans="1:10" x14ac:dyDescent="0.25">
      <c r="A33" s="4" t="s">
        <v>162</v>
      </c>
      <c r="B33" s="4">
        <v>0.5</v>
      </c>
      <c r="C33" s="4">
        <f>1.1*B33</f>
        <v>0.55000000000000004</v>
      </c>
      <c r="D33" s="4">
        <v>31143.3</v>
      </c>
      <c r="E33" s="4" t="s">
        <v>191</v>
      </c>
      <c r="F33" s="4"/>
      <c r="G33" s="4"/>
      <c r="H33" s="4">
        <f>C33*G33</f>
        <v>0</v>
      </c>
      <c r="I33" s="4">
        <v>0.6</v>
      </c>
      <c r="J33" s="4">
        <f>I33-H33</f>
        <v>0.6</v>
      </c>
    </row>
    <row r="34" spans="1:10" x14ac:dyDescent="0.25">
      <c r="A34" s="89" t="s">
        <v>174</v>
      </c>
      <c r="B34" s="4">
        <v>0.95099999999999996</v>
      </c>
      <c r="C34" s="4">
        <f t="shared" ref="C34:C38" si="16">1.1*B34</f>
        <v>1.0461</v>
      </c>
      <c r="D34" s="4">
        <v>14942.59</v>
      </c>
      <c r="E34" s="4" t="s">
        <v>191</v>
      </c>
      <c r="F34" s="4"/>
      <c r="G34" s="4"/>
      <c r="H34" s="4">
        <f t="shared" ref="H34:H38" si="17">C34*G34</f>
        <v>0</v>
      </c>
      <c r="I34" s="4">
        <f>J33</f>
        <v>0.6</v>
      </c>
      <c r="J34" s="4">
        <f t="shared" ref="J34:J38" si="18">I34-H34</f>
        <v>0.6</v>
      </c>
    </row>
    <row r="35" spans="1:10" x14ac:dyDescent="0.25">
      <c r="A35" s="90" t="s">
        <v>175</v>
      </c>
      <c r="B35" s="4">
        <v>0.67200000000000004</v>
      </c>
      <c r="C35" s="4">
        <f t="shared" si="16"/>
        <v>0.73920000000000008</v>
      </c>
      <c r="D35" s="4">
        <v>13561.03</v>
      </c>
      <c r="E35" s="4" t="s">
        <v>191</v>
      </c>
      <c r="F35" s="4"/>
      <c r="G35" s="4"/>
      <c r="H35" s="4">
        <f t="shared" si="17"/>
        <v>0</v>
      </c>
      <c r="I35" s="4">
        <f t="shared" ref="I35:I37" si="19">J34</f>
        <v>0.6</v>
      </c>
      <c r="J35" s="4">
        <f t="shared" si="18"/>
        <v>0.6</v>
      </c>
    </row>
    <row r="36" spans="1:10" x14ac:dyDescent="0.25">
      <c r="A36" s="89" t="s">
        <v>176</v>
      </c>
      <c r="B36" s="4">
        <v>1.224</v>
      </c>
      <c r="C36" s="4">
        <f t="shared" si="16"/>
        <v>1.3464</v>
      </c>
      <c r="D36" s="4">
        <v>11917.81</v>
      </c>
      <c r="E36" s="4" t="s">
        <v>191</v>
      </c>
      <c r="F36" s="4"/>
      <c r="G36" s="4"/>
      <c r="H36" s="4">
        <f t="shared" si="17"/>
        <v>0</v>
      </c>
      <c r="I36" s="4">
        <f t="shared" si="19"/>
        <v>0.6</v>
      </c>
      <c r="J36" s="4">
        <f t="shared" si="18"/>
        <v>0.6</v>
      </c>
    </row>
    <row r="37" spans="1:10" x14ac:dyDescent="0.25">
      <c r="A37" s="89" t="s">
        <v>177</v>
      </c>
      <c r="B37" s="4">
        <v>1.42</v>
      </c>
      <c r="C37" s="4">
        <f t="shared" si="16"/>
        <v>1.5620000000000001</v>
      </c>
      <c r="D37" s="4">
        <v>11047.24</v>
      </c>
      <c r="E37" s="4" t="s">
        <v>191</v>
      </c>
      <c r="F37" s="4"/>
      <c r="G37" s="4"/>
      <c r="H37" s="4">
        <f t="shared" ref="H37" si="20">C37*G37</f>
        <v>0</v>
      </c>
      <c r="I37" s="4">
        <f t="shared" si="19"/>
        <v>0.6</v>
      </c>
      <c r="J37" s="4">
        <f t="shared" ref="J37" si="21">I37-H37</f>
        <v>0.6</v>
      </c>
    </row>
    <row r="38" spans="1:10" x14ac:dyDescent="0.25">
      <c r="A38" s="90" t="s">
        <v>186</v>
      </c>
      <c r="B38" s="4">
        <v>0.26900000000000002</v>
      </c>
      <c r="C38" s="4">
        <f t="shared" si="16"/>
        <v>0.29590000000000005</v>
      </c>
      <c r="D38" s="4">
        <v>11047.24</v>
      </c>
      <c r="E38" s="4" t="s">
        <v>192</v>
      </c>
      <c r="F38" s="4"/>
      <c r="G38" s="4"/>
      <c r="H38" s="4">
        <f t="shared" si="17"/>
        <v>0</v>
      </c>
      <c r="I38" s="4">
        <f>J36</f>
        <v>0.6</v>
      </c>
      <c r="J38" s="4">
        <f t="shared" si="18"/>
        <v>0.6</v>
      </c>
    </row>
    <row r="39" spans="1:10" x14ac:dyDescent="0.25">
      <c r="A39" s="66" t="s">
        <v>187</v>
      </c>
      <c r="B39" s="67"/>
      <c r="C39" s="67"/>
      <c r="D39" s="67"/>
      <c r="E39" s="67"/>
      <c r="F39" s="67"/>
      <c r="G39" s="67"/>
      <c r="H39" s="67"/>
      <c r="I39" s="67"/>
      <c r="J39" s="68"/>
    </row>
    <row r="40" spans="1:10" x14ac:dyDescent="0.25">
      <c r="A40" s="4" t="s">
        <v>181</v>
      </c>
      <c r="B40" s="4">
        <v>1.032</v>
      </c>
      <c r="C40" s="4">
        <f>1.1*B40</f>
        <v>1.1352000000000002</v>
      </c>
      <c r="D40" s="4">
        <v>1834.87</v>
      </c>
      <c r="E40" s="4" t="s">
        <v>192</v>
      </c>
      <c r="F40" s="4"/>
      <c r="G40" s="4"/>
      <c r="H40" s="4">
        <f>C40*G40</f>
        <v>0</v>
      </c>
      <c r="I40" s="4"/>
      <c r="J40" s="4">
        <f>I40-H40</f>
        <v>0</v>
      </c>
    </row>
    <row r="41" spans="1:10" x14ac:dyDescent="0.25">
      <c r="A41" s="89" t="s">
        <v>188</v>
      </c>
      <c r="B41" s="4">
        <v>0.41</v>
      </c>
      <c r="C41" s="4">
        <f t="shared" ref="C41:C46" si="22">1.1*B41</f>
        <v>0.45100000000000001</v>
      </c>
      <c r="D41" s="4">
        <v>495.78</v>
      </c>
      <c r="E41" s="4" t="s">
        <v>192</v>
      </c>
      <c r="F41" s="4"/>
      <c r="G41" s="4"/>
      <c r="H41" s="4">
        <f t="shared" ref="H41:H45" si="23">C41*G41</f>
        <v>0</v>
      </c>
      <c r="I41" s="4"/>
      <c r="J41" s="4">
        <f t="shared" ref="J41:J45" si="24">I41-H41</f>
        <v>0</v>
      </c>
    </row>
    <row r="42" spans="1:10" x14ac:dyDescent="0.25">
      <c r="A42" s="90" t="s">
        <v>183</v>
      </c>
      <c r="B42" s="4">
        <v>7.9000000000000001E-2</v>
      </c>
      <c r="C42" s="4">
        <f t="shared" si="22"/>
        <v>8.6900000000000005E-2</v>
      </c>
      <c r="D42" s="4">
        <v>13870.06</v>
      </c>
      <c r="E42" s="4" t="s">
        <v>192</v>
      </c>
      <c r="F42" s="4"/>
      <c r="G42" s="4"/>
      <c r="H42" s="4">
        <f t="shared" si="23"/>
        <v>0</v>
      </c>
      <c r="I42" s="4"/>
      <c r="J42" s="4">
        <f t="shared" si="24"/>
        <v>0</v>
      </c>
    </row>
    <row r="43" spans="1:10" x14ac:dyDescent="0.25">
      <c r="A43" s="89" t="s">
        <v>186</v>
      </c>
      <c r="B43" s="4">
        <v>0.26900000000000002</v>
      </c>
      <c r="C43" s="4">
        <f t="shared" si="22"/>
        <v>0.29590000000000005</v>
      </c>
      <c r="D43" s="4">
        <v>11047.24</v>
      </c>
      <c r="E43" s="4" t="s">
        <v>192</v>
      </c>
      <c r="F43" s="4"/>
      <c r="G43" s="4"/>
      <c r="H43" s="4">
        <f t="shared" si="23"/>
        <v>0</v>
      </c>
      <c r="I43" s="4"/>
      <c r="J43" s="4">
        <f t="shared" si="24"/>
        <v>0</v>
      </c>
    </row>
    <row r="44" spans="1:10" x14ac:dyDescent="0.25">
      <c r="A44" s="90" t="s">
        <v>189</v>
      </c>
      <c r="B44" s="4">
        <v>0.29799999999999999</v>
      </c>
      <c r="C44" s="4">
        <f t="shared" si="22"/>
        <v>0.32780000000000004</v>
      </c>
      <c r="D44" s="4">
        <v>870.57</v>
      </c>
      <c r="E44" s="4" t="s">
        <v>192</v>
      </c>
      <c r="F44" s="4"/>
      <c r="G44" s="4"/>
      <c r="H44" s="4">
        <f t="shared" si="23"/>
        <v>0</v>
      </c>
      <c r="I44" s="4"/>
      <c r="J44" s="4">
        <f t="shared" si="24"/>
        <v>0</v>
      </c>
    </row>
    <row r="45" spans="1:10" x14ac:dyDescent="0.25">
      <c r="A45" s="89" t="s">
        <v>190</v>
      </c>
      <c r="B45" s="4">
        <v>7.9000000000000001E-2</v>
      </c>
      <c r="C45" s="4">
        <f t="shared" si="22"/>
        <v>8.6900000000000005E-2</v>
      </c>
      <c r="D45" s="4">
        <v>1643.22</v>
      </c>
      <c r="E45" s="4" t="s">
        <v>192</v>
      </c>
      <c r="F45" s="4"/>
      <c r="G45" s="4"/>
      <c r="H45" s="4">
        <f t="shared" si="23"/>
        <v>0</v>
      </c>
      <c r="I45" s="4"/>
      <c r="J45" s="4">
        <f t="shared" si="24"/>
        <v>0</v>
      </c>
    </row>
    <row r="46" spans="1:10" x14ac:dyDescent="0.25">
      <c r="A46" s="89" t="s">
        <v>173</v>
      </c>
      <c r="B46" s="4">
        <v>0.56399999999999995</v>
      </c>
      <c r="C46" s="4">
        <f t="shared" si="22"/>
        <v>0.62039999999999995</v>
      </c>
      <c r="D46" s="4">
        <v>1381.56</v>
      </c>
      <c r="E46" s="4" t="s">
        <v>192</v>
      </c>
      <c r="F46" s="4"/>
      <c r="G46" s="4"/>
      <c r="H46" s="4">
        <f t="shared" ref="H46" si="25">C46*G46</f>
        <v>0</v>
      </c>
      <c r="I46" s="4"/>
      <c r="J46" s="4">
        <f t="shared" ref="J46" si="26">I46-H46</f>
        <v>0</v>
      </c>
    </row>
  </sheetData>
  <mergeCells count="15">
    <mergeCell ref="A39:J39"/>
    <mergeCell ref="A4:J4"/>
    <mergeCell ref="A14:J14"/>
    <mergeCell ref="A24:J24"/>
    <mergeCell ref="A25:J25"/>
    <mergeCell ref="A31:J31"/>
    <mergeCell ref="A32:J32"/>
    <mergeCell ref="B1:C1"/>
    <mergeCell ref="I1:J1"/>
    <mergeCell ref="A1:A2"/>
    <mergeCell ref="D1:D2"/>
    <mergeCell ref="E1:E2"/>
    <mergeCell ref="F1:F2"/>
    <mergeCell ref="G1:G2"/>
    <mergeCell ref="H1:H2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gazProperties</vt:lpstr>
      <vt:lpstr>расчетКол-ваЖит</vt:lpstr>
      <vt:lpstr>плотностьНаселения</vt:lpstr>
      <vt:lpstr>GRP</vt:lpstr>
      <vt:lpstr>расходГазаПотребителями</vt:lpstr>
      <vt:lpstr>РасхСосредоточПотреб</vt:lpstr>
      <vt:lpstr>РасчРасхСосредоточПотр</vt:lpstr>
      <vt:lpstr>ЧасовыеРасходы</vt:lpstr>
      <vt:lpstr>КольцевойРасчет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Kostya</dc:creator>
  <cp:lastModifiedBy>Kostya</cp:lastModifiedBy>
  <dcterms:created xsi:type="dcterms:W3CDTF">2015-06-05T18:17:20Z</dcterms:created>
  <dcterms:modified xsi:type="dcterms:W3CDTF">2021-04-14T12:51:17Z</dcterms:modified>
</cp:coreProperties>
</file>