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4\"/>
    </mc:Choice>
  </mc:AlternateContent>
  <bookViews>
    <workbookView xWindow="0" yWindow="0" windowWidth="21570" windowHeight="10215"/>
  </bookViews>
  <sheets>
    <sheet name="Sheet1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8" i="1" l="1"/>
  <c r="K236" i="1"/>
  <c r="K237" i="1" s="1"/>
  <c r="J236" i="1"/>
  <c r="J237" i="1" s="1"/>
  <c r="I236" i="1"/>
  <c r="I237" i="1" s="1"/>
  <c r="H236" i="1"/>
  <c r="H237" i="1" s="1"/>
  <c r="G236" i="1"/>
  <c r="G237" i="1" s="1"/>
  <c r="F236" i="1"/>
  <c r="F237" i="1" s="1"/>
  <c r="E236" i="1"/>
  <c r="E237" i="1" s="1"/>
  <c r="D236" i="1"/>
  <c r="D237" i="1" s="1"/>
  <c r="C236" i="1"/>
  <c r="C237" i="1" s="1"/>
  <c r="L228" i="1"/>
  <c r="K226" i="1"/>
  <c r="K227" i="1" s="1"/>
  <c r="J226" i="1"/>
  <c r="J227" i="1" s="1"/>
  <c r="I226" i="1"/>
  <c r="I227" i="1" s="1"/>
  <c r="H226" i="1"/>
  <c r="H227" i="1" s="1"/>
  <c r="G226" i="1"/>
  <c r="G227" i="1" s="1"/>
  <c r="F226" i="1"/>
  <c r="F227" i="1" s="1"/>
  <c r="E226" i="1"/>
  <c r="E227" i="1" s="1"/>
  <c r="D226" i="1"/>
  <c r="D227" i="1" s="1"/>
  <c r="C226" i="1"/>
  <c r="C227" i="1" s="1"/>
  <c r="L218" i="1"/>
  <c r="K216" i="1"/>
  <c r="K217" i="1" s="1"/>
  <c r="J216" i="1"/>
  <c r="J217" i="1" s="1"/>
  <c r="I216" i="1"/>
  <c r="I217" i="1" s="1"/>
  <c r="H216" i="1"/>
  <c r="H217" i="1" s="1"/>
  <c r="G216" i="1"/>
  <c r="G217" i="1" s="1"/>
  <c r="F216" i="1"/>
  <c r="F217" i="1" s="1"/>
  <c r="E216" i="1"/>
  <c r="E217" i="1" s="1"/>
  <c r="D216" i="1"/>
  <c r="D217" i="1" s="1"/>
  <c r="C216" i="1"/>
  <c r="L216" i="1" s="1"/>
  <c r="L208" i="1"/>
  <c r="K206" i="1"/>
  <c r="K207" i="1" s="1"/>
  <c r="J206" i="1"/>
  <c r="J207" i="1" s="1"/>
  <c r="I206" i="1"/>
  <c r="I207" i="1" s="1"/>
  <c r="H206" i="1"/>
  <c r="H207" i="1" s="1"/>
  <c r="G206" i="1"/>
  <c r="G207" i="1" s="1"/>
  <c r="F206" i="1"/>
  <c r="F207" i="1" s="1"/>
  <c r="E206" i="1"/>
  <c r="E207" i="1" s="1"/>
  <c r="D206" i="1"/>
  <c r="L206" i="1" s="1"/>
  <c r="C206" i="1"/>
  <c r="C207" i="1" s="1"/>
  <c r="L207" i="1" l="1"/>
  <c r="L227" i="1"/>
  <c r="L237" i="1"/>
  <c r="D207" i="1"/>
  <c r="C217" i="1"/>
  <c r="L217" i="1" s="1"/>
  <c r="L226" i="1"/>
  <c r="L236" i="1"/>
  <c r="L191" i="1"/>
  <c r="I190" i="1"/>
  <c r="E190" i="1"/>
  <c r="K189" i="1"/>
  <c r="K190" i="1" s="1"/>
  <c r="J189" i="1"/>
  <c r="J190" i="1" s="1"/>
  <c r="I189" i="1"/>
  <c r="H189" i="1"/>
  <c r="H190" i="1" s="1"/>
  <c r="G189" i="1"/>
  <c r="G190" i="1" s="1"/>
  <c r="F189" i="1"/>
  <c r="F190" i="1" s="1"/>
  <c r="E189" i="1"/>
  <c r="D189" i="1"/>
  <c r="L189" i="1" s="1"/>
  <c r="C189" i="1"/>
  <c r="C190" i="1" s="1"/>
  <c r="L181" i="1"/>
  <c r="I180" i="1"/>
  <c r="E180" i="1"/>
  <c r="K179" i="1"/>
  <c r="K180" i="1" s="1"/>
  <c r="J179" i="1"/>
  <c r="J180" i="1" s="1"/>
  <c r="I179" i="1"/>
  <c r="H179" i="1"/>
  <c r="H180" i="1" s="1"/>
  <c r="G179" i="1"/>
  <c r="G180" i="1" s="1"/>
  <c r="F179" i="1"/>
  <c r="F180" i="1" s="1"/>
  <c r="E179" i="1"/>
  <c r="D179" i="1"/>
  <c r="D180" i="1" s="1"/>
  <c r="C179" i="1"/>
  <c r="C180" i="1" s="1"/>
  <c r="L180" i="1" s="1"/>
  <c r="L171" i="1"/>
  <c r="J170" i="1"/>
  <c r="F170" i="1"/>
  <c r="K169" i="1"/>
  <c r="K170" i="1" s="1"/>
  <c r="J169" i="1"/>
  <c r="I169" i="1"/>
  <c r="I170" i="1" s="1"/>
  <c r="H169" i="1"/>
  <c r="H170" i="1" s="1"/>
  <c r="G169" i="1"/>
  <c r="G170" i="1" s="1"/>
  <c r="F169" i="1"/>
  <c r="E169" i="1"/>
  <c r="E170" i="1" s="1"/>
  <c r="D169" i="1"/>
  <c r="D170" i="1" s="1"/>
  <c r="C169" i="1"/>
  <c r="C170" i="1" s="1"/>
  <c r="L170" i="1" s="1"/>
  <c r="L161" i="1"/>
  <c r="K160" i="1"/>
  <c r="G160" i="1"/>
  <c r="C160" i="1"/>
  <c r="K159" i="1"/>
  <c r="J159" i="1"/>
  <c r="J160" i="1" s="1"/>
  <c r="I159" i="1"/>
  <c r="I160" i="1" s="1"/>
  <c r="H159" i="1"/>
  <c r="H160" i="1" s="1"/>
  <c r="G159" i="1"/>
  <c r="F159" i="1"/>
  <c r="F160" i="1" s="1"/>
  <c r="E159" i="1"/>
  <c r="E160" i="1" s="1"/>
  <c r="D159" i="1"/>
  <c r="D160" i="1" s="1"/>
  <c r="C159" i="1"/>
  <c r="L159" i="1" s="1"/>
  <c r="L151" i="1"/>
  <c r="H150" i="1"/>
  <c r="D150" i="1"/>
  <c r="K149" i="1"/>
  <c r="K150" i="1" s="1"/>
  <c r="J149" i="1"/>
  <c r="J150" i="1" s="1"/>
  <c r="I149" i="1"/>
  <c r="I150" i="1" s="1"/>
  <c r="H149" i="1"/>
  <c r="G149" i="1"/>
  <c r="G150" i="1" s="1"/>
  <c r="F149" i="1"/>
  <c r="F150" i="1" s="1"/>
  <c r="E149" i="1"/>
  <c r="E150" i="1" s="1"/>
  <c r="D149" i="1"/>
  <c r="L149" i="1" s="1"/>
  <c r="C149" i="1"/>
  <c r="C150" i="1" s="1"/>
  <c r="L160" i="1" l="1"/>
  <c r="L150" i="1"/>
  <c r="L169" i="1"/>
  <c r="D190" i="1"/>
  <c r="L190" i="1" s="1"/>
  <c r="L179" i="1"/>
  <c r="L132" i="1"/>
  <c r="J131" i="1"/>
  <c r="I131" i="1"/>
  <c r="G131" i="1"/>
  <c r="E131" i="1"/>
  <c r="C131" i="1"/>
  <c r="L131" i="1" s="1"/>
  <c r="K130" i="1"/>
  <c r="K131" i="1" s="1"/>
  <c r="I130" i="1"/>
  <c r="H130" i="1"/>
  <c r="H131" i="1" s="1"/>
  <c r="G130" i="1"/>
  <c r="F130" i="1"/>
  <c r="F131" i="1" s="1"/>
  <c r="E130" i="1"/>
  <c r="D130" i="1"/>
  <c r="D131" i="1" s="1"/>
  <c r="C130" i="1"/>
  <c r="L130" i="1" s="1"/>
  <c r="L122" i="1"/>
  <c r="K120" i="1"/>
  <c r="K121" i="1" s="1"/>
  <c r="J120" i="1"/>
  <c r="J121" i="1" s="1"/>
  <c r="I120" i="1"/>
  <c r="I121" i="1" s="1"/>
  <c r="H120" i="1"/>
  <c r="H121" i="1" s="1"/>
  <c r="G120" i="1"/>
  <c r="G121" i="1" s="1"/>
  <c r="F120" i="1"/>
  <c r="F121" i="1" s="1"/>
  <c r="E120" i="1"/>
  <c r="E121" i="1" s="1"/>
  <c r="D120" i="1"/>
  <c r="D121" i="1" s="1"/>
  <c r="C120" i="1"/>
  <c r="L120" i="1" s="1"/>
  <c r="L112" i="1"/>
  <c r="K110" i="1"/>
  <c r="K111" i="1" s="1"/>
  <c r="J110" i="1"/>
  <c r="J111" i="1" s="1"/>
  <c r="I110" i="1"/>
  <c r="I111" i="1" s="1"/>
  <c r="H110" i="1"/>
  <c r="H111" i="1" s="1"/>
  <c r="G110" i="1"/>
  <c r="G111" i="1" s="1"/>
  <c r="F110" i="1"/>
  <c r="F111" i="1" s="1"/>
  <c r="E110" i="1"/>
  <c r="E111" i="1" s="1"/>
  <c r="D110" i="1"/>
  <c r="L110" i="1" s="1"/>
  <c r="C110" i="1"/>
  <c r="C111" i="1" s="1"/>
  <c r="L102" i="1"/>
  <c r="K100" i="1"/>
  <c r="K101" i="1" s="1"/>
  <c r="J100" i="1"/>
  <c r="J101" i="1" s="1"/>
  <c r="I100" i="1"/>
  <c r="I101" i="1" s="1"/>
  <c r="H100" i="1"/>
  <c r="H101" i="1" s="1"/>
  <c r="G100" i="1"/>
  <c r="G101" i="1" s="1"/>
  <c r="F100" i="1"/>
  <c r="F101" i="1" s="1"/>
  <c r="E100" i="1"/>
  <c r="E101" i="1" s="1"/>
  <c r="D100" i="1"/>
  <c r="D101" i="1" s="1"/>
  <c r="C100" i="1"/>
  <c r="C101" i="1" s="1"/>
  <c r="L101" i="1" s="1"/>
  <c r="L92" i="1"/>
  <c r="K91" i="1"/>
  <c r="J91" i="1"/>
  <c r="H91" i="1"/>
  <c r="F91" i="1"/>
  <c r="D91" i="1"/>
  <c r="J90" i="1"/>
  <c r="I90" i="1"/>
  <c r="I91" i="1" s="1"/>
  <c r="H90" i="1"/>
  <c r="G90" i="1"/>
  <c r="G91" i="1" s="1"/>
  <c r="F90" i="1"/>
  <c r="E90" i="1"/>
  <c r="E91" i="1" s="1"/>
  <c r="D90" i="1"/>
  <c r="C90" i="1"/>
  <c r="C91" i="1" s="1"/>
  <c r="L91" i="1" l="1"/>
  <c r="L90" i="1"/>
  <c r="D111" i="1"/>
  <c r="L111" i="1" s="1"/>
  <c r="C121" i="1"/>
  <c r="L121" i="1" s="1"/>
  <c r="L100" i="1"/>
  <c r="K63" i="1"/>
  <c r="I63" i="1"/>
  <c r="G63" i="1"/>
  <c r="E63" i="1"/>
  <c r="C63" i="1"/>
  <c r="K62" i="1"/>
  <c r="J62" i="1"/>
  <c r="J63" i="1" s="1"/>
  <c r="I62" i="1"/>
  <c r="H62" i="1"/>
  <c r="H63" i="1" s="1"/>
  <c r="G62" i="1"/>
  <c r="F62" i="1"/>
  <c r="F63" i="1" s="1"/>
  <c r="E62" i="1"/>
  <c r="D62" i="1"/>
  <c r="D63" i="1" s="1"/>
  <c r="C62" i="1"/>
  <c r="K56" i="1"/>
  <c r="I56" i="1"/>
  <c r="G56" i="1"/>
  <c r="E56" i="1"/>
  <c r="C56" i="1"/>
  <c r="K55" i="1"/>
  <c r="J55" i="1"/>
  <c r="J56" i="1" s="1"/>
  <c r="I55" i="1"/>
  <c r="H55" i="1"/>
  <c r="H56" i="1" s="1"/>
  <c r="G55" i="1"/>
  <c r="F55" i="1"/>
  <c r="F56" i="1" s="1"/>
  <c r="E55" i="1"/>
  <c r="D55" i="1"/>
  <c r="D56" i="1" s="1"/>
  <c r="C55" i="1"/>
  <c r="K44" i="1"/>
  <c r="I44" i="1"/>
  <c r="G44" i="1"/>
  <c r="E44" i="1"/>
  <c r="C44" i="1"/>
  <c r="K43" i="1"/>
  <c r="J43" i="1"/>
  <c r="J44" i="1" s="1"/>
  <c r="I43" i="1"/>
  <c r="H43" i="1"/>
  <c r="H44" i="1" s="1"/>
  <c r="G43" i="1"/>
  <c r="F43" i="1"/>
  <c r="F44" i="1" s="1"/>
  <c r="E43" i="1"/>
  <c r="D43" i="1"/>
  <c r="D44" i="1" s="1"/>
  <c r="C43" i="1"/>
  <c r="K34" i="1"/>
  <c r="I34" i="1"/>
  <c r="G34" i="1"/>
  <c r="E34" i="1"/>
  <c r="C34" i="1"/>
  <c r="K33" i="1"/>
  <c r="J33" i="1"/>
  <c r="J34" i="1" s="1"/>
  <c r="I33" i="1"/>
  <c r="H33" i="1"/>
  <c r="H34" i="1" s="1"/>
  <c r="G33" i="1"/>
  <c r="F33" i="1"/>
  <c r="F34" i="1" s="1"/>
  <c r="E33" i="1"/>
  <c r="D33" i="1"/>
  <c r="D34" i="1" s="1"/>
  <c r="C33" i="1"/>
  <c r="K24" i="1"/>
  <c r="I24" i="1"/>
  <c r="G24" i="1"/>
  <c r="E24" i="1"/>
  <c r="C24" i="1"/>
  <c r="K23" i="1"/>
  <c r="J23" i="1"/>
  <c r="J24" i="1" s="1"/>
  <c r="J14" i="1" s="1"/>
  <c r="I23" i="1"/>
  <c r="H23" i="1"/>
  <c r="H24" i="1" s="1"/>
  <c r="G23" i="1"/>
  <c r="F23" i="1"/>
  <c r="F24" i="1" s="1"/>
  <c r="F14" i="1" s="1"/>
  <c r="E23" i="1"/>
  <c r="D23" i="1"/>
  <c r="D24" i="1" s="1"/>
  <c r="C23" i="1"/>
  <c r="K14" i="1"/>
  <c r="I14" i="1"/>
  <c r="G14" i="1"/>
  <c r="E14" i="1"/>
  <c r="C14" i="1"/>
  <c r="K13" i="1"/>
  <c r="J13" i="1"/>
  <c r="I13" i="1"/>
  <c r="H13" i="1"/>
  <c r="G13" i="1"/>
  <c r="F13" i="1"/>
  <c r="E13" i="1"/>
  <c r="D13" i="1"/>
  <c r="C13" i="1"/>
  <c r="H14" i="1" l="1"/>
  <c r="D14" i="1"/>
</calcChain>
</file>

<file path=xl/sharedStrings.xml><?xml version="1.0" encoding="utf-8"?>
<sst xmlns="http://schemas.openxmlformats.org/spreadsheetml/2006/main" count="168" uniqueCount="61">
  <si>
    <t>TABLE 14.11</t>
  </si>
  <si>
    <t xml:space="preserve">Estimated Number of Districtwise Motor Vehicles(Registered) on Road in West Bengal (As on 31st March.) </t>
  </si>
  <si>
    <t>(In number)</t>
  </si>
  <si>
    <t>State/District</t>
  </si>
  <si>
    <t>Year</t>
  </si>
  <si>
    <t>Goods</t>
  </si>
  <si>
    <t>Motor Car/</t>
  </si>
  <si>
    <t>Motor Cycle,</t>
  </si>
  <si>
    <t>Taxi contract</t>
  </si>
  <si>
    <t>Mini Bus</t>
  </si>
  <si>
    <t>Stage</t>
  </si>
  <si>
    <t>Auto</t>
  </si>
  <si>
    <t>Tractor/</t>
  </si>
  <si>
    <t>Others</t>
  </si>
  <si>
    <t>Total</t>
  </si>
  <si>
    <t>Vehicles</t>
  </si>
  <si>
    <t>Jeeps</t>
  </si>
  <si>
    <t>Scooter etc.</t>
  </si>
  <si>
    <t>carriage/</t>
  </si>
  <si>
    <t>carriage</t>
  </si>
  <si>
    <t>Rickshaw</t>
  </si>
  <si>
    <t>Trailors</t>
  </si>
  <si>
    <t>Luxury Taxi</t>
  </si>
  <si>
    <t>West Bengal</t>
  </si>
  <si>
    <t>2014*</t>
  </si>
  <si>
    <t>2015*</t>
  </si>
  <si>
    <t>Burdwan</t>
  </si>
  <si>
    <t>Birbhum</t>
  </si>
  <si>
    <t>Bankura</t>
  </si>
  <si>
    <t>Midnapore</t>
  </si>
  <si>
    <t>Purba Midnapore</t>
  </si>
  <si>
    <t>Paschim Midnapore</t>
  </si>
  <si>
    <t>2013</t>
  </si>
  <si>
    <t>Table 14.11(Contd.)</t>
  </si>
  <si>
    <t>( In  number)</t>
  </si>
  <si>
    <t>Howrah</t>
  </si>
  <si>
    <t>2010*</t>
  </si>
  <si>
    <t>2011*</t>
  </si>
  <si>
    <t>Hooghly</t>
  </si>
  <si>
    <t>North 24-</t>
  </si>
  <si>
    <t>Parganas</t>
  </si>
  <si>
    <t>South 24-</t>
  </si>
  <si>
    <t>Kolkata</t>
  </si>
  <si>
    <t>TABLE 14.11(Contd.)</t>
  </si>
  <si>
    <t>Nadia</t>
  </si>
  <si>
    <t>Murshidabad</t>
  </si>
  <si>
    <t>Uttar Dinajpur</t>
  </si>
  <si>
    <t>Dakshin Dinajpur</t>
  </si>
  <si>
    <t>Malda</t>
  </si>
  <si>
    <t>Carriage/</t>
  </si>
  <si>
    <t>Carriage</t>
  </si>
  <si>
    <t>Jalpaiguri</t>
  </si>
  <si>
    <t>-</t>
  </si>
  <si>
    <t>Darjeeling</t>
  </si>
  <si>
    <t>Cooch Behar</t>
  </si>
  <si>
    <t>Purulia</t>
  </si>
  <si>
    <t>Alipurduar</t>
  </si>
  <si>
    <t>N.B. It appears that in the year 2009 and 2010, number of vechicles on road has reduced due to removal of vechicles aged more than 15 years as per Court order</t>
  </si>
  <si>
    <t>Source : i)Transport Department, GoWB.</t>
  </si>
  <si>
    <t xml:space="preserve">             ii) RTO's and ARTO's</t>
  </si>
  <si>
    <t>* Figures indicate LIVE Registered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</si>
</sst>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FFFF00"/>
      <name val="Arial Narrow"/>
      <family val="2"/>
    </font>
    <font>
      <sz val="11"/>
      <name val="Arial Narrow"/>
      <family val="2"/>
    </font>
    <font>
      <sz val="10"/>
      <color indexed="8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sz val="12"/>
      <color rgb="FFFFFF00"/>
      <name val="Arial Narrow"/>
      <family val="2"/>
    </font>
    <font>
      <sz val="12"/>
      <name val="Arial Narrow"/>
      <family val="2"/>
    </font>
    <font>
      <sz val="12"/>
      <name val="Arial"/>
      <family val="2"/>
    </font>
    <font>
      <sz val="8"/>
      <color rgb="FFFFFF00"/>
      <name val="Arial Narrow"/>
      <family val="2"/>
    </font>
    <font>
      <sz val="12"/>
      <color indexed="8"/>
      <name val="Arial Narrow"/>
      <family val="2"/>
    </font>
    <font>
      <sz val="10"/>
      <color rgb="FFFFFF0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 applyAlignment="1">
      <alignment horizontal="right"/>
    </xf>
    <xf numFmtId="0" fontId="6" fillId="0" borderId="0" xfId="0" applyFont="1"/>
    <xf numFmtId="49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49" fontId="5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/>
    <xf numFmtId="1" fontId="0" fillId="0" borderId="0" xfId="0" applyNumberFormat="1"/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7" fillId="0" borderId="0" xfId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/>
    <xf numFmtId="49" fontId="9" fillId="0" borderId="0" xfId="0" applyNumberFormat="1" applyFont="1" applyFill="1" applyBorder="1" applyAlignment="1">
      <alignment vertical="top" wrapText="1"/>
    </xf>
    <xf numFmtId="49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top" wrapText="1"/>
    </xf>
    <xf numFmtId="0" fontId="0" fillId="0" borderId="0" xfId="0" applyBorder="1"/>
    <xf numFmtId="49" fontId="9" fillId="0" borderId="1" xfId="0" applyNumberFormat="1" applyFont="1" applyFill="1" applyBorder="1" applyAlignment="1">
      <alignment vertical="top" wrapText="1"/>
    </xf>
    <xf numFmtId="1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10" fillId="0" borderId="0" xfId="0" applyFont="1" applyBorder="1"/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1" fontId="5" fillId="0" borderId="0" xfId="0" applyNumberFormat="1" applyFont="1" applyAlignment="1">
      <alignment horizontal="left" indent="1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0" xfId="0" applyFont="1" applyBorder="1"/>
    <xf numFmtId="0" fontId="14" fillId="0" borderId="1" xfId="0" applyFont="1" applyBorder="1"/>
    <xf numFmtId="0" fontId="10" fillId="0" borderId="1" xfId="0" applyFont="1" applyBorder="1"/>
    <xf numFmtId="1" fontId="5" fillId="0" borderId="0" xfId="0" applyNumberFormat="1" applyFont="1" applyFill="1" applyBorder="1" applyAlignment="1">
      <alignment horizontal="center" vertical="top" wrapText="1"/>
    </xf>
    <xf numFmtId="1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0" fontId="16" fillId="0" borderId="1" xfId="0" applyFont="1" applyBorder="1"/>
    <xf numFmtId="0" fontId="7" fillId="0" borderId="1" xfId="0" applyFont="1" applyBorder="1"/>
    <xf numFmtId="49" fontId="5" fillId="0" borderId="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/>
    <xf numFmtId="49" fontId="9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left" indent="1"/>
    </xf>
    <xf numFmtId="1" fontId="1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left" indent="1"/>
    </xf>
    <xf numFmtId="0" fontId="17" fillId="0" borderId="0" xfId="0" applyFont="1" applyBorder="1" applyAlignment="1"/>
    <xf numFmtId="0" fontId="13" fillId="0" borderId="0" xfId="0" applyFont="1"/>
    <xf numFmtId="0" fontId="13" fillId="0" borderId="0" xfId="0" applyFont="1" applyBorder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pter-14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14.1"/>
      <sheetName val="T-14.2"/>
      <sheetName val="T-14.3(1)"/>
      <sheetName val="T-14.3(2)"/>
      <sheetName val="T- 14.3 (3)"/>
      <sheetName val="T-14.3(4)"/>
      <sheetName val="T-14.3(5)"/>
      <sheetName val="T-14.4(1)"/>
      <sheetName val="T-14.4(3)"/>
      <sheetName val="T-14.4(5)"/>
      <sheetName val="T-14.4(6)"/>
      <sheetName val="14.5"/>
      <sheetName val="14.6"/>
      <sheetName val="T-14.7"/>
      <sheetName val="14.8"/>
      <sheetName val="14.9"/>
      <sheetName val="T-14.10"/>
      <sheetName val="T-14.11(1)"/>
      <sheetName val="T-14.11(2)"/>
      <sheetName val="T-14.11(3)"/>
      <sheetName val="T-14.11(4)"/>
      <sheetName val="T-14.12"/>
      <sheetName val="T-14.13"/>
      <sheetName val="T-14.14(1)"/>
      <sheetName val="T-14.14(2)"/>
      <sheetName val="T-14.14(3)"/>
      <sheetName val="T-14.15(1)"/>
      <sheetName val="T-14.15(2)"/>
      <sheetName val="T-14.15(3)"/>
      <sheetName val="T-14.16"/>
      <sheetName val="T-14.17"/>
      <sheetName val="T-14.18"/>
      <sheetName val="T-14.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4">
          <cell r="C14">
            <v>12941</v>
          </cell>
          <cell r="D14">
            <v>14666</v>
          </cell>
          <cell r="E14">
            <v>275161</v>
          </cell>
          <cell r="F14">
            <v>843</v>
          </cell>
          <cell r="G14">
            <v>737</v>
          </cell>
          <cell r="H14">
            <v>1246</v>
          </cell>
          <cell r="I14">
            <v>806</v>
          </cell>
          <cell r="J14">
            <v>16</v>
          </cell>
          <cell r="K14">
            <v>520</v>
          </cell>
        </row>
        <row r="24">
          <cell r="C24">
            <v>23724</v>
          </cell>
          <cell r="D24">
            <v>22350</v>
          </cell>
          <cell r="E24">
            <v>239463</v>
          </cell>
          <cell r="F24">
            <v>1629</v>
          </cell>
          <cell r="G24">
            <v>413</v>
          </cell>
          <cell r="H24">
            <v>2694</v>
          </cell>
          <cell r="I24">
            <v>3797</v>
          </cell>
          <cell r="J24">
            <v>3038</v>
          </cell>
          <cell r="K24">
            <v>740</v>
          </cell>
        </row>
        <row r="34">
          <cell r="C34">
            <v>84053</v>
          </cell>
          <cell r="D34">
            <v>119101</v>
          </cell>
          <cell r="E34">
            <v>444336</v>
          </cell>
          <cell r="F34">
            <v>5664</v>
          </cell>
          <cell r="G34">
            <v>433</v>
          </cell>
          <cell r="H34">
            <v>7225</v>
          </cell>
          <cell r="I34">
            <v>14785</v>
          </cell>
          <cell r="J34">
            <v>1083</v>
          </cell>
          <cell r="K34">
            <v>2746</v>
          </cell>
        </row>
        <row r="44">
          <cell r="C44">
            <v>23123</v>
          </cell>
          <cell r="D44">
            <v>79814</v>
          </cell>
          <cell r="E44">
            <v>262429</v>
          </cell>
          <cell r="F44">
            <v>6957</v>
          </cell>
          <cell r="G44">
            <v>244</v>
          </cell>
          <cell r="H44">
            <v>5088</v>
          </cell>
          <cell r="I44">
            <v>19517</v>
          </cell>
          <cell r="J44">
            <v>171</v>
          </cell>
          <cell r="K44">
            <v>3250</v>
          </cell>
        </row>
        <row r="54">
          <cell r="C54">
            <v>18113</v>
          </cell>
          <cell r="D54">
            <v>250241</v>
          </cell>
          <cell r="E54">
            <v>228876</v>
          </cell>
          <cell r="F54">
            <v>34674</v>
          </cell>
          <cell r="G54">
            <v>741</v>
          </cell>
          <cell r="H54">
            <v>3743</v>
          </cell>
          <cell r="I54">
            <v>19392</v>
          </cell>
          <cell r="J54">
            <v>56</v>
          </cell>
          <cell r="K54">
            <v>951</v>
          </cell>
        </row>
      </sheetData>
      <sheetData sheetId="19" refreshError="1">
        <row r="14">
          <cell r="C14">
            <v>7863</v>
          </cell>
          <cell r="D14">
            <v>10607</v>
          </cell>
          <cell r="E14">
            <v>171657</v>
          </cell>
          <cell r="F14">
            <v>1754</v>
          </cell>
          <cell r="G14">
            <v>97</v>
          </cell>
          <cell r="H14">
            <v>1023</v>
          </cell>
          <cell r="I14">
            <v>1222</v>
          </cell>
          <cell r="J14">
            <v>8858</v>
          </cell>
          <cell r="K14">
            <v>1042</v>
          </cell>
        </row>
        <row r="24">
          <cell r="C24">
            <v>13385</v>
          </cell>
          <cell r="D24">
            <v>7582</v>
          </cell>
          <cell r="E24">
            <v>200982</v>
          </cell>
          <cell r="F24">
            <v>963</v>
          </cell>
          <cell r="G24">
            <v>264</v>
          </cell>
          <cell r="H24">
            <v>1015</v>
          </cell>
          <cell r="I24">
            <v>158</v>
          </cell>
          <cell r="J24">
            <v>12478</v>
          </cell>
          <cell r="K24">
            <v>2204</v>
          </cell>
        </row>
        <row r="34">
          <cell r="C34">
            <v>7299</v>
          </cell>
          <cell r="D34">
            <v>5120</v>
          </cell>
          <cell r="E34">
            <v>89904</v>
          </cell>
          <cell r="F34">
            <v>2130</v>
          </cell>
          <cell r="G34">
            <v>85</v>
          </cell>
          <cell r="H34">
            <v>286</v>
          </cell>
          <cell r="I34">
            <v>130</v>
          </cell>
          <cell r="J34">
            <v>6801</v>
          </cell>
          <cell r="K34">
            <v>2444</v>
          </cell>
        </row>
        <row r="44">
          <cell r="C44">
            <v>3476</v>
          </cell>
          <cell r="D44">
            <v>2783</v>
          </cell>
          <cell r="E44">
            <v>33720</v>
          </cell>
          <cell r="F44">
            <v>467</v>
          </cell>
          <cell r="G44">
            <v>33</v>
          </cell>
          <cell r="H44">
            <v>157</v>
          </cell>
          <cell r="I44">
            <v>730</v>
          </cell>
          <cell r="J44">
            <v>3600</v>
          </cell>
          <cell r="K44">
            <v>485</v>
          </cell>
        </row>
        <row r="54">
          <cell r="C54">
            <v>7263</v>
          </cell>
          <cell r="D54">
            <v>7521</v>
          </cell>
          <cell r="E54">
            <v>115573</v>
          </cell>
          <cell r="F54">
            <v>2029</v>
          </cell>
          <cell r="G54">
            <v>94</v>
          </cell>
          <cell r="H54">
            <v>286</v>
          </cell>
          <cell r="I54">
            <v>749</v>
          </cell>
          <cell r="J54">
            <v>8196</v>
          </cell>
          <cell r="K54">
            <v>884</v>
          </cell>
        </row>
      </sheetData>
      <sheetData sheetId="20" refreshError="1">
        <row r="14">
          <cell r="C14">
            <v>16972</v>
          </cell>
          <cell r="D14">
            <v>7831</v>
          </cell>
          <cell r="E14">
            <v>104638</v>
          </cell>
          <cell r="F14">
            <v>2743</v>
          </cell>
          <cell r="G14">
            <v>244</v>
          </cell>
          <cell r="H14">
            <v>375</v>
          </cell>
          <cell r="I14">
            <v>2096</v>
          </cell>
          <cell r="J14">
            <v>2657</v>
          </cell>
          <cell r="K14">
            <v>123</v>
          </cell>
        </row>
        <row r="24">
          <cell r="C24">
            <v>24954</v>
          </cell>
          <cell r="D24">
            <v>76882</v>
          </cell>
          <cell r="E24">
            <v>199428</v>
          </cell>
          <cell r="F24">
            <v>18321</v>
          </cell>
          <cell r="G24">
            <v>1684</v>
          </cell>
          <cell r="H24">
            <v>2225</v>
          </cell>
          <cell r="I24">
            <v>1788</v>
          </cell>
          <cell r="J24">
            <v>2328</v>
          </cell>
          <cell r="K24">
            <v>1944</v>
          </cell>
        </row>
        <row r="34">
          <cell r="C34">
            <v>4111</v>
          </cell>
          <cell r="D34">
            <v>7230</v>
          </cell>
          <cell r="E34">
            <v>78520</v>
          </cell>
          <cell r="F34">
            <v>1188</v>
          </cell>
          <cell r="G34">
            <v>237</v>
          </cell>
          <cell r="H34">
            <v>2392</v>
          </cell>
          <cell r="I34">
            <v>260</v>
          </cell>
          <cell r="J34">
            <v>1315</v>
          </cell>
          <cell r="K34">
            <v>433</v>
          </cell>
        </row>
        <row r="44">
          <cell r="C44">
            <v>4182</v>
          </cell>
          <cell r="D44">
            <v>3307</v>
          </cell>
          <cell r="E44">
            <v>84245</v>
          </cell>
          <cell r="F44">
            <v>510</v>
          </cell>
          <cell r="G44">
            <v>167</v>
          </cell>
          <cell r="H44">
            <v>593</v>
          </cell>
          <cell r="I44">
            <v>1674</v>
          </cell>
          <cell r="J44">
            <v>3913</v>
          </cell>
          <cell r="K44">
            <v>711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tabSelected="1" topLeftCell="A179" workbookViewId="0">
      <selection activeCell="A194" sqref="A194:M248"/>
    </sheetView>
  </sheetViews>
  <sheetFormatPr defaultRowHeight="15" x14ac:dyDescent="0.25"/>
  <cols>
    <col min="1" max="1" width="14.28515625" customWidth="1"/>
    <col min="2" max="2" width="8.28515625" customWidth="1"/>
    <col min="3" max="3" width="7.85546875" customWidth="1"/>
    <col min="4" max="4" width="8.28515625" customWidth="1"/>
    <col min="5" max="5" width="8.7109375" customWidth="1"/>
    <col min="6" max="6" width="9.28515625" customWidth="1"/>
    <col min="7" max="7" width="7.7109375" customWidth="1"/>
    <col min="8" max="8" width="8.140625" customWidth="1"/>
    <col min="9" max="9" width="8" customWidth="1"/>
    <col min="10" max="10" width="7.42578125" customWidth="1"/>
    <col min="11" max="11" width="7.85546875" customWidth="1"/>
    <col min="12" max="12" width="8.7109375" customWidth="1"/>
    <col min="14" max="14" width="9.85546875" bestFit="1" customWidth="1"/>
    <col min="21" max="21" width="9.7109375" bestFit="1" customWidth="1"/>
  </cols>
  <sheetData>
    <row r="1" spans="1:18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8" ht="16.5" x14ac:dyDescent="0.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5" t="s">
        <v>2</v>
      </c>
      <c r="M3" s="6"/>
    </row>
    <row r="4" spans="1:18" x14ac:dyDescent="0.25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</row>
    <row r="5" spans="1:18" x14ac:dyDescent="0.25">
      <c r="A5" s="9"/>
      <c r="B5" s="10"/>
      <c r="C5" s="8" t="s">
        <v>15</v>
      </c>
      <c r="D5" s="8" t="s">
        <v>16</v>
      </c>
      <c r="E5" s="8" t="s">
        <v>17</v>
      </c>
      <c r="F5" s="8" t="s">
        <v>18</v>
      </c>
      <c r="G5" s="10"/>
      <c r="H5" s="8" t="s">
        <v>19</v>
      </c>
      <c r="I5" s="8" t="s">
        <v>20</v>
      </c>
      <c r="J5" s="8" t="s">
        <v>21</v>
      </c>
      <c r="K5" s="10"/>
      <c r="L5" s="10"/>
    </row>
    <row r="6" spans="1:18" x14ac:dyDescent="0.25">
      <c r="A6" s="11"/>
      <c r="B6" s="10"/>
      <c r="C6" s="10"/>
      <c r="D6" s="10"/>
      <c r="E6" s="10"/>
      <c r="F6" s="8" t="s">
        <v>22</v>
      </c>
      <c r="G6" s="10"/>
      <c r="H6" s="10"/>
      <c r="I6" s="10"/>
      <c r="J6" s="10"/>
      <c r="K6" s="10"/>
      <c r="L6" s="10"/>
    </row>
    <row r="7" spans="1:18" x14ac:dyDescent="0.25">
      <c r="A7" s="12">
        <v>-1</v>
      </c>
      <c r="B7" s="12">
        <v>-2</v>
      </c>
      <c r="C7" s="12">
        <v>-3</v>
      </c>
      <c r="D7" s="12">
        <v>-4</v>
      </c>
      <c r="E7" s="12">
        <v>-5</v>
      </c>
      <c r="F7" s="12">
        <v>-6</v>
      </c>
      <c r="G7" s="12">
        <v>-7</v>
      </c>
      <c r="H7" s="12">
        <v>-8</v>
      </c>
      <c r="I7" s="12">
        <v>-9</v>
      </c>
      <c r="J7" s="12">
        <v>-10</v>
      </c>
      <c r="K7" s="12">
        <v>-11</v>
      </c>
      <c r="L7" s="12">
        <v>-12</v>
      </c>
    </row>
    <row r="8" spans="1:18" x14ac:dyDescent="0.25">
      <c r="A8" s="13" t="s">
        <v>23</v>
      </c>
      <c r="B8" s="14">
        <v>2007</v>
      </c>
      <c r="C8" s="14">
        <v>256072</v>
      </c>
      <c r="D8" s="14">
        <v>602420</v>
      </c>
      <c r="E8" s="14">
        <v>2081355</v>
      </c>
      <c r="F8" s="14">
        <v>72702</v>
      </c>
      <c r="G8" s="14">
        <v>8051</v>
      </c>
      <c r="H8" s="14">
        <v>34686</v>
      </c>
      <c r="I8" s="14">
        <v>42195</v>
      </c>
      <c r="J8" s="14">
        <v>63430</v>
      </c>
      <c r="K8" s="14">
        <v>37391</v>
      </c>
      <c r="L8" s="14">
        <v>3198302</v>
      </c>
    </row>
    <row r="9" spans="1:18" x14ac:dyDescent="0.25">
      <c r="A9" s="15"/>
      <c r="B9" s="14">
        <v>2008</v>
      </c>
      <c r="C9" s="14">
        <v>289018</v>
      </c>
      <c r="D9" s="14">
        <v>671248</v>
      </c>
      <c r="E9" s="14">
        <v>2359613</v>
      </c>
      <c r="F9" s="14">
        <v>74338</v>
      </c>
      <c r="G9" s="14">
        <v>7793</v>
      </c>
      <c r="H9" s="14">
        <v>32667</v>
      </c>
      <c r="I9" s="14">
        <v>43830</v>
      </c>
      <c r="J9" s="14">
        <v>67128</v>
      </c>
      <c r="K9" s="14">
        <v>39266</v>
      </c>
      <c r="L9" s="14">
        <v>3584901</v>
      </c>
    </row>
    <row r="10" spans="1:18" x14ac:dyDescent="0.25">
      <c r="A10" s="16"/>
      <c r="B10" s="14">
        <v>2009</v>
      </c>
      <c r="C10" s="14">
        <v>263161</v>
      </c>
      <c r="D10" s="14">
        <v>585437</v>
      </c>
      <c r="E10" s="14">
        <v>1994719</v>
      </c>
      <c r="F10" s="14">
        <v>69941</v>
      </c>
      <c r="G10" s="14">
        <v>6994</v>
      </c>
      <c r="H10" s="14">
        <v>31969</v>
      </c>
      <c r="I10" s="14">
        <v>47046</v>
      </c>
      <c r="J10" s="14">
        <v>54639</v>
      </c>
      <c r="K10" s="14">
        <v>14751</v>
      </c>
      <c r="L10" s="14">
        <v>3068657</v>
      </c>
      <c r="R10" s="17"/>
    </row>
    <row r="11" spans="1:18" x14ac:dyDescent="0.25">
      <c r="A11" s="16"/>
      <c r="B11" s="14">
        <v>2010</v>
      </c>
      <c r="C11" s="14">
        <v>258074</v>
      </c>
      <c r="D11" s="14">
        <v>483684</v>
      </c>
      <c r="E11" s="14">
        <v>2221484</v>
      </c>
      <c r="F11" s="14">
        <v>65751</v>
      </c>
      <c r="G11" s="14">
        <v>7105</v>
      </c>
      <c r="H11" s="14">
        <v>30924</v>
      </c>
      <c r="I11" s="14">
        <v>52597</v>
      </c>
      <c r="J11" s="14">
        <v>64971</v>
      </c>
      <c r="K11" s="14">
        <v>21188</v>
      </c>
      <c r="L11" s="14">
        <v>3205778</v>
      </c>
    </row>
    <row r="12" spans="1:18" x14ac:dyDescent="0.25">
      <c r="A12" s="16"/>
      <c r="B12" s="14">
        <v>2011</v>
      </c>
      <c r="C12" s="14">
        <v>285733</v>
      </c>
      <c r="D12" s="14">
        <v>537866</v>
      </c>
      <c r="E12" s="14">
        <v>2607055</v>
      </c>
      <c r="F12" s="14">
        <v>72352</v>
      </c>
      <c r="G12" s="14">
        <v>7336</v>
      </c>
      <c r="H12" s="14">
        <v>32854</v>
      </c>
      <c r="I12" s="14">
        <v>62579</v>
      </c>
      <c r="J12" s="14">
        <v>77024</v>
      </c>
      <c r="K12" s="14">
        <v>25081</v>
      </c>
      <c r="L12" s="14">
        <v>3707880</v>
      </c>
    </row>
    <row r="13" spans="1:18" x14ac:dyDescent="0.25">
      <c r="A13" s="16"/>
      <c r="B13" s="14">
        <v>2012</v>
      </c>
      <c r="C13" s="14">
        <f>C12+32840</f>
        <v>318573</v>
      </c>
      <c r="D13" s="14">
        <f>D12+80676</f>
        <v>618542</v>
      </c>
      <c r="E13" s="14">
        <f>E12+444796</f>
        <v>3051851</v>
      </c>
      <c r="F13" s="14">
        <f>F12+4569</f>
        <v>76921</v>
      </c>
      <c r="G13" s="14">
        <f>G12+102</f>
        <v>7438</v>
      </c>
      <c r="H13" s="14">
        <f>H12+1276</f>
        <v>34130</v>
      </c>
      <c r="I13" s="14">
        <f>I12+5573</f>
        <v>68152</v>
      </c>
      <c r="J13" s="14">
        <f>J12+13152</f>
        <v>90176</v>
      </c>
      <c r="K13" s="14">
        <f>K12+2672</f>
        <v>27753</v>
      </c>
      <c r="L13" s="14">
        <v>4293536</v>
      </c>
    </row>
    <row r="14" spans="1:18" x14ac:dyDescent="0.25">
      <c r="A14" s="16"/>
      <c r="B14" s="14">
        <v>2013</v>
      </c>
      <c r="C14" s="14">
        <f>SUM(C24+C44+C55+C63+'[1]T-14.11(2)'!C14+'[1]T-14.11(2)'!C24+'[1]T-14.11(2)'!C34+'[1]T-14.11(2)'!C44+'[1]T-14.11(2)'!C54+'[1]T-14.11(3)'!C14+'[1]T-14.11(3)'!C24+'[1]T-14.11(3)'!C34+'[1]T-14.11(3)'!C44+'[1]T-14.11(3)'!C54+'[1]T-14.11(4)'!C14+'[1]T-14.11(4)'!C24+'[1]T-14.11(4)'!C34+'[1]T-14.11(4)'!C44)</f>
        <v>344816</v>
      </c>
      <c r="D14" s="14">
        <f>SUM(D24+D34+D44+D56+D63+'[1]T-14.11(2)'!D14+'[1]T-14.11(2)'!D24+'[1]T-14.11(2)'!D34+'[1]T-14.11(2)'!D44+'[1]T-14.11(2)'!D54+'[1]T-14.11(3)'!D14+'[1]T-14.11(3)'!D24+'[1]T-14.11(3)'!D34+'[1]T-14.11(3)'!D44+'[1]T-14.11(3)'!D54+'[1]T-14.11(4)'!D14+'[1]T-14.11(4)'!D24+'[1]T-14.11(4)'!D34+'[1]T-14.11(4)'!D44)</f>
        <v>700740</v>
      </c>
      <c r="E14" s="14">
        <f>SUM(E24+E34+E44+E56+E63+'[1]T-14.11(2)'!E14+'[1]T-14.11(2)'!E24+'[1]T-14.11(2)'!E34+'[1]T-14.11(2)'!E44+'[1]T-14.11(2)'!E54+'[1]T-14.11(3)'!E14+'[1]T-14.11(3)'!E24+'[1]T-14.11(3)'!E34+'[1]T-14.11(3)'!E44+'[1]T-14.11(3)'!E54+'[1]T-14.11(4)'!E14+'[1]T-14.11(4)'!E24+'[1]T-14.11(4)'!E34+'[1]T-14.11(4)'!E44)</f>
        <v>3553253</v>
      </c>
      <c r="F14" s="14">
        <f>SUM(F24+F34+F44+F56+F63+'[1]T-14.11(2)'!F14+'[1]T-14.11(2)'!F24+'[1]T-14.11(2)'!F34+'[1]T-14.11(2)'!F44+'[1]T-14.11(2)'!F54+'[1]T-14.11(3)'!F14+'[1]T-14.11(3)'!F24+'[1]T-14.11(3)'!F34+'[1]T-14.11(3)'!F44+'[1]T-14.11(3)'!F54+'[1]T-14.11(4)'!F14+'[1]T-14.11(4)'!F24+'[1]T-14.11(4)'!F34+'[1]T-14.11(4)'!F44)</f>
        <v>90329</v>
      </c>
      <c r="G14" s="14">
        <f>SUM(G24+G34+G44+G56+G63+'[1]T-14.11(2)'!G14+'[1]T-14.11(2)'!G24+'[1]T-14.11(2)'!G34+'[1]T-14.11(2)'!G44+'[1]T-14.11(2)'!G54+'[1]T-14.11(3)'!G14+'[1]T-14.11(3)'!G24+'[1]T-14.11(3)'!G34+'[1]T-14.11(3)'!G44+'[1]T-14.11(3)'!G54+'[1]T-14.11(4)'!G14+'[1]T-14.11(4)'!G24+'[1]T-14.11(4)'!G34+'[1]T-14.11(4)'!G44)</f>
        <v>7573</v>
      </c>
      <c r="H14" s="14">
        <f>SUM(H24+H34+H44+H56+H63+'[1]T-14.11(2)'!H14+'[1]T-14.11(2)'!H24+'[1]T-14.11(2)'!H34+'[1]T-14.11(2)'!H44+'[1]T-14.11(2)'!H54+'[1]T-14.11(3)'!H14+'[1]T-14.11(3)'!H24+'[1]T-14.11(3)'!H34+'[1]T-14.11(3)'!H44+'[1]T-14.11(3)'!H54+'[1]T-14.11(4)'!H14+'[1]T-14.11(4)'!H24+'[1]T-14.11(4)'!H34+'[1]T-14.11(4)'!H44)</f>
        <v>35521</v>
      </c>
      <c r="I14" s="14">
        <f>SUM(I24+I34+I44+I56+I63+'[1]T-14.11(2)'!I14+'[1]T-14.11(2)'!I24+'[1]T-14.11(2)'!I34+'[1]T-14.11(2)'!I44+'[1]T-14.11(2)'!I54+'[1]T-14.11(3)'!I14+'[1]T-14.11(3)'!I24+'[1]T-14.11(3)'!I34+'[1]T-14.11(3)'!I44+'[1]T-14.11(3)'!I54+'[1]T-14.11(4)'!I14+'[1]T-14.11(4)'!I24+'[1]T-14.11(4)'!I34+'[1]T-14.11(4)'!I44)</f>
        <v>69653</v>
      </c>
      <c r="J14" s="14">
        <f>SUM(J24+J34+J44+J56+J63+'[1]T-14.11(2)'!J14+'[1]T-14.11(2)'!J24+'[1]T-14.11(2)'!J34+'[1]T-14.11(2)'!J44+'[1]T-14.11(2)'!J54+'[1]T-14.11(3)'!J14+'[1]T-14.11(3)'!J24+'[1]T-14.11(3)'!J34+'[1]T-14.11(3)'!J44+'[1]T-14.11(3)'!J54+'[1]T-14.11(4)'!J14+'[1]T-14.11(4)'!J24+'[1]T-14.11(4)'!J34+'[1]T-14.11(4)'!J44)</f>
        <v>103989</v>
      </c>
      <c r="K14" s="14">
        <f>SUM(K24+K34+K44+K56+K63+'[1]T-14.11(2)'!K14+'[1]T-14.11(2)'!K24+'[1]T-14.11(2)'!K34+'[1]T-14.11(2)'!K44+'[1]T-14.11(2)'!K54+'[1]T-14.11(3)'!K14+'[1]T-14.11(3)'!K24+'[1]T-14.11(3)'!K34+'[1]T-14.11(3)'!K44+'[1]T-14.11(3)'!K54+'[1]T-14.11(4)'!K14+'[1]T-14.11(4)'!K24+'[1]T-14.11(4)'!K34+'[1]T-14.11(4)'!K44)</f>
        <v>30040</v>
      </c>
      <c r="L14" s="14">
        <v>4935914</v>
      </c>
      <c r="M14" s="17"/>
      <c r="N14" s="17"/>
      <c r="P14" s="17"/>
    </row>
    <row r="15" spans="1:18" x14ac:dyDescent="0.25">
      <c r="A15" s="16"/>
      <c r="B15" s="14" t="s">
        <v>24</v>
      </c>
      <c r="C15" s="14">
        <v>350565</v>
      </c>
      <c r="D15" s="14">
        <v>727350</v>
      </c>
      <c r="E15" s="14">
        <v>3701028</v>
      </c>
      <c r="F15" s="14">
        <v>102128</v>
      </c>
      <c r="G15" s="14">
        <v>6610</v>
      </c>
      <c r="H15" s="14">
        <v>32674</v>
      </c>
      <c r="I15" s="14">
        <v>69491</v>
      </c>
      <c r="J15" s="14">
        <v>97179</v>
      </c>
      <c r="K15" s="14">
        <v>33193</v>
      </c>
      <c r="L15" s="18">
        <v>5120218</v>
      </c>
      <c r="M15" s="17"/>
    </row>
    <row r="16" spans="1:18" x14ac:dyDescent="0.25">
      <c r="A16" s="16"/>
      <c r="B16" s="19" t="s">
        <v>25</v>
      </c>
      <c r="C16" s="14">
        <v>377636</v>
      </c>
      <c r="D16" s="14">
        <v>804801</v>
      </c>
      <c r="E16" s="14">
        <v>4226550</v>
      </c>
      <c r="F16" s="14">
        <v>111674</v>
      </c>
      <c r="G16" s="14">
        <v>9479</v>
      </c>
      <c r="H16" s="14">
        <v>32784</v>
      </c>
      <c r="I16" s="14">
        <v>71666</v>
      </c>
      <c r="J16" s="14">
        <v>109127</v>
      </c>
      <c r="K16" s="14">
        <v>34848</v>
      </c>
      <c r="L16" s="20">
        <v>5778565</v>
      </c>
      <c r="M16" s="17"/>
    </row>
    <row r="17" spans="1:14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4" x14ac:dyDescent="0.25">
      <c r="A18" s="13" t="s">
        <v>26</v>
      </c>
      <c r="B18" s="14">
        <v>2007</v>
      </c>
      <c r="C18" s="14">
        <v>29783</v>
      </c>
      <c r="D18" s="14">
        <v>25124</v>
      </c>
      <c r="E18" s="14">
        <v>440746</v>
      </c>
      <c r="F18" s="14">
        <v>3156</v>
      </c>
      <c r="G18" s="14">
        <v>1251</v>
      </c>
      <c r="H18" s="14">
        <v>1946</v>
      </c>
      <c r="I18" s="14">
        <v>540</v>
      </c>
      <c r="J18" s="14">
        <v>16142</v>
      </c>
      <c r="K18" s="14">
        <v>5783</v>
      </c>
      <c r="L18" s="14">
        <v>524471</v>
      </c>
    </row>
    <row r="19" spans="1:14" x14ac:dyDescent="0.25">
      <c r="A19" s="16"/>
      <c r="B19" s="14">
        <v>2008</v>
      </c>
      <c r="C19" s="14">
        <v>35082</v>
      </c>
      <c r="D19" s="14">
        <v>27940</v>
      </c>
      <c r="E19" s="14">
        <v>474589</v>
      </c>
      <c r="F19" s="14">
        <v>3336</v>
      </c>
      <c r="G19" s="14">
        <v>1351</v>
      </c>
      <c r="H19" s="14">
        <v>2236</v>
      </c>
      <c r="I19" s="14">
        <v>540</v>
      </c>
      <c r="J19" s="14">
        <v>17810</v>
      </c>
      <c r="K19" s="14">
        <v>5870</v>
      </c>
      <c r="L19" s="14">
        <v>568754</v>
      </c>
    </row>
    <row r="20" spans="1:14" x14ac:dyDescent="0.25">
      <c r="A20" s="16"/>
      <c r="B20" s="14">
        <v>2009</v>
      </c>
      <c r="C20" s="14">
        <v>29560</v>
      </c>
      <c r="D20" s="14">
        <v>16563</v>
      </c>
      <c r="E20" s="14">
        <v>210564</v>
      </c>
      <c r="F20" s="14">
        <v>1865</v>
      </c>
      <c r="G20" s="14">
        <v>915</v>
      </c>
      <c r="H20" s="14">
        <v>1658</v>
      </c>
      <c r="I20" s="14">
        <v>564</v>
      </c>
      <c r="J20" s="14">
        <v>16483</v>
      </c>
      <c r="K20" s="14">
        <v>3954</v>
      </c>
      <c r="L20" s="14">
        <v>282126</v>
      </c>
    </row>
    <row r="21" spans="1:14" x14ac:dyDescent="0.25">
      <c r="A21" s="15"/>
      <c r="B21" s="14">
        <v>2010</v>
      </c>
      <c r="C21" s="14">
        <v>37038</v>
      </c>
      <c r="D21" s="14">
        <v>20472</v>
      </c>
      <c r="E21" s="14">
        <v>254040</v>
      </c>
      <c r="F21" s="14">
        <v>4683</v>
      </c>
      <c r="G21" s="14">
        <v>1328</v>
      </c>
      <c r="H21" s="14">
        <v>2122</v>
      </c>
      <c r="I21" s="14">
        <v>808</v>
      </c>
      <c r="J21" s="14">
        <v>19526</v>
      </c>
      <c r="K21" s="14">
        <v>4494</v>
      </c>
      <c r="L21" s="14">
        <v>344511</v>
      </c>
    </row>
    <row r="22" spans="1:14" x14ac:dyDescent="0.25">
      <c r="A22" s="16"/>
      <c r="B22" s="14">
        <v>2011</v>
      </c>
      <c r="C22" s="14">
        <v>45372</v>
      </c>
      <c r="D22" s="14">
        <v>29836</v>
      </c>
      <c r="E22" s="14">
        <v>314460</v>
      </c>
      <c r="F22" s="14">
        <v>5050</v>
      </c>
      <c r="G22" s="14">
        <v>1406</v>
      </c>
      <c r="H22" s="14">
        <v>2317</v>
      </c>
      <c r="I22" s="14">
        <v>981</v>
      </c>
      <c r="J22" s="14">
        <v>23186</v>
      </c>
      <c r="K22" s="14">
        <v>5275</v>
      </c>
      <c r="L22" s="14">
        <v>427883</v>
      </c>
    </row>
    <row r="23" spans="1:14" x14ac:dyDescent="0.25">
      <c r="A23" s="16"/>
      <c r="B23" s="14">
        <v>2012</v>
      </c>
      <c r="C23" s="14">
        <f>C22+7925</f>
        <v>53297</v>
      </c>
      <c r="D23" s="14">
        <f>D22+10158</f>
        <v>39994</v>
      </c>
      <c r="E23" s="14">
        <f>E22+58441</f>
        <v>372901</v>
      </c>
      <c r="F23" s="14">
        <f>F22+418</f>
        <v>5468</v>
      </c>
      <c r="G23" s="14">
        <f>G22+14</f>
        <v>1420</v>
      </c>
      <c r="H23" s="14">
        <f>H22+160</f>
        <v>2477</v>
      </c>
      <c r="I23" s="14">
        <f>I22+93</f>
        <v>1074</v>
      </c>
      <c r="J23" s="14">
        <f>J22+3304</f>
        <v>26490</v>
      </c>
      <c r="K23" s="14">
        <f>K22+709</f>
        <v>5984</v>
      </c>
      <c r="L23" s="14">
        <v>509105</v>
      </c>
    </row>
    <row r="24" spans="1:14" x14ac:dyDescent="0.25">
      <c r="A24" s="16"/>
      <c r="B24" s="14">
        <v>2013</v>
      </c>
      <c r="C24" s="14">
        <f>C23+3117</f>
        <v>56414</v>
      </c>
      <c r="D24" s="14">
        <f>D23+8374</f>
        <v>48368</v>
      </c>
      <c r="E24" s="14">
        <f>E23+57856</f>
        <v>430757</v>
      </c>
      <c r="F24" s="14">
        <f>F23+335</f>
        <v>5803</v>
      </c>
      <c r="G24" s="14">
        <f>G23+32</f>
        <v>1452</v>
      </c>
      <c r="H24" s="14">
        <f>H23+146</f>
        <v>2623</v>
      </c>
      <c r="I24" s="14">
        <f>I23+170</f>
        <v>1244</v>
      </c>
      <c r="J24" s="14">
        <f>J23+2592</f>
        <v>29082</v>
      </c>
      <c r="K24" s="14">
        <f>K23+366</f>
        <v>6350</v>
      </c>
      <c r="L24" s="14">
        <v>582093</v>
      </c>
      <c r="N24" s="17"/>
    </row>
    <row r="25" spans="1:14" x14ac:dyDescent="0.25">
      <c r="A25" s="16"/>
      <c r="B25" s="14" t="s">
        <v>24</v>
      </c>
      <c r="C25" s="14">
        <v>45101</v>
      </c>
      <c r="D25" s="14">
        <v>53861</v>
      </c>
      <c r="E25" s="14">
        <v>381386</v>
      </c>
      <c r="F25" s="14">
        <v>2471</v>
      </c>
      <c r="G25" s="14">
        <v>436</v>
      </c>
      <c r="H25" s="14">
        <v>2448</v>
      </c>
      <c r="I25" s="14">
        <v>1570</v>
      </c>
      <c r="J25" s="14">
        <v>20991</v>
      </c>
      <c r="K25" s="14">
        <v>3491</v>
      </c>
      <c r="L25" s="14">
        <v>511755</v>
      </c>
      <c r="N25" s="17"/>
    </row>
    <row r="26" spans="1:14" x14ac:dyDescent="0.25">
      <c r="A26" s="16"/>
      <c r="B26" s="19" t="s">
        <v>25</v>
      </c>
      <c r="C26" s="14">
        <v>47634</v>
      </c>
      <c r="D26" s="14">
        <v>62195</v>
      </c>
      <c r="E26" s="14">
        <v>443437</v>
      </c>
      <c r="F26" s="14">
        <v>2821</v>
      </c>
      <c r="G26" s="14">
        <v>627</v>
      </c>
      <c r="H26" s="14">
        <v>2458</v>
      </c>
      <c r="I26" s="14">
        <v>1672</v>
      </c>
      <c r="J26" s="14">
        <v>23128</v>
      </c>
      <c r="K26" s="14">
        <v>3686</v>
      </c>
      <c r="L26" s="14">
        <v>587658</v>
      </c>
      <c r="N26" s="17"/>
    </row>
    <row r="27" spans="1:14" x14ac:dyDescent="0.25">
      <c r="A27" s="16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4" x14ac:dyDescent="0.25">
      <c r="A28" s="13" t="s">
        <v>27</v>
      </c>
      <c r="B28" s="14">
        <v>2007</v>
      </c>
      <c r="C28" s="14">
        <v>4258</v>
      </c>
      <c r="D28" s="14">
        <v>2075</v>
      </c>
      <c r="E28" s="14">
        <v>48016</v>
      </c>
      <c r="F28" s="14">
        <v>167</v>
      </c>
      <c r="G28" s="14">
        <v>64</v>
      </c>
      <c r="H28" s="14">
        <v>400</v>
      </c>
      <c r="I28" s="14">
        <v>152</v>
      </c>
      <c r="J28" s="14">
        <v>5696</v>
      </c>
      <c r="K28" s="14">
        <v>473</v>
      </c>
      <c r="L28" s="14">
        <v>61947</v>
      </c>
    </row>
    <row r="29" spans="1:14" x14ac:dyDescent="0.25">
      <c r="A29" s="16"/>
      <c r="B29" s="14">
        <v>2008</v>
      </c>
      <c r="C29" s="14">
        <v>2522</v>
      </c>
      <c r="D29" s="14">
        <v>1618</v>
      </c>
      <c r="E29" s="14">
        <v>23606</v>
      </c>
      <c r="F29" s="14">
        <v>438</v>
      </c>
      <c r="G29" s="14">
        <v>113</v>
      </c>
      <c r="H29" s="14">
        <v>523</v>
      </c>
      <c r="I29" s="14">
        <v>159</v>
      </c>
      <c r="J29" s="14">
        <v>3029</v>
      </c>
      <c r="K29" s="14">
        <v>50</v>
      </c>
      <c r="L29" s="14">
        <v>32058</v>
      </c>
    </row>
    <row r="30" spans="1:14" x14ac:dyDescent="0.25">
      <c r="A30" s="16"/>
      <c r="B30" s="14">
        <v>2009</v>
      </c>
      <c r="C30" s="14">
        <v>4158</v>
      </c>
      <c r="D30" s="14">
        <v>1754</v>
      </c>
      <c r="E30" s="14">
        <v>26548</v>
      </c>
      <c r="F30" s="14">
        <v>368</v>
      </c>
      <c r="G30" s="14">
        <v>95</v>
      </c>
      <c r="H30" s="14">
        <v>265</v>
      </c>
      <c r="I30" s="14">
        <v>168</v>
      </c>
      <c r="J30" s="14">
        <v>2854</v>
      </c>
      <c r="K30" s="14">
        <v>45</v>
      </c>
      <c r="L30" s="14">
        <v>36255</v>
      </c>
    </row>
    <row r="31" spans="1:14" x14ac:dyDescent="0.25">
      <c r="A31" s="15"/>
      <c r="B31" s="14">
        <v>2010</v>
      </c>
      <c r="C31" s="14">
        <v>4731</v>
      </c>
      <c r="D31" s="14">
        <v>1929</v>
      </c>
      <c r="E31" s="14">
        <v>36250</v>
      </c>
      <c r="F31" s="14">
        <v>382</v>
      </c>
      <c r="G31" s="14">
        <v>98</v>
      </c>
      <c r="H31" s="14">
        <v>280</v>
      </c>
      <c r="I31" s="14">
        <v>168</v>
      </c>
      <c r="J31" s="14">
        <v>3574</v>
      </c>
      <c r="K31" s="14">
        <v>54</v>
      </c>
      <c r="L31" s="14">
        <v>47466</v>
      </c>
    </row>
    <row r="32" spans="1:14" x14ac:dyDescent="0.25">
      <c r="A32" s="16"/>
      <c r="B32" s="14">
        <v>2011</v>
      </c>
      <c r="C32" s="14">
        <v>5052</v>
      </c>
      <c r="D32" s="14">
        <v>2250</v>
      </c>
      <c r="E32" s="14">
        <v>50029</v>
      </c>
      <c r="F32" s="14">
        <v>410</v>
      </c>
      <c r="G32" s="14">
        <v>105</v>
      </c>
      <c r="H32" s="14">
        <v>293</v>
      </c>
      <c r="I32" s="14">
        <v>249</v>
      </c>
      <c r="J32" s="14">
        <v>4519</v>
      </c>
      <c r="K32" s="14">
        <v>194</v>
      </c>
      <c r="L32" s="14">
        <v>63101</v>
      </c>
    </row>
    <row r="33" spans="1:21" x14ac:dyDescent="0.25">
      <c r="A33" s="16"/>
      <c r="B33" s="14">
        <v>2012</v>
      </c>
      <c r="C33" s="14">
        <f>C32+599</f>
        <v>5651</v>
      </c>
      <c r="D33" s="14">
        <f>D32+354</f>
        <v>2604</v>
      </c>
      <c r="E33" s="14">
        <f>E32+15296</f>
        <v>65325</v>
      </c>
      <c r="F33" s="14">
        <f>F32+62</f>
        <v>472</v>
      </c>
      <c r="G33" s="14">
        <f>G32+0</f>
        <v>105</v>
      </c>
      <c r="H33" s="14">
        <f>H32+16</f>
        <v>309</v>
      </c>
      <c r="I33" s="14">
        <f>I32+2</f>
        <v>251</v>
      </c>
      <c r="J33" s="14">
        <f>J32+895</f>
        <v>5414</v>
      </c>
      <c r="K33" s="14">
        <f>K32+64</f>
        <v>258</v>
      </c>
      <c r="L33" s="14">
        <v>80389</v>
      </c>
    </row>
    <row r="34" spans="1:21" x14ac:dyDescent="0.25">
      <c r="A34" s="16"/>
      <c r="B34" s="14">
        <v>2013</v>
      </c>
      <c r="C34" s="14">
        <f>C33+926</f>
        <v>6577</v>
      </c>
      <c r="D34" s="14">
        <f>D33+1090</f>
        <v>3694</v>
      </c>
      <c r="E34" s="14">
        <f>E33+18153</f>
        <v>83478</v>
      </c>
      <c r="F34" s="14">
        <f>F33+102</f>
        <v>574</v>
      </c>
      <c r="G34" s="14">
        <f>G33+4</f>
        <v>109</v>
      </c>
      <c r="H34" s="14">
        <f>H33+38</f>
        <v>347</v>
      </c>
      <c r="I34" s="14">
        <f>I33+0</f>
        <v>251</v>
      </c>
      <c r="J34" s="14">
        <f>J33+1126</f>
        <v>6540</v>
      </c>
      <c r="K34" s="14">
        <f>K33+163</f>
        <v>421</v>
      </c>
      <c r="L34" s="14">
        <v>101991</v>
      </c>
    </row>
    <row r="35" spans="1:21" x14ac:dyDescent="0.25">
      <c r="A35" s="16"/>
      <c r="B35" s="14" t="s">
        <v>24</v>
      </c>
      <c r="C35" s="14">
        <v>5370</v>
      </c>
      <c r="D35" s="14">
        <v>3868</v>
      </c>
      <c r="E35" s="14">
        <v>94627</v>
      </c>
      <c r="F35" s="14">
        <v>505</v>
      </c>
      <c r="G35" s="14">
        <v>66</v>
      </c>
      <c r="H35" s="14">
        <v>1247</v>
      </c>
      <c r="I35" s="14">
        <v>185</v>
      </c>
      <c r="J35" s="14">
        <v>8787</v>
      </c>
      <c r="K35" s="14">
        <v>1414</v>
      </c>
      <c r="L35" s="14">
        <v>116069</v>
      </c>
    </row>
    <row r="36" spans="1:21" x14ac:dyDescent="0.25">
      <c r="A36" s="16"/>
      <c r="B36" s="19" t="s">
        <v>25</v>
      </c>
      <c r="C36" s="14">
        <v>6229</v>
      </c>
      <c r="D36" s="14">
        <v>4697</v>
      </c>
      <c r="E36" s="14">
        <v>106979</v>
      </c>
      <c r="F36" s="14">
        <v>564</v>
      </c>
      <c r="G36" s="14">
        <v>80</v>
      </c>
      <c r="H36" s="14">
        <v>197</v>
      </c>
      <c r="I36" s="14">
        <v>185</v>
      </c>
      <c r="J36" s="14">
        <v>7267</v>
      </c>
      <c r="K36" s="14">
        <v>562</v>
      </c>
      <c r="L36" s="14">
        <v>126760</v>
      </c>
    </row>
    <row r="37" spans="1:21" x14ac:dyDescent="0.25">
      <c r="A37" s="1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21" x14ac:dyDescent="0.25">
      <c r="A38" s="13" t="s">
        <v>28</v>
      </c>
      <c r="B38" s="14">
        <v>2007</v>
      </c>
      <c r="C38" s="14">
        <v>4036</v>
      </c>
      <c r="D38" s="14">
        <v>1850</v>
      </c>
      <c r="E38" s="14">
        <v>49814</v>
      </c>
      <c r="F38" s="14">
        <v>667</v>
      </c>
      <c r="G38" s="14">
        <v>119</v>
      </c>
      <c r="H38" s="14">
        <v>1079</v>
      </c>
      <c r="I38" s="14">
        <v>196</v>
      </c>
      <c r="J38" s="14">
        <v>3089</v>
      </c>
      <c r="K38" s="14">
        <v>1097</v>
      </c>
      <c r="L38" s="14">
        <v>61947</v>
      </c>
      <c r="U38" s="17"/>
    </row>
    <row r="39" spans="1:21" x14ac:dyDescent="0.25">
      <c r="A39" s="16"/>
      <c r="B39" s="14">
        <v>2008</v>
      </c>
      <c r="C39" s="14">
        <v>4102</v>
      </c>
      <c r="D39" s="14">
        <v>1914</v>
      </c>
      <c r="E39" s="14">
        <v>56759</v>
      </c>
      <c r="F39" s="14">
        <v>679</v>
      </c>
      <c r="G39" s="14">
        <v>128</v>
      </c>
      <c r="H39" s="14">
        <v>1090</v>
      </c>
      <c r="I39" s="14">
        <v>211</v>
      </c>
      <c r="J39" s="14">
        <v>3448</v>
      </c>
      <c r="K39" s="14">
        <v>1358</v>
      </c>
      <c r="L39" s="14">
        <v>69889</v>
      </c>
    </row>
    <row r="40" spans="1:21" x14ac:dyDescent="0.25">
      <c r="A40" s="16"/>
      <c r="B40" s="14">
        <v>2009</v>
      </c>
      <c r="C40" s="14">
        <v>4302</v>
      </c>
      <c r="D40" s="14">
        <v>2028</v>
      </c>
      <c r="E40" s="14">
        <v>66974</v>
      </c>
      <c r="F40" s="14">
        <v>706</v>
      </c>
      <c r="G40" s="14">
        <v>187</v>
      </c>
      <c r="H40" s="14">
        <v>1164</v>
      </c>
      <c r="I40" s="14">
        <v>240</v>
      </c>
      <c r="J40" s="14">
        <v>3681</v>
      </c>
      <c r="K40" s="14">
        <v>1314</v>
      </c>
      <c r="L40" s="14">
        <v>80596</v>
      </c>
    </row>
    <row r="41" spans="1:21" x14ac:dyDescent="0.25">
      <c r="A41" s="15"/>
      <c r="B41" s="14">
        <v>2010</v>
      </c>
      <c r="C41" s="14">
        <v>4681</v>
      </c>
      <c r="D41" s="14">
        <v>2316</v>
      </c>
      <c r="E41" s="14">
        <v>75456</v>
      </c>
      <c r="F41" s="14">
        <v>726</v>
      </c>
      <c r="G41" s="14">
        <v>198</v>
      </c>
      <c r="H41" s="14">
        <v>1189</v>
      </c>
      <c r="I41" s="14">
        <v>250</v>
      </c>
      <c r="J41" s="14">
        <v>4383</v>
      </c>
      <c r="K41" s="14">
        <v>2018</v>
      </c>
      <c r="L41" s="14">
        <v>91217</v>
      </c>
    </row>
    <row r="42" spans="1:21" x14ac:dyDescent="0.25">
      <c r="A42" s="16"/>
      <c r="B42" s="14">
        <v>2011</v>
      </c>
      <c r="C42" s="14">
        <v>5346</v>
      </c>
      <c r="D42" s="14">
        <v>2886</v>
      </c>
      <c r="E42" s="14">
        <v>90348</v>
      </c>
      <c r="F42" s="14">
        <v>734</v>
      </c>
      <c r="G42" s="14">
        <v>213</v>
      </c>
      <c r="H42" s="14">
        <v>1224</v>
      </c>
      <c r="I42" s="14">
        <v>250</v>
      </c>
      <c r="J42" s="14">
        <v>5273</v>
      </c>
      <c r="K42" s="14">
        <v>2030</v>
      </c>
      <c r="L42" s="14">
        <v>108304</v>
      </c>
      <c r="P42" s="17"/>
    </row>
    <row r="43" spans="1:21" x14ac:dyDescent="0.25">
      <c r="A43" s="16"/>
      <c r="B43" s="14">
        <v>2012</v>
      </c>
      <c r="C43" s="14">
        <f>C42+695</f>
        <v>6041</v>
      </c>
      <c r="D43" s="14">
        <f>D42+768</f>
        <v>3654</v>
      </c>
      <c r="E43" s="14">
        <f>E42+13680</f>
        <v>104028</v>
      </c>
      <c r="F43" s="14">
        <f>F42+66</f>
        <v>800</v>
      </c>
      <c r="G43" s="14">
        <f>G42+9</f>
        <v>222</v>
      </c>
      <c r="H43" s="14">
        <f>H42+29</f>
        <v>1253</v>
      </c>
      <c r="I43" s="14">
        <f>I42+8</f>
        <v>258</v>
      </c>
      <c r="J43" s="14">
        <f>J42+830</f>
        <v>6103</v>
      </c>
      <c r="K43" s="14">
        <f>K42+61</f>
        <v>2091</v>
      </c>
      <c r="L43" s="14">
        <v>124450</v>
      </c>
    </row>
    <row r="44" spans="1:21" x14ac:dyDescent="0.25">
      <c r="A44" s="16"/>
      <c r="B44" s="14">
        <v>2013</v>
      </c>
      <c r="C44" s="14">
        <f>C43+1076</f>
        <v>7117</v>
      </c>
      <c r="D44" s="14">
        <f>D43+1758</f>
        <v>5412</v>
      </c>
      <c r="E44" s="14">
        <f>E43+17941</f>
        <v>121969</v>
      </c>
      <c r="F44" s="14">
        <f>F43+43</f>
        <v>843</v>
      </c>
      <c r="G44" s="14">
        <f>G43+10</f>
        <v>232</v>
      </c>
      <c r="H44" s="14">
        <f>H43+23</f>
        <v>1276</v>
      </c>
      <c r="I44" s="14">
        <f>I43+0</f>
        <v>258</v>
      </c>
      <c r="J44" s="14">
        <f>J43+1233</f>
        <v>7336</v>
      </c>
      <c r="K44" s="14">
        <f>K43+125</f>
        <v>2216</v>
      </c>
      <c r="L44" s="14">
        <v>146659</v>
      </c>
    </row>
    <row r="45" spans="1:21" x14ac:dyDescent="0.25">
      <c r="A45" s="16"/>
      <c r="B45" s="14" t="s">
        <v>24</v>
      </c>
      <c r="C45" s="14">
        <v>8039</v>
      </c>
      <c r="D45" s="14">
        <v>7023</v>
      </c>
      <c r="E45" s="14">
        <v>140409</v>
      </c>
      <c r="F45" s="14">
        <v>1053</v>
      </c>
      <c r="G45" s="14">
        <v>179</v>
      </c>
      <c r="H45" s="14">
        <v>1247</v>
      </c>
      <c r="I45" s="14">
        <v>241</v>
      </c>
      <c r="J45" s="14">
        <v>8787</v>
      </c>
      <c r="K45" s="14">
        <v>1414</v>
      </c>
      <c r="L45" s="14">
        <v>168392</v>
      </c>
    </row>
    <row r="46" spans="1:21" x14ac:dyDescent="0.25">
      <c r="A46" s="16"/>
      <c r="B46" s="19" t="s">
        <v>25</v>
      </c>
      <c r="C46" s="21">
        <v>8751</v>
      </c>
      <c r="D46" s="21">
        <v>8884</v>
      </c>
      <c r="E46" s="21">
        <v>158186</v>
      </c>
      <c r="F46" s="21">
        <v>1146</v>
      </c>
      <c r="G46" s="21">
        <v>215</v>
      </c>
      <c r="H46" s="21">
        <v>1247</v>
      </c>
      <c r="I46" s="22">
        <v>263</v>
      </c>
      <c r="J46" s="21">
        <v>9871</v>
      </c>
      <c r="K46" s="21">
        <v>1488</v>
      </c>
      <c r="L46" s="23">
        <v>190051</v>
      </c>
    </row>
    <row r="47" spans="1:21" x14ac:dyDescent="0.25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21" x14ac:dyDescent="0.25">
      <c r="A48" s="13" t="s">
        <v>29</v>
      </c>
      <c r="B48" s="14">
        <v>2007</v>
      </c>
      <c r="C48" s="14">
        <v>12926</v>
      </c>
      <c r="D48" s="14">
        <v>7830</v>
      </c>
      <c r="E48" s="14">
        <v>188729</v>
      </c>
      <c r="F48" s="14">
        <v>1090</v>
      </c>
      <c r="G48" s="14">
        <v>183</v>
      </c>
      <c r="H48" s="14">
        <v>1687</v>
      </c>
      <c r="I48" s="14">
        <v>504</v>
      </c>
      <c r="J48" s="14">
        <v>4181</v>
      </c>
      <c r="K48" s="14">
        <v>1510</v>
      </c>
      <c r="L48" s="14">
        <v>218640</v>
      </c>
    </row>
    <row r="49" spans="1:21" x14ac:dyDescent="0.25">
      <c r="A49" s="16"/>
      <c r="B49" s="14">
        <v>2008</v>
      </c>
      <c r="C49" s="14">
        <v>13227</v>
      </c>
      <c r="D49" s="14">
        <v>8797</v>
      </c>
      <c r="E49" s="14">
        <v>191111</v>
      </c>
      <c r="F49" s="14">
        <v>894</v>
      </c>
      <c r="G49" s="14">
        <v>158</v>
      </c>
      <c r="H49" s="14">
        <v>1400</v>
      </c>
      <c r="I49" s="14">
        <v>587</v>
      </c>
      <c r="J49" s="14">
        <v>3537</v>
      </c>
      <c r="K49" s="14">
        <v>1128</v>
      </c>
      <c r="L49" s="14">
        <v>220839</v>
      </c>
    </row>
    <row r="50" spans="1:21" x14ac:dyDescent="0.25">
      <c r="A50" s="15"/>
      <c r="B50" s="14">
        <v>2009</v>
      </c>
      <c r="C50" s="14">
        <v>18372</v>
      </c>
      <c r="D50" s="14">
        <v>12448</v>
      </c>
      <c r="E50" s="14">
        <v>176323</v>
      </c>
      <c r="F50" s="14">
        <v>2800</v>
      </c>
      <c r="G50" s="14">
        <v>179</v>
      </c>
      <c r="H50" s="14">
        <v>2306</v>
      </c>
      <c r="I50" s="14">
        <v>452</v>
      </c>
      <c r="J50" s="14">
        <v>3152</v>
      </c>
      <c r="K50" s="14">
        <v>680</v>
      </c>
      <c r="L50" s="14">
        <v>216712</v>
      </c>
    </row>
    <row r="51" spans="1:21" x14ac:dyDescent="0.25">
      <c r="A51" s="15"/>
    </row>
    <row r="52" spans="1:21" x14ac:dyDescent="0.25">
      <c r="A52" s="1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21" x14ac:dyDescent="0.25">
      <c r="A53" s="15" t="s">
        <v>30</v>
      </c>
      <c r="B53" s="14">
        <v>2010</v>
      </c>
      <c r="C53" s="14">
        <v>8110</v>
      </c>
      <c r="D53" s="14">
        <v>3674</v>
      </c>
      <c r="E53" s="14">
        <v>71596</v>
      </c>
      <c r="F53" s="14">
        <v>1617</v>
      </c>
      <c r="G53" s="14">
        <v>45</v>
      </c>
      <c r="H53" s="14">
        <v>1214</v>
      </c>
      <c r="I53" s="14">
        <v>72</v>
      </c>
      <c r="J53" s="14">
        <v>88</v>
      </c>
      <c r="K53" s="14">
        <v>517</v>
      </c>
      <c r="L53" s="14">
        <v>86933</v>
      </c>
    </row>
    <row r="54" spans="1:21" x14ac:dyDescent="0.25">
      <c r="A54" s="16"/>
      <c r="B54" s="14">
        <v>2011</v>
      </c>
      <c r="C54" s="14">
        <v>8524</v>
      </c>
      <c r="D54" s="14">
        <v>3947</v>
      </c>
      <c r="E54" s="14">
        <v>76676</v>
      </c>
      <c r="F54" s="14">
        <v>1632</v>
      </c>
      <c r="G54" s="14">
        <v>209</v>
      </c>
      <c r="H54" s="14">
        <v>1235</v>
      </c>
      <c r="I54" s="14">
        <v>72</v>
      </c>
      <c r="J54" s="14">
        <v>194</v>
      </c>
      <c r="K54" s="14">
        <v>544</v>
      </c>
      <c r="L54" s="14">
        <v>93033</v>
      </c>
    </row>
    <row r="55" spans="1:21" x14ac:dyDescent="0.25">
      <c r="A55" s="16"/>
      <c r="B55" s="14">
        <v>2012</v>
      </c>
      <c r="C55" s="14">
        <f>C54+1659</f>
        <v>10183</v>
      </c>
      <c r="D55" s="14">
        <f>D54+1825</f>
        <v>5772</v>
      </c>
      <c r="E55" s="14">
        <f>E54+23568</f>
        <v>100244</v>
      </c>
      <c r="F55" s="14">
        <f>F54+256</f>
        <v>1888</v>
      </c>
      <c r="G55" s="14">
        <f>G54+3</f>
        <v>212</v>
      </c>
      <c r="H55" s="14">
        <f>H54+28</f>
        <v>1263</v>
      </c>
      <c r="I55" s="14">
        <f>I54+0</f>
        <v>72</v>
      </c>
      <c r="J55" s="14">
        <f>J54+168</f>
        <v>362</v>
      </c>
      <c r="K55" s="14">
        <f>K54+82</f>
        <v>626</v>
      </c>
      <c r="L55" s="14">
        <v>120622</v>
      </c>
      <c r="N55" s="17"/>
    </row>
    <row r="56" spans="1:21" x14ac:dyDescent="0.25">
      <c r="A56" s="16"/>
      <c r="B56" s="14">
        <v>2013</v>
      </c>
      <c r="C56" s="14">
        <f>C55+1651</f>
        <v>11834</v>
      </c>
      <c r="D56" s="14">
        <f>D55+2431</f>
        <v>8203</v>
      </c>
      <c r="E56" s="14">
        <f>E55+27460</f>
        <v>127704</v>
      </c>
      <c r="F56" s="14">
        <f>F55+479</f>
        <v>2367</v>
      </c>
      <c r="G56" s="14">
        <f>G55+5</f>
        <v>217</v>
      </c>
      <c r="H56" s="14">
        <f>H55+79</f>
        <v>1342</v>
      </c>
      <c r="I56" s="14">
        <f>I55+0</f>
        <v>72</v>
      </c>
      <c r="J56" s="14">
        <f>J55+201</f>
        <v>563</v>
      </c>
      <c r="K56" s="14">
        <f>K55+151</f>
        <v>777</v>
      </c>
      <c r="L56" s="14">
        <v>153079</v>
      </c>
      <c r="N56" s="17"/>
    </row>
    <row r="57" spans="1:21" x14ac:dyDescent="0.25">
      <c r="A57" s="16"/>
      <c r="B57" s="14" t="s">
        <v>24</v>
      </c>
      <c r="C57" s="14">
        <v>14289</v>
      </c>
      <c r="D57" s="14">
        <v>11179</v>
      </c>
      <c r="E57" s="14">
        <v>166297</v>
      </c>
      <c r="F57" s="14">
        <v>2967</v>
      </c>
      <c r="G57" s="14">
        <v>197</v>
      </c>
      <c r="H57" s="14">
        <v>1379</v>
      </c>
      <c r="I57" s="14">
        <v>177</v>
      </c>
      <c r="J57" s="14">
        <v>669</v>
      </c>
      <c r="K57" s="14">
        <v>821</v>
      </c>
      <c r="L57" s="14">
        <v>197975</v>
      </c>
      <c r="N57" s="17"/>
    </row>
    <row r="58" spans="1:21" x14ac:dyDescent="0.25">
      <c r="A58" s="16"/>
      <c r="B58" s="19" t="s">
        <v>25</v>
      </c>
      <c r="C58" s="10">
        <v>15683</v>
      </c>
      <c r="D58" s="10">
        <v>13558</v>
      </c>
      <c r="E58" s="10">
        <v>199459</v>
      </c>
      <c r="F58" s="10">
        <v>3299</v>
      </c>
      <c r="G58" s="10">
        <v>237</v>
      </c>
      <c r="H58" s="10">
        <v>1386</v>
      </c>
      <c r="I58" s="10">
        <v>224</v>
      </c>
      <c r="J58" s="10">
        <v>824</v>
      </c>
      <c r="K58" s="10">
        <v>928</v>
      </c>
      <c r="L58" s="10">
        <v>235598</v>
      </c>
    </row>
    <row r="59" spans="1:21" x14ac:dyDescent="0.25">
      <c r="A59" s="16"/>
      <c r="B59" s="14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21" x14ac:dyDescent="0.25">
      <c r="A60" s="15" t="s">
        <v>31</v>
      </c>
      <c r="B60" s="14">
        <v>2010</v>
      </c>
      <c r="C60" s="14">
        <v>13759</v>
      </c>
      <c r="D60" s="14">
        <v>11917</v>
      </c>
      <c r="E60" s="14">
        <v>154171</v>
      </c>
      <c r="F60" s="14">
        <v>502</v>
      </c>
      <c r="G60" s="14">
        <v>79</v>
      </c>
      <c r="H60" s="14">
        <v>1378</v>
      </c>
      <c r="I60" s="14">
        <v>499</v>
      </c>
      <c r="J60" s="14">
        <v>3564</v>
      </c>
      <c r="K60" s="14">
        <v>1458</v>
      </c>
      <c r="L60" s="14">
        <v>187327</v>
      </c>
    </row>
    <row r="61" spans="1:21" x14ac:dyDescent="0.25">
      <c r="A61" s="24"/>
      <c r="B61" s="18">
        <v>2011</v>
      </c>
      <c r="C61" s="18">
        <v>15462</v>
      </c>
      <c r="D61" s="18">
        <v>14334</v>
      </c>
      <c r="E61" s="18">
        <v>185216</v>
      </c>
      <c r="F61" s="18">
        <v>583</v>
      </c>
      <c r="G61" s="18">
        <v>83</v>
      </c>
      <c r="H61" s="18">
        <v>1479</v>
      </c>
      <c r="I61" s="18">
        <v>605</v>
      </c>
      <c r="J61" s="18">
        <v>4171</v>
      </c>
      <c r="K61" s="18">
        <v>1522</v>
      </c>
      <c r="L61" s="18">
        <v>223455</v>
      </c>
    </row>
    <row r="62" spans="1:21" x14ac:dyDescent="0.25">
      <c r="A62" s="25"/>
      <c r="B62" s="18">
        <v>2012</v>
      </c>
      <c r="C62" s="19">
        <f>C61+1964</f>
        <v>17426</v>
      </c>
      <c r="D62" s="19">
        <f>D61+2719</f>
        <v>17053</v>
      </c>
      <c r="E62" s="19">
        <f>E61+33874</f>
        <v>219090</v>
      </c>
      <c r="F62" s="19">
        <f>F61+122</f>
        <v>705</v>
      </c>
      <c r="G62" s="19">
        <f>G61+2</f>
        <v>85</v>
      </c>
      <c r="H62" s="19">
        <f>H61+50</f>
        <v>1529</v>
      </c>
      <c r="I62" s="19">
        <f>I61+56</f>
        <v>661</v>
      </c>
      <c r="J62" s="19">
        <f>J61+779</f>
        <v>4950</v>
      </c>
      <c r="K62" s="19">
        <f>K61+112</f>
        <v>1634</v>
      </c>
      <c r="L62" s="19">
        <v>263133</v>
      </c>
    </row>
    <row r="63" spans="1:21" x14ac:dyDescent="0.25">
      <c r="A63" s="26"/>
      <c r="B63" s="27" t="s">
        <v>32</v>
      </c>
      <c r="C63" s="28">
        <f>C62+2217</f>
        <v>19643</v>
      </c>
      <c r="D63" s="29">
        <f>D62+2975</f>
        <v>20028</v>
      </c>
      <c r="E63" s="29">
        <f>E62+41323</f>
        <v>260413</v>
      </c>
      <c r="F63" s="29">
        <f>F62+165</f>
        <v>870</v>
      </c>
      <c r="G63" s="29">
        <f>G62+5</f>
        <v>90</v>
      </c>
      <c r="H63" s="29">
        <f>H62+56</f>
        <v>1585</v>
      </c>
      <c r="I63" s="29">
        <f>I62+63</f>
        <v>724</v>
      </c>
      <c r="J63" s="29">
        <f>J62+1008</f>
        <v>5958</v>
      </c>
      <c r="K63" s="29">
        <f>K62+165</f>
        <v>1799</v>
      </c>
      <c r="L63" s="29">
        <v>311110</v>
      </c>
    </row>
    <row r="64" spans="1:21" x14ac:dyDescent="0.25">
      <c r="A64" s="26"/>
      <c r="B64" s="18" t="s">
        <v>24</v>
      </c>
      <c r="C64" s="30">
        <v>21901</v>
      </c>
      <c r="D64" s="19">
        <v>23015</v>
      </c>
      <c r="E64" s="19">
        <v>302682</v>
      </c>
      <c r="F64" s="19">
        <v>2010</v>
      </c>
      <c r="G64" s="19">
        <v>95</v>
      </c>
      <c r="H64" s="19">
        <v>1656</v>
      </c>
      <c r="I64" s="19">
        <v>865</v>
      </c>
      <c r="J64" s="19">
        <v>6879</v>
      </c>
      <c r="K64" s="19">
        <v>2403</v>
      </c>
      <c r="L64" s="19">
        <v>361506</v>
      </c>
      <c r="M64" s="31"/>
      <c r="N64" s="31"/>
      <c r="O64" s="31"/>
      <c r="P64" s="31"/>
      <c r="Q64" s="31"/>
      <c r="R64" s="31"/>
      <c r="S64" s="31"/>
      <c r="T64" s="31"/>
      <c r="U64" s="31"/>
    </row>
    <row r="65" spans="1:13" x14ac:dyDescent="0.25">
      <c r="A65" s="32"/>
      <c r="B65" s="33" t="s">
        <v>25</v>
      </c>
      <c r="C65" s="34">
        <v>24051</v>
      </c>
      <c r="D65" s="34">
        <v>26638</v>
      </c>
      <c r="E65" s="34">
        <v>352889</v>
      </c>
      <c r="F65" s="34">
        <v>2174</v>
      </c>
      <c r="G65" s="34">
        <v>192</v>
      </c>
      <c r="H65" s="34">
        <v>1657</v>
      </c>
      <c r="I65" s="34">
        <v>1114</v>
      </c>
      <c r="J65" s="34">
        <v>8167</v>
      </c>
      <c r="K65" s="34">
        <v>2539</v>
      </c>
      <c r="L65" s="34">
        <v>419421</v>
      </c>
    </row>
    <row r="66" spans="1:13" x14ac:dyDescent="0.25">
      <c r="A66" s="35"/>
    </row>
    <row r="68" spans="1:13" x14ac:dyDescent="0.25">
      <c r="A68" s="35"/>
    </row>
    <row r="69" spans="1:13" x14ac:dyDescent="0.25">
      <c r="A69" s="35"/>
    </row>
    <row r="71" spans="1:13" x14ac:dyDescent="0.25">
      <c r="A71" s="35"/>
    </row>
    <row r="72" spans="1:13" x14ac:dyDescent="0.25">
      <c r="A72" s="36"/>
    </row>
    <row r="74" spans="1:13" x14ac:dyDescent="0.25">
      <c r="A74" s="36"/>
    </row>
    <row r="75" spans="1:13" x14ac:dyDescent="0.25">
      <c r="A75" s="36"/>
    </row>
    <row r="77" spans="1:13" x14ac:dyDescent="0.25">
      <c r="A77" s="37"/>
    </row>
    <row r="78" spans="1:13" ht="16.5" x14ac:dyDescent="0.3">
      <c r="A78" s="38" t="s">
        <v>33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15"/>
    </row>
    <row r="79" spans="1:13" ht="16.5" x14ac:dyDescent="0.3">
      <c r="A79" s="2" t="s">
        <v>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15"/>
    </row>
    <row r="80" spans="1:13" ht="15.75" x14ac:dyDescent="0.25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 t="s">
        <v>34</v>
      </c>
      <c r="M80" s="15"/>
    </row>
    <row r="81" spans="1:14" x14ac:dyDescent="0.25">
      <c r="A81" s="42" t="s">
        <v>3</v>
      </c>
      <c r="B81" s="43" t="s">
        <v>4</v>
      </c>
      <c r="C81" s="43" t="s">
        <v>5</v>
      </c>
      <c r="D81" s="43" t="s">
        <v>6</v>
      </c>
      <c r="E81" s="43" t="s">
        <v>7</v>
      </c>
      <c r="F81" s="43" t="s">
        <v>8</v>
      </c>
      <c r="G81" s="43" t="s">
        <v>9</v>
      </c>
      <c r="H81" s="43" t="s">
        <v>10</v>
      </c>
      <c r="I81" s="43" t="s">
        <v>11</v>
      </c>
      <c r="J81" s="43" t="s">
        <v>12</v>
      </c>
      <c r="K81" s="43" t="s">
        <v>13</v>
      </c>
      <c r="L81" s="43" t="s">
        <v>14</v>
      </c>
    </row>
    <row r="82" spans="1:14" x14ac:dyDescent="0.25">
      <c r="A82" s="44"/>
      <c r="B82" s="10"/>
      <c r="C82" s="8" t="s">
        <v>15</v>
      </c>
      <c r="D82" s="8" t="s">
        <v>16</v>
      </c>
      <c r="E82" s="8" t="s">
        <v>17</v>
      </c>
      <c r="F82" s="8" t="s">
        <v>18</v>
      </c>
      <c r="G82" s="10"/>
      <c r="H82" s="8" t="s">
        <v>19</v>
      </c>
      <c r="I82" s="8" t="s">
        <v>20</v>
      </c>
      <c r="J82" s="8" t="s">
        <v>21</v>
      </c>
      <c r="K82" s="10"/>
      <c r="L82" s="10"/>
    </row>
    <row r="83" spans="1:14" x14ac:dyDescent="0.25">
      <c r="A83" s="45"/>
      <c r="B83" s="10"/>
      <c r="C83" s="10"/>
      <c r="D83" s="10"/>
      <c r="E83" s="10"/>
      <c r="F83" s="8" t="s">
        <v>22</v>
      </c>
      <c r="G83" s="10"/>
      <c r="H83" s="10"/>
      <c r="I83" s="10"/>
      <c r="J83" s="10"/>
      <c r="K83" s="10"/>
      <c r="L83" s="10"/>
    </row>
    <row r="84" spans="1:14" x14ac:dyDescent="0.25">
      <c r="A84" s="46">
        <v>-1</v>
      </c>
      <c r="B84" s="12">
        <v>-2</v>
      </c>
      <c r="C84" s="12">
        <v>-3</v>
      </c>
      <c r="D84" s="12">
        <v>-4</v>
      </c>
      <c r="E84" s="12">
        <v>-5</v>
      </c>
      <c r="F84" s="12">
        <v>-6</v>
      </c>
      <c r="G84" s="12">
        <v>-7</v>
      </c>
      <c r="H84" s="12">
        <v>-8</v>
      </c>
      <c r="I84" s="12">
        <v>-9</v>
      </c>
      <c r="J84" s="12">
        <v>-10</v>
      </c>
      <c r="K84" s="12">
        <v>-11</v>
      </c>
      <c r="L84" s="12">
        <v>-12</v>
      </c>
    </row>
    <row r="85" spans="1:14" x14ac:dyDescent="0.25">
      <c r="A85" s="47" t="s">
        <v>35</v>
      </c>
      <c r="B85" s="48">
        <v>2007</v>
      </c>
      <c r="C85" s="14">
        <v>22279</v>
      </c>
      <c r="D85" s="14">
        <v>15613</v>
      </c>
      <c r="E85" s="14">
        <v>149298</v>
      </c>
      <c r="F85" s="14">
        <v>1806</v>
      </c>
      <c r="G85" s="14">
        <v>1449</v>
      </c>
      <c r="H85" s="14">
        <v>2757</v>
      </c>
      <c r="I85" s="14">
        <v>1026</v>
      </c>
      <c r="J85" s="14">
        <v>84</v>
      </c>
      <c r="K85" s="14">
        <v>300</v>
      </c>
      <c r="L85" s="14">
        <v>194612</v>
      </c>
    </row>
    <row r="86" spans="1:14" x14ac:dyDescent="0.25">
      <c r="A86" s="47"/>
      <c r="B86" s="48">
        <v>2008</v>
      </c>
      <c r="C86" s="14">
        <v>23873</v>
      </c>
      <c r="D86" s="14">
        <v>16974</v>
      </c>
      <c r="E86" s="14">
        <v>169021</v>
      </c>
      <c r="F86" s="14">
        <v>1964</v>
      </c>
      <c r="G86" s="14">
        <v>1614</v>
      </c>
      <c r="H86" s="14">
        <v>2791</v>
      </c>
      <c r="I86" s="14">
        <v>1027</v>
      </c>
      <c r="J86" s="14">
        <v>87</v>
      </c>
      <c r="K86" s="14">
        <v>317</v>
      </c>
      <c r="L86" s="14">
        <v>217668</v>
      </c>
    </row>
    <row r="87" spans="1:14" x14ac:dyDescent="0.25">
      <c r="A87" s="47"/>
      <c r="B87" s="48">
        <v>2009</v>
      </c>
      <c r="C87" s="14">
        <v>14436</v>
      </c>
      <c r="D87" s="14">
        <v>18971</v>
      </c>
      <c r="E87" s="14">
        <v>186634</v>
      </c>
      <c r="F87" s="14">
        <v>802</v>
      </c>
      <c r="G87" s="14">
        <v>539</v>
      </c>
      <c r="H87" s="14">
        <v>1828</v>
      </c>
      <c r="I87" s="14">
        <v>631</v>
      </c>
      <c r="J87" s="14">
        <v>71</v>
      </c>
      <c r="K87" s="14">
        <v>403</v>
      </c>
      <c r="L87" s="14">
        <v>224315</v>
      </c>
    </row>
    <row r="88" spans="1:14" x14ac:dyDescent="0.25">
      <c r="A88" s="47"/>
      <c r="B88" s="48" t="s">
        <v>36</v>
      </c>
      <c r="C88" s="14">
        <v>6969</v>
      </c>
      <c r="D88" s="14">
        <v>6910</v>
      </c>
      <c r="E88" s="14">
        <v>188237</v>
      </c>
      <c r="F88" s="14">
        <v>625</v>
      </c>
      <c r="G88" s="14">
        <v>643</v>
      </c>
      <c r="H88" s="14">
        <v>1004</v>
      </c>
      <c r="I88" s="14">
        <v>485</v>
      </c>
      <c r="J88" s="14">
        <v>9</v>
      </c>
      <c r="K88" s="14">
        <v>403</v>
      </c>
      <c r="L88" s="14">
        <v>205285</v>
      </c>
    </row>
    <row r="89" spans="1:14" x14ac:dyDescent="0.25">
      <c r="A89" s="47"/>
      <c r="B89" s="48" t="s">
        <v>37</v>
      </c>
      <c r="C89" s="14">
        <v>8117</v>
      </c>
      <c r="D89" s="14">
        <v>8063</v>
      </c>
      <c r="E89" s="14">
        <v>215899</v>
      </c>
      <c r="F89" s="14">
        <v>636</v>
      </c>
      <c r="G89" s="14">
        <v>674</v>
      </c>
      <c r="H89" s="14">
        <v>1137</v>
      </c>
      <c r="I89" s="14">
        <v>755</v>
      </c>
      <c r="J89" s="14">
        <v>9</v>
      </c>
      <c r="K89" s="14">
        <v>403</v>
      </c>
      <c r="L89" s="14">
        <v>235693</v>
      </c>
      <c r="N89" s="17"/>
    </row>
    <row r="90" spans="1:14" x14ac:dyDescent="0.25">
      <c r="A90" s="47"/>
      <c r="B90" s="48">
        <v>2012</v>
      </c>
      <c r="C90" s="14">
        <f>C89+1867</f>
        <v>9984</v>
      </c>
      <c r="D90" s="14">
        <f>D89+2476</f>
        <v>10539</v>
      </c>
      <c r="E90" s="14">
        <f>E89+28488</f>
        <v>244387</v>
      </c>
      <c r="F90" s="14">
        <f>F89+66</f>
        <v>702</v>
      </c>
      <c r="G90" s="14">
        <f>G89+28</f>
        <v>702</v>
      </c>
      <c r="H90" s="14">
        <f>H89+38</f>
        <v>1175</v>
      </c>
      <c r="I90" s="14">
        <f>I89+49</f>
        <v>804</v>
      </c>
      <c r="J90" s="14">
        <f>J89+0</f>
        <v>9</v>
      </c>
      <c r="K90" s="14">
        <v>295</v>
      </c>
      <c r="L90" s="14">
        <f>SUM(C90:K90)</f>
        <v>268597</v>
      </c>
    </row>
    <row r="91" spans="1:14" x14ac:dyDescent="0.25">
      <c r="A91" s="47"/>
      <c r="B91" s="48">
        <v>2013</v>
      </c>
      <c r="C91" s="14">
        <f>C90+2957</f>
        <v>12941</v>
      </c>
      <c r="D91" s="14">
        <f>D90+4127</f>
        <v>14666</v>
      </c>
      <c r="E91" s="14">
        <f>E90+30774</f>
        <v>275161</v>
      </c>
      <c r="F91" s="14">
        <f>F90+141</f>
        <v>843</v>
      </c>
      <c r="G91" s="14">
        <f>G90+35</f>
        <v>737</v>
      </c>
      <c r="H91" s="14">
        <f>H90+71</f>
        <v>1246</v>
      </c>
      <c r="I91" s="14">
        <f>I90+2</f>
        <v>806</v>
      </c>
      <c r="J91" s="14">
        <f>J90+7</f>
        <v>16</v>
      </c>
      <c r="K91" s="14">
        <f>K90+225</f>
        <v>520</v>
      </c>
      <c r="L91" s="14">
        <f>SUM(C91:K91)</f>
        <v>306936</v>
      </c>
    </row>
    <row r="92" spans="1:14" x14ac:dyDescent="0.25">
      <c r="A92" s="47"/>
      <c r="B92" s="14" t="s">
        <v>24</v>
      </c>
      <c r="C92" s="14">
        <v>15794</v>
      </c>
      <c r="D92" s="14">
        <v>18460</v>
      </c>
      <c r="E92" s="14">
        <v>304569</v>
      </c>
      <c r="F92" s="14">
        <v>1192</v>
      </c>
      <c r="G92" s="14">
        <v>764</v>
      </c>
      <c r="H92" s="14">
        <v>1483</v>
      </c>
      <c r="I92" s="14">
        <v>814</v>
      </c>
      <c r="J92" s="14">
        <v>35</v>
      </c>
      <c r="K92" s="14">
        <v>275</v>
      </c>
      <c r="L92" s="14">
        <f>SUM(C92:K92)</f>
        <v>343386</v>
      </c>
    </row>
    <row r="93" spans="1:14" x14ac:dyDescent="0.25">
      <c r="A93" s="47"/>
      <c r="B93" s="19" t="s">
        <v>25</v>
      </c>
      <c r="C93" s="14">
        <v>17380</v>
      </c>
      <c r="D93" s="14">
        <v>21454</v>
      </c>
      <c r="E93" s="14">
        <v>326247</v>
      </c>
      <c r="F93" s="14">
        <v>1525</v>
      </c>
      <c r="G93" s="14">
        <v>959</v>
      </c>
      <c r="H93" s="14">
        <v>1488</v>
      </c>
      <c r="I93" s="14">
        <v>816</v>
      </c>
      <c r="J93" s="14">
        <v>43</v>
      </c>
      <c r="K93" s="14">
        <v>323</v>
      </c>
      <c r="L93" s="14">
        <v>370235</v>
      </c>
    </row>
    <row r="94" spans="1:14" x14ac:dyDescent="0.25">
      <c r="A94" s="47"/>
      <c r="B94" s="14"/>
      <c r="C94" s="14"/>
      <c r="D94" s="14"/>
      <c r="E94" s="14"/>
      <c r="F94" s="14"/>
      <c r="G94" s="14"/>
      <c r="H94" s="14"/>
      <c r="I94" s="14"/>
      <c r="J94" s="14"/>
      <c r="K94" s="8"/>
      <c r="L94" s="14"/>
    </row>
    <row r="95" spans="1:14" x14ac:dyDescent="0.25">
      <c r="A95" s="47" t="s">
        <v>38</v>
      </c>
      <c r="B95" s="14">
        <v>2007</v>
      </c>
      <c r="C95" s="14">
        <v>16034</v>
      </c>
      <c r="D95" s="14">
        <v>8933</v>
      </c>
      <c r="E95" s="14">
        <v>74452</v>
      </c>
      <c r="F95" s="14">
        <v>1520</v>
      </c>
      <c r="G95" s="14">
        <v>303</v>
      </c>
      <c r="H95" s="14">
        <v>1562</v>
      </c>
      <c r="I95" s="14">
        <v>1812</v>
      </c>
      <c r="J95" s="14">
        <v>1195</v>
      </c>
      <c r="K95" s="14">
        <v>282</v>
      </c>
      <c r="L95" s="14">
        <v>106093</v>
      </c>
    </row>
    <row r="96" spans="1:14" x14ac:dyDescent="0.25">
      <c r="A96" s="47"/>
      <c r="B96" s="14">
        <v>2008</v>
      </c>
      <c r="C96" s="14">
        <v>16729</v>
      </c>
      <c r="D96" s="14">
        <v>9795</v>
      </c>
      <c r="E96" s="14">
        <v>87457</v>
      </c>
      <c r="F96" s="14">
        <v>1614</v>
      </c>
      <c r="G96" s="14">
        <v>327</v>
      </c>
      <c r="H96" s="14">
        <v>1732</v>
      </c>
      <c r="I96" s="14">
        <v>1924</v>
      </c>
      <c r="J96" s="14">
        <v>1286</v>
      </c>
      <c r="K96" s="14">
        <v>308</v>
      </c>
      <c r="L96" s="14">
        <v>121172</v>
      </c>
    </row>
    <row r="97" spans="1:14" x14ac:dyDescent="0.25">
      <c r="A97" s="47"/>
      <c r="B97" s="14">
        <v>2009</v>
      </c>
      <c r="C97" s="14">
        <v>17525</v>
      </c>
      <c r="D97" s="14">
        <v>12156</v>
      </c>
      <c r="E97" s="14">
        <v>112284</v>
      </c>
      <c r="F97" s="14">
        <v>1229</v>
      </c>
      <c r="G97" s="14">
        <v>377</v>
      </c>
      <c r="H97" s="14">
        <v>2370</v>
      </c>
      <c r="I97" s="14">
        <v>1924</v>
      </c>
      <c r="J97" s="14">
        <v>1428</v>
      </c>
      <c r="K97" s="14">
        <v>330</v>
      </c>
      <c r="L97" s="14">
        <v>149623</v>
      </c>
    </row>
    <row r="98" spans="1:14" x14ac:dyDescent="0.25">
      <c r="A98" s="47"/>
      <c r="B98" s="14">
        <v>2010</v>
      </c>
      <c r="C98" s="14">
        <v>18482</v>
      </c>
      <c r="D98" s="14">
        <v>13749</v>
      </c>
      <c r="E98" s="14">
        <v>137608</v>
      </c>
      <c r="F98" s="14">
        <v>1336</v>
      </c>
      <c r="G98" s="14">
        <v>392</v>
      </c>
      <c r="H98" s="14">
        <v>2513</v>
      </c>
      <c r="I98" s="14">
        <v>1976</v>
      </c>
      <c r="J98" s="14">
        <v>1611</v>
      </c>
      <c r="K98" s="14">
        <v>407</v>
      </c>
      <c r="L98" s="14">
        <v>178074</v>
      </c>
    </row>
    <row r="99" spans="1:14" x14ac:dyDescent="0.25">
      <c r="A99" s="47"/>
      <c r="B99" s="14">
        <v>2011</v>
      </c>
      <c r="C99" s="14">
        <v>20316</v>
      </c>
      <c r="D99" s="14">
        <v>16138</v>
      </c>
      <c r="E99" s="14">
        <v>169778</v>
      </c>
      <c r="F99" s="14">
        <v>1371</v>
      </c>
      <c r="G99" s="14">
        <v>411</v>
      </c>
      <c r="H99" s="14">
        <v>2618</v>
      </c>
      <c r="I99" s="14">
        <v>2799</v>
      </c>
      <c r="J99" s="14">
        <v>1993</v>
      </c>
      <c r="K99" s="14">
        <v>511</v>
      </c>
      <c r="L99" s="14">
        <v>215935</v>
      </c>
    </row>
    <row r="100" spans="1:14" x14ac:dyDescent="0.25">
      <c r="A100" s="47"/>
      <c r="B100" s="14">
        <v>2012</v>
      </c>
      <c r="C100" s="14">
        <f>C99+1464</f>
        <v>21780</v>
      </c>
      <c r="D100" s="14">
        <f>D99+2371</f>
        <v>18509</v>
      </c>
      <c r="E100" s="14">
        <f>E99+32447</f>
        <v>202225</v>
      </c>
      <c r="F100" s="14">
        <f>F99+46</f>
        <v>1417</v>
      </c>
      <c r="G100" s="14">
        <f>G99+0</f>
        <v>411</v>
      </c>
      <c r="H100" s="14">
        <f>H99+32</f>
        <v>2650</v>
      </c>
      <c r="I100" s="14">
        <f>I99+736</f>
        <v>3535</v>
      </c>
      <c r="J100" s="14">
        <f>J99+355</f>
        <v>2348</v>
      </c>
      <c r="K100" s="14">
        <f>K99+92</f>
        <v>603</v>
      </c>
      <c r="L100" s="14">
        <f>SUM(C100:K100)</f>
        <v>253478</v>
      </c>
      <c r="N100" s="17"/>
    </row>
    <row r="101" spans="1:14" x14ac:dyDescent="0.25">
      <c r="A101" s="47"/>
      <c r="B101" s="14">
        <v>2013</v>
      </c>
      <c r="C101" s="14">
        <f>C100+1944</f>
        <v>23724</v>
      </c>
      <c r="D101" s="14">
        <f>D100+3841</f>
        <v>22350</v>
      </c>
      <c r="E101" s="14">
        <f>E100+37238</f>
        <v>239463</v>
      </c>
      <c r="F101" s="14">
        <f>F100+212</f>
        <v>1629</v>
      </c>
      <c r="G101" s="14">
        <f>G100+2</f>
        <v>413</v>
      </c>
      <c r="H101" s="14">
        <f>H100+44</f>
        <v>2694</v>
      </c>
      <c r="I101" s="14">
        <f>I100+262</f>
        <v>3797</v>
      </c>
      <c r="J101" s="14">
        <f>J100+690</f>
        <v>3038</v>
      </c>
      <c r="K101" s="14">
        <f>K100+137</f>
        <v>740</v>
      </c>
      <c r="L101" s="14">
        <f>SUM(C101:K101)</f>
        <v>297848</v>
      </c>
    </row>
    <row r="102" spans="1:14" x14ac:dyDescent="0.25">
      <c r="A102" s="47"/>
      <c r="B102" s="14" t="s">
        <v>24</v>
      </c>
      <c r="C102" s="14">
        <v>20715</v>
      </c>
      <c r="D102" s="14">
        <v>20444</v>
      </c>
      <c r="E102" s="14">
        <v>262552</v>
      </c>
      <c r="F102" s="14">
        <v>1829</v>
      </c>
      <c r="G102" s="14">
        <v>346</v>
      </c>
      <c r="H102" s="14">
        <v>2222</v>
      </c>
      <c r="I102" s="14">
        <v>3500</v>
      </c>
      <c r="J102" s="14">
        <v>3669</v>
      </c>
      <c r="K102" s="14">
        <v>8144</v>
      </c>
      <c r="L102" s="14">
        <f>SUM(C102:K102)</f>
        <v>323421</v>
      </c>
    </row>
    <row r="103" spans="1:14" x14ac:dyDescent="0.25">
      <c r="A103" s="47"/>
      <c r="B103" s="19" t="s">
        <v>25</v>
      </c>
      <c r="C103" s="14">
        <v>22332</v>
      </c>
      <c r="D103" s="14">
        <v>24326</v>
      </c>
      <c r="E103" s="14">
        <v>291661</v>
      </c>
      <c r="F103" s="14">
        <v>2385</v>
      </c>
      <c r="G103" s="14">
        <v>392</v>
      </c>
      <c r="H103" s="14">
        <v>2225</v>
      </c>
      <c r="I103" s="14">
        <v>4053</v>
      </c>
      <c r="J103" s="14">
        <v>4406</v>
      </c>
      <c r="K103" s="14">
        <v>8218</v>
      </c>
      <c r="L103" s="14">
        <v>359998</v>
      </c>
    </row>
    <row r="104" spans="1:14" x14ac:dyDescent="0.25">
      <c r="A104" s="47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4" x14ac:dyDescent="0.25">
      <c r="A105" s="47" t="s">
        <v>39</v>
      </c>
      <c r="B105" s="14">
        <v>2007</v>
      </c>
      <c r="C105" s="14">
        <v>42288</v>
      </c>
      <c r="D105" s="14">
        <v>35368</v>
      </c>
      <c r="E105" s="14">
        <v>128362</v>
      </c>
      <c r="F105" s="14">
        <v>5161</v>
      </c>
      <c r="G105" s="14">
        <v>426</v>
      </c>
      <c r="H105" s="14">
        <v>7233</v>
      </c>
      <c r="I105" s="14">
        <v>6250</v>
      </c>
      <c r="J105" s="14">
        <v>560</v>
      </c>
      <c r="K105" s="14">
        <v>540</v>
      </c>
      <c r="L105" s="14">
        <v>226188</v>
      </c>
    </row>
    <row r="106" spans="1:14" x14ac:dyDescent="0.25">
      <c r="A106" s="47" t="s">
        <v>40</v>
      </c>
      <c r="B106" s="14">
        <v>2008</v>
      </c>
      <c r="C106" s="14">
        <v>58884</v>
      </c>
      <c r="D106" s="14">
        <v>63988</v>
      </c>
      <c r="E106" s="14">
        <v>242605</v>
      </c>
      <c r="F106" s="14">
        <v>4112</v>
      </c>
      <c r="G106" s="14">
        <v>374</v>
      </c>
      <c r="H106" s="14">
        <v>4920</v>
      </c>
      <c r="I106" s="14">
        <v>7128</v>
      </c>
      <c r="J106" s="14">
        <v>706</v>
      </c>
      <c r="K106" s="14">
        <v>1219</v>
      </c>
      <c r="L106" s="14">
        <v>383936</v>
      </c>
    </row>
    <row r="107" spans="1:14" x14ac:dyDescent="0.25">
      <c r="A107" s="47"/>
      <c r="B107" s="14">
        <v>2009</v>
      </c>
      <c r="C107" s="14">
        <v>62183</v>
      </c>
      <c r="D107" s="14">
        <v>68581</v>
      </c>
      <c r="E107" s="14">
        <v>265208</v>
      </c>
      <c r="F107" s="14">
        <v>4216</v>
      </c>
      <c r="G107" s="14">
        <v>375</v>
      </c>
      <c r="H107" s="14">
        <v>5579</v>
      </c>
      <c r="I107" s="14">
        <v>7468</v>
      </c>
      <c r="J107" s="14">
        <v>754</v>
      </c>
      <c r="K107" s="14">
        <v>1297</v>
      </c>
      <c r="L107" s="14">
        <v>415661</v>
      </c>
    </row>
    <row r="108" spans="1:14" x14ac:dyDescent="0.25">
      <c r="A108" s="47"/>
      <c r="B108" s="14">
        <v>2010</v>
      </c>
      <c r="C108" s="14">
        <v>66989</v>
      </c>
      <c r="D108" s="14">
        <v>89350</v>
      </c>
      <c r="E108" s="14">
        <v>298062</v>
      </c>
      <c r="F108" s="14">
        <v>4341</v>
      </c>
      <c r="G108" s="14">
        <v>416</v>
      </c>
      <c r="H108" s="14">
        <v>6251</v>
      </c>
      <c r="I108" s="14">
        <v>11344</v>
      </c>
      <c r="J108" s="14">
        <v>787</v>
      </c>
      <c r="K108" s="14">
        <v>1685</v>
      </c>
      <c r="L108" s="14">
        <v>479225</v>
      </c>
    </row>
    <row r="109" spans="1:14" x14ac:dyDescent="0.25">
      <c r="A109" s="47"/>
      <c r="B109" s="14">
        <v>2011</v>
      </c>
      <c r="C109" s="14">
        <v>73104</v>
      </c>
      <c r="D109" s="14">
        <v>99131</v>
      </c>
      <c r="E109" s="14">
        <v>343057</v>
      </c>
      <c r="F109" s="14">
        <v>4177</v>
      </c>
      <c r="G109" s="14">
        <v>430</v>
      </c>
      <c r="H109" s="14">
        <v>6726</v>
      </c>
      <c r="I109" s="14">
        <v>13908</v>
      </c>
      <c r="J109" s="14">
        <v>841</v>
      </c>
      <c r="K109" s="14">
        <v>2148</v>
      </c>
      <c r="L109" s="14">
        <v>543522</v>
      </c>
    </row>
    <row r="110" spans="1:14" x14ac:dyDescent="0.25">
      <c r="A110" s="47"/>
      <c r="B110" s="14">
        <v>2012</v>
      </c>
      <c r="C110" s="14">
        <f>C109+5406</f>
        <v>78510</v>
      </c>
      <c r="D110" s="14">
        <f>D109+10006</f>
        <v>109137</v>
      </c>
      <c r="E110" s="14">
        <f>E109+46776</f>
        <v>389833</v>
      </c>
      <c r="F110" s="14">
        <f>F109+756</f>
        <v>4933</v>
      </c>
      <c r="G110" s="14">
        <f>G109+3</f>
        <v>433</v>
      </c>
      <c r="H110" s="14">
        <f>H109+295</f>
        <v>7021</v>
      </c>
      <c r="I110" s="14">
        <f>I109+874</f>
        <v>14782</v>
      </c>
      <c r="J110" s="14">
        <f>J109+56</f>
        <v>897</v>
      </c>
      <c r="K110" s="14">
        <f>K109+375</f>
        <v>2523</v>
      </c>
      <c r="L110" s="14">
        <f>SUM(C110:K110)</f>
        <v>608069</v>
      </c>
    </row>
    <row r="111" spans="1:14" x14ac:dyDescent="0.25">
      <c r="A111" s="47"/>
      <c r="B111" s="14">
        <v>2013</v>
      </c>
      <c r="C111" s="14">
        <f>C110+5543</f>
        <v>84053</v>
      </c>
      <c r="D111" s="14">
        <f>D110+9964</f>
        <v>119101</v>
      </c>
      <c r="E111" s="14">
        <f>E110+54503</f>
        <v>444336</v>
      </c>
      <c r="F111" s="14">
        <f>F110+731</f>
        <v>5664</v>
      </c>
      <c r="G111" s="14">
        <f>G110+0</f>
        <v>433</v>
      </c>
      <c r="H111" s="14">
        <f>H110+204</f>
        <v>7225</v>
      </c>
      <c r="I111" s="14">
        <f>I110+3</f>
        <v>14785</v>
      </c>
      <c r="J111" s="14">
        <f>J110+186</f>
        <v>1083</v>
      </c>
      <c r="K111" s="14">
        <f>K110+223</f>
        <v>2746</v>
      </c>
      <c r="L111" s="14">
        <f>SUM(C111:K111)</f>
        <v>679426</v>
      </c>
      <c r="N111" s="17"/>
    </row>
    <row r="112" spans="1:14" x14ac:dyDescent="0.25">
      <c r="A112" s="47"/>
      <c r="B112" s="14" t="s">
        <v>24</v>
      </c>
      <c r="C112" s="14">
        <v>82278</v>
      </c>
      <c r="D112" s="14">
        <v>105134</v>
      </c>
      <c r="E112" s="14">
        <v>460379</v>
      </c>
      <c r="F112" s="14">
        <v>7419</v>
      </c>
      <c r="G112" s="14">
        <v>415</v>
      </c>
      <c r="H112" s="14">
        <v>6450</v>
      </c>
      <c r="I112" s="14">
        <v>12412</v>
      </c>
      <c r="J112" s="14">
        <v>1183</v>
      </c>
      <c r="K112" s="14">
        <v>1951</v>
      </c>
      <c r="L112" s="14">
        <f>SUM(C112:K112)</f>
        <v>677621</v>
      </c>
      <c r="N112" s="17"/>
    </row>
    <row r="113" spans="1:14" x14ac:dyDescent="0.25">
      <c r="A113" s="47"/>
      <c r="B113" s="19" t="s">
        <v>25</v>
      </c>
      <c r="C113" s="14">
        <v>86840</v>
      </c>
      <c r="D113" s="14">
        <v>115328</v>
      </c>
      <c r="E113" s="14">
        <v>525550</v>
      </c>
      <c r="F113" s="14">
        <v>8665</v>
      </c>
      <c r="G113" s="14">
        <v>850</v>
      </c>
      <c r="H113" s="14">
        <v>6452</v>
      </c>
      <c r="I113" s="14">
        <v>12591</v>
      </c>
      <c r="J113" s="14">
        <v>1419</v>
      </c>
      <c r="K113" s="14">
        <v>2093</v>
      </c>
      <c r="L113" s="14">
        <v>759788</v>
      </c>
      <c r="N113" s="17"/>
    </row>
    <row r="114" spans="1:14" x14ac:dyDescent="0.25">
      <c r="A114" s="47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4" x14ac:dyDescent="0.25">
      <c r="A115" s="47" t="s">
        <v>41</v>
      </c>
      <c r="B115" s="14">
        <v>2007</v>
      </c>
      <c r="C115" s="14">
        <v>13415</v>
      </c>
      <c r="D115" s="14">
        <v>37189</v>
      </c>
      <c r="E115" s="14">
        <v>117867</v>
      </c>
      <c r="F115" s="14">
        <v>5335</v>
      </c>
      <c r="G115" s="14">
        <v>168</v>
      </c>
      <c r="H115" s="14">
        <v>3587</v>
      </c>
      <c r="I115" s="14">
        <v>10439</v>
      </c>
      <c r="J115" s="14">
        <v>81</v>
      </c>
      <c r="K115" s="14">
        <v>1744</v>
      </c>
      <c r="L115" s="14">
        <v>189825</v>
      </c>
    </row>
    <row r="116" spans="1:14" x14ac:dyDescent="0.25">
      <c r="A116" s="47" t="s">
        <v>40</v>
      </c>
      <c r="B116" s="14">
        <v>2008</v>
      </c>
      <c r="C116" s="14">
        <v>15198</v>
      </c>
      <c r="D116" s="14">
        <v>44017</v>
      </c>
      <c r="E116" s="14">
        <v>136072</v>
      </c>
      <c r="F116" s="14">
        <v>4472</v>
      </c>
      <c r="G116" s="14">
        <v>196</v>
      </c>
      <c r="H116" s="14">
        <v>3764</v>
      </c>
      <c r="I116" s="14">
        <v>10488</v>
      </c>
      <c r="J116" s="14">
        <v>100</v>
      </c>
      <c r="K116" s="14">
        <v>860</v>
      </c>
      <c r="L116" s="14">
        <v>215167</v>
      </c>
    </row>
    <row r="117" spans="1:14" x14ac:dyDescent="0.25">
      <c r="A117" s="47"/>
      <c r="B117" s="14">
        <v>2009</v>
      </c>
      <c r="C117" s="14">
        <v>17595</v>
      </c>
      <c r="D117" s="14">
        <v>52089</v>
      </c>
      <c r="E117" s="14">
        <v>167459</v>
      </c>
      <c r="F117" s="14">
        <v>6194</v>
      </c>
      <c r="G117" s="14">
        <v>238</v>
      </c>
      <c r="H117" s="14">
        <v>3841</v>
      </c>
      <c r="I117" s="14">
        <v>13564</v>
      </c>
      <c r="J117" s="14">
        <v>148</v>
      </c>
      <c r="K117" s="14">
        <v>1218</v>
      </c>
      <c r="L117" s="14">
        <v>262346</v>
      </c>
    </row>
    <row r="118" spans="1:14" x14ac:dyDescent="0.25">
      <c r="A118" s="47"/>
      <c r="B118" s="14">
        <v>2010</v>
      </c>
      <c r="C118" s="14">
        <v>17062</v>
      </c>
      <c r="D118" s="14">
        <v>59767</v>
      </c>
      <c r="E118" s="14">
        <v>171551</v>
      </c>
      <c r="F118" s="14">
        <v>4563</v>
      </c>
      <c r="G118" s="14">
        <v>238</v>
      </c>
      <c r="H118" s="14">
        <v>3979</v>
      </c>
      <c r="I118" s="14">
        <v>13342</v>
      </c>
      <c r="J118" s="14">
        <v>128</v>
      </c>
      <c r="K118" s="14">
        <v>2464</v>
      </c>
      <c r="L118" s="14">
        <v>273094</v>
      </c>
    </row>
    <row r="119" spans="1:14" x14ac:dyDescent="0.25">
      <c r="A119" s="47"/>
      <c r="B119" s="14">
        <v>2011</v>
      </c>
      <c r="C119" s="14">
        <v>18276</v>
      </c>
      <c r="D119" s="14">
        <v>66926</v>
      </c>
      <c r="E119" s="14">
        <v>199388</v>
      </c>
      <c r="F119" s="14">
        <v>5978</v>
      </c>
      <c r="G119" s="14">
        <v>239</v>
      </c>
      <c r="H119" s="14">
        <v>4381</v>
      </c>
      <c r="I119" s="14">
        <v>17496</v>
      </c>
      <c r="J119" s="14">
        <v>129</v>
      </c>
      <c r="K119" s="14">
        <v>2766</v>
      </c>
      <c r="L119" s="14">
        <v>315579</v>
      </c>
    </row>
    <row r="120" spans="1:14" x14ac:dyDescent="0.25">
      <c r="A120" s="47"/>
      <c r="B120" s="14">
        <v>2012</v>
      </c>
      <c r="C120" s="14">
        <f>C119+1349</f>
        <v>19625</v>
      </c>
      <c r="D120" s="14">
        <f>D119+8284</f>
        <v>75210</v>
      </c>
      <c r="E120" s="14">
        <f>E119+28506</f>
        <v>227894</v>
      </c>
      <c r="F120" s="14">
        <f>F119+368</f>
        <v>6346</v>
      </c>
      <c r="G120" s="14">
        <f>G119+0</f>
        <v>239</v>
      </c>
      <c r="H120" s="14">
        <f>H119+362</f>
        <v>4743</v>
      </c>
      <c r="I120" s="14">
        <f>I119+1549</f>
        <v>19045</v>
      </c>
      <c r="J120" s="14">
        <f>J119+6</f>
        <v>135</v>
      </c>
      <c r="K120" s="14">
        <f>K119+215</f>
        <v>2981</v>
      </c>
      <c r="L120" s="14">
        <f>SUM(C120:K120)</f>
        <v>356218</v>
      </c>
    </row>
    <row r="121" spans="1:14" x14ac:dyDescent="0.25">
      <c r="A121" s="47"/>
      <c r="B121" s="14">
        <v>2013</v>
      </c>
      <c r="C121" s="14">
        <f>C120+3498</f>
        <v>23123</v>
      </c>
      <c r="D121" s="14">
        <f>D120+4604</f>
        <v>79814</v>
      </c>
      <c r="E121" s="14">
        <f>E120+34535</f>
        <v>262429</v>
      </c>
      <c r="F121" s="14">
        <f>F120+611</f>
        <v>6957</v>
      </c>
      <c r="G121" s="14">
        <f>G120+5</f>
        <v>244</v>
      </c>
      <c r="H121" s="14">
        <f>H120+345</f>
        <v>5088</v>
      </c>
      <c r="I121" s="14">
        <f>I120+472</f>
        <v>19517</v>
      </c>
      <c r="J121" s="14">
        <f>J120+36</f>
        <v>171</v>
      </c>
      <c r="K121" s="14">
        <f>K120+269</f>
        <v>3250</v>
      </c>
      <c r="L121" s="14">
        <f>SUM(C121:K121)</f>
        <v>400593</v>
      </c>
    </row>
    <row r="122" spans="1:14" x14ac:dyDescent="0.25">
      <c r="A122" s="47"/>
      <c r="B122" s="14" t="s">
        <v>24</v>
      </c>
      <c r="C122" s="14">
        <v>28447</v>
      </c>
      <c r="D122" s="14">
        <v>79616</v>
      </c>
      <c r="E122" s="14">
        <v>293188</v>
      </c>
      <c r="F122" s="14">
        <v>8591</v>
      </c>
      <c r="G122" s="14">
        <v>243</v>
      </c>
      <c r="H122" s="14">
        <v>5949</v>
      </c>
      <c r="I122" s="14">
        <v>20813</v>
      </c>
      <c r="J122" s="14">
        <v>227</v>
      </c>
      <c r="K122" s="14">
        <v>1382</v>
      </c>
      <c r="L122" s="14">
        <f>SUM(C122:K122)</f>
        <v>438456</v>
      </c>
    </row>
    <row r="123" spans="1:14" x14ac:dyDescent="0.25">
      <c r="A123" s="47"/>
      <c r="B123" s="19" t="s">
        <v>25</v>
      </c>
      <c r="C123" s="14">
        <v>31996</v>
      </c>
      <c r="D123" s="14">
        <v>82871</v>
      </c>
      <c r="E123" s="14">
        <v>324284</v>
      </c>
      <c r="F123" s="14">
        <v>9641</v>
      </c>
      <c r="G123" s="14">
        <v>766</v>
      </c>
      <c r="H123" s="14">
        <v>5949</v>
      </c>
      <c r="I123" s="14">
        <v>21035</v>
      </c>
      <c r="J123" s="14">
        <v>266</v>
      </c>
      <c r="K123" s="14">
        <v>1634</v>
      </c>
      <c r="L123" s="14">
        <v>478442</v>
      </c>
    </row>
    <row r="124" spans="1:14" x14ac:dyDescent="0.25">
      <c r="A124" s="47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4" x14ac:dyDescent="0.25">
      <c r="A125" s="47" t="s">
        <v>42</v>
      </c>
      <c r="B125" s="14">
        <v>2007</v>
      </c>
      <c r="C125" s="14">
        <v>72576</v>
      </c>
      <c r="D125" s="14">
        <v>383047</v>
      </c>
      <c r="E125" s="14">
        <v>435413</v>
      </c>
      <c r="F125" s="14">
        <v>40555</v>
      </c>
      <c r="G125" s="14">
        <v>1501</v>
      </c>
      <c r="H125" s="14">
        <v>9617</v>
      </c>
      <c r="I125" s="14">
        <v>18083</v>
      </c>
      <c r="J125" s="14">
        <v>4854</v>
      </c>
      <c r="K125" s="14">
        <v>21168</v>
      </c>
      <c r="L125" s="14">
        <v>986814</v>
      </c>
    </row>
    <row r="126" spans="1:14" x14ac:dyDescent="0.25">
      <c r="A126" s="47"/>
      <c r="B126" s="14">
        <v>2008</v>
      </c>
      <c r="C126" s="14">
        <v>74350</v>
      </c>
      <c r="D126" s="14">
        <v>404701</v>
      </c>
      <c r="E126" s="14">
        <v>451030</v>
      </c>
      <c r="F126" s="14">
        <v>41599</v>
      </c>
      <c r="G126" s="14">
        <v>1532</v>
      </c>
      <c r="H126" s="14">
        <v>9755</v>
      </c>
      <c r="I126" s="14">
        <v>18512</v>
      </c>
      <c r="J126" s="14">
        <v>4856</v>
      </c>
      <c r="K126" s="14">
        <v>21215</v>
      </c>
      <c r="L126" s="14">
        <v>1027550</v>
      </c>
    </row>
    <row r="127" spans="1:14" x14ac:dyDescent="0.25">
      <c r="A127" s="47"/>
      <c r="B127" s="14">
        <v>2009</v>
      </c>
      <c r="C127" s="14">
        <v>35356</v>
      </c>
      <c r="D127" s="14">
        <v>313900</v>
      </c>
      <c r="E127" s="14">
        <v>173891</v>
      </c>
      <c r="F127" s="14">
        <v>32826</v>
      </c>
      <c r="G127" s="14">
        <v>1322</v>
      </c>
      <c r="H127" s="14">
        <v>5616</v>
      </c>
      <c r="I127" s="14">
        <v>16745</v>
      </c>
      <c r="J127" s="14">
        <v>609</v>
      </c>
      <c r="K127" s="14">
        <v>983</v>
      </c>
      <c r="L127" s="14">
        <v>581248</v>
      </c>
    </row>
    <row r="128" spans="1:14" x14ac:dyDescent="0.25">
      <c r="A128" s="47"/>
      <c r="B128" s="14">
        <v>2010</v>
      </c>
      <c r="C128" s="14">
        <v>14210</v>
      </c>
      <c r="D128" s="14">
        <v>180644</v>
      </c>
      <c r="E128" s="14">
        <v>165799</v>
      </c>
      <c r="F128" s="14">
        <v>27914</v>
      </c>
      <c r="G128" s="14">
        <v>724</v>
      </c>
      <c r="H128" s="14">
        <v>3285</v>
      </c>
      <c r="I128" s="14">
        <v>17740</v>
      </c>
      <c r="J128" s="14">
        <v>81</v>
      </c>
      <c r="K128" s="14">
        <v>628</v>
      </c>
      <c r="L128" s="14">
        <v>411025</v>
      </c>
    </row>
    <row r="129" spans="1:15" x14ac:dyDescent="0.25">
      <c r="A129" s="47"/>
      <c r="B129" s="18">
        <v>2011</v>
      </c>
      <c r="C129" s="18">
        <v>13773</v>
      </c>
      <c r="D129" s="18">
        <v>194178</v>
      </c>
      <c r="E129" s="18">
        <v>182087</v>
      </c>
      <c r="F129" s="18">
        <v>30840</v>
      </c>
      <c r="G129" s="18">
        <v>704</v>
      </c>
      <c r="H129" s="18">
        <v>3545</v>
      </c>
      <c r="I129" s="18">
        <v>18808</v>
      </c>
      <c r="J129" s="18">
        <v>46</v>
      </c>
      <c r="K129" s="18">
        <v>737</v>
      </c>
      <c r="L129" s="18">
        <v>444718</v>
      </c>
    </row>
    <row r="130" spans="1:15" x14ac:dyDescent="0.25">
      <c r="A130" s="47"/>
      <c r="B130" s="18">
        <v>2012</v>
      </c>
      <c r="C130" s="18">
        <f>C129+1456</f>
        <v>15229</v>
      </c>
      <c r="D130" s="18">
        <f>D129+27883</f>
        <v>222061</v>
      </c>
      <c r="E130" s="18">
        <f>E129+20517</f>
        <v>202604</v>
      </c>
      <c r="F130" s="18">
        <f>F129+975</f>
        <v>31815</v>
      </c>
      <c r="G130" s="18">
        <f>G129+11</f>
        <v>715</v>
      </c>
      <c r="H130" s="18">
        <f>H129+56</f>
        <v>3601</v>
      </c>
      <c r="I130" s="18">
        <f>I129+321</f>
        <v>19129</v>
      </c>
      <c r="J130" s="18">
        <v>46</v>
      </c>
      <c r="K130" s="18">
        <f>K129+71</f>
        <v>808</v>
      </c>
      <c r="L130" s="18">
        <f>SUM(C130:K130)</f>
        <v>496008</v>
      </c>
    </row>
    <row r="131" spans="1:15" x14ac:dyDescent="0.25">
      <c r="A131" s="49"/>
      <c r="B131" s="27" t="s">
        <v>32</v>
      </c>
      <c r="C131" s="28">
        <f>C130+2884</f>
        <v>18113</v>
      </c>
      <c r="D131" s="29">
        <f>D130+28180</f>
        <v>250241</v>
      </c>
      <c r="E131" s="29">
        <f>E130+26272</f>
        <v>228876</v>
      </c>
      <c r="F131" s="29">
        <f>F130+2859</f>
        <v>34674</v>
      </c>
      <c r="G131" s="29">
        <f>G130+26</f>
        <v>741</v>
      </c>
      <c r="H131" s="29">
        <f>H130+142</f>
        <v>3743</v>
      </c>
      <c r="I131" s="29">
        <f>I130+263</f>
        <v>19392</v>
      </c>
      <c r="J131" s="29">
        <f>J130+10</f>
        <v>56</v>
      </c>
      <c r="K131" s="29">
        <f>K130+143</f>
        <v>951</v>
      </c>
      <c r="L131" s="29">
        <f>SUM(C131:K131)</f>
        <v>556787</v>
      </c>
    </row>
    <row r="132" spans="1:15" x14ac:dyDescent="0.25">
      <c r="A132" s="26"/>
      <c r="B132" s="18" t="s">
        <v>24</v>
      </c>
      <c r="C132" s="18">
        <v>20408</v>
      </c>
      <c r="D132" s="18">
        <v>273929</v>
      </c>
      <c r="E132" s="18">
        <v>253894</v>
      </c>
      <c r="F132" s="18">
        <v>37682</v>
      </c>
      <c r="G132" s="18">
        <v>789</v>
      </c>
      <c r="H132" s="18">
        <v>3951</v>
      </c>
      <c r="I132" s="18">
        <v>20106</v>
      </c>
      <c r="J132" s="18">
        <v>60</v>
      </c>
      <c r="K132" s="18">
        <v>968</v>
      </c>
      <c r="L132" s="18">
        <f>SUM(C132:K132)</f>
        <v>611787</v>
      </c>
      <c r="O132" s="17"/>
    </row>
    <row r="133" spans="1:15" x14ac:dyDescent="0.25">
      <c r="A133" s="32"/>
      <c r="B133" s="50" t="s">
        <v>25</v>
      </c>
      <c r="C133" s="50">
        <v>21818</v>
      </c>
      <c r="D133" s="50">
        <v>301222</v>
      </c>
      <c r="E133" s="50">
        <v>282780</v>
      </c>
      <c r="F133" s="50">
        <v>41393</v>
      </c>
      <c r="G133" s="50">
        <v>1629</v>
      </c>
      <c r="H133" s="50">
        <v>3982</v>
      </c>
      <c r="I133" s="50">
        <v>20365</v>
      </c>
      <c r="J133" s="50">
        <v>92</v>
      </c>
      <c r="K133" s="50">
        <v>1076</v>
      </c>
      <c r="L133" s="50">
        <v>674357</v>
      </c>
      <c r="O133" s="17"/>
    </row>
    <row r="134" spans="1:15" x14ac:dyDescent="0.25">
      <c r="A134" s="26"/>
      <c r="B134" s="26"/>
      <c r="C134" s="26"/>
    </row>
    <row r="135" spans="1:15" x14ac:dyDescent="0.25">
      <c r="A135" s="26"/>
      <c r="B135" s="26"/>
      <c r="C135" s="26"/>
    </row>
    <row r="136" spans="1:15" ht="15.75" x14ac:dyDescent="0.25">
      <c r="A136" s="51"/>
    </row>
    <row r="137" spans="1:15" ht="16.5" x14ac:dyDescent="0.3">
      <c r="A137" s="1" t="s">
        <v>43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5" ht="16.5" x14ac:dyDescent="0.3">
      <c r="A138" s="2" t="s">
        <v>1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5" x14ac:dyDescent="0.25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" t="s">
        <v>2</v>
      </c>
    </row>
    <row r="140" spans="1:15" x14ac:dyDescent="0.25">
      <c r="A140" s="7" t="s">
        <v>3</v>
      </c>
      <c r="B140" s="8" t="s">
        <v>4</v>
      </c>
      <c r="C140" s="8" t="s">
        <v>5</v>
      </c>
      <c r="D140" s="8" t="s">
        <v>6</v>
      </c>
      <c r="E140" s="8" t="s">
        <v>7</v>
      </c>
      <c r="F140" s="8" t="s">
        <v>8</v>
      </c>
      <c r="G140" s="8" t="s">
        <v>9</v>
      </c>
      <c r="H140" s="8" t="s">
        <v>10</v>
      </c>
      <c r="I140" s="8" t="s">
        <v>11</v>
      </c>
      <c r="J140" s="8" t="s">
        <v>12</v>
      </c>
      <c r="K140" s="8" t="s">
        <v>13</v>
      </c>
      <c r="L140" s="8" t="s">
        <v>14</v>
      </c>
    </row>
    <row r="141" spans="1:15" x14ac:dyDescent="0.25">
      <c r="A141" s="9"/>
      <c r="B141" s="15"/>
      <c r="C141" s="8" t="s">
        <v>15</v>
      </c>
      <c r="D141" s="8" t="s">
        <v>16</v>
      </c>
      <c r="E141" s="8" t="s">
        <v>17</v>
      </c>
      <c r="F141" s="8" t="s">
        <v>18</v>
      </c>
      <c r="G141" s="15"/>
      <c r="H141" s="8" t="s">
        <v>19</v>
      </c>
      <c r="I141" s="8" t="s">
        <v>20</v>
      </c>
      <c r="J141" s="8" t="s">
        <v>21</v>
      </c>
      <c r="K141" s="15"/>
      <c r="L141" s="15"/>
    </row>
    <row r="142" spans="1:15" x14ac:dyDescent="0.25">
      <c r="A142" s="11"/>
      <c r="B142" s="15"/>
      <c r="C142" s="15"/>
      <c r="D142" s="15"/>
      <c r="E142" s="15"/>
      <c r="F142" s="8" t="s">
        <v>22</v>
      </c>
      <c r="G142" s="15"/>
      <c r="H142" s="15"/>
      <c r="I142" s="15"/>
      <c r="J142" s="15"/>
      <c r="K142" s="15"/>
      <c r="L142" s="15"/>
    </row>
    <row r="143" spans="1:15" x14ac:dyDescent="0.25">
      <c r="A143" s="12">
        <v>-1</v>
      </c>
      <c r="B143" s="12">
        <v>-2</v>
      </c>
      <c r="C143" s="12">
        <v>-3</v>
      </c>
      <c r="D143" s="12">
        <v>-4</v>
      </c>
      <c r="E143" s="12">
        <v>-5</v>
      </c>
      <c r="F143" s="12">
        <v>-6</v>
      </c>
      <c r="G143" s="12">
        <v>-7</v>
      </c>
      <c r="H143" s="12">
        <v>-8</v>
      </c>
      <c r="I143" s="12">
        <v>-9</v>
      </c>
      <c r="J143" s="12">
        <v>-10</v>
      </c>
      <c r="K143" s="12">
        <v>-11</v>
      </c>
      <c r="L143" s="12">
        <v>-12</v>
      </c>
    </row>
    <row r="144" spans="1:15" x14ac:dyDescent="0.25">
      <c r="A144" s="13" t="s">
        <v>44</v>
      </c>
      <c r="B144" s="14">
        <v>2007</v>
      </c>
      <c r="C144" s="14">
        <v>3360</v>
      </c>
      <c r="D144" s="14">
        <v>5460</v>
      </c>
      <c r="E144" s="14">
        <v>58551</v>
      </c>
      <c r="F144" s="14">
        <v>479</v>
      </c>
      <c r="G144" s="14">
        <v>79</v>
      </c>
      <c r="H144" s="14">
        <v>929</v>
      </c>
      <c r="I144" s="14">
        <v>282</v>
      </c>
      <c r="J144" s="14">
        <v>5075</v>
      </c>
      <c r="K144" s="14">
        <v>423</v>
      </c>
      <c r="L144" s="14">
        <v>74638</v>
      </c>
    </row>
    <row r="145" spans="1:13" x14ac:dyDescent="0.25">
      <c r="A145" s="16"/>
      <c r="B145" s="14">
        <v>2008</v>
      </c>
      <c r="C145" s="14">
        <v>4273</v>
      </c>
      <c r="D145" s="14">
        <v>6230</v>
      </c>
      <c r="E145" s="14">
        <v>79417</v>
      </c>
      <c r="F145" s="14">
        <v>1252</v>
      </c>
      <c r="G145" s="14">
        <v>64</v>
      </c>
      <c r="H145" s="14">
        <v>824</v>
      </c>
      <c r="I145" s="14">
        <v>447</v>
      </c>
      <c r="J145" s="14">
        <v>5472</v>
      </c>
      <c r="K145" s="14">
        <v>712</v>
      </c>
      <c r="L145" s="14">
        <v>98691</v>
      </c>
    </row>
    <row r="146" spans="1:13" x14ac:dyDescent="0.25">
      <c r="A146" s="16"/>
      <c r="B146" s="14">
        <v>2009</v>
      </c>
      <c r="C146" s="14">
        <v>4428</v>
      </c>
      <c r="D146" s="14">
        <v>6318</v>
      </c>
      <c r="E146" s="14">
        <v>88845</v>
      </c>
      <c r="F146" s="14">
        <v>1282</v>
      </c>
      <c r="G146" s="14">
        <v>72</v>
      </c>
      <c r="H146" s="14">
        <v>938</v>
      </c>
      <c r="I146" s="14">
        <v>482</v>
      </c>
      <c r="J146" s="14">
        <v>5790</v>
      </c>
      <c r="K146" s="14">
        <v>674</v>
      </c>
      <c r="L146" s="14">
        <v>108829</v>
      </c>
    </row>
    <row r="147" spans="1:13" x14ac:dyDescent="0.25">
      <c r="A147" s="16"/>
      <c r="B147" s="14">
        <v>2010</v>
      </c>
      <c r="C147" s="14">
        <v>5012</v>
      </c>
      <c r="D147" s="14">
        <v>6814</v>
      </c>
      <c r="E147" s="14">
        <v>102733</v>
      </c>
      <c r="F147" s="14">
        <v>1304</v>
      </c>
      <c r="G147" s="14">
        <v>96</v>
      </c>
      <c r="H147" s="14">
        <v>950</v>
      </c>
      <c r="I147" s="14">
        <v>599</v>
      </c>
      <c r="J147" s="14">
        <v>6327</v>
      </c>
      <c r="K147" s="14">
        <v>710</v>
      </c>
      <c r="L147" s="14">
        <v>124545</v>
      </c>
    </row>
    <row r="148" spans="1:13" x14ac:dyDescent="0.25">
      <c r="A148" s="16"/>
      <c r="B148" s="14">
        <v>2011</v>
      </c>
      <c r="C148" s="14">
        <v>5725</v>
      </c>
      <c r="D148" s="14">
        <v>7744</v>
      </c>
      <c r="E148" s="14">
        <v>122335</v>
      </c>
      <c r="F148" s="14">
        <v>1375</v>
      </c>
      <c r="G148" s="14">
        <v>97</v>
      </c>
      <c r="H148" s="14">
        <v>965</v>
      </c>
      <c r="I148" s="14">
        <v>705</v>
      </c>
      <c r="J148" s="14">
        <v>7120</v>
      </c>
      <c r="K148" s="14">
        <v>877</v>
      </c>
      <c r="L148" s="14">
        <v>146943</v>
      </c>
    </row>
    <row r="149" spans="1:13" x14ac:dyDescent="0.25">
      <c r="A149" s="16"/>
      <c r="B149" s="14">
        <v>2012</v>
      </c>
      <c r="C149" s="14">
        <f>C148+858</f>
        <v>6583</v>
      </c>
      <c r="D149" s="14">
        <f>D148+1111</f>
        <v>8855</v>
      </c>
      <c r="E149" s="14">
        <f>E148+22126</f>
        <v>144461</v>
      </c>
      <c r="F149" s="14">
        <f>F148+118</f>
        <v>1493</v>
      </c>
      <c r="G149" s="14">
        <f>G148+0</f>
        <v>97</v>
      </c>
      <c r="H149" s="14">
        <f>H148+31</f>
        <v>996</v>
      </c>
      <c r="I149" s="14">
        <f>I148+423</f>
        <v>1128</v>
      </c>
      <c r="J149" s="14">
        <f>J148+819</f>
        <v>7939</v>
      </c>
      <c r="K149" s="14">
        <f>K148+71</f>
        <v>948</v>
      </c>
      <c r="L149" s="14">
        <f>SUM(C149:K149)</f>
        <v>172500</v>
      </c>
    </row>
    <row r="150" spans="1:13" x14ac:dyDescent="0.25">
      <c r="A150" s="16"/>
      <c r="B150" s="14">
        <v>2013</v>
      </c>
      <c r="C150" s="14">
        <f>C149+1280</f>
        <v>7863</v>
      </c>
      <c r="D150" s="14">
        <f>D149+1752</f>
        <v>10607</v>
      </c>
      <c r="E150" s="14">
        <f>E149+27196</f>
        <v>171657</v>
      </c>
      <c r="F150" s="14">
        <f>F149+261</f>
        <v>1754</v>
      </c>
      <c r="G150" s="14">
        <f>G149+0</f>
        <v>97</v>
      </c>
      <c r="H150" s="14">
        <f>H149+27</f>
        <v>1023</v>
      </c>
      <c r="I150" s="14">
        <f>I149+94</f>
        <v>1222</v>
      </c>
      <c r="J150" s="14">
        <f>J149+919</f>
        <v>8858</v>
      </c>
      <c r="K150" s="14">
        <f>K149+94</f>
        <v>1042</v>
      </c>
      <c r="L150" s="14">
        <f>SUM(C150:K150)</f>
        <v>204123</v>
      </c>
      <c r="M150" s="17"/>
    </row>
    <row r="151" spans="1:13" x14ac:dyDescent="0.25">
      <c r="A151" s="16"/>
      <c r="B151" s="14" t="s">
        <v>24</v>
      </c>
      <c r="C151" s="14">
        <v>9251</v>
      </c>
      <c r="D151" s="14">
        <v>11995</v>
      </c>
      <c r="E151" s="14">
        <v>194529</v>
      </c>
      <c r="F151" s="14">
        <v>2507</v>
      </c>
      <c r="G151" s="14">
        <v>92</v>
      </c>
      <c r="H151" s="14">
        <v>1039</v>
      </c>
      <c r="I151" s="14">
        <v>1271</v>
      </c>
      <c r="J151" s="14">
        <v>9785</v>
      </c>
      <c r="K151" s="14">
        <v>748</v>
      </c>
      <c r="L151" s="14">
        <f>SUM(C151:K151)</f>
        <v>231217</v>
      </c>
      <c r="M151" s="17"/>
    </row>
    <row r="152" spans="1:13" x14ac:dyDescent="0.25">
      <c r="A152" s="16"/>
      <c r="B152" s="19" t="s">
        <v>25</v>
      </c>
      <c r="C152" s="14">
        <v>9927</v>
      </c>
      <c r="D152" s="14">
        <v>13742</v>
      </c>
      <c r="E152" s="14">
        <v>227946</v>
      </c>
      <c r="F152" s="14">
        <v>2777</v>
      </c>
      <c r="G152" s="14">
        <v>116</v>
      </c>
      <c r="H152" s="14">
        <v>1039</v>
      </c>
      <c r="I152" s="14">
        <v>1329</v>
      </c>
      <c r="J152" s="14">
        <v>10427</v>
      </c>
      <c r="K152" s="14">
        <v>820</v>
      </c>
      <c r="L152" s="14">
        <v>268123</v>
      </c>
      <c r="M152" s="17"/>
    </row>
    <row r="153" spans="1:13" x14ac:dyDescent="0.25">
      <c r="A153" s="16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1:13" x14ac:dyDescent="0.25">
      <c r="A154" s="13" t="s">
        <v>45</v>
      </c>
      <c r="B154" s="14">
        <v>2007</v>
      </c>
      <c r="C154" s="14">
        <v>6278</v>
      </c>
      <c r="D154" s="14">
        <v>2170</v>
      </c>
      <c r="E154" s="14">
        <v>86331</v>
      </c>
      <c r="F154" s="14">
        <v>286</v>
      </c>
      <c r="G154" s="14">
        <v>34</v>
      </c>
      <c r="H154" s="14">
        <v>620</v>
      </c>
      <c r="I154" s="14">
        <v>49</v>
      </c>
      <c r="J154" s="14">
        <v>4912</v>
      </c>
      <c r="K154" s="14">
        <v>966</v>
      </c>
      <c r="L154" s="14">
        <v>101646</v>
      </c>
    </row>
    <row r="155" spans="1:13" x14ac:dyDescent="0.25">
      <c r="A155" s="16"/>
      <c r="B155" s="14">
        <v>2008</v>
      </c>
      <c r="C155" s="14">
        <v>6575</v>
      </c>
      <c r="D155" s="14">
        <v>2621</v>
      </c>
      <c r="E155" s="14">
        <v>99209</v>
      </c>
      <c r="F155" s="14">
        <v>309</v>
      </c>
      <c r="G155" s="14">
        <v>35</v>
      </c>
      <c r="H155" s="14">
        <v>670</v>
      </c>
      <c r="I155" s="14">
        <v>49</v>
      </c>
      <c r="J155" s="14">
        <v>5321</v>
      </c>
      <c r="K155" s="14">
        <v>1193</v>
      </c>
      <c r="L155" s="14">
        <v>115982</v>
      </c>
    </row>
    <row r="156" spans="1:13" x14ac:dyDescent="0.25">
      <c r="A156" s="16"/>
      <c r="B156" s="14">
        <v>2009</v>
      </c>
      <c r="C156" s="14">
        <v>6729</v>
      </c>
      <c r="D156" s="14">
        <v>3058</v>
      </c>
      <c r="E156" s="14">
        <v>111917</v>
      </c>
      <c r="F156" s="14">
        <v>340</v>
      </c>
      <c r="G156" s="14">
        <v>58</v>
      </c>
      <c r="H156" s="14">
        <v>654</v>
      </c>
      <c r="I156" s="14">
        <v>43</v>
      </c>
      <c r="J156" s="14">
        <v>5626</v>
      </c>
      <c r="K156" s="14">
        <v>1116</v>
      </c>
      <c r="L156" s="14">
        <v>129541</v>
      </c>
    </row>
    <row r="157" spans="1:13" x14ac:dyDescent="0.25">
      <c r="A157" s="16"/>
      <c r="B157" s="14">
        <v>2010</v>
      </c>
      <c r="C157" s="14">
        <v>10254</v>
      </c>
      <c r="D157" s="14">
        <v>3138</v>
      </c>
      <c r="E157" s="14">
        <v>111917</v>
      </c>
      <c r="F157" s="14">
        <v>582</v>
      </c>
      <c r="G157" s="14">
        <v>242</v>
      </c>
      <c r="H157" s="14">
        <v>905</v>
      </c>
      <c r="I157" s="14">
        <v>103</v>
      </c>
      <c r="J157" s="14">
        <v>8041</v>
      </c>
      <c r="K157" s="14">
        <v>1310</v>
      </c>
      <c r="L157" s="14">
        <v>136492</v>
      </c>
    </row>
    <row r="158" spans="1:13" x14ac:dyDescent="0.25">
      <c r="A158" s="16"/>
      <c r="B158" s="14">
        <v>2011</v>
      </c>
      <c r="C158" s="14">
        <v>11252</v>
      </c>
      <c r="D158" s="14">
        <v>3920</v>
      </c>
      <c r="E158" s="14">
        <v>138757</v>
      </c>
      <c r="F158" s="14">
        <v>637</v>
      </c>
      <c r="G158" s="14">
        <v>264</v>
      </c>
      <c r="H158" s="14">
        <v>943</v>
      </c>
      <c r="I158" s="14">
        <v>150</v>
      </c>
      <c r="J158" s="14">
        <v>9423</v>
      </c>
      <c r="K158" s="14">
        <v>1907</v>
      </c>
      <c r="L158" s="14">
        <v>167253</v>
      </c>
    </row>
    <row r="159" spans="1:13" x14ac:dyDescent="0.25">
      <c r="A159" s="16"/>
      <c r="B159" s="14">
        <v>2012</v>
      </c>
      <c r="C159" s="14">
        <f>C158+1021</f>
        <v>12273</v>
      </c>
      <c r="D159" s="14">
        <f>D158+1620</f>
        <v>5540</v>
      </c>
      <c r="E159" s="14">
        <f>E158+30824</f>
        <v>169581</v>
      </c>
      <c r="F159" s="14">
        <f>F158+145</f>
        <v>782</v>
      </c>
      <c r="G159" s="14">
        <f>G158+0</f>
        <v>264</v>
      </c>
      <c r="H159" s="14">
        <f>H158+38</f>
        <v>981</v>
      </c>
      <c r="I159" s="14">
        <f>I158+1</f>
        <v>151</v>
      </c>
      <c r="J159" s="14">
        <f>J158+1530</f>
        <v>10953</v>
      </c>
      <c r="K159" s="14">
        <f>K158+119</f>
        <v>2026</v>
      </c>
      <c r="L159" s="14">
        <f>SUM(C159:K159)</f>
        <v>202551</v>
      </c>
    </row>
    <row r="160" spans="1:13" x14ac:dyDescent="0.25">
      <c r="A160" s="16"/>
      <c r="B160" s="14">
        <v>2013</v>
      </c>
      <c r="C160" s="14">
        <f>C159+1112</f>
        <v>13385</v>
      </c>
      <c r="D160" s="14">
        <f>D159+2042</f>
        <v>7582</v>
      </c>
      <c r="E160" s="14">
        <f>E159+31401</f>
        <v>200982</v>
      </c>
      <c r="F160" s="14">
        <f>F159+181</f>
        <v>963</v>
      </c>
      <c r="G160" s="14">
        <f>G159+0</f>
        <v>264</v>
      </c>
      <c r="H160" s="14">
        <f>H159+34</f>
        <v>1015</v>
      </c>
      <c r="I160" s="14">
        <f>I159+7</f>
        <v>158</v>
      </c>
      <c r="J160" s="14">
        <f>J159+1525</f>
        <v>12478</v>
      </c>
      <c r="K160" s="14">
        <f>K159+178</f>
        <v>2204</v>
      </c>
      <c r="L160" s="14">
        <f>SUM(C160:K160)</f>
        <v>239031</v>
      </c>
      <c r="M160" s="17"/>
    </row>
    <row r="161" spans="1:13" x14ac:dyDescent="0.25">
      <c r="A161" s="16"/>
      <c r="B161" s="14" t="s">
        <v>24</v>
      </c>
      <c r="C161" s="14">
        <v>12153</v>
      </c>
      <c r="D161" s="14">
        <v>12984</v>
      </c>
      <c r="E161" s="14">
        <v>162845</v>
      </c>
      <c r="F161" s="14">
        <v>1486</v>
      </c>
      <c r="G161" s="14">
        <v>306</v>
      </c>
      <c r="H161" s="14">
        <v>788</v>
      </c>
      <c r="I161" s="14">
        <v>151</v>
      </c>
      <c r="J161" s="14">
        <v>9218</v>
      </c>
      <c r="K161" s="14">
        <v>338</v>
      </c>
      <c r="L161" s="14">
        <f>SUM(C161:K161)</f>
        <v>200269</v>
      </c>
      <c r="M161" s="17"/>
    </row>
    <row r="162" spans="1:13" x14ac:dyDescent="0.25">
      <c r="A162" s="16"/>
      <c r="B162" s="19" t="s">
        <v>25</v>
      </c>
      <c r="C162" s="14">
        <v>13038</v>
      </c>
      <c r="D162" s="14">
        <v>14155</v>
      </c>
      <c r="E162" s="14">
        <v>194661</v>
      </c>
      <c r="F162" s="14">
        <v>1554</v>
      </c>
      <c r="G162" s="14">
        <v>334</v>
      </c>
      <c r="H162" s="14">
        <v>792</v>
      </c>
      <c r="I162" s="14">
        <v>153</v>
      </c>
      <c r="J162" s="14">
        <v>10216</v>
      </c>
      <c r="K162" s="14">
        <v>404</v>
      </c>
      <c r="L162" s="14">
        <v>235307</v>
      </c>
      <c r="M162" s="17"/>
    </row>
    <row r="163" spans="1:13" x14ac:dyDescent="0.25">
      <c r="A163" s="16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1:13" x14ac:dyDescent="0.25">
      <c r="A164" s="13" t="s">
        <v>46</v>
      </c>
      <c r="B164" s="14">
        <v>2007</v>
      </c>
      <c r="C164" s="14">
        <v>3568</v>
      </c>
      <c r="D164" s="14">
        <v>2438</v>
      </c>
      <c r="E164" s="14">
        <v>31344</v>
      </c>
      <c r="F164" s="14">
        <v>1697</v>
      </c>
      <c r="G164" s="14">
        <v>75</v>
      </c>
      <c r="H164" s="14">
        <v>220</v>
      </c>
      <c r="I164" s="14">
        <v>105</v>
      </c>
      <c r="J164" s="14">
        <v>1165</v>
      </c>
      <c r="K164" s="14">
        <v>1608</v>
      </c>
      <c r="L164" s="14">
        <v>42220</v>
      </c>
    </row>
    <row r="165" spans="1:13" x14ac:dyDescent="0.25">
      <c r="A165" s="16"/>
      <c r="B165" s="14">
        <v>2008</v>
      </c>
      <c r="C165" s="14">
        <v>3969</v>
      </c>
      <c r="D165" s="14">
        <v>2687</v>
      </c>
      <c r="E165" s="14">
        <v>37323</v>
      </c>
      <c r="F165" s="14">
        <v>1790</v>
      </c>
      <c r="G165" s="14">
        <v>75</v>
      </c>
      <c r="H165" s="14">
        <v>226</v>
      </c>
      <c r="I165" s="14">
        <v>105</v>
      </c>
      <c r="J165" s="14">
        <v>1236</v>
      </c>
      <c r="K165" s="14">
        <v>2256</v>
      </c>
      <c r="L165" s="14">
        <v>49667</v>
      </c>
    </row>
    <row r="166" spans="1:13" x14ac:dyDescent="0.25">
      <c r="A166" s="16"/>
      <c r="B166" s="14">
        <v>2009</v>
      </c>
      <c r="C166" s="14">
        <v>4431</v>
      </c>
      <c r="D166" s="14">
        <v>2917</v>
      </c>
      <c r="E166" s="14">
        <v>43712</v>
      </c>
      <c r="F166" s="14">
        <v>1902</v>
      </c>
      <c r="G166" s="14">
        <v>75</v>
      </c>
      <c r="H166" s="14">
        <v>234</v>
      </c>
      <c r="I166" s="14">
        <v>105</v>
      </c>
      <c r="J166" s="14">
        <v>1852</v>
      </c>
      <c r="K166" s="14">
        <v>2287</v>
      </c>
      <c r="L166" s="14">
        <v>57515</v>
      </c>
    </row>
    <row r="167" spans="1:13" x14ac:dyDescent="0.25">
      <c r="A167" s="16"/>
      <c r="B167" s="14">
        <v>2010</v>
      </c>
      <c r="C167" s="14">
        <v>5033</v>
      </c>
      <c r="D167" s="14">
        <v>3225</v>
      </c>
      <c r="E167" s="14">
        <v>51242</v>
      </c>
      <c r="F167" s="14">
        <v>1948</v>
      </c>
      <c r="G167" s="14">
        <v>75</v>
      </c>
      <c r="H167" s="14">
        <v>254</v>
      </c>
      <c r="I167" s="14">
        <v>106</v>
      </c>
      <c r="J167" s="14">
        <v>2817</v>
      </c>
      <c r="K167" s="14">
        <v>2297</v>
      </c>
      <c r="L167" s="14">
        <v>66997</v>
      </c>
    </row>
    <row r="168" spans="1:13" x14ac:dyDescent="0.25">
      <c r="A168" s="16"/>
      <c r="B168" s="14">
        <v>2011</v>
      </c>
      <c r="C168" s="14">
        <v>5879</v>
      </c>
      <c r="D168" s="14">
        <v>3787</v>
      </c>
      <c r="E168" s="14">
        <v>65428</v>
      </c>
      <c r="F168" s="14">
        <v>2010</v>
      </c>
      <c r="G168" s="14">
        <v>79</v>
      </c>
      <c r="H168" s="14">
        <v>252</v>
      </c>
      <c r="I168" s="14">
        <v>121</v>
      </c>
      <c r="J168" s="14">
        <v>4468</v>
      </c>
      <c r="K168" s="14">
        <v>2379</v>
      </c>
      <c r="L168" s="14">
        <v>84403</v>
      </c>
    </row>
    <row r="169" spans="1:13" x14ac:dyDescent="0.25">
      <c r="A169" s="16"/>
      <c r="B169" s="14">
        <v>2012</v>
      </c>
      <c r="C169" s="14">
        <f>C168+834</f>
        <v>6713</v>
      </c>
      <c r="D169" s="14">
        <f>D168+490</f>
        <v>4277</v>
      </c>
      <c r="E169" s="14">
        <f>E168+12098</f>
        <v>77526</v>
      </c>
      <c r="F169" s="14">
        <f>F168+40</f>
        <v>2050</v>
      </c>
      <c r="G169" s="14">
        <f>G168+5</f>
        <v>84</v>
      </c>
      <c r="H169" s="14">
        <f>H168+18</f>
        <v>270</v>
      </c>
      <c r="I169" s="14">
        <f>I168+9</f>
        <v>130</v>
      </c>
      <c r="J169" s="14">
        <f>J168+1291</f>
        <v>5759</v>
      </c>
      <c r="K169" s="14">
        <f>K168+34</f>
        <v>2413</v>
      </c>
      <c r="L169" s="14">
        <f>SUM(C169:K169)</f>
        <v>99222</v>
      </c>
    </row>
    <row r="170" spans="1:13" x14ac:dyDescent="0.25">
      <c r="A170" s="16"/>
      <c r="B170" s="14">
        <v>2013</v>
      </c>
      <c r="C170" s="14">
        <f>C169+586</f>
        <v>7299</v>
      </c>
      <c r="D170" s="14">
        <f>D169+843</f>
        <v>5120</v>
      </c>
      <c r="E170" s="14">
        <f>E169+12378</f>
        <v>89904</v>
      </c>
      <c r="F170" s="14">
        <f>F169+80</f>
        <v>2130</v>
      </c>
      <c r="G170" s="14">
        <f>G169+1</f>
        <v>85</v>
      </c>
      <c r="H170" s="14">
        <f>H169+16</f>
        <v>286</v>
      </c>
      <c r="I170" s="14">
        <f>I169+0</f>
        <v>130</v>
      </c>
      <c r="J170" s="14">
        <f>J169+1042</f>
        <v>6801</v>
      </c>
      <c r="K170" s="14">
        <f>K169+31</f>
        <v>2444</v>
      </c>
      <c r="L170" s="14">
        <f>SUM(C170:K170)</f>
        <v>114199</v>
      </c>
    </row>
    <row r="171" spans="1:13" x14ac:dyDescent="0.25">
      <c r="A171" s="16"/>
      <c r="B171" s="14" t="s">
        <v>24</v>
      </c>
      <c r="C171" s="14">
        <v>7764</v>
      </c>
      <c r="D171" s="14">
        <v>5853</v>
      </c>
      <c r="E171" s="14">
        <v>99759</v>
      </c>
      <c r="F171" s="14">
        <v>2135</v>
      </c>
      <c r="G171" s="14">
        <v>84</v>
      </c>
      <c r="H171" s="14">
        <v>318</v>
      </c>
      <c r="I171" s="14">
        <v>122</v>
      </c>
      <c r="J171" s="14">
        <v>7092</v>
      </c>
      <c r="K171" s="14">
        <v>2638</v>
      </c>
      <c r="L171" s="14">
        <f>SUM(C171:K171)</f>
        <v>125765</v>
      </c>
    </row>
    <row r="172" spans="1:13" x14ac:dyDescent="0.25">
      <c r="A172" s="16"/>
      <c r="B172" s="19" t="s">
        <v>25</v>
      </c>
      <c r="C172" s="14">
        <v>8091</v>
      </c>
      <c r="D172" s="14">
        <v>6395</v>
      </c>
      <c r="E172" s="14">
        <v>111222</v>
      </c>
      <c r="F172" s="14">
        <v>2214</v>
      </c>
      <c r="G172" s="14">
        <v>94</v>
      </c>
      <c r="H172" s="14">
        <v>319</v>
      </c>
      <c r="I172" s="14">
        <v>122</v>
      </c>
      <c r="J172" s="14">
        <v>7970</v>
      </c>
      <c r="K172" s="14">
        <v>2667</v>
      </c>
      <c r="L172" s="14">
        <v>139094</v>
      </c>
    </row>
    <row r="173" spans="1:13" x14ac:dyDescent="0.25">
      <c r="A173" s="16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1:13" x14ac:dyDescent="0.25">
      <c r="A174" s="13" t="s">
        <v>47</v>
      </c>
      <c r="B174" s="14">
        <v>2007</v>
      </c>
      <c r="C174" s="14">
        <v>866</v>
      </c>
      <c r="D174" s="14">
        <v>1107</v>
      </c>
      <c r="E174" s="14">
        <v>8049</v>
      </c>
      <c r="F174" s="14">
        <v>484</v>
      </c>
      <c r="G174" s="14">
        <v>85</v>
      </c>
      <c r="H174" s="14">
        <v>150</v>
      </c>
      <c r="I174" s="14">
        <v>77</v>
      </c>
      <c r="J174" s="14">
        <v>1183</v>
      </c>
      <c r="K174" s="14">
        <v>182</v>
      </c>
      <c r="L174" s="14">
        <v>12183</v>
      </c>
    </row>
    <row r="175" spans="1:13" x14ac:dyDescent="0.25">
      <c r="A175" s="16"/>
      <c r="B175" s="14">
        <v>2008</v>
      </c>
      <c r="C175" s="14">
        <v>2873</v>
      </c>
      <c r="D175" s="14">
        <v>1189</v>
      </c>
      <c r="E175" s="14">
        <v>9609</v>
      </c>
      <c r="F175" s="14">
        <v>508</v>
      </c>
      <c r="G175" s="14">
        <v>102</v>
      </c>
      <c r="H175" s="14">
        <v>162</v>
      </c>
      <c r="I175" s="14">
        <v>230</v>
      </c>
      <c r="J175" s="14">
        <v>1261</v>
      </c>
      <c r="K175" s="14">
        <v>237</v>
      </c>
      <c r="L175" s="14">
        <v>16171</v>
      </c>
    </row>
    <row r="176" spans="1:13" x14ac:dyDescent="0.25">
      <c r="A176" s="16"/>
      <c r="B176" s="14">
        <v>2009</v>
      </c>
      <c r="C176" s="14">
        <v>2820</v>
      </c>
      <c r="D176" s="14">
        <v>1189</v>
      </c>
      <c r="E176" s="14">
        <v>11349</v>
      </c>
      <c r="F176" s="14">
        <v>356</v>
      </c>
      <c r="G176" s="14">
        <v>95</v>
      </c>
      <c r="H176" s="14">
        <v>116</v>
      </c>
      <c r="I176" s="14">
        <v>387</v>
      </c>
      <c r="J176" s="14">
        <v>1122</v>
      </c>
      <c r="K176" s="14">
        <v>88</v>
      </c>
      <c r="L176" s="14">
        <v>17522</v>
      </c>
    </row>
    <row r="177" spans="1:12" x14ac:dyDescent="0.25">
      <c r="A177" s="16"/>
      <c r="B177" s="14">
        <v>2010</v>
      </c>
      <c r="C177" s="14">
        <v>2188</v>
      </c>
      <c r="D177" s="14">
        <v>1820</v>
      </c>
      <c r="E177" s="14">
        <v>12008</v>
      </c>
      <c r="F177" s="14">
        <v>339</v>
      </c>
      <c r="G177" s="14">
        <v>29</v>
      </c>
      <c r="H177" s="14">
        <v>133</v>
      </c>
      <c r="I177" s="14">
        <v>560</v>
      </c>
      <c r="J177" s="14">
        <v>1293</v>
      </c>
      <c r="K177" s="14">
        <v>394</v>
      </c>
      <c r="L177" s="14">
        <v>18764</v>
      </c>
    </row>
    <row r="178" spans="1:12" x14ac:dyDescent="0.25">
      <c r="A178" s="16"/>
      <c r="B178" s="14">
        <v>2011</v>
      </c>
      <c r="C178" s="14">
        <v>2912</v>
      </c>
      <c r="D178" s="14">
        <v>2255</v>
      </c>
      <c r="E178" s="14">
        <v>22866</v>
      </c>
      <c r="F178" s="14">
        <v>393</v>
      </c>
      <c r="G178" s="14">
        <v>31</v>
      </c>
      <c r="H178" s="14">
        <v>135</v>
      </c>
      <c r="I178" s="14">
        <v>568</v>
      </c>
      <c r="J178" s="14">
        <v>2601</v>
      </c>
      <c r="K178" s="14">
        <v>440</v>
      </c>
      <c r="L178" s="14">
        <v>32201</v>
      </c>
    </row>
    <row r="179" spans="1:12" x14ac:dyDescent="0.25">
      <c r="A179" s="16"/>
      <c r="B179" s="14">
        <v>2012</v>
      </c>
      <c r="C179" s="14">
        <f>C178+265</f>
        <v>3177</v>
      </c>
      <c r="D179" s="14">
        <f>D178+156</f>
        <v>2411</v>
      </c>
      <c r="E179" s="14">
        <f>E178+4616</f>
        <v>27482</v>
      </c>
      <c r="F179" s="14">
        <f>F178+38</f>
        <v>431</v>
      </c>
      <c r="G179" s="14">
        <f>G178+1</f>
        <v>32</v>
      </c>
      <c r="H179" s="14">
        <f>H178+12</f>
        <v>147</v>
      </c>
      <c r="I179" s="14">
        <f>I178+67</f>
        <v>635</v>
      </c>
      <c r="J179" s="14">
        <f>J178+456</f>
        <v>3057</v>
      </c>
      <c r="K179" s="14">
        <f>K178+15</f>
        <v>455</v>
      </c>
      <c r="L179" s="14">
        <f>SUM(C179:K179)</f>
        <v>37827</v>
      </c>
    </row>
    <row r="180" spans="1:12" x14ac:dyDescent="0.25">
      <c r="A180" s="16"/>
      <c r="B180" s="14">
        <v>2013</v>
      </c>
      <c r="C180" s="14">
        <f>C179+299</f>
        <v>3476</v>
      </c>
      <c r="D180" s="14">
        <f>D179+372</f>
        <v>2783</v>
      </c>
      <c r="E180" s="14">
        <f>E179+6238</f>
        <v>33720</v>
      </c>
      <c r="F180" s="14">
        <f>F179+36</f>
        <v>467</v>
      </c>
      <c r="G180" s="14">
        <f>G179+1</f>
        <v>33</v>
      </c>
      <c r="H180" s="14">
        <f>H179+10</f>
        <v>157</v>
      </c>
      <c r="I180" s="14">
        <f>I179+95</f>
        <v>730</v>
      </c>
      <c r="J180" s="14">
        <f>J179+543</f>
        <v>3600</v>
      </c>
      <c r="K180" s="14">
        <f>K179+30</f>
        <v>485</v>
      </c>
      <c r="L180" s="14">
        <f>SUM(C180:K180)</f>
        <v>45451</v>
      </c>
    </row>
    <row r="181" spans="1:12" x14ac:dyDescent="0.25">
      <c r="A181" s="16"/>
      <c r="B181" s="14" t="s">
        <v>24</v>
      </c>
      <c r="C181" s="14">
        <v>3499</v>
      </c>
      <c r="D181" s="14">
        <v>2887</v>
      </c>
      <c r="E181" s="14">
        <v>24197</v>
      </c>
      <c r="F181" s="14">
        <v>517</v>
      </c>
      <c r="G181" s="14">
        <v>32</v>
      </c>
      <c r="H181" s="14">
        <v>146</v>
      </c>
      <c r="I181" s="14">
        <v>919</v>
      </c>
      <c r="J181" s="14">
        <v>3165</v>
      </c>
      <c r="K181" s="14">
        <v>445</v>
      </c>
      <c r="L181" s="14">
        <f>SUM(C181:K181)</f>
        <v>35807</v>
      </c>
    </row>
    <row r="182" spans="1:12" x14ac:dyDescent="0.25">
      <c r="A182" s="16"/>
      <c r="B182" s="19" t="s">
        <v>25</v>
      </c>
      <c r="C182" s="14">
        <v>3739</v>
      </c>
      <c r="D182" s="14">
        <v>3261</v>
      </c>
      <c r="E182" s="14">
        <v>32576</v>
      </c>
      <c r="F182" s="14">
        <v>587</v>
      </c>
      <c r="G182" s="14">
        <v>37</v>
      </c>
      <c r="H182" s="14">
        <v>148</v>
      </c>
      <c r="I182" s="14">
        <v>1078</v>
      </c>
      <c r="J182" s="14">
        <v>3827</v>
      </c>
      <c r="K182" s="14">
        <v>477</v>
      </c>
      <c r="L182" s="14">
        <v>45730</v>
      </c>
    </row>
    <row r="183" spans="1:12" x14ac:dyDescent="0.25">
      <c r="A183" s="16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1:12" x14ac:dyDescent="0.25">
      <c r="A184" s="13" t="s">
        <v>48</v>
      </c>
      <c r="B184" s="18">
        <v>2007</v>
      </c>
      <c r="C184" s="18">
        <v>1581</v>
      </c>
      <c r="D184" s="18">
        <v>1511</v>
      </c>
      <c r="E184" s="18">
        <v>37096</v>
      </c>
      <c r="F184" s="18">
        <v>243</v>
      </c>
      <c r="G184" s="18">
        <v>240</v>
      </c>
      <c r="H184" s="18">
        <v>59</v>
      </c>
      <c r="I184" s="18">
        <v>56</v>
      </c>
      <c r="J184" s="18">
        <v>1281</v>
      </c>
      <c r="K184" s="18">
        <v>10</v>
      </c>
      <c r="L184" s="18">
        <v>42077</v>
      </c>
    </row>
    <row r="185" spans="1:12" x14ac:dyDescent="0.25">
      <c r="A185" s="16"/>
      <c r="B185" s="18">
        <v>2008</v>
      </c>
      <c r="C185" s="18">
        <v>3916</v>
      </c>
      <c r="D185" s="18">
        <v>3835</v>
      </c>
      <c r="E185" s="18">
        <v>58645</v>
      </c>
      <c r="F185" s="18">
        <v>784</v>
      </c>
      <c r="G185" s="18">
        <v>241</v>
      </c>
      <c r="H185" s="18">
        <v>180</v>
      </c>
      <c r="I185" s="18">
        <v>231</v>
      </c>
      <c r="J185" s="18">
        <v>4704</v>
      </c>
      <c r="K185" s="18">
        <v>346</v>
      </c>
      <c r="L185" s="18">
        <v>72882</v>
      </c>
    </row>
    <row r="186" spans="1:12" x14ac:dyDescent="0.25">
      <c r="A186" s="16"/>
      <c r="B186" s="18">
        <v>2009</v>
      </c>
      <c r="C186" s="18">
        <v>4243</v>
      </c>
      <c r="D186" s="18">
        <v>4163</v>
      </c>
      <c r="E186" s="18">
        <v>64680</v>
      </c>
      <c r="F186" s="18">
        <v>838</v>
      </c>
      <c r="G186" s="18">
        <v>242</v>
      </c>
      <c r="H186" s="18">
        <v>190</v>
      </c>
      <c r="I186" s="18">
        <v>249</v>
      </c>
      <c r="J186" s="18">
        <v>5235</v>
      </c>
      <c r="K186" s="18">
        <v>362</v>
      </c>
      <c r="L186" s="18">
        <v>80202</v>
      </c>
    </row>
    <row r="187" spans="1:12" x14ac:dyDescent="0.25">
      <c r="A187" s="16"/>
      <c r="B187" s="18">
        <v>2010</v>
      </c>
      <c r="C187" s="18">
        <v>4676</v>
      </c>
      <c r="D187" s="18">
        <v>4944</v>
      </c>
      <c r="E187" s="18">
        <v>75566</v>
      </c>
      <c r="F187" s="18">
        <v>984</v>
      </c>
      <c r="G187" s="18">
        <v>242</v>
      </c>
      <c r="H187" s="18">
        <v>196</v>
      </c>
      <c r="I187" s="18">
        <v>263</v>
      </c>
      <c r="J187" s="18">
        <v>6189</v>
      </c>
      <c r="K187" s="18">
        <v>383</v>
      </c>
      <c r="L187" s="18">
        <v>93443</v>
      </c>
    </row>
    <row r="188" spans="1:12" x14ac:dyDescent="0.25">
      <c r="A188" s="25"/>
      <c r="B188" s="18">
        <v>2011</v>
      </c>
      <c r="C188" s="18">
        <v>5495</v>
      </c>
      <c r="D188" s="18">
        <v>4493</v>
      </c>
      <c r="E188" s="18">
        <v>80131</v>
      </c>
      <c r="F188" s="18">
        <v>1849</v>
      </c>
      <c r="G188" s="18">
        <v>93</v>
      </c>
      <c r="H188" s="18">
        <v>257</v>
      </c>
      <c r="I188" s="18">
        <v>381</v>
      </c>
      <c r="J188" s="18">
        <v>5526</v>
      </c>
      <c r="K188" s="18">
        <v>746</v>
      </c>
      <c r="L188" s="18">
        <v>98971</v>
      </c>
    </row>
    <row r="189" spans="1:12" x14ac:dyDescent="0.25">
      <c r="A189" s="25"/>
      <c r="B189" s="18">
        <v>2012</v>
      </c>
      <c r="C189" s="18">
        <f>C188+882</f>
        <v>6377</v>
      </c>
      <c r="D189" s="18">
        <f>D188+1254</f>
        <v>5747</v>
      </c>
      <c r="E189" s="18">
        <f>E188+15977</f>
        <v>96108</v>
      </c>
      <c r="F189" s="18">
        <f>F188+95</f>
        <v>1944</v>
      </c>
      <c r="G189" s="18">
        <f>G188+0</f>
        <v>93</v>
      </c>
      <c r="H189" s="18">
        <f>H188+10</f>
        <v>267</v>
      </c>
      <c r="I189" s="18">
        <f>I188+232</f>
        <v>613</v>
      </c>
      <c r="J189" s="18">
        <f>J188+1404</f>
        <v>6930</v>
      </c>
      <c r="K189" s="18">
        <f>K188+55</f>
        <v>801</v>
      </c>
      <c r="L189" s="18">
        <f>SUM(C189:K189)</f>
        <v>118880</v>
      </c>
    </row>
    <row r="190" spans="1:12" x14ac:dyDescent="0.25">
      <c r="A190" s="25"/>
      <c r="B190" s="27" t="s">
        <v>32</v>
      </c>
      <c r="C190" s="54">
        <f>C189+886</f>
        <v>7263</v>
      </c>
      <c r="D190" s="54">
        <f>D189+1774</f>
        <v>7521</v>
      </c>
      <c r="E190" s="55">
        <f>E189+19465</f>
        <v>115573</v>
      </c>
      <c r="F190" s="55">
        <f>F189+85</f>
        <v>2029</v>
      </c>
      <c r="G190" s="55">
        <f>G189+1</f>
        <v>94</v>
      </c>
      <c r="H190" s="55">
        <f>H189+19</f>
        <v>286</v>
      </c>
      <c r="I190" s="55">
        <f>I189+136</f>
        <v>749</v>
      </c>
      <c r="J190" s="55">
        <f>J189+1266</f>
        <v>8196</v>
      </c>
      <c r="K190" s="55">
        <f>K189+83</f>
        <v>884</v>
      </c>
      <c r="L190" s="56">
        <f>SUM(C190:K190)</f>
        <v>142595</v>
      </c>
    </row>
    <row r="191" spans="1:12" x14ac:dyDescent="0.25">
      <c r="A191" s="26"/>
      <c r="B191" s="18" t="s">
        <v>24</v>
      </c>
      <c r="C191" s="30">
        <v>6237</v>
      </c>
      <c r="D191" s="30">
        <v>10319</v>
      </c>
      <c r="E191" s="19">
        <v>94738</v>
      </c>
      <c r="F191" s="19">
        <v>930</v>
      </c>
      <c r="G191" s="19">
        <v>4</v>
      </c>
      <c r="H191" s="19">
        <v>295</v>
      </c>
      <c r="I191" s="19">
        <v>1236</v>
      </c>
      <c r="J191" s="19">
        <v>7989</v>
      </c>
      <c r="K191" s="19">
        <v>3093</v>
      </c>
      <c r="L191" s="19">
        <f>SUM(C191:K191)</f>
        <v>124841</v>
      </c>
    </row>
    <row r="192" spans="1:12" x14ac:dyDescent="0.25">
      <c r="A192" s="32"/>
      <c r="B192" s="50" t="s">
        <v>25</v>
      </c>
      <c r="C192" s="50">
        <v>6826</v>
      </c>
      <c r="D192" s="50">
        <v>11333</v>
      </c>
      <c r="E192" s="50">
        <v>115975</v>
      </c>
      <c r="F192" s="50">
        <v>1005</v>
      </c>
      <c r="G192" s="50">
        <v>63</v>
      </c>
      <c r="H192" s="50">
        <v>295</v>
      </c>
      <c r="I192" s="50">
        <v>1390</v>
      </c>
      <c r="J192" s="50">
        <v>8797</v>
      </c>
      <c r="K192" s="50">
        <v>3142</v>
      </c>
      <c r="L192" s="50">
        <v>148826</v>
      </c>
    </row>
    <row r="193" spans="1:12" x14ac:dyDescent="0.25">
      <c r="A193" s="26"/>
      <c r="B193" s="26"/>
      <c r="C193" s="26"/>
      <c r="D193" s="26"/>
    </row>
    <row r="194" spans="1:12" ht="15.75" x14ac:dyDescent="0.25">
      <c r="A194" s="57" t="s">
        <v>43</v>
      </c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</row>
    <row r="195" spans="1:12" ht="16.5" x14ac:dyDescent="0.3">
      <c r="A195" s="2" t="s">
        <v>1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58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" t="s">
        <v>2</v>
      </c>
    </row>
    <row r="197" spans="1:12" x14ac:dyDescent="0.25">
      <c r="A197" s="7" t="s">
        <v>3</v>
      </c>
      <c r="B197" s="8" t="s">
        <v>4</v>
      </c>
      <c r="C197" s="8" t="s">
        <v>5</v>
      </c>
      <c r="D197" s="8" t="s">
        <v>6</v>
      </c>
      <c r="E197" s="8" t="s">
        <v>7</v>
      </c>
      <c r="F197" s="8" t="s">
        <v>8</v>
      </c>
      <c r="G197" s="8" t="s">
        <v>9</v>
      </c>
      <c r="H197" s="8" t="s">
        <v>10</v>
      </c>
      <c r="I197" s="8" t="s">
        <v>11</v>
      </c>
      <c r="J197" s="8" t="s">
        <v>12</v>
      </c>
      <c r="K197" s="8" t="s">
        <v>13</v>
      </c>
      <c r="L197" s="8" t="s">
        <v>14</v>
      </c>
    </row>
    <row r="198" spans="1:12" x14ac:dyDescent="0.25">
      <c r="A198" s="9"/>
      <c r="B198" s="15"/>
      <c r="C198" s="8" t="s">
        <v>15</v>
      </c>
      <c r="D198" s="8" t="s">
        <v>16</v>
      </c>
      <c r="E198" s="8" t="s">
        <v>17</v>
      </c>
      <c r="F198" s="8" t="s">
        <v>49</v>
      </c>
      <c r="G198" s="15"/>
      <c r="H198" s="8" t="s">
        <v>50</v>
      </c>
      <c r="I198" s="8" t="s">
        <v>20</v>
      </c>
      <c r="J198" s="8" t="s">
        <v>21</v>
      </c>
      <c r="K198" s="15"/>
      <c r="L198" s="15"/>
    </row>
    <row r="199" spans="1:12" x14ac:dyDescent="0.25">
      <c r="A199" s="11"/>
      <c r="B199" s="59"/>
      <c r="C199" s="59"/>
      <c r="D199" s="59"/>
      <c r="E199" s="59"/>
      <c r="F199" s="60" t="s">
        <v>22</v>
      </c>
      <c r="G199" s="59"/>
      <c r="H199" s="59"/>
      <c r="I199" s="59"/>
      <c r="J199" s="59"/>
      <c r="K199" s="59"/>
      <c r="L199" s="59"/>
    </row>
    <row r="200" spans="1:12" x14ac:dyDescent="0.25">
      <c r="A200" s="12">
        <v>-1</v>
      </c>
      <c r="B200" s="12">
        <v>-2</v>
      </c>
      <c r="C200" s="12">
        <v>-3</v>
      </c>
      <c r="D200" s="12">
        <v>-4</v>
      </c>
      <c r="E200" s="12">
        <v>-5</v>
      </c>
      <c r="F200" s="12">
        <v>-6</v>
      </c>
      <c r="G200" s="12">
        <v>-7</v>
      </c>
      <c r="H200" s="12">
        <v>-8</v>
      </c>
      <c r="I200" s="12">
        <v>-9</v>
      </c>
      <c r="J200" s="12">
        <v>-10</v>
      </c>
      <c r="K200" s="12">
        <v>-11</v>
      </c>
      <c r="L200" s="12">
        <v>-12</v>
      </c>
    </row>
    <row r="201" spans="1:12" x14ac:dyDescent="0.25">
      <c r="A201" s="13" t="s">
        <v>51</v>
      </c>
      <c r="B201" s="14">
        <v>2007</v>
      </c>
      <c r="C201" s="14">
        <v>7479</v>
      </c>
      <c r="D201" s="14">
        <v>26783</v>
      </c>
      <c r="E201" s="14">
        <v>58411</v>
      </c>
      <c r="F201" s="14">
        <v>1711</v>
      </c>
      <c r="G201" s="14">
        <v>614</v>
      </c>
      <c r="H201" s="14">
        <v>667</v>
      </c>
      <c r="I201" s="14">
        <v>855</v>
      </c>
      <c r="J201" s="14">
        <v>10806</v>
      </c>
      <c r="K201" s="8" t="s">
        <v>52</v>
      </c>
      <c r="L201" s="14">
        <v>107326</v>
      </c>
    </row>
    <row r="202" spans="1:12" x14ac:dyDescent="0.25">
      <c r="A202" s="16"/>
      <c r="B202" s="14">
        <v>2008</v>
      </c>
      <c r="C202" s="14">
        <v>7800</v>
      </c>
      <c r="D202" s="14">
        <v>27695</v>
      </c>
      <c r="E202" s="14">
        <v>63537</v>
      </c>
      <c r="F202" s="14">
        <v>1796</v>
      </c>
      <c r="G202" s="14">
        <v>614</v>
      </c>
      <c r="H202" s="14">
        <v>619</v>
      </c>
      <c r="I202" s="14">
        <v>500</v>
      </c>
      <c r="J202" s="14">
        <v>10935</v>
      </c>
      <c r="K202" s="14">
        <v>250</v>
      </c>
      <c r="L202" s="14">
        <v>113746</v>
      </c>
    </row>
    <row r="203" spans="1:12" x14ac:dyDescent="0.25">
      <c r="A203" s="16"/>
      <c r="B203" s="14">
        <v>2009</v>
      </c>
      <c r="C203" s="14">
        <v>15340</v>
      </c>
      <c r="D203" s="14">
        <v>6114</v>
      </c>
      <c r="E203" s="14">
        <v>59106</v>
      </c>
      <c r="F203" s="14">
        <v>2077</v>
      </c>
      <c r="G203" s="14">
        <v>241</v>
      </c>
      <c r="H203" s="14">
        <v>344</v>
      </c>
      <c r="I203" s="14">
        <v>1730</v>
      </c>
      <c r="J203" s="14">
        <v>1305</v>
      </c>
      <c r="K203" s="14">
        <v>28</v>
      </c>
      <c r="L203" s="14">
        <v>86285</v>
      </c>
    </row>
    <row r="204" spans="1:12" x14ac:dyDescent="0.25">
      <c r="A204" s="16"/>
      <c r="B204" s="14">
        <v>2010</v>
      </c>
      <c r="C204" s="14">
        <v>15520</v>
      </c>
      <c r="D204" s="14">
        <v>6204</v>
      </c>
      <c r="E204" s="14">
        <v>67636</v>
      </c>
      <c r="F204" s="14">
        <v>2151</v>
      </c>
      <c r="G204" s="14">
        <v>244</v>
      </c>
      <c r="H204" s="14">
        <v>348</v>
      </c>
      <c r="I204" s="14">
        <v>1782</v>
      </c>
      <c r="J204" s="14">
        <v>1553</v>
      </c>
      <c r="K204" s="14">
        <v>34</v>
      </c>
      <c r="L204" s="14">
        <v>95472</v>
      </c>
    </row>
    <row r="205" spans="1:12" x14ac:dyDescent="0.25">
      <c r="A205" s="16"/>
      <c r="B205" s="14">
        <v>2011</v>
      </c>
      <c r="C205" s="14">
        <v>15748</v>
      </c>
      <c r="D205" s="14">
        <v>6335</v>
      </c>
      <c r="E205" s="14">
        <v>77367</v>
      </c>
      <c r="F205" s="14">
        <v>2202</v>
      </c>
      <c r="G205" s="14">
        <v>244</v>
      </c>
      <c r="H205" s="14">
        <v>353</v>
      </c>
      <c r="I205" s="14">
        <v>1848</v>
      </c>
      <c r="J205" s="14">
        <v>1895</v>
      </c>
      <c r="K205" s="14">
        <v>59</v>
      </c>
      <c r="L205" s="14">
        <v>106051</v>
      </c>
    </row>
    <row r="206" spans="1:12" x14ac:dyDescent="0.25">
      <c r="A206" s="16"/>
      <c r="B206" s="14">
        <v>2012</v>
      </c>
      <c r="C206" s="14">
        <f>C205+426</f>
        <v>16174</v>
      </c>
      <c r="D206" s="14">
        <f>D205+533</f>
        <v>6868</v>
      </c>
      <c r="E206" s="14">
        <f>E205+15156</f>
        <v>92523</v>
      </c>
      <c r="F206" s="14">
        <f>F205+196</f>
        <v>2398</v>
      </c>
      <c r="G206" s="14">
        <f>G205+0</f>
        <v>244</v>
      </c>
      <c r="H206" s="14">
        <f>H205+16</f>
        <v>369</v>
      </c>
      <c r="I206" s="14">
        <f>I205+197</f>
        <v>2045</v>
      </c>
      <c r="J206" s="14">
        <f>J205+527</f>
        <v>2422</v>
      </c>
      <c r="K206" s="14">
        <f>K205+34</f>
        <v>93</v>
      </c>
      <c r="L206" s="14">
        <f>SUM(C206:K206)</f>
        <v>123136</v>
      </c>
    </row>
    <row r="207" spans="1:12" x14ac:dyDescent="0.25">
      <c r="A207" s="16"/>
      <c r="B207" s="14">
        <v>2013</v>
      </c>
      <c r="C207" s="14">
        <f>C206+798</f>
        <v>16972</v>
      </c>
      <c r="D207" s="14">
        <f>D206+963</f>
        <v>7831</v>
      </c>
      <c r="E207" s="14">
        <f>E206+12115</f>
        <v>104638</v>
      </c>
      <c r="F207" s="14">
        <f>F206+345</f>
        <v>2743</v>
      </c>
      <c r="G207" s="14">
        <f>G206+0</f>
        <v>244</v>
      </c>
      <c r="H207" s="14">
        <f>H206+6</f>
        <v>375</v>
      </c>
      <c r="I207" s="14">
        <f>I206+51</f>
        <v>2096</v>
      </c>
      <c r="J207" s="14">
        <f>J206+235</f>
        <v>2657</v>
      </c>
      <c r="K207" s="14">
        <f>K206+30</f>
        <v>123</v>
      </c>
      <c r="L207" s="14">
        <f>SUM(C207:K207)</f>
        <v>137679</v>
      </c>
    </row>
    <row r="208" spans="1:12" x14ac:dyDescent="0.25">
      <c r="A208" s="16"/>
      <c r="B208" s="14" t="s">
        <v>24</v>
      </c>
      <c r="C208" s="14">
        <v>6173</v>
      </c>
      <c r="D208" s="14">
        <v>10051</v>
      </c>
      <c r="E208" s="14">
        <v>91284</v>
      </c>
      <c r="F208" s="14">
        <v>2112</v>
      </c>
      <c r="G208" s="14">
        <v>47</v>
      </c>
      <c r="H208" s="14">
        <v>318</v>
      </c>
      <c r="I208" s="14">
        <v>862</v>
      </c>
      <c r="J208" s="14">
        <v>2555</v>
      </c>
      <c r="K208" s="14">
        <v>196</v>
      </c>
      <c r="L208" s="14">
        <f>SUM(C208:K208)</f>
        <v>113598</v>
      </c>
    </row>
    <row r="209" spans="1:13" x14ac:dyDescent="0.25">
      <c r="A209" s="16"/>
      <c r="B209" s="19" t="s">
        <v>25</v>
      </c>
      <c r="C209" s="14">
        <v>6824</v>
      </c>
      <c r="D209" s="14">
        <v>10827</v>
      </c>
      <c r="E209" s="14">
        <v>104102</v>
      </c>
      <c r="F209" s="14">
        <v>2179</v>
      </c>
      <c r="G209" s="14">
        <v>51</v>
      </c>
      <c r="H209" s="14">
        <v>318</v>
      </c>
      <c r="I209" s="14">
        <v>882</v>
      </c>
      <c r="J209" s="14">
        <v>2862</v>
      </c>
      <c r="K209" s="14">
        <v>233</v>
      </c>
      <c r="L209" s="14">
        <v>128278</v>
      </c>
    </row>
    <row r="210" spans="1:13" x14ac:dyDescent="0.25">
      <c r="A210" s="16"/>
      <c r="B210" s="14"/>
      <c r="C210" s="14"/>
      <c r="D210" s="14"/>
      <c r="E210" s="14"/>
      <c r="F210" s="14"/>
      <c r="G210" s="14"/>
      <c r="H210" s="14"/>
      <c r="I210" s="14"/>
      <c r="J210" s="14"/>
      <c r="K210" s="8"/>
      <c r="L210" s="14"/>
    </row>
    <row r="211" spans="1:13" x14ac:dyDescent="0.25">
      <c r="A211" s="13" t="s">
        <v>53</v>
      </c>
      <c r="B211" s="14">
        <v>2007</v>
      </c>
      <c r="C211" s="14">
        <v>11176</v>
      </c>
      <c r="D211" s="14">
        <v>40448</v>
      </c>
      <c r="E211" s="14">
        <v>95268</v>
      </c>
      <c r="F211" s="14">
        <v>7580</v>
      </c>
      <c r="G211" s="14">
        <v>1150</v>
      </c>
      <c r="H211" s="14">
        <v>1569</v>
      </c>
      <c r="I211" s="14">
        <v>1183</v>
      </c>
      <c r="J211" s="14">
        <v>1452</v>
      </c>
      <c r="K211" s="14">
        <v>1024</v>
      </c>
      <c r="L211" s="14">
        <v>160850</v>
      </c>
    </row>
    <row r="212" spans="1:13" x14ac:dyDescent="0.25">
      <c r="A212" s="16"/>
      <c r="B212" s="14">
        <v>2008</v>
      </c>
      <c r="C212" s="14">
        <v>11214</v>
      </c>
      <c r="D212" s="14">
        <v>41614</v>
      </c>
      <c r="E212" s="14">
        <v>96640</v>
      </c>
      <c r="F212" s="14">
        <v>7903</v>
      </c>
      <c r="G212" s="14">
        <v>1160</v>
      </c>
      <c r="H212" s="14">
        <v>1149</v>
      </c>
      <c r="I212" s="14">
        <v>1032</v>
      </c>
      <c r="J212" s="14">
        <v>1452</v>
      </c>
      <c r="K212" s="14">
        <v>1044</v>
      </c>
      <c r="L212" s="14">
        <v>163208</v>
      </c>
    </row>
    <row r="213" spans="1:13" x14ac:dyDescent="0.25">
      <c r="A213" s="16"/>
      <c r="B213" s="14">
        <v>2009</v>
      </c>
      <c r="C213" s="14">
        <v>16872</v>
      </c>
      <c r="D213" s="14">
        <v>57216</v>
      </c>
      <c r="E213" s="14">
        <v>133209</v>
      </c>
      <c r="F213" s="14">
        <v>10912</v>
      </c>
      <c r="G213" s="14">
        <v>1621</v>
      </c>
      <c r="H213" s="14">
        <v>2037</v>
      </c>
      <c r="I213" s="14">
        <v>1529</v>
      </c>
      <c r="J213" s="14">
        <v>2094</v>
      </c>
      <c r="K213" s="14">
        <v>1486</v>
      </c>
      <c r="L213" s="14">
        <v>226976</v>
      </c>
    </row>
    <row r="214" spans="1:13" x14ac:dyDescent="0.25">
      <c r="A214" s="16"/>
      <c r="B214" s="14">
        <v>2010</v>
      </c>
      <c r="C214" s="14">
        <v>18142</v>
      </c>
      <c r="D214" s="14">
        <v>60372</v>
      </c>
      <c r="E214" s="14">
        <v>142833</v>
      </c>
      <c r="F214" s="14">
        <v>11012</v>
      </c>
      <c r="G214" s="14">
        <v>1640</v>
      </c>
      <c r="H214" s="14">
        <v>2063</v>
      </c>
      <c r="I214" s="14">
        <v>1625</v>
      </c>
      <c r="J214" s="14">
        <v>2104</v>
      </c>
      <c r="K214" s="14">
        <v>1559</v>
      </c>
      <c r="L214" s="14">
        <v>241350</v>
      </c>
    </row>
    <row r="215" spans="1:13" x14ac:dyDescent="0.25">
      <c r="A215" s="16"/>
      <c r="B215" s="14">
        <v>2011</v>
      </c>
      <c r="C215" s="14">
        <v>19694</v>
      </c>
      <c r="D215" s="14">
        <v>64230</v>
      </c>
      <c r="E215" s="14">
        <v>154596</v>
      </c>
      <c r="F215" s="14">
        <v>11135</v>
      </c>
      <c r="G215" s="14">
        <v>1664</v>
      </c>
      <c r="H215" s="14">
        <v>2094</v>
      </c>
      <c r="I215" s="14">
        <v>1742</v>
      </c>
      <c r="J215" s="14">
        <v>2117</v>
      </c>
      <c r="K215" s="14">
        <v>1649</v>
      </c>
      <c r="L215" s="14">
        <v>258921</v>
      </c>
    </row>
    <row r="216" spans="1:13" x14ac:dyDescent="0.25">
      <c r="A216" s="16"/>
      <c r="B216" s="14">
        <v>2012</v>
      </c>
      <c r="C216" s="14">
        <f>C215+3091</f>
        <v>22785</v>
      </c>
      <c r="D216" s="14">
        <f>D215+7421</f>
        <v>71651</v>
      </c>
      <c r="E216" s="14">
        <f>E215+23944</f>
        <v>178540</v>
      </c>
      <c r="F216" s="14">
        <f>F215+6291</f>
        <v>17426</v>
      </c>
      <c r="G216" s="14">
        <f>G215+16</f>
        <v>1680</v>
      </c>
      <c r="H216" s="14">
        <f>H215+59</f>
        <v>2153</v>
      </c>
      <c r="I216" s="14">
        <f>I215+27</f>
        <v>1769</v>
      </c>
      <c r="J216" s="14">
        <f>J215+40</f>
        <v>2157</v>
      </c>
      <c r="K216" s="14">
        <f>K215+165</f>
        <v>1814</v>
      </c>
      <c r="L216" s="14">
        <f>SUM(C216:K216)</f>
        <v>299975</v>
      </c>
      <c r="M216" s="17"/>
    </row>
    <row r="217" spans="1:13" x14ac:dyDescent="0.25">
      <c r="A217" s="16"/>
      <c r="B217" s="14">
        <v>2013</v>
      </c>
      <c r="C217" s="14">
        <f>C216+2169</f>
        <v>24954</v>
      </c>
      <c r="D217" s="14">
        <f>D216+5231</f>
        <v>76882</v>
      </c>
      <c r="E217" s="14">
        <f>E216+20888</f>
        <v>199428</v>
      </c>
      <c r="F217" s="14">
        <f>F216+895</f>
        <v>18321</v>
      </c>
      <c r="G217" s="14">
        <f>G216+4</f>
        <v>1684</v>
      </c>
      <c r="H217" s="14">
        <f>H216+72</f>
        <v>2225</v>
      </c>
      <c r="I217" s="14">
        <f>I216+19</f>
        <v>1788</v>
      </c>
      <c r="J217" s="14">
        <f>J216+171</f>
        <v>2328</v>
      </c>
      <c r="K217" s="14">
        <f>K216+130</f>
        <v>1944</v>
      </c>
      <c r="L217" s="14">
        <f>SUM(C217:K217)</f>
        <v>329554</v>
      </c>
      <c r="M217" s="17"/>
    </row>
    <row r="218" spans="1:13" x14ac:dyDescent="0.25">
      <c r="A218" s="16"/>
      <c r="B218" s="14" t="s">
        <v>24</v>
      </c>
      <c r="C218" s="14">
        <v>33400</v>
      </c>
      <c r="D218" s="14">
        <v>64365</v>
      </c>
      <c r="E218" s="14">
        <v>193758</v>
      </c>
      <c r="F218" s="14">
        <v>24963</v>
      </c>
      <c r="G218" s="14">
        <v>2330</v>
      </c>
      <c r="H218" s="14">
        <v>1966</v>
      </c>
      <c r="I218" s="14">
        <v>2333</v>
      </c>
      <c r="J218" s="14">
        <v>2473</v>
      </c>
      <c r="K218" s="14">
        <v>2912</v>
      </c>
      <c r="L218" s="14">
        <f>SUM(C218:K218)</f>
        <v>328500</v>
      </c>
      <c r="M218" s="17"/>
    </row>
    <row r="219" spans="1:13" x14ac:dyDescent="0.25">
      <c r="A219" s="16"/>
      <c r="B219" s="19" t="s">
        <v>25</v>
      </c>
      <c r="C219" s="14">
        <v>35366</v>
      </c>
      <c r="D219" s="14">
        <v>69393</v>
      </c>
      <c r="E219" s="14">
        <v>219413</v>
      </c>
      <c r="F219" s="14">
        <v>25615</v>
      </c>
      <c r="G219" s="14">
        <v>2451</v>
      </c>
      <c r="H219" s="14">
        <v>1974</v>
      </c>
      <c r="I219" s="14">
        <v>2369</v>
      </c>
      <c r="J219" s="14">
        <v>2604</v>
      </c>
      <c r="K219" s="14">
        <v>3053</v>
      </c>
      <c r="L219" s="14">
        <v>362238</v>
      </c>
      <c r="M219" s="17"/>
    </row>
    <row r="220" spans="1:13" x14ac:dyDescent="0.25">
      <c r="A220" s="16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 spans="1:13" x14ac:dyDescent="0.25">
      <c r="A221" s="13" t="s">
        <v>54</v>
      </c>
      <c r="B221" s="14">
        <v>2007</v>
      </c>
      <c r="C221" s="14">
        <v>1863</v>
      </c>
      <c r="D221" s="14">
        <v>3630</v>
      </c>
      <c r="E221" s="14">
        <v>26555</v>
      </c>
      <c r="F221" s="14">
        <v>578</v>
      </c>
      <c r="G221" s="14">
        <v>185</v>
      </c>
      <c r="H221" s="14">
        <v>115</v>
      </c>
      <c r="I221" s="14">
        <v>96</v>
      </c>
      <c r="J221" s="14">
        <v>307</v>
      </c>
      <c r="K221" s="14">
        <v>205</v>
      </c>
      <c r="L221" s="14">
        <v>33534</v>
      </c>
    </row>
    <row r="222" spans="1:13" x14ac:dyDescent="0.25">
      <c r="A222" s="16"/>
      <c r="B222" s="14">
        <v>2008</v>
      </c>
      <c r="C222" s="14">
        <v>1946</v>
      </c>
      <c r="D222" s="14">
        <v>3774</v>
      </c>
      <c r="E222" s="14">
        <v>32489</v>
      </c>
      <c r="F222" s="14">
        <v>677</v>
      </c>
      <c r="G222" s="14">
        <v>186</v>
      </c>
      <c r="H222" s="14">
        <v>123</v>
      </c>
      <c r="I222" s="14">
        <v>127</v>
      </c>
      <c r="J222" s="14">
        <v>344</v>
      </c>
      <c r="K222" s="14">
        <v>205</v>
      </c>
      <c r="L222" s="14">
        <v>39871</v>
      </c>
    </row>
    <row r="223" spans="1:13" x14ac:dyDescent="0.25">
      <c r="A223" s="16"/>
      <c r="B223" s="14">
        <v>2009</v>
      </c>
      <c r="C223" s="14">
        <v>2157</v>
      </c>
      <c r="D223" s="14">
        <v>4090</v>
      </c>
      <c r="E223" s="14">
        <v>41671</v>
      </c>
      <c r="F223" s="14">
        <v>993</v>
      </c>
      <c r="G223" s="61">
        <v>221</v>
      </c>
      <c r="H223" s="14">
        <v>2309</v>
      </c>
      <c r="I223" s="14">
        <v>184</v>
      </c>
      <c r="J223" s="14">
        <v>471</v>
      </c>
      <c r="K223" s="14">
        <v>211</v>
      </c>
      <c r="L223" s="14">
        <v>52307</v>
      </c>
    </row>
    <row r="224" spans="1:13" x14ac:dyDescent="0.25">
      <c r="A224" s="16"/>
      <c r="B224" s="14">
        <v>2010</v>
      </c>
      <c r="C224" s="14">
        <v>2279</v>
      </c>
      <c r="D224" s="14">
        <v>4421</v>
      </c>
      <c r="E224" s="14">
        <v>45208</v>
      </c>
      <c r="F224" s="14">
        <v>1081</v>
      </c>
      <c r="G224" s="14">
        <v>225</v>
      </c>
      <c r="H224" s="14">
        <v>2324</v>
      </c>
      <c r="I224" s="14">
        <v>197</v>
      </c>
      <c r="J224" s="14">
        <v>551</v>
      </c>
      <c r="K224" s="14">
        <v>218</v>
      </c>
      <c r="L224" s="14">
        <v>56504</v>
      </c>
    </row>
    <row r="225" spans="1:13" x14ac:dyDescent="0.25">
      <c r="A225" s="16"/>
      <c r="B225" s="14">
        <v>2011</v>
      </c>
      <c r="C225" s="14">
        <v>2664</v>
      </c>
      <c r="D225" s="14">
        <v>5152</v>
      </c>
      <c r="E225" s="14">
        <v>52753</v>
      </c>
      <c r="F225" s="14">
        <v>1081</v>
      </c>
      <c r="G225" s="14">
        <v>229</v>
      </c>
      <c r="H225" s="14">
        <v>2340</v>
      </c>
      <c r="I225" s="14">
        <v>220</v>
      </c>
      <c r="J225" s="14">
        <v>722</v>
      </c>
      <c r="K225" s="14">
        <v>355</v>
      </c>
      <c r="L225" s="14">
        <v>65516</v>
      </c>
    </row>
    <row r="226" spans="1:13" x14ac:dyDescent="0.25">
      <c r="A226" s="16"/>
      <c r="B226" s="14">
        <v>2012</v>
      </c>
      <c r="C226" s="14">
        <f>C225+687</f>
        <v>3351</v>
      </c>
      <c r="D226" s="14">
        <f>D225+935</f>
        <v>6087</v>
      </c>
      <c r="E226" s="14">
        <f>E225+11840</f>
        <v>64593</v>
      </c>
      <c r="F226" s="14">
        <f>F225+90</f>
        <v>1171</v>
      </c>
      <c r="G226" s="14">
        <f>G225+6</f>
        <v>235</v>
      </c>
      <c r="H226" s="14">
        <f>H225+12</f>
        <v>2352</v>
      </c>
      <c r="I226" s="14">
        <f>I225+40</f>
        <v>260</v>
      </c>
      <c r="J226" s="14">
        <f>J225+222</f>
        <v>944</v>
      </c>
      <c r="K226" s="14">
        <f>K225+43</f>
        <v>398</v>
      </c>
      <c r="L226" s="14">
        <f>SUM(C226:K226)</f>
        <v>79391</v>
      </c>
    </row>
    <row r="227" spans="1:13" x14ac:dyDescent="0.25">
      <c r="A227" s="16"/>
      <c r="B227" s="14">
        <v>2013</v>
      </c>
      <c r="C227" s="14">
        <f>C226+760</f>
        <v>4111</v>
      </c>
      <c r="D227" s="14">
        <f>D226+1143</f>
        <v>7230</v>
      </c>
      <c r="E227" s="14">
        <f>E226+13927</f>
        <v>78520</v>
      </c>
      <c r="F227" s="14">
        <f>F226+17</f>
        <v>1188</v>
      </c>
      <c r="G227" s="14">
        <f>G226+2</f>
        <v>237</v>
      </c>
      <c r="H227" s="14">
        <f>H226+40</f>
        <v>2392</v>
      </c>
      <c r="I227" s="14">
        <f>I226+0</f>
        <v>260</v>
      </c>
      <c r="J227" s="14">
        <f>J226+371</f>
        <v>1315</v>
      </c>
      <c r="K227" s="14">
        <f>K226+35</f>
        <v>433</v>
      </c>
      <c r="L227" s="14">
        <f>SUM(C227:K227)</f>
        <v>95686</v>
      </c>
    </row>
    <row r="228" spans="1:13" x14ac:dyDescent="0.25">
      <c r="A228" s="16"/>
      <c r="B228" s="14" t="s">
        <v>24</v>
      </c>
      <c r="C228" s="14">
        <v>4585</v>
      </c>
      <c r="D228" s="14">
        <v>7958</v>
      </c>
      <c r="E228" s="14">
        <v>87200</v>
      </c>
      <c r="F228" s="14">
        <v>964</v>
      </c>
      <c r="G228" s="14">
        <v>18</v>
      </c>
      <c r="H228" s="14">
        <v>208</v>
      </c>
      <c r="I228" s="14">
        <v>251</v>
      </c>
      <c r="J228" s="14">
        <v>1314</v>
      </c>
      <c r="K228" s="14">
        <v>939</v>
      </c>
      <c r="L228" s="14">
        <f>SUM(C228:K228)</f>
        <v>103437</v>
      </c>
    </row>
    <row r="229" spans="1:13" x14ac:dyDescent="0.25">
      <c r="A229" s="16"/>
      <c r="B229" s="19" t="s">
        <v>25</v>
      </c>
      <c r="C229" s="14">
        <v>5166</v>
      </c>
      <c r="D229" s="14">
        <v>8701</v>
      </c>
      <c r="E229" s="14">
        <v>100877</v>
      </c>
      <c r="F229" s="14">
        <v>1236</v>
      </c>
      <c r="G229" s="14">
        <v>191</v>
      </c>
      <c r="H229" s="14">
        <v>240</v>
      </c>
      <c r="I229" s="14">
        <v>324</v>
      </c>
      <c r="J229" s="14">
        <v>1731</v>
      </c>
      <c r="K229" s="14">
        <v>959</v>
      </c>
      <c r="L229" s="14">
        <v>119425</v>
      </c>
    </row>
    <row r="230" spans="1:13" x14ac:dyDescent="0.25">
      <c r="A230" s="16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 spans="1:13" x14ac:dyDescent="0.25">
      <c r="A231" s="13" t="s">
        <v>55</v>
      </c>
      <c r="B231" s="14">
        <v>2007</v>
      </c>
      <c r="C231" s="14">
        <v>2360</v>
      </c>
      <c r="D231" s="14">
        <v>1844</v>
      </c>
      <c r="E231" s="14">
        <v>47053</v>
      </c>
      <c r="F231" s="14">
        <v>187</v>
      </c>
      <c r="G231" s="14">
        <v>125</v>
      </c>
      <c r="H231" s="14">
        <v>489</v>
      </c>
      <c r="I231" s="14">
        <v>490</v>
      </c>
      <c r="J231" s="14">
        <v>1367</v>
      </c>
      <c r="K231" s="14">
        <v>76</v>
      </c>
      <c r="L231" s="14">
        <v>53937</v>
      </c>
    </row>
    <row r="232" spans="1:13" x14ac:dyDescent="0.25">
      <c r="A232" s="16"/>
      <c r="B232" s="18">
        <v>2008</v>
      </c>
      <c r="C232" s="18">
        <v>2485</v>
      </c>
      <c r="D232" s="18">
        <v>1859</v>
      </c>
      <c r="E232" s="18">
        <v>50494</v>
      </c>
      <c r="F232" s="18">
        <v>211</v>
      </c>
      <c r="G232" s="18">
        <v>137</v>
      </c>
      <c r="H232" s="18">
        <v>503</v>
      </c>
      <c r="I232" s="18">
        <v>533</v>
      </c>
      <c r="J232" s="18">
        <v>1544</v>
      </c>
      <c r="K232" s="18">
        <v>84</v>
      </c>
      <c r="L232" s="18">
        <v>57850</v>
      </c>
    </row>
    <row r="233" spans="1:13" x14ac:dyDescent="0.25">
      <c r="A233" s="16"/>
      <c r="B233" s="14">
        <v>2009</v>
      </c>
      <c r="C233" s="14">
        <v>2654</v>
      </c>
      <c r="D233" s="14">
        <v>1882</v>
      </c>
      <c r="E233" s="14">
        <v>54345</v>
      </c>
      <c r="F233" s="14">
        <v>235</v>
      </c>
      <c r="G233" s="14">
        <v>142</v>
      </c>
      <c r="H233" s="14">
        <v>520</v>
      </c>
      <c r="I233" s="14">
        <v>581</v>
      </c>
      <c r="J233" s="14">
        <v>1964</v>
      </c>
      <c r="K233" s="14">
        <v>150</v>
      </c>
      <c r="L233" s="14">
        <v>62473</v>
      </c>
    </row>
    <row r="234" spans="1:13" x14ac:dyDescent="0.25">
      <c r="A234" s="16"/>
      <c r="B234" s="14">
        <v>2010</v>
      </c>
      <c r="C234" s="14">
        <v>2939</v>
      </c>
      <c r="D234" s="14">
        <v>2018</v>
      </c>
      <c r="E234" s="14">
        <v>59571</v>
      </c>
      <c r="F234" s="14">
        <v>243</v>
      </c>
      <c r="G234" s="14">
        <v>151</v>
      </c>
      <c r="H234" s="14">
        <v>536</v>
      </c>
      <c r="I234" s="14">
        <v>678</v>
      </c>
      <c r="J234" s="14">
        <v>2345</v>
      </c>
      <c r="K234" s="14">
        <v>155</v>
      </c>
      <c r="L234" s="14">
        <v>68636</v>
      </c>
    </row>
    <row r="235" spans="1:13" x14ac:dyDescent="0.25">
      <c r="A235" s="16"/>
      <c r="B235" s="18">
        <v>2011</v>
      </c>
      <c r="C235" s="19">
        <v>3022</v>
      </c>
      <c r="D235" s="19">
        <v>2261</v>
      </c>
      <c r="E235" s="19">
        <v>65884</v>
      </c>
      <c r="F235" s="19">
        <v>259</v>
      </c>
      <c r="G235" s="19">
        <v>161</v>
      </c>
      <c r="H235" s="19">
        <v>560</v>
      </c>
      <c r="I235" s="19">
        <v>921</v>
      </c>
      <c r="J235" s="19">
        <v>2791</v>
      </c>
      <c r="K235" s="19">
        <v>539</v>
      </c>
      <c r="L235" s="19">
        <v>76398</v>
      </c>
    </row>
    <row r="236" spans="1:13" x14ac:dyDescent="0.25">
      <c r="A236" s="16"/>
      <c r="B236" s="18">
        <v>2012</v>
      </c>
      <c r="C236" s="19">
        <f>C235+392</f>
        <v>3414</v>
      </c>
      <c r="D236" s="19">
        <f>D235+31</f>
        <v>2292</v>
      </c>
      <c r="E236" s="19">
        <f>E235+6622</f>
        <v>72506</v>
      </c>
      <c r="F236" s="19">
        <f>F235+83</f>
        <v>342</v>
      </c>
      <c r="G236" s="19">
        <f>G235+4</f>
        <v>165</v>
      </c>
      <c r="H236" s="19">
        <f>H235+14</f>
        <v>574</v>
      </c>
      <c r="I236" s="19">
        <f>I235+589</f>
        <v>1510</v>
      </c>
      <c r="J236" s="19">
        <f>J235+471</f>
        <v>3262</v>
      </c>
      <c r="K236" s="19">
        <f>K235+65</f>
        <v>604</v>
      </c>
      <c r="L236" s="19">
        <f>SUM(C236:K236)</f>
        <v>84669</v>
      </c>
    </row>
    <row r="237" spans="1:13" x14ac:dyDescent="0.25">
      <c r="A237" s="25"/>
      <c r="B237" s="18">
        <v>2013</v>
      </c>
      <c r="C237" s="19">
        <f>C236+768</f>
        <v>4182</v>
      </c>
      <c r="D237" s="19">
        <f>D236+1015</f>
        <v>3307</v>
      </c>
      <c r="E237" s="19">
        <f>E236+11739</f>
        <v>84245</v>
      </c>
      <c r="F237" s="19">
        <f>F236+168</f>
        <v>510</v>
      </c>
      <c r="G237" s="19">
        <f>G236+2</f>
        <v>167</v>
      </c>
      <c r="H237" s="19">
        <f>H236+19</f>
        <v>593</v>
      </c>
      <c r="I237" s="19">
        <f>I236+164</f>
        <v>1674</v>
      </c>
      <c r="J237" s="19">
        <f>J236+651</f>
        <v>3913</v>
      </c>
      <c r="K237" s="19">
        <f>K236+107</f>
        <v>711</v>
      </c>
      <c r="L237" s="19">
        <f>SUM(C237:K237)</f>
        <v>99302</v>
      </c>
      <c r="M237" s="31"/>
    </row>
    <row r="238" spans="1:13" x14ac:dyDescent="0.25">
      <c r="A238" s="25"/>
      <c r="B238" s="18" t="s">
        <v>24</v>
      </c>
      <c r="C238" s="19">
        <v>5161</v>
      </c>
      <c r="D238" s="19">
        <v>4409</v>
      </c>
      <c r="E238" s="19">
        <v>92735</v>
      </c>
      <c r="F238" s="19">
        <v>795</v>
      </c>
      <c r="G238" s="19">
        <v>167</v>
      </c>
      <c r="H238" s="19">
        <v>618</v>
      </c>
      <c r="I238" s="19">
        <v>1663</v>
      </c>
      <c r="J238" s="19">
        <v>4552</v>
      </c>
      <c r="K238" s="19">
        <v>500</v>
      </c>
      <c r="L238" s="19">
        <f>SUM(C238:K238)</f>
        <v>110600</v>
      </c>
    </row>
    <row r="239" spans="1:13" x14ac:dyDescent="0.25">
      <c r="A239" s="25"/>
      <c r="B239" s="19" t="s">
        <v>25</v>
      </c>
      <c r="C239" s="19">
        <v>5496</v>
      </c>
      <c r="D239" s="19">
        <v>4903</v>
      </c>
      <c r="E239" s="19">
        <v>99893</v>
      </c>
      <c r="F239" s="19">
        <v>860</v>
      </c>
      <c r="G239" s="19">
        <v>189</v>
      </c>
      <c r="H239" s="19">
        <v>618</v>
      </c>
      <c r="I239" s="19">
        <v>1663</v>
      </c>
      <c r="J239" s="19">
        <v>5006</v>
      </c>
      <c r="K239" s="19">
        <v>525</v>
      </c>
      <c r="L239" s="19">
        <v>119153</v>
      </c>
    </row>
    <row r="240" spans="1:13" x14ac:dyDescent="0.25">
      <c r="A240" s="25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1:12" x14ac:dyDescent="0.25">
      <c r="A241" s="62" t="s">
        <v>56</v>
      </c>
      <c r="B241" s="50" t="s">
        <v>25</v>
      </c>
      <c r="C241" s="50">
        <v>449</v>
      </c>
      <c r="D241" s="50">
        <v>918</v>
      </c>
      <c r="E241" s="50">
        <v>8413</v>
      </c>
      <c r="F241" s="50">
        <v>34</v>
      </c>
      <c r="G241" s="50">
        <v>6</v>
      </c>
      <c r="H241" s="50" t="s">
        <v>52</v>
      </c>
      <c r="I241" s="50">
        <v>38</v>
      </c>
      <c r="J241" s="50">
        <v>204</v>
      </c>
      <c r="K241" s="50">
        <v>21</v>
      </c>
      <c r="L241" s="50">
        <v>10083</v>
      </c>
    </row>
    <row r="242" spans="1:12" ht="16.5" x14ac:dyDescent="0.3">
      <c r="A242" s="63" t="s">
        <v>57</v>
      </c>
      <c r="B242" s="63"/>
      <c r="C242" s="63"/>
      <c r="D242" s="63"/>
      <c r="E242" s="64"/>
      <c r="F242" s="64"/>
      <c r="G242" s="64"/>
      <c r="H242" s="65" t="s">
        <v>58</v>
      </c>
      <c r="I242" s="65"/>
      <c r="J242" s="65"/>
      <c r="K242" s="65"/>
      <c r="L242" s="65"/>
    </row>
    <row r="243" spans="1:12" ht="15.75" x14ac:dyDescent="0.25">
      <c r="A243" s="63"/>
      <c r="B243" s="63"/>
      <c r="C243" s="63"/>
      <c r="D243" s="63"/>
      <c r="E243" s="66"/>
      <c r="F243" s="66"/>
      <c r="G243" s="66"/>
      <c r="H243" s="67" t="s">
        <v>59</v>
      </c>
      <c r="I243" s="67"/>
      <c r="J243" s="67"/>
      <c r="K243" s="67"/>
      <c r="L243" s="67"/>
    </row>
    <row r="244" spans="1:12" ht="15.75" x14ac:dyDescent="0.25">
      <c r="A244" s="63"/>
      <c r="B244" s="63"/>
      <c r="C244" s="63"/>
      <c r="D244" s="63"/>
      <c r="E244" s="66"/>
      <c r="F244" s="66"/>
      <c r="G244" s="66"/>
      <c r="H244" s="66"/>
      <c r="I244" s="66"/>
      <c r="J244" s="66"/>
      <c r="K244" s="66"/>
      <c r="L244" s="66"/>
    </row>
    <row r="245" spans="1:12" ht="15.75" x14ac:dyDescent="0.25">
      <c r="A245" s="68" t="s">
        <v>60</v>
      </c>
      <c r="B245" s="69"/>
      <c r="C245" s="69"/>
      <c r="D245" s="69"/>
      <c r="E245" s="69"/>
      <c r="F245" s="69"/>
      <c r="G245" s="69"/>
    </row>
    <row r="246" spans="1:12" ht="15.75" x14ac:dyDescent="0.25">
      <c r="A246" s="70"/>
    </row>
    <row r="247" spans="1:12" ht="15.75" x14ac:dyDescent="0.25">
      <c r="A247" s="70"/>
    </row>
    <row r="248" spans="1:12" ht="15.75" x14ac:dyDescent="0.25">
      <c r="A248" s="69"/>
    </row>
  </sheetData>
  <mergeCells count="15">
    <mergeCell ref="A242:D244"/>
    <mergeCell ref="H242:L242"/>
    <mergeCell ref="H243:L243"/>
    <mergeCell ref="A137:L137"/>
    <mergeCell ref="A138:L138"/>
    <mergeCell ref="A140:A142"/>
    <mergeCell ref="A194:L194"/>
    <mergeCell ref="A195:L195"/>
    <mergeCell ref="A197:A199"/>
    <mergeCell ref="A1:L1"/>
    <mergeCell ref="A2:L2"/>
    <mergeCell ref="A4:A6"/>
    <mergeCell ref="A78:L78"/>
    <mergeCell ref="A79:L79"/>
    <mergeCell ref="A81:A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2019-06-04T08:50:14Z</dcterms:created>
  <dcterms:modified xsi:type="dcterms:W3CDTF">2019-06-04T08:50:21Z</dcterms:modified>
</cp:coreProperties>
</file>