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garner/Desktop/"/>
    </mc:Choice>
  </mc:AlternateContent>
  <xr:revisionPtr revIDLastSave="0" documentId="13_ncr:1_{8D0762A5-DB19-AA4F-8B8D-333A36D91D03}" xr6:coauthVersionLast="47" xr6:coauthVersionMax="47" xr10:uidLastSave="{00000000-0000-0000-0000-000000000000}"/>
  <bookViews>
    <workbookView xWindow="0" yWindow="760" windowWidth="24960" windowHeight="19980" xr2:uid="{34B95D9E-01D3-1A45-B464-9EEBCD1CBF5A}"/>
  </bookViews>
  <sheets>
    <sheet name="ERA5" sheetId="1" r:id="rId1"/>
    <sheet name="SHARPPY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Q37" i="1"/>
  <c r="Q7" i="1"/>
  <c r="Q2" i="10" l="1"/>
  <c r="Q66" i="10"/>
  <c r="Q65" i="10"/>
  <c r="Q64" i="10"/>
  <c r="Q63" i="10"/>
  <c r="Q67" i="10" s="1"/>
  <c r="Q61" i="10"/>
  <c r="Q60" i="10"/>
  <c r="Q59" i="10"/>
  <c r="Q58" i="10"/>
  <c r="Q62" i="10" s="1"/>
  <c r="Q53" i="10"/>
  <c r="Q54" i="10" s="1"/>
  <c r="Q66" i="1"/>
  <c r="Q65" i="1"/>
  <c r="Q64" i="1"/>
  <c r="Q63" i="1"/>
  <c r="Q61" i="1"/>
  <c r="Q60" i="1"/>
  <c r="Q59" i="1"/>
  <c r="Q58" i="1"/>
  <c r="Q53" i="1"/>
  <c r="Q54" i="1" s="1"/>
  <c r="Q33" i="10"/>
  <c r="Q31" i="10"/>
  <c r="Q1" i="10"/>
  <c r="R4" i="10"/>
  <c r="R5" i="10"/>
  <c r="R6" i="10"/>
  <c r="T6" i="10" s="1"/>
  <c r="V6" i="10" s="1"/>
  <c r="R7" i="10"/>
  <c r="T7" i="10" s="1"/>
  <c r="V7" i="10" s="1"/>
  <c r="R8" i="10"/>
  <c r="T8" i="10" s="1"/>
  <c r="V8" i="10" s="1"/>
  <c r="R9" i="10"/>
  <c r="T9" i="10" s="1"/>
  <c r="V9" i="10" s="1"/>
  <c r="R10" i="10"/>
  <c r="T10" i="10" s="1"/>
  <c r="R11" i="10"/>
  <c r="T11" i="10" s="1"/>
  <c r="V11" i="10" s="1"/>
  <c r="R12" i="10"/>
  <c r="T12" i="10" s="1"/>
  <c r="V12" i="10" s="1"/>
  <c r="R13" i="10"/>
  <c r="T13" i="10" s="1"/>
  <c r="V13" i="10" s="1"/>
  <c r="R14" i="10"/>
  <c r="R15" i="10"/>
  <c r="R16" i="10"/>
  <c r="T16" i="10" s="1"/>
  <c r="V16" i="10" s="1"/>
  <c r="R17" i="10"/>
  <c r="T17" i="10" s="1"/>
  <c r="V17" i="10" s="1"/>
  <c r="R18" i="10"/>
  <c r="T18" i="10" s="1"/>
  <c r="V18" i="10" s="1"/>
  <c r="R19" i="10"/>
  <c r="T19" i="10" s="1"/>
  <c r="V19" i="10" s="1"/>
  <c r="R20" i="10"/>
  <c r="T20" i="10" s="1"/>
  <c r="V20" i="10" s="1"/>
  <c r="R21" i="10"/>
  <c r="T21" i="10" s="1"/>
  <c r="V21" i="10" s="1"/>
  <c r="R22" i="10"/>
  <c r="T22" i="10" s="1"/>
  <c r="V22" i="10" s="1"/>
  <c r="R23" i="10"/>
  <c r="T23" i="10" s="1"/>
  <c r="V23" i="10" s="1"/>
  <c r="R24" i="10"/>
  <c r="R25" i="10"/>
  <c r="R26" i="10"/>
  <c r="T26" i="10" s="1"/>
  <c r="V26" i="10" s="1"/>
  <c r="R27" i="10"/>
  <c r="T27" i="10" s="1"/>
  <c r="V27" i="10" s="1"/>
  <c r="R28" i="10"/>
  <c r="T28" i="10" s="1"/>
  <c r="V28" i="10" s="1"/>
  <c r="R29" i="10"/>
  <c r="T29" i="10" s="1"/>
  <c r="V29" i="10" s="1"/>
  <c r="R30" i="10"/>
  <c r="T30" i="10" s="1"/>
  <c r="V30" i="10" s="1"/>
  <c r="R31" i="10"/>
  <c r="T31" i="10" s="1"/>
  <c r="V31" i="10" s="1"/>
  <c r="R32" i="10"/>
  <c r="T32" i="10" s="1"/>
  <c r="V32" i="10" s="1"/>
  <c r="R33" i="10"/>
  <c r="T33" i="10" s="1"/>
  <c r="V33" i="10" s="1"/>
  <c r="R34" i="10"/>
  <c r="R35" i="10"/>
  <c r="R36" i="10"/>
  <c r="R37" i="10"/>
  <c r="T37" i="10" s="1"/>
  <c r="V37" i="10" s="1"/>
  <c r="R38" i="10"/>
  <c r="T38" i="10" s="1"/>
  <c r="V38" i="10" s="1"/>
  <c r="R39" i="10"/>
  <c r="T39" i="10" s="1"/>
  <c r="V39" i="10" s="1"/>
  <c r="R40" i="10"/>
  <c r="T40" i="10" s="1"/>
  <c r="V40" i="10" s="1"/>
  <c r="R41" i="10"/>
  <c r="T41" i="10" s="1"/>
  <c r="V41" i="10" s="1"/>
  <c r="R42" i="10"/>
  <c r="T42" i="10" s="1"/>
  <c r="V42" i="10" s="1"/>
  <c r="R43" i="10"/>
  <c r="T43" i="10" s="1"/>
  <c r="V43" i="10" s="1"/>
  <c r="R44" i="10"/>
  <c r="R45" i="10"/>
  <c r="R46" i="10"/>
  <c r="R47" i="10"/>
  <c r="T47" i="10" s="1"/>
  <c r="V47" i="10" s="1"/>
  <c r="R48" i="10"/>
  <c r="T48" i="10" s="1"/>
  <c r="V48" i="10" s="1"/>
  <c r="R49" i="10"/>
  <c r="T49" i="10" s="1"/>
  <c r="V49" i="10" s="1"/>
  <c r="R50" i="10"/>
  <c r="T50" i="10" s="1"/>
  <c r="V50" i="10" s="1"/>
  <c r="R51" i="10"/>
  <c r="T51" i="10" s="1"/>
  <c r="V51" i="10" s="1"/>
  <c r="R52" i="10"/>
  <c r="T52" i="10" s="1"/>
  <c r="V52" i="10" s="1"/>
  <c r="R53" i="10"/>
  <c r="T53" i="10" s="1"/>
  <c r="V53" i="10" s="1"/>
  <c r="R54" i="10"/>
  <c r="R55" i="10"/>
  <c r="T55" i="10" s="1"/>
  <c r="V55" i="10" s="1"/>
  <c r="R56" i="10"/>
  <c r="T56" i="10" s="1"/>
  <c r="V56" i="10" s="1"/>
  <c r="R57" i="10"/>
  <c r="T57" i="10" s="1"/>
  <c r="V57" i="10" s="1"/>
  <c r="R58" i="10"/>
  <c r="T58" i="10" s="1"/>
  <c r="V58" i="10" s="1"/>
  <c r="R59" i="10"/>
  <c r="T59" i="10" s="1"/>
  <c r="V59" i="10" s="1"/>
  <c r="R60" i="10"/>
  <c r="T60" i="10" s="1"/>
  <c r="V60" i="10" s="1"/>
  <c r="R61" i="10"/>
  <c r="T61" i="10" s="1"/>
  <c r="V61" i="10" s="1"/>
  <c r="R62" i="10"/>
  <c r="T62" i="10" s="1"/>
  <c r="V62" i="10" s="1"/>
  <c r="R63" i="10"/>
  <c r="T63" i="10" s="1"/>
  <c r="V63" i="10" s="1"/>
  <c r="R64" i="10"/>
  <c r="R65" i="10"/>
  <c r="R66" i="10"/>
  <c r="T66" i="10" s="1"/>
  <c r="V66" i="10" s="1"/>
  <c r="R67" i="10"/>
  <c r="T67" i="10" s="1"/>
  <c r="V67" i="10" s="1"/>
  <c r="R68" i="10"/>
  <c r="R69" i="10"/>
  <c r="T69" i="10" s="1"/>
  <c r="V69" i="10" s="1"/>
  <c r="R70" i="10"/>
  <c r="T70" i="10" s="1"/>
  <c r="V70" i="10" s="1"/>
  <c r="R71" i="10"/>
  <c r="T71" i="10" s="1"/>
  <c r="V71" i="10" s="1"/>
  <c r="R72" i="10"/>
  <c r="T72" i="10" s="1"/>
  <c r="V72" i="10" s="1"/>
  <c r="R73" i="10"/>
  <c r="T73" i="10" s="1"/>
  <c r="V73" i="10" s="1"/>
  <c r="R74" i="10"/>
  <c r="R75" i="10"/>
  <c r="R76" i="10"/>
  <c r="R77" i="10"/>
  <c r="R78" i="10"/>
  <c r="T78" i="10" s="1"/>
  <c r="V78" i="10" s="1"/>
  <c r="R79" i="10"/>
  <c r="T79" i="10" s="1"/>
  <c r="V79" i="10" s="1"/>
  <c r="R80" i="10"/>
  <c r="T80" i="10" s="1"/>
  <c r="V80" i="10" s="1"/>
  <c r="R81" i="10"/>
  <c r="T81" i="10" s="1"/>
  <c r="V81" i="10" s="1"/>
  <c r="R82" i="10"/>
  <c r="T82" i="10" s="1"/>
  <c r="V82" i="10" s="1"/>
  <c r="R83" i="10"/>
  <c r="T83" i="10" s="1"/>
  <c r="V83" i="10" s="1"/>
  <c r="R84" i="10"/>
  <c r="R85" i="10"/>
  <c r="R86" i="10"/>
  <c r="R87" i="10"/>
  <c r="R88" i="10"/>
  <c r="R89" i="10"/>
  <c r="R90" i="10"/>
  <c r="T90" i="10" s="1"/>
  <c r="V90" i="10" s="1"/>
  <c r="R91" i="10"/>
  <c r="T91" i="10" s="1"/>
  <c r="V91" i="10" s="1"/>
  <c r="R92" i="10"/>
  <c r="T92" i="10" s="1"/>
  <c r="V92" i="10" s="1"/>
  <c r="R93" i="10"/>
  <c r="T93" i="10" s="1"/>
  <c r="V93" i="10" s="1"/>
  <c r="R94" i="10"/>
  <c r="R3" i="10"/>
  <c r="T68" i="10"/>
  <c r="V68" i="10" s="1"/>
  <c r="T88" i="10"/>
  <c r="V88" i="10" s="1"/>
  <c r="T89" i="10"/>
  <c r="V89" i="10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2" i="10"/>
  <c r="T3" i="10"/>
  <c r="V3" i="10" s="1"/>
  <c r="T4" i="10"/>
  <c r="V4" i="10" s="1"/>
  <c r="T5" i="10"/>
  <c r="V5" i="10" s="1"/>
  <c r="T14" i="10"/>
  <c r="V14" i="10" s="1"/>
  <c r="T15" i="10"/>
  <c r="V15" i="10" s="1"/>
  <c r="T24" i="10"/>
  <c r="V24" i="10" s="1"/>
  <c r="T25" i="10"/>
  <c r="V25" i="10" s="1"/>
  <c r="T34" i="10"/>
  <c r="V34" i="10" s="1"/>
  <c r="T35" i="10"/>
  <c r="V35" i="10" s="1"/>
  <c r="T36" i="10"/>
  <c r="V36" i="10" s="1"/>
  <c r="T44" i="10"/>
  <c r="V44" i="10" s="1"/>
  <c r="T45" i="10"/>
  <c r="V45" i="10" s="1"/>
  <c r="T64" i="10"/>
  <c r="V64" i="10" s="1"/>
  <c r="T65" i="10"/>
  <c r="V65" i="10" s="1"/>
  <c r="T75" i="10"/>
  <c r="V75" i="10" s="1"/>
  <c r="T76" i="10"/>
  <c r="V76" i="10" s="1"/>
  <c r="T77" i="10"/>
  <c r="V77" i="10" s="1"/>
  <c r="T84" i="10"/>
  <c r="V84" i="10" s="1"/>
  <c r="T85" i="10"/>
  <c r="V85" i="10" s="1"/>
  <c r="T94" i="10"/>
  <c r="V94" i="10" s="1"/>
  <c r="R2" i="10"/>
  <c r="T2" i="10" s="1"/>
  <c r="V2" i="10" s="1"/>
  <c r="T86" i="10"/>
  <c r="V86" i="10" s="1"/>
  <c r="A98" i="10"/>
  <c r="B97" i="10"/>
  <c r="A97" i="10"/>
  <c r="T87" i="10"/>
  <c r="V87" i="10" s="1"/>
  <c r="T74" i="10"/>
  <c r="V74" i="10" s="1"/>
  <c r="N55" i="10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I55" i="10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D55" i="10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A55" i="10"/>
  <c r="T54" i="10"/>
  <c r="V54" i="10" s="1"/>
  <c r="H49" i="10"/>
  <c r="H47" i="10"/>
  <c r="H48" i="10" s="1"/>
  <c r="T46" i="10"/>
  <c r="V46" i="10" s="1"/>
  <c r="O45" i="10"/>
  <c r="N45" i="10"/>
  <c r="G45" i="10"/>
  <c r="N44" i="10"/>
  <c r="N46" i="10" s="1"/>
  <c r="G44" i="10"/>
  <c r="Q10" i="10"/>
  <c r="AD3" i="10"/>
  <c r="AD4" i="10" s="1"/>
  <c r="AF4" i="10" s="1"/>
  <c r="AL2" i="10"/>
  <c r="AF2" i="10"/>
  <c r="AF1" i="10"/>
  <c r="T1" i="10"/>
  <c r="V1" i="10" s="1"/>
  <c r="Q55" i="10" l="1"/>
  <c r="Q56" i="10" s="1"/>
  <c r="Q62" i="1"/>
  <c r="Q55" i="1" s="1"/>
  <c r="Q67" i="1"/>
  <c r="AC21" i="10"/>
  <c r="AC31" i="10"/>
  <c r="AC41" i="10"/>
  <c r="AC51" i="10"/>
  <c r="AC61" i="10"/>
  <c r="AC71" i="10"/>
  <c r="AC81" i="10"/>
  <c r="AC91" i="10"/>
  <c r="AC101" i="10"/>
  <c r="AC111" i="10"/>
  <c r="AC121" i="10"/>
  <c r="AC131" i="10"/>
  <c r="AC141" i="10"/>
  <c r="AC151" i="10"/>
  <c r="AC161" i="10"/>
  <c r="AC171" i="10"/>
  <c r="AC181" i="10"/>
  <c r="AC191" i="10"/>
  <c r="AC201" i="10"/>
  <c r="AC211" i="10"/>
  <c r="AC45" i="10"/>
  <c r="AC85" i="10"/>
  <c r="AC125" i="10"/>
  <c r="AC155" i="10"/>
  <c r="AC195" i="10"/>
  <c r="AC36" i="10"/>
  <c r="AC76" i="10"/>
  <c r="AC106" i="10"/>
  <c r="AC156" i="10"/>
  <c r="AC206" i="10"/>
  <c r="AC27" i="10"/>
  <c r="AC67" i="10"/>
  <c r="AC107" i="10"/>
  <c r="AC147" i="10"/>
  <c r="AC187" i="10"/>
  <c r="AC48" i="10"/>
  <c r="AC98" i="10"/>
  <c r="AC118" i="10"/>
  <c r="AC158" i="10"/>
  <c r="AC198" i="10"/>
  <c r="AC29" i="10"/>
  <c r="AC69" i="10"/>
  <c r="AC109" i="10"/>
  <c r="AC149" i="10"/>
  <c r="AC189" i="10"/>
  <c r="AC20" i="10"/>
  <c r="AC80" i="10"/>
  <c r="AC130" i="10"/>
  <c r="AC160" i="10"/>
  <c r="AC22" i="10"/>
  <c r="AC32" i="10"/>
  <c r="AC42" i="10"/>
  <c r="AC52" i="10"/>
  <c r="AC62" i="10"/>
  <c r="AC72" i="10"/>
  <c r="AC82" i="10"/>
  <c r="AC92" i="10"/>
  <c r="AC102" i="10"/>
  <c r="AC112" i="10"/>
  <c r="AC122" i="10"/>
  <c r="AC132" i="10"/>
  <c r="AC142" i="10"/>
  <c r="AC152" i="10"/>
  <c r="AC162" i="10"/>
  <c r="AC172" i="10"/>
  <c r="AC182" i="10"/>
  <c r="AC192" i="10"/>
  <c r="AC202" i="10"/>
  <c r="AC212" i="10"/>
  <c r="AC25" i="10"/>
  <c r="AC65" i="10"/>
  <c r="AC95" i="10"/>
  <c r="AC135" i="10"/>
  <c r="AC205" i="10"/>
  <c r="AC56" i="10"/>
  <c r="AC116" i="10"/>
  <c r="AC146" i="10"/>
  <c r="AC186" i="10"/>
  <c r="AC37" i="10"/>
  <c r="AC97" i="10"/>
  <c r="AC157" i="10"/>
  <c r="AC197" i="10"/>
  <c r="AC28" i="10"/>
  <c r="AC58" i="10"/>
  <c r="AC78" i="10"/>
  <c r="AC108" i="10"/>
  <c r="AC148" i="10"/>
  <c r="AC178" i="10"/>
  <c r="AC208" i="10"/>
  <c r="AC59" i="10"/>
  <c r="AC99" i="10"/>
  <c r="AC139" i="10"/>
  <c r="AC179" i="10"/>
  <c r="AC30" i="10"/>
  <c r="AC60" i="10"/>
  <c r="AC100" i="10"/>
  <c r="AC150" i="10"/>
  <c r="AC210" i="10"/>
  <c r="AC3" i="10"/>
  <c r="AC23" i="10"/>
  <c r="AC33" i="10"/>
  <c r="AC43" i="10"/>
  <c r="AC53" i="10"/>
  <c r="AC63" i="10"/>
  <c r="AC73" i="10"/>
  <c r="AC83" i="10"/>
  <c r="AC93" i="10"/>
  <c r="AC103" i="10"/>
  <c r="AC113" i="10"/>
  <c r="AC123" i="10"/>
  <c r="AC133" i="10"/>
  <c r="AC143" i="10"/>
  <c r="AC153" i="10"/>
  <c r="AC163" i="10"/>
  <c r="AC173" i="10"/>
  <c r="AC183" i="10"/>
  <c r="AC193" i="10"/>
  <c r="AC203" i="10"/>
  <c r="AC2" i="10"/>
  <c r="AC55" i="10"/>
  <c r="AC115" i="10"/>
  <c r="AC165" i="10"/>
  <c r="AC185" i="10"/>
  <c r="AC6" i="10"/>
  <c r="AC26" i="10"/>
  <c r="AC66" i="10"/>
  <c r="AC86" i="10"/>
  <c r="AC126" i="10"/>
  <c r="AC166" i="10"/>
  <c r="AC196" i="10"/>
  <c r="AC47" i="10"/>
  <c r="AC77" i="10"/>
  <c r="AC127" i="10"/>
  <c r="AC167" i="10"/>
  <c r="AC207" i="10"/>
  <c r="AC8" i="10"/>
  <c r="AC68" i="10"/>
  <c r="AC128" i="10"/>
  <c r="AC168" i="10"/>
  <c r="AC39" i="10"/>
  <c r="AC79" i="10"/>
  <c r="AC119" i="10"/>
  <c r="AC159" i="10"/>
  <c r="AC199" i="10"/>
  <c r="AC40" i="10"/>
  <c r="AC70" i="10"/>
  <c r="AC110" i="10"/>
  <c r="AC180" i="10"/>
  <c r="AC4" i="10"/>
  <c r="AC24" i="10"/>
  <c r="AC34" i="10"/>
  <c r="AC44" i="10"/>
  <c r="AC54" i="10"/>
  <c r="AC64" i="10"/>
  <c r="AC74" i="10"/>
  <c r="AC84" i="10"/>
  <c r="AC94" i="10"/>
  <c r="AC104" i="10"/>
  <c r="AC114" i="10"/>
  <c r="AC124" i="10"/>
  <c r="AC134" i="10"/>
  <c r="AC144" i="10"/>
  <c r="AC154" i="10"/>
  <c r="AC164" i="10"/>
  <c r="AC174" i="10"/>
  <c r="AC184" i="10"/>
  <c r="AC194" i="10"/>
  <c r="AC204" i="10"/>
  <c r="AC35" i="10"/>
  <c r="AC75" i="10"/>
  <c r="AC105" i="10"/>
  <c r="AC145" i="10"/>
  <c r="AC175" i="10"/>
  <c r="AC46" i="10"/>
  <c r="AC96" i="10"/>
  <c r="AC136" i="10"/>
  <c r="AC176" i="10"/>
  <c r="AC7" i="10"/>
  <c r="AC57" i="10"/>
  <c r="AC87" i="10"/>
  <c r="AC137" i="10"/>
  <c r="AC177" i="10"/>
  <c r="AC38" i="10"/>
  <c r="AC88" i="10"/>
  <c r="AC138" i="10"/>
  <c r="AC188" i="10"/>
  <c r="AC49" i="10"/>
  <c r="AC89" i="10"/>
  <c r="AC129" i="10"/>
  <c r="AC169" i="10"/>
  <c r="AC209" i="10"/>
  <c r="AC50" i="10"/>
  <c r="AC90" i="10"/>
  <c r="AC120" i="10"/>
  <c r="AC140" i="10"/>
  <c r="AC200" i="10"/>
  <c r="AC190" i="10"/>
  <c r="AC117" i="10"/>
  <c r="AC170" i="10"/>
  <c r="AE4" i="10"/>
  <c r="AE2" i="10"/>
  <c r="AE3" i="10"/>
  <c r="AD5" i="10"/>
  <c r="AF3" i="10"/>
  <c r="AL3" i="10"/>
  <c r="H50" i="10"/>
  <c r="M44" i="10" s="1"/>
  <c r="H51" i="10"/>
  <c r="M45" i="10" s="1"/>
  <c r="D76" i="10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N76" i="10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V10" i="10"/>
  <c r="AC5" i="10" s="1"/>
  <c r="AG4" i="10"/>
  <c r="AG3" i="10"/>
  <c r="AL4" i="10"/>
  <c r="AG2" i="10"/>
  <c r="I76" i="10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A99" i="10"/>
  <c r="A56" i="10"/>
  <c r="Q11" i="10"/>
  <c r="B97" i="1"/>
  <c r="A98" i="1"/>
  <c r="A97" i="1"/>
  <c r="Q1" i="1"/>
  <c r="AG2" i="1"/>
  <c r="AG1" i="1"/>
  <c r="AO2" i="1"/>
  <c r="Q12" i="10" l="1"/>
  <c r="Q34" i="10"/>
  <c r="Q36" i="10" s="1"/>
  <c r="Q14" i="10" s="1"/>
  <c r="Q32" i="10"/>
  <c r="Q35" i="10" s="1"/>
  <c r="Q13" i="10" s="1"/>
  <c r="Q56" i="1"/>
  <c r="Q2" i="1" s="1"/>
  <c r="Q10" i="1" s="1"/>
  <c r="AC16" i="10"/>
  <c r="AC10" i="10"/>
  <c r="AC15" i="10"/>
  <c r="AC14" i="10"/>
  <c r="AC17" i="10"/>
  <c r="AC9" i="10"/>
  <c r="AC13" i="10"/>
  <c r="AC19" i="10"/>
  <c r="AC18" i="10"/>
  <c r="AC12" i="10"/>
  <c r="AC11" i="10"/>
  <c r="AL5" i="10"/>
  <c r="AE5" i="10"/>
  <c r="AD6" i="10"/>
  <c r="AE6" i="10" s="1"/>
  <c r="AH6" i="10" s="1"/>
  <c r="AF5" i="10"/>
  <c r="AG5" i="10"/>
  <c r="AK5" i="10" s="1"/>
  <c r="AK3" i="10"/>
  <c r="AJ4" i="10"/>
  <c r="I45" i="10"/>
  <c r="K45" i="10"/>
  <c r="K44" i="10"/>
  <c r="AL6" i="10"/>
  <c r="I44" i="10"/>
  <c r="AD7" i="10"/>
  <c r="AE7" i="10" s="1"/>
  <c r="AG6" i="10"/>
  <c r="AF6" i="10"/>
  <c r="M46" i="10"/>
  <c r="AM4" i="10"/>
  <c r="M55" i="10"/>
  <c r="E48" i="10"/>
  <c r="AK2" i="10"/>
  <c r="C47" i="10"/>
  <c r="AI2" i="10"/>
  <c r="D48" i="10"/>
  <c r="B47" i="10"/>
  <c r="AJ2" i="10"/>
  <c r="AH2" i="10"/>
  <c r="AM3" i="10"/>
  <c r="M54" i="10"/>
  <c r="A100" i="10"/>
  <c r="A57" i="10"/>
  <c r="Q11" i="1" l="1"/>
  <c r="Q12" i="1" s="1"/>
  <c r="M56" i="10"/>
  <c r="K46" i="10"/>
  <c r="AM5" i="10"/>
  <c r="AJ3" i="10"/>
  <c r="AI3" i="10"/>
  <c r="AH3" i="10"/>
  <c r="AH4" i="10"/>
  <c r="AK4" i="10"/>
  <c r="AH5" i="10"/>
  <c r="AI5" i="10"/>
  <c r="AJ5" i="10"/>
  <c r="I46" i="10"/>
  <c r="AL7" i="10"/>
  <c r="AI6" i="10"/>
  <c r="AI4" i="10"/>
  <c r="AG7" i="10"/>
  <c r="AD8" i="10"/>
  <c r="AE8" i="10" s="1"/>
  <c r="AK6" i="10"/>
  <c r="AJ6" i="10"/>
  <c r="AM6" i="10"/>
  <c r="AF7" i="10"/>
  <c r="M57" i="10"/>
  <c r="O57" i="10" s="1"/>
  <c r="A101" i="10"/>
  <c r="A58" i="10"/>
  <c r="O56" i="10"/>
  <c r="O55" i="10"/>
  <c r="O54" i="10"/>
  <c r="R4" i="1"/>
  <c r="T4" i="1" s="1"/>
  <c r="V4" i="1" s="1"/>
  <c r="R5" i="1"/>
  <c r="T5" i="1" s="1"/>
  <c r="V5" i="1" s="1"/>
  <c r="R6" i="1"/>
  <c r="T6" i="1" s="1"/>
  <c r="V6" i="1" s="1"/>
  <c r="R7" i="1"/>
  <c r="T7" i="1" s="1"/>
  <c r="V7" i="1" s="1"/>
  <c r="R8" i="1"/>
  <c r="T8" i="1" s="1"/>
  <c r="V8" i="1" s="1"/>
  <c r="R9" i="1"/>
  <c r="T9" i="1" s="1"/>
  <c r="V9" i="1" s="1"/>
  <c r="R10" i="1"/>
  <c r="T10" i="1" s="1"/>
  <c r="V10" i="1" s="1"/>
  <c r="R11" i="1"/>
  <c r="T11" i="1" s="1"/>
  <c r="V11" i="1" s="1"/>
  <c r="R12" i="1"/>
  <c r="T12" i="1" s="1"/>
  <c r="V12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17" i="1"/>
  <c r="T17" i="1" s="1"/>
  <c r="V17" i="1" s="1"/>
  <c r="R18" i="1"/>
  <c r="T18" i="1" s="1"/>
  <c r="V18" i="1" s="1"/>
  <c r="R19" i="1"/>
  <c r="T19" i="1" s="1"/>
  <c r="V19" i="1" s="1"/>
  <c r="R20" i="1"/>
  <c r="T20" i="1" s="1"/>
  <c r="V20" i="1" s="1"/>
  <c r="R21" i="1"/>
  <c r="T21" i="1" s="1"/>
  <c r="V21" i="1" s="1"/>
  <c r="R22" i="1"/>
  <c r="T22" i="1" s="1"/>
  <c r="V22" i="1" s="1"/>
  <c r="R23" i="1"/>
  <c r="T23" i="1" s="1"/>
  <c r="V23" i="1" s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T28" i="1" s="1"/>
  <c r="V28" i="1" s="1"/>
  <c r="R29" i="1"/>
  <c r="T29" i="1" s="1"/>
  <c r="V29" i="1" s="1"/>
  <c r="R30" i="1"/>
  <c r="T30" i="1" s="1"/>
  <c r="V30" i="1" s="1"/>
  <c r="R31" i="1"/>
  <c r="T31" i="1" s="1"/>
  <c r="V31" i="1" s="1"/>
  <c r="R32" i="1"/>
  <c r="T32" i="1" s="1"/>
  <c r="V32" i="1" s="1"/>
  <c r="R33" i="1"/>
  <c r="T33" i="1" s="1"/>
  <c r="V33" i="1" s="1"/>
  <c r="R34" i="1"/>
  <c r="T34" i="1" s="1"/>
  <c r="V34" i="1" s="1"/>
  <c r="R35" i="1"/>
  <c r="T35" i="1" s="1"/>
  <c r="V35" i="1" s="1"/>
  <c r="R36" i="1"/>
  <c r="T36" i="1" s="1"/>
  <c r="V36" i="1" s="1"/>
  <c r="R37" i="1"/>
  <c r="T37" i="1" s="1"/>
  <c r="V37" i="1" s="1"/>
  <c r="R38" i="1"/>
  <c r="T38" i="1" s="1"/>
  <c r="V38" i="1" s="1"/>
  <c r="R39" i="1"/>
  <c r="T39" i="1" s="1"/>
  <c r="V39" i="1" s="1"/>
  <c r="R40" i="1"/>
  <c r="T40" i="1" s="1"/>
  <c r="V40" i="1" s="1"/>
  <c r="R41" i="1"/>
  <c r="T41" i="1" s="1"/>
  <c r="V41" i="1" s="1"/>
  <c r="R42" i="1"/>
  <c r="T42" i="1" s="1"/>
  <c r="V42" i="1" s="1"/>
  <c r="R43" i="1"/>
  <c r="T43" i="1" s="1"/>
  <c r="V43" i="1" s="1"/>
  <c r="R44" i="1"/>
  <c r="T44" i="1" s="1"/>
  <c r="V44" i="1" s="1"/>
  <c r="R45" i="1"/>
  <c r="T45" i="1" s="1"/>
  <c r="V45" i="1" s="1"/>
  <c r="R46" i="1"/>
  <c r="T46" i="1" s="1"/>
  <c r="V46" i="1" s="1"/>
  <c r="R47" i="1"/>
  <c r="T47" i="1" s="1"/>
  <c r="V47" i="1" s="1"/>
  <c r="R48" i="1"/>
  <c r="T48" i="1" s="1"/>
  <c r="V48" i="1" s="1"/>
  <c r="R49" i="1"/>
  <c r="T49" i="1" s="1"/>
  <c r="V49" i="1" s="1"/>
  <c r="R50" i="1"/>
  <c r="T50" i="1" s="1"/>
  <c r="V50" i="1" s="1"/>
  <c r="R51" i="1"/>
  <c r="T51" i="1" s="1"/>
  <c r="V51" i="1" s="1"/>
  <c r="R52" i="1"/>
  <c r="T52" i="1" s="1"/>
  <c r="V52" i="1" s="1"/>
  <c r="R53" i="1"/>
  <c r="T53" i="1" s="1"/>
  <c r="V53" i="1" s="1"/>
  <c r="R54" i="1"/>
  <c r="T54" i="1" s="1"/>
  <c r="V54" i="1" s="1"/>
  <c r="R55" i="1"/>
  <c r="T55" i="1" s="1"/>
  <c r="V55" i="1" s="1"/>
  <c r="R56" i="1"/>
  <c r="T56" i="1" s="1"/>
  <c r="V56" i="1" s="1"/>
  <c r="R57" i="1"/>
  <c r="T57" i="1" s="1"/>
  <c r="V57" i="1" s="1"/>
  <c r="R58" i="1"/>
  <c r="T58" i="1" s="1"/>
  <c r="V58" i="1" s="1"/>
  <c r="R59" i="1"/>
  <c r="T59" i="1" s="1"/>
  <c r="V59" i="1" s="1"/>
  <c r="R60" i="1"/>
  <c r="T60" i="1" s="1"/>
  <c r="V60" i="1" s="1"/>
  <c r="R61" i="1"/>
  <c r="T61" i="1" s="1"/>
  <c r="V61" i="1" s="1"/>
  <c r="R62" i="1"/>
  <c r="T62" i="1" s="1"/>
  <c r="V62" i="1" s="1"/>
  <c r="R63" i="1"/>
  <c r="T63" i="1" s="1"/>
  <c r="V63" i="1" s="1"/>
  <c r="R64" i="1"/>
  <c r="T64" i="1" s="1"/>
  <c r="V64" i="1" s="1"/>
  <c r="R65" i="1"/>
  <c r="T65" i="1" s="1"/>
  <c r="V65" i="1" s="1"/>
  <c r="R66" i="1"/>
  <c r="T66" i="1" s="1"/>
  <c r="V66" i="1" s="1"/>
  <c r="R67" i="1"/>
  <c r="T67" i="1" s="1"/>
  <c r="V67" i="1" s="1"/>
  <c r="R68" i="1"/>
  <c r="T68" i="1" s="1"/>
  <c r="V68" i="1" s="1"/>
  <c r="R69" i="1"/>
  <c r="T69" i="1" s="1"/>
  <c r="V69" i="1" s="1"/>
  <c r="R70" i="1"/>
  <c r="T70" i="1" s="1"/>
  <c r="V70" i="1" s="1"/>
  <c r="R71" i="1"/>
  <c r="T71" i="1" s="1"/>
  <c r="V71" i="1" s="1"/>
  <c r="R72" i="1"/>
  <c r="T72" i="1" s="1"/>
  <c r="V72" i="1" s="1"/>
  <c r="R73" i="1"/>
  <c r="T73" i="1" s="1"/>
  <c r="V73" i="1" s="1"/>
  <c r="R74" i="1"/>
  <c r="T74" i="1" s="1"/>
  <c r="V74" i="1" s="1"/>
  <c r="R75" i="1"/>
  <c r="T75" i="1" s="1"/>
  <c r="V75" i="1" s="1"/>
  <c r="R76" i="1"/>
  <c r="T76" i="1" s="1"/>
  <c r="V76" i="1" s="1"/>
  <c r="R77" i="1"/>
  <c r="T77" i="1" s="1"/>
  <c r="V77" i="1" s="1"/>
  <c r="R78" i="1"/>
  <c r="T78" i="1" s="1"/>
  <c r="V78" i="1" s="1"/>
  <c r="R79" i="1"/>
  <c r="T79" i="1" s="1"/>
  <c r="V79" i="1" s="1"/>
  <c r="R80" i="1"/>
  <c r="T80" i="1" s="1"/>
  <c r="V80" i="1" s="1"/>
  <c r="R81" i="1"/>
  <c r="T81" i="1" s="1"/>
  <c r="V81" i="1" s="1"/>
  <c r="R82" i="1"/>
  <c r="T82" i="1" s="1"/>
  <c r="V82" i="1" s="1"/>
  <c r="R83" i="1"/>
  <c r="T83" i="1" s="1"/>
  <c r="V83" i="1" s="1"/>
  <c r="R84" i="1"/>
  <c r="T84" i="1" s="1"/>
  <c r="V84" i="1" s="1"/>
  <c r="R85" i="1"/>
  <c r="T85" i="1" s="1"/>
  <c r="V85" i="1" s="1"/>
  <c r="R86" i="1"/>
  <c r="T86" i="1" s="1"/>
  <c r="V86" i="1" s="1"/>
  <c r="R87" i="1"/>
  <c r="T87" i="1" s="1"/>
  <c r="V87" i="1" s="1"/>
  <c r="R88" i="1"/>
  <c r="T88" i="1" s="1"/>
  <c r="V88" i="1" s="1"/>
  <c r="R89" i="1"/>
  <c r="T89" i="1" s="1"/>
  <c r="V89" i="1" s="1"/>
  <c r="R90" i="1"/>
  <c r="T90" i="1" s="1"/>
  <c r="V90" i="1" s="1"/>
  <c r="R91" i="1"/>
  <c r="T91" i="1" s="1"/>
  <c r="V91" i="1" s="1"/>
  <c r="R92" i="1"/>
  <c r="T92" i="1" s="1"/>
  <c r="V92" i="1" s="1"/>
  <c r="R93" i="1"/>
  <c r="T93" i="1" s="1"/>
  <c r="V93" i="1" s="1"/>
  <c r="R94" i="1"/>
  <c r="T94" i="1" s="1"/>
  <c r="V94" i="1" s="1"/>
  <c r="R3" i="1"/>
  <c r="T3" i="1" s="1"/>
  <c r="V3" i="1" s="1"/>
  <c r="AE3" i="1"/>
  <c r="T1" i="1"/>
  <c r="V1" i="1" s="1"/>
  <c r="R2" i="1"/>
  <c r="T2" i="1" s="1"/>
  <c r="V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2" i="1"/>
  <c r="AG8" i="10" l="1"/>
  <c r="AK7" i="10"/>
  <c r="AJ7" i="10"/>
  <c r="M58" i="10"/>
  <c r="O58" i="10" s="1"/>
  <c r="AH7" i="10"/>
  <c r="AL8" i="10"/>
  <c r="M59" i="10"/>
  <c r="AI7" i="10"/>
  <c r="AF8" i="10"/>
  <c r="AD9" i="10"/>
  <c r="AE9" i="10" s="1"/>
  <c r="AM7" i="10"/>
  <c r="A102" i="10"/>
  <c r="A59" i="10"/>
  <c r="AD2" i="1"/>
  <c r="AG3" i="1"/>
  <c r="AD3" i="1"/>
  <c r="AE4" i="1"/>
  <c r="AH4" i="1" s="1"/>
  <c r="AO3" i="1"/>
  <c r="AH2" i="1"/>
  <c r="AF2" i="1"/>
  <c r="AH3" i="1"/>
  <c r="AF3" i="1"/>
  <c r="AF4" i="1" l="1"/>
  <c r="E48" i="1"/>
  <c r="D48" i="1"/>
  <c r="AK8" i="10"/>
  <c r="AL9" i="10"/>
  <c r="AI8" i="10"/>
  <c r="AJ8" i="10"/>
  <c r="AH8" i="10"/>
  <c r="AM8" i="10"/>
  <c r="AG9" i="10"/>
  <c r="AF9" i="10"/>
  <c r="AD10" i="10"/>
  <c r="AE10" i="10" s="1"/>
  <c r="A103" i="10"/>
  <c r="A60" i="10"/>
  <c r="O59" i="10"/>
  <c r="M54" i="1"/>
  <c r="AD4" i="1"/>
  <c r="AN4" i="1" s="1"/>
  <c r="AG4" i="1"/>
  <c r="AK2" i="1"/>
  <c r="AN2" i="1"/>
  <c r="AN3" i="1"/>
  <c r="AK3" i="1"/>
  <c r="AM2" i="1"/>
  <c r="AI2" i="1"/>
  <c r="AI3" i="1"/>
  <c r="AM3" i="1"/>
  <c r="C47" i="1"/>
  <c r="AP3" i="1"/>
  <c r="B47" i="1"/>
  <c r="AE5" i="1"/>
  <c r="AO4" i="1"/>
  <c r="O45" i="1"/>
  <c r="N45" i="1"/>
  <c r="M55" i="1" l="1"/>
  <c r="AP4" i="1"/>
  <c r="AK9" i="10"/>
  <c r="M60" i="10"/>
  <c r="O60" i="10" s="1"/>
  <c r="AD11" i="10"/>
  <c r="AG11" i="10" s="1"/>
  <c r="AM9" i="10"/>
  <c r="AJ9" i="10"/>
  <c r="AH9" i="10"/>
  <c r="AI9" i="10"/>
  <c r="AF10" i="10"/>
  <c r="AG10" i="10"/>
  <c r="AL10" i="10"/>
  <c r="A61" i="10"/>
  <c r="A104" i="10"/>
  <c r="AI4" i="1"/>
  <c r="AM4" i="1"/>
  <c r="AK4" i="1"/>
  <c r="AG5" i="1"/>
  <c r="AD5" i="1"/>
  <c r="AE6" i="1"/>
  <c r="AO5" i="1"/>
  <c r="AF5" i="1"/>
  <c r="AH5" i="1"/>
  <c r="AD12" i="10" l="1"/>
  <c r="AL11" i="10"/>
  <c r="AE11" i="10"/>
  <c r="AJ11" i="10" s="1"/>
  <c r="AF11" i="10"/>
  <c r="AI10" i="10"/>
  <c r="AH10" i="10"/>
  <c r="AK10" i="10"/>
  <c r="M61" i="10"/>
  <c r="O61" i="10" s="1"/>
  <c r="AJ10" i="10"/>
  <c r="AM10" i="10"/>
  <c r="A62" i="10"/>
  <c r="A105" i="10"/>
  <c r="AG12" i="10"/>
  <c r="AF12" i="10"/>
  <c r="AD13" i="10"/>
  <c r="AL12" i="10"/>
  <c r="M62" i="10"/>
  <c r="AH11" i="10"/>
  <c r="AM11" i="10"/>
  <c r="AI11" i="10"/>
  <c r="AK11" i="10"/>
  <c r="M56" i="1"/>
  <c r="AN5" i="1"/>
  <c r="AK5" i="1"/>
  <c r="AI5" i="1"/>
  <c r="AM5" i="1"/>
  <c r="AG6" i="1"/>
  <c r="AD6" i="1"/>
  <c r="AP5" i="1"/>
  <c r="AE7" i="1"/>
  <c r="AO6" i="1"/>
  <c r="AH6" i="1"/>
  <c r="AF6" i="1"/>
  <c r="AE13" i="10" l="1"/>
  <c r="AI12" i="10"/>
  <c r="AE12" i="10"/>
  <c r="M63" i="10" s="1"/>
  <c r="C48" i="10"/>
  <c r="AL13" i="10"/>
  <c r="AG13" i="10"/>
  <c r="AF13" i="10"/>
  <c r="AD14" i="10"/>
  <c r="A63" i="10"/>
  <c r="A106" i="10"/>
  <c r="O62" i="10"/>
  <c r="M57" i="1"/>
  <c r="AI6" i="1"/>
  <c r="AM6" i="1"/>
  <c r="AK6" i="1"/>
  <c r="AN6" i="1"/>
  <c r="AG7" i="1"/>
  <c r="AD7" i="1"/>
  <c r="AE8" i="1"/>
  <c r="AO7" i="1"/>
  <c r="AH7" i="1"/>
  <c r="AF7" i="1"/>
  <c r="AP6" i="1"/>
  <c r="AH12" i="10" l="1"/>
  <c r="AJ12" i="10"/>
  <c r="B48" i="10"/>
  <c r="AM12" i="10"/>
  <c r="AE14" i="10"/>
  <c r="AK12" i="10"/>
  <c r="AI13" i="10"/>
  <c r="AK13" i="10"/>
  <c r="A107" i="10"/>
  <c r="A64" i="10"/>
  <c r="AG14" i="10"/>
  <c r="AF14" i="10"/>
  <c r="AD15" i="10"/>
  <c r="AL14" i="10"/>
  <c r="O63" i="10"/>
  <c r="M64" i="10"/>
  <c r="AJ13" i="10"/>
  <c r="AH13" i="10"/>
  <c r="AM13" i="10"/>
  <c r="M58" i="1"/>
  <c r="AM7" i="1"/>
  <c r="AI7" i="1"/>
  <c r="AK7" i="1"/>
  <c r="AN7" i="1"/>
  <c r="AD8" i="1"/>
  <c r="AG8" i="1"/>
  <c r="AP7" i="1"/>
  <c r="AE9" i="1"/>
  <c r="AO8" i="1"/>
  <c r="AH8" i="1"/>
  <c r="AF8" i="1"/>
  <c r="AE15" i="10" l="1"/>
  <c r="M65" i="10"/>
  <c r="AJ14" i="10"/>
  <c r="AH14" i="10"/>
  <c r="AM14" i="10"/>
  <c r="AK14" i="10"/>
  <c r="AI14" i="10"/>
  <c r="A108" i="10"/>
  <c r="A65" i="10"/>
  <c r="O64" i="10"/>
  <c r="AL15" i="10"/>
  <c r="AD16" i="10"/>
  <c r="AF15" i="10"/>
  <c r="AG15" i="10"/>
  <c r="M59" i="1"/>
  <c r="AM8" i="1"/>
  <c r="AI8" i="1"/>
  <c r="AN8" i="1"/>
  <c r="AK8" i="1"/>
  <c r="AD9" i="1"/>
  <c r="AG9" i="1"/>
  <c r="AP8" i="1"/>
  <c r="AE10" i="1"/>
  <c r="AO9" i="1"/>
  <c r="AH9" i="1"/>
  <c r="AF9" i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A55" i="1"/>
  <c r="AE16" i="10" l="1"/>
  <c r="A56" i="1"/>
  <c r="A99" i="1"/>
  <c r="AI15" i="10"/>
  <c r="AK15" i="10"/>
  <c r="A109" i="10"/>
  <c r="A66" i="10"/>
  <c r="AJ15" i="10"/>
  <c r="AH15" i="10"/>
  <c r="M66" i="10"/>
  <c r="O66" i="10" s="1"/>
  <c r="AM15" i="10"/>
  <c r="AL16" i="10"/>
  <c r="AD17" i="10"/>
  <c r="AG16" i="10"/>
  <c r="AF16" i="10"/>
  <c r="O65" i="10"/>
  <c r="M60" i="1"/>
  <c r="AI9" i="1"/>
  <c r="AM9" i="1"/>
  <c r="AN9" i="1"/>
  <c r="AK9" i="1"/>
  <c r="AD10" i="1"/>
  <c r="AG10" i="1"/>
  <c r="AP9" i="1"/>
  <c r="AE11" i="1"/>
  <c r="AO10" i="1"/>
  <c r="AF10" i="1"/>
  <c r="AH10" i="1"/>
  <c r="AE17" i="10" l="1"/>
  <c r="A57" i="1"/>
  <c r="A100" i="1"/>
  <c r="M67" i="10"/>
  <c r="O67" i="10" s="1"/>
  <c r="AJ16" i="10"/>
  <c r="AH16" i="10"/>
  <c r="AM16" i="10"/>
  <c r="AI16" i="10"/>
  <c r="AK16" i="10"/>
  <c r="AL17" i="10"/>
  <c r="AD18" i="10"/>
  <c r="AF17" i="10"/>
  <c r="AG17" i="10"/>
  <c r="A110" i="10"/>
  <c r="A67" i="10"/>
  <c r="M61" i="1"/>
  <c r="AD11" i="1"/>
  <c r="AG11" i="1"/>
  <c r="AK10" i="1"/>
  <c r="AN10" i="1"/>
  <c r="AI10" i="1"/>
  <c r="AM10" i="1"/>
  <c r="AE12" i="1"/>
  <c r="AO11" i="1"/>
  <c r="AF11" i="1"/>
  <c r="AH11" i="1"/>
  <c r="AP10" i="1"/>
  <c r="AE18" i="10" l="1"/>
  <c r="A58" i="1"/>
  <c r="A101" i="1"/>
  <c r="AI17" i="10"/>
  <c r="AK17" i="10"/>
  <c r="AG18" i="10"/>
  <c r="AL18" i="10"/>
  <c r="AF18" i="10"/>
  <c r="AD19" i="10"/>
  <c r="AH17" i="10"/>
  <c r="M68" i="10"/>
  <c r="O68" i="10" s="1"/>
  <c r="AJ17" i="10"/>
  <c r="AM17" i="10"/>
  <c r="A111" i="10"/>
  <c r="A68" i="10"/>
  <c r="M62" i="1"/>
  <c r="AD12" i="1"/>
  <c r="AG12" i="1"/>
  <c r="AI11" i="1"/>
  <c r="AM11" i="1"/>
  <c r="AK11" i="1"/>
  <c r="AN11" i="1"/>
  <c r="AP11" i="1"/>
  <c r="AE13" i="1"/>
  <c r="AO12" i="1"/>
  <c r="AH12" i="1"/>
  <c r="AF12" i="1"/>
  <c r="AE19" i="10" l="1"/>
  <c r="A102" i="1"/>
  <c r="A59" i="1"/>
  <c r="AM18" i="10"/>
  <c r="M69" i="10"/>
  <c r="O69" i="10" s="1"/>
  <c r="AJ18" i="10"/>
  <c r="AH18" i="10"/>
  <c r="AF19" i="10"/>
  <c r="AD20" i="10"/>
  <c r="AL19" i="10"/>
  <c r="AG19" i="10"/>
  <c r="AK18" i="10"/>
  <c r="AI18" i="10"/>
  <c r="A112" i="10"/>
  <c r="A69" i="10"/>
  <c r="M63" i="1"/>
  <c r="AG13" i="1"/>
  <c r="AD13" i="1"/>
  <c r="AI12" i="1"/>
  <c r="AM12" i="1"/>
  <c r="AK12" i="1"/>
  <c r="AN12" i="1"/>
  <c r="B48" i="1"/>
  <c r="AP12" i="1"/>
  <c r="C48" i="1"/>
  <c r="AE14" i="1"/>
  <c r="AO13" i="1"/>
  <c r="AF13" i="1"/>
  <c r="AH13" i="1"/>
  <c r="AE20" i="10" l="1"/>
  <c r="A60" i="1"/>
  <c r="A103" i="1"/>
  <c r="M70" i="10"/>
  <c r="O70" i="10" s="1"/>
  <c r="AM19" i="10"/>
  <c r="AJ19" i="10"/>
  <c r="AH19" i="10"/>
  <c r="AK19" i="10"/>
  <c r="AI19" i="10"/>
  <c r="A113" i="10"/>
  <c r="A70" i="10"/>
  <c r="AD21" i="10"/>
  <c r="AL20" i="10"/>
  <c r="AG20" i="10"/>
  <c r="AF20" i="10"/>
  <c r="M64" i="1"/>
  <c r="AD14" i="1"/>
  <c r="AG14" i="1"/>
  <c r="AN13" i="1"/>
  <c r="AK13" i="1"/>
  <c r="AI13" i="1"/>
  <c r="AM13" i="1"/>
  <c r="AE15" i="1"/>
  <c r="AO14" i="1"/>
  <c r="AH14" i="1"/>
  <c r="AF14" i="1"/>
  <c r="AP13" i="1"/>
  <c r="AE21" i="10" l="1"/>
  <c r="A104" i="1"/>
  <c r="A61" i="1"/>
  <c r="AK20" i="10"/>
  <c r="AI20" i="10"/>
  <c r="M71" i="10"/>
  <c r="O71" i="10" s="1"/>
  <c r="AM20" i="10"/>
  <c r="AJ20" i="10"/>
  <c r="AH20" i="10"/>
  <c r="AF21" i="10"/>
  <c r="AD22" i="10"/>
  <c r="AL21" i="10"/>
  <c r="AG21" i="10"/>
  <c r="A114" i="10"/>
  <c r="A71" i="10"/>
  <c r="M65" i="1"/>
  <c r="AN14" i="1"/>
  <c r="AK14" i="1"/>
  <c r="AG15" i="1"/>
  <c r="AD15" i="1"/>
  <c r="AI14" i="1"/>
  <c r="AM14" i="1"/>
  <c r="AP14" i="1"/>
  <c r="AE16" i="1"/>
  <c r="AO15" i="1"/>
  <c r="AH15" i="1"/>
  <c r="AF15" i="1"/>
  <c r="H47" i="1"/>
  <c r="AE22" i="10" l="1"/>
  <c r="A105" i="1"/>
  <c r="A62" i="1"/>
  <c r="AK21" i="10"/>
  <c r="AI21" i="10"/>
  <c r="M72" i="10"/>
  <c r="O72" i="10" s="1"/>
  <c r="AM21" i="10"/>
  <c r="AJ21" i="10"/>
  <c r="AH21" i="10"/>
  <c r="AG22" i="10"/>
  <c r="AF22" i="10"/>
  <c r="AD23" i="10"/>
  <c r="AL22" i="10"/>
  <c r="A72" i="10"/>
  <c r="A115" i="10"/>
  <c r="M66" i="1"/>
  <c r="AN15" i="1"/>
  <c r="AK15" i="1"/>
  <c r="AG16" i="1"/>
  <c r="AD16" i="1"/>
  <c r="AI15" i="1"/>
  <c r="AM15" i="1"/>
  <c r="AE17" i="1"/>
  <c r="AO16" i="1"/>
  <c r="AH16" i="1"/>
  <c r="AF16" i="1"/>
  <c r="AP15" i="1"/>
  <c r="AE23" i="10" l="1"/>
  <c r="A106" i="1"/>
  <c r="A63" i="1"/>
  <c r="M73" i="10"/>
  <c r="O73" i="10" s="1"/>
  <c r="AM22" i="10"/>
  <c r="AH22" i="10"/>
  <c r="AJ22" i="10"/>
  <c r="AJ23" i="10" s="1"/>
  <c r="AK22" i="10"/>
  <c r="AK23" i="10" s="1"/>
  <c r="AI22" i="10"/>
  <c r="AL23" i="10"/>
  <c r="AG23" i="10"/>
  <c r="AF23" i="10"/>
  <c r="AD24" i="10"/>
  <c r="A73" i="10"/>
  <c r="A116" i="10"/>
  <c r="M67" i="1"/>
  <c r="AK16" i="1"/>
  <c r="AN16" i="1"/>
  <c r="AI16" i="1"/>
  <c r="AM16" i="1"/>
  <c r="AG17" i="1"/>
  <c r="AD17" i="1"/>
  <c r="AP16" i="1"/>
  <c r="AE18" i="1"/>
  <c r="AO17" i="1"/>
  <c r="AF17" i="1"/>
  <c r="AH17" i="1"/>
  <c r="AE24" i="10" l="1"/>
  <c r="A64" i="1"/>
  <c r="A107" i="1"/>
  <c r="AG24" i="10"/>
  <c r="AF24" i="10"/>
  <c r="AD25" i="10"/>
  <c r="AE25" i="10" s="1"/>
  <c r="AL24" i="10"/>
  <c r="AH23" i="10"/>
  <c r="AM23" i="10"/>
  <c r="M74" i="10"/>
  <c r="O74" i="10" s="1"/>
  <c r="AI23" i="10"/>
  <c r="A117" i="10"/>
  <c r="A74" i="10"/>
  <c r="M68" i="1"/>
  <c r="AM17" i="1"/>
  <c r="AI17" i="1"/>
  <c r="AG18" i="1"/>
  <c r="AD18" i="1"/>
  <c r="AK17" i="1"/>
  <c r="AN17" i="1"/>
  <c r="AP17" i="1"/>
  <c r="AE19" i="1"/>
  <c r="AO18" i="1"/>
  <c r="AH18" i="1"/>
  <c r="AF18" i="1"/>
  <c r="A65" i="1" l="1"/>
  <c r="A108" i="1"/>
  <c r="AI24" i="10"/>
  <c r="A118" i="10"/>
  <c r="A75" i="10"/>
  <c r="AD26" i="10"/>
  <c r="AE26" i="10" s="1"/>
  <c r="AL25" i="10"/>
  <c r="AG25" i="10"/>
  <c r="AF25" i="10"/>
  <c r="AM24" i="10"/>
  <c r="M75" i="10"/>
  <c r="O75" i="10" s="1"/>
  <c r="AH24" i="10"/>
  <c r="M69" i="1"/>
  <c r="AN18" i="1"/>
  <c r="AK18" i="1"/>
  <c r="AD19" i="1"/>
  <c r="AG19" i="1"/>
  <c r="AM18" i="1"/>
  <c r="AI18" i="1"/>
  <c r="AP18" i="1"/>
  <c r="AE20" i="1"/>
  <c r="AO19" i="1"/>
  <c r="AH19" i="1"/>
  <c r="AF19" i="1"/>
  <c r="A66" i="1" l="1"/>
  <c r="A109" i="1"/>
  <c r="AI25" i="10"/>
  <c r="A119" i="10"/>
  <c r="A76" i="10"/>
  <c r="M76" i="10"/>
  <c r="O76" i="10" s="1"/>
  <c r="AM25" i="10"/>
  <c r="AH25" i="10"/>
  <c r="AD27" i="10"/>
  <c r="AE27" i="10" s="1"/>
  <c r="AL26" i="10"/>
  <c r="AG26" i="10"/>
  <c r="AF26" i="10"/>
  <c r="M70" i="1"/>
  <c r="AD20" i="1"/>
  <c r="AG20" i="1"/>
  <c r="AN19" i="1"/>
  <c r="AK19" i="1"/>
  <c r="AM19" i="1"/>
  <c r="AI19" i="1"/>
  <c r="AE21" i="1"/>
  <c r="AO20" i="1"/>
  <c r="AH20" i="1"/>
  <c r="AF20" i="1"/>
  <c r="AP19" i="1"/>
  <c r="A67" i="1" l="1"/>
  <c r="A110" i="1"/>
  <c r="AI26" i="10"/>
  <c r="M77" i="10"/>
  <c r="O77" i="10" s="1"/>
  <c r="AM26" i="10"/>
  <c r="AH26" i="10"/>
  <c r="AG27" i="10"/>
  <c r="AF27" i="10"/>
  <c r="AD28" i="10"/>
  <c r="AE28" i="10" s="1"/>
  <c r="AL27" i="10"/>
  <c r="A120" i="10"/>
  <c r="A77" i="10"/>
  <c r="M71" i="1"/>
  <c r="AI20" i="1"/>
  <c r="AM20" i="1"/>
  <c r="AN20" i="1"/>
  <c r="AK20" i="1"/>
  <c r="AD21" i="1"/>
  <c r="AG21" i="1"/>
  <c r="AP20" i="1"/>
  <c r="AE22" i="1"/>
  <c r="AO21" i="1"/>
  <c r="AF21" i="1"/>
  <c r="AH21" i="1"/>
  <c r="A68" i="1" l="1"/>
  <c r="A111" i="1"/>
  <c r="A78" i="10"/>
  <c r="A121" i="10"/>
  <c r="AL28" i="10"/>
  <c r="AG28" i="10"/>
  <c r="AF28" i="10"/>
  <c r="AD29" i="10"/>
  <c r="AE29" i="10" s="1"/>
  <c r="M78" i="10"/>
  <c r="O78" i="10" s="1"/>
  <c r="AM27" i="10"/>
  <c r="AH27" i="10"/>
  <c r="AI27" i="10"/>
  <c r="M72" i="1"/>
  <c r="AI21" i="1"/>
  <c r="AM21" i="1"/>
  <c r="AD22" i="1"/>
  <c r="AG22" i="1"/>
  <c r="AK21" i="1"/>
  <c r="AN21" i="1"/>
  <c r="AP21" i="1"/>
  <c r="AE23" i="1"/>
  <c r="AO22" i="1"/>
  <c r="AH22" i="1"/>
  <c r="AF22" i="1"/>
  <c r="A69" i="1" l="1"/>
  <c r="A112" i="1"/>
  <c r="AH28" i="10"/>
  <c r="M79" i="10"/>
  <c r="O79" i="10" s="1"/>
  <c r="AM28" i="10"/>
  <c r="A122" i="10"/>
  <c r="A79" i="10"/>
  <c r="AF29" i="10"/>
  <c r="AL29" i="10"/>
  <c r="AD30" i="10"/>
  <c r="AE30" i="10" s="1"/>
  <c r="AG29" i="10"/>
  <c r="AI28" i="10"/>
  <c r="M73" i="1"/>
  <c r="O73" i="1" s="1"/>
  <c r="AK22" i="1"/>
  <c r="AN22" i="1"/>
  <c r="AN28" i="1" s="1"/>
  <c r="AD23" i="1"/>
  <c r="AG23" i="1"/>
  <c r="AI22" i="1"/>
  <c r="AM22" i="1"/>
  <c r="AM28" i="1" s="1"/>
  <c r="AE24" i="1"/>
  <c r="AO23" i="1"/>
  <c r="AF23" i="1"/>
  <c r="AH23" i="1"/>
  <c r="AP22" i="1"/>
  <c r="O62" i="1"/>
  <c r="O72" i="1"/>
  <c r="O65" i="1"/>
  <c r="O67" i="1"/>
  <c r="O68" i="1"/>
  <c r="O69" i="1"/>
  <c r="O71" i="1"/>
  <c r="O63" i="1"/>
  <c r="O66" i="1"/>
  <c r="O61" i="1"/>
  <c r="O64" i="1"/>
  <c r="O56" i="1"/>
  <c r="O70" i="1"/>
  <c r="O55" i="1"/>
  <c r="O57" i="1"/>
  <c r="O58" i="1"/>
  <c r="O59" i="1"/>
  <c r="O60" i="1"/>
  <c r="O54" i="1"/>
  <c r="A70" i="1" l="1"/>
  <c r="A113" i="1"/>
  <c r="A123" i="10"/>
  <c r="A80" i="10"/>
  <c r="M80" i="10"/>
  <c r="O80" i="10" s="1"/>
  <c r="AM29" i="10"/>
  <c r="AH29" i="10"/>
  <c r="AI29" i="10"/>
  <c r="AG30" i="10"/>
  <c r="AF30" i="10"/>
  <c r="AD31" i="10"/>
  <c r="AE31" i="10" s="1"/>
  <c r="AL30" i="10"/>
  <c r="M74" i="1"/>
  <c r="AK23" i="1"/>
  <c r="AI23" i="1"/>
  <c r="AD24" i="1"/>
  <c r="AG24" i="1"/>
  <c r="AE25" i="1"/>
  <c r="AO24" i="1"/>
  <c r="AH24" i="1"/>
  <c r="AF24" i="1"/>
  <c r="AP23" i="1"/>
  <c r="A71" i="1" l="1"/>
  <c r="A114" i="1"/>
  <c r="AI30" i="10"/>
  <c r="A124" i="10"/>
  <c r="A81" i="10"/>
  <c r="AG31" i="10"/>
  <c r="AD32" i="10"/>
  <c r="AE32" i="10" s="1"/>
  <c r="AL31" i="10"/>
  <c r="AF31" i="10"/>
  <c r="M81" i="10"/>
  <c r="O81" i="10" s="1"/>
  <c r="AM30" i="10"/>
  <c r="AH30" i="10"/>
  <c r="O74" i="1"/>
  <c r="M75" i="1"/>
  <c r="AK24" i="1"/>
  <c r="AI24" i="1"/>
  <c r="AG25" i="1"/>
  <c r="AD25" i="1"/>
  <c r="AP24" i="1"/>
  <c r="AE26" i="1"/>
  <c r="AO25" i="1"/>
  <c r="AH25" i="1"/>
  <c r="AF25" i="1"/>
  <c r="A72" i="1" l="1"/>
  <c r="A115" i="1"/>
  <c r="M82" i="10"/>
  <c r="O82" i="10" s="1"/>
  <c r="AH31" i="10"/>
  <c r="AM31" i="10"/>
  <c r="AD33" i="10"/>
  <c r="AE33" i="10" s="1"/>
  <c r="AL32" i="10"/>
  <c r="AG32" i="10"/>
  <c r="AF32" i="10"/>
  <c r="AI31" i="10"/>
  <c r="A82" i="10"/>
  <c r="A125" i="10"/>
  <c r="M76" i="1"/>
  <c r="O75" i="1"/>
  <c r="AK25" i="1"/>
  <c r="AI25" i="1"/>
  <c r="AG26" i="1"/>
  <c r="AD26" i="1"/>
  <c r="AE27" i="1"/>
  <c r="AO26" i="1"/>
  <c r="AH26" i="1"/>
  <c r="AF26" i="1"/>
  <c r="AP25" i="1"/>
  <c r="A73" i="1" l="1"/>
  <c r="A116" i="1"/>
  <c r="AD34" i="10"/>
  <c r="AE34" i="10" s="1"/>
  <c r="AG33" i="10"/>
  <c r="AF33" i="10"/>
  <c r="AL33" i="10"/>
  <c r="A126" i="10"/>
  <c r="A83" i="10"/>
  <c r="AI32" i="10"/>
  <c r="C49" i="10"/>
  <c r="M83" i="10"/>
  <c r="O83" i="10" s="1"/>
  <c r="AM32" i="10"/>
  <c r="B49" i="10"/>
  <c r="AH32" i="10"/>
  <c r="M77" i="1"/>
  <c r="O77" i="1" s="1"/>
  <c r="O76" i="1"/>
  <c r="AI26" i="1"/>
  <c r="AK26" i="1"/>
  <c r="AG27" i="1"/>
  <c r="AD27" i="1"/>
  <c r="AP26" i="1"/>
  <c r="AE28" i="1"/>
  <c r="AO27" i="1"/>
  <c r="AH27" i="1"/>
  <c r="AF27" i="1"/>
  <c r="A74" i="1" l="1"/>
  <c r="A117" i="1"/>
  <c r="A127" i="10"/>
  <c r="A84" i="10"/>
  <c r="AM33" i="10"/>
  <c r="AH33" i="10"/>
  <c r="M84" i="10"/>
  <c r="O84" i="10" s="1"/>
  <c r="AI33" i="10"/>
  <c r="AD35" i="10"/>
  <c r="AE35" i="10" s="1"/>
  <c r="AL34" i="10"/>
  <c r="AF34" i="10"/>
  <c r="AG34" i="10"/>
  <c r="M78" i="1"/>
  <c r="AI27" i="1"/>
  <c r="AK27" i="1"/>
  <c r="AG28" i="1"/>
  <c r="AD28" i="1"/>
  <c r="AP27" i="1"/>
  <c r="AE29" i="1"/>
  <c r="AO28" i="1"/>
  <c r="AH28" i="1"/>
  <c r="AF28" i="1"/>
  <c r="A75" i="1" l="1"/>
  <c r="A118" i="1"/>
  <c r="AI34" i="10"/>
  <c r="AG35" i="10"/>
  <c r="AD36" i="10"/>
  <c r="AE36" i="10" s="1"/>
  <c r="AL35" i="10"/>
  <c r="AF35" i="10"/>
  <c r="M85" i="10"/>
  <c r="O85" i="10" s="1"/>
  <c r="AM34" i="10"/>
  <c r="AH34" i="10"/>
  <c r="A128" i="10"/>
  <c r="A85" i="10"/>
  <c r="M79" i="1"/>
  <c r="O78" i="1"/>
  <c r="AI28" i="1"/>
  <c r="AK28" i="1"/>
  <c r="AG29" i="1"/>
  <c r="AD29" i="1"/>
  <c r="AE30" i="1"/>
  <c r="AO29" i="1"/>
  <c r="AH29" i="1"/>
  <c r="AF29" i="1"/>
  <c r="AP28" i="1"/>
  <c r="A76" i="1" l="1"/>
  <c r="A119" i="1"/>
  <c r="A129" i="10"/>
  <c r="A86" i="10"/>
  <c r="AI35" i="10"/>
  <c r="AG36" i="10"/>
  <c r="AD37" i="10"/>
  <c r="AE37" i="10" s="1"/>
  <c r="AL36" i="10"/>
  <c r="AF36" i="10"/>
  <c r="M86" i="10"/>
  <c r="O86" i="10" s="1"/>
  <c r="AM35" i="10"/>
  <c r="AH35" i="10"/>
  <c r="M80" i="1"/>
  <c r="O80" i="1" s="1"/>
  <c r="O79" i="1"/>
  <c r="AD30" i="1"/>
  <c r="AG30" i="1"/>
  <c r="AI29" i="1"/>
  <c r="AK29" i="1"/>
  <c r="AP29" i="1"/>
  <c r="AE31" i="1"/>
  <c r="AO30" i="1"/>
  <c r="AH30" i="1"/>
  <c r="AF30" i="1"/>
  <c r="A77" i="1" l="1"/>
  <c r="A120" i="1"/>
  <c r="M87" i="10"/>
  <c r="O87" i="10" s="1"/>
  <c r="AM36" i="10"/>
  <c r="AH36" i="10"/>
  <c r="AI36" i="10"/>
  <c r="AG37" i="10"/>
  <c r="AF37" i="10"/>
  <c r="AD38" i="10"/>
  <c r="AE38" i="10" s="1"/>
  <c r="AL37" i="10"/>
  <c r="A87" i="10"/>
  <c r="A130" i="10"/>
  <c r="M81" i="1"/>
  <c r="O81" i="1" s="1"/>
  <c r="AI30" i="1"/>
  <c r="AK30" i="1"/>
  <c r="AD31" i="1"/>
  <c r="AG31" i="1"/>
  <c r="AP30" i="1"/>
  <c r="AE32" i="1"/>
  <c r="AO31" i="1"/>
  <c r="AH31" i="1"/>
  <c r="AF31" i="1"/>
  <c r="A78" i="1" l="1"/>
  <c r="A121" i="1"/>
  <c r="A131" i="10"/>
  <c r="A88" i="10"/>
  <c r="AL38" i="10"/>
  <c r="AD39" i="10"/>
  <c r="AE39" i="10" s="1"/>
  <c r="AG38" i="10"/>
  <c r="AF38" i="10"/>
  <c r="M88" i="10"/>
  <c r="O88" i="10" s="1"/>
  <c r="AM37" i="10"/>
  <c r="AH37" i="10"/>
  <c r="AI37" i="10"/>
  <c r="M82" i="1"/>
  <c r="O82" i="1" s="1"/>
  <c r="AI31" i="1"/>
  <c r="AK31" i="1"/>
  <c r="AD32" i="1"/>
  <c r="AG32" i="1"/>
  <c r="AE33" i="1"/>
  <c r="AO32" i="1"/>
  <c r="AF32" i="1"/>
  <c r="AH32" i="1"/>
  <c r="AP31" i="1"/>
  <c r="A79" i="1" l="1"/>
  <c r="A122" i="1"/>
  <c r="A132" i="10"/>
  <c r="A89" i="10"/>
  <c r="M89" i="10"/>
  <c r="O89" i="10" s="1"/>
  <c r="AM38" i="10"/>
  <c r="AH38" i="10"/>
  <c r="AI38" i="10"/>
  <c r="AG39" i="10"/>
  <c r="AF39" i="10"/>
  <c r="AD40" i="10"/>
  <c r="AE40" i="10" s="1"/>
  <c r="AL39" i="10"/>
  <c r="M83" i="1"/>
  <c r="O83" i="1" s="1"/>
  <c r="AK32" i="1"/>
  <c r="AI32" i="1"/>
  <c r="AD33" i="1"/>
  <c r="AG33" i="1"/>
  <c r="C49" i="1"/>
  <c r="B49" i="1"/>
  <c r="AP32" i="1"/>
  <c r="AE34" i="1"/>
  <c r="AO33" i="1"/>
  <c r="AF33" i="1"/>
  <c r="AH33" i="1"/>
  <c r="A80" i="1" l="1"/>
  <c r="A123" i="1"/>
  <c r="AI39" i="10"/>
  <c r="AG40" i="10"/>
  <c r="AD41" i="10"/>
  <c r="AE41" i="10" s="1"/>
  <c r="AL40" i="10"/>
  <c r="AF40" i="10"/>
  <c r="M90" i="10"/>
  <c r="O90" i="10" s="1"/>
  <c r="AH39" i="10"/>
  <c r="AM39" i="10"/>
  <c r="A133" i="10"/>
  <c r="A90" i="10"/>
  <c r="M84" i="1"/>
  <c r="O84" i="1" s="1"/>
  <c r="AK33" i="1"/>
  <c r="AI33" i="1"/>
  <c r="AD34" i="1"/>
  <c r="AG34" i="1"/>
  <c r="AP33" i="1"/>
  <c r="AE35" i="1"/>
  <c r="AO34" i="1"/>
  <c r="AH34" i="1"/>
  <c r="AF34" i="1"/>
  <c r="A81" i="1" l="1"/>
  <c r="A124" i="1"/>
  <c r="A134" i="10"/>
  <c r="A91" i="10"/>
  <c r="AG41" i="10"/>
  <c r="AL41" i="10"/>
  <c r="AF41" i="10"/>
  <c r="AD42" i="10"/>
  <c r="AE42" i="10" s="1"/>
  <c r="M91" i="10"/>
  <c r="O91" i="10" s="1"/>
  <c r="AM40" i="10"/>
  <c r="AH40" i="10"/>
  <c r="AI40" i="10"/>
  <c r="M85" i="1"/>
  <c r="O85" i="1" s="1"/>
  <c r="AK34" i="1"/>
  <c r="AI34" i="1"/>
  <c r="AG35" i="1"/>
  <c r="AD35" i="1"/>
  <c r="AP34" i="1"/>
  <c r="AE36" i="1"/>
  <c r="AO35" i="1"/>
  <c r="AH35" i="1"/>
  <c r="AF35" i="1"/>
  <c r="A82" i="1" l="1"/>
  <c r="A125" i="1"/>
  <c r="AD43" i="10"/>
  <c r="AE43" i="10" s="1"/>
  <c r="AL42" i="10"/>
  <c r="AG42" i="10"/>
  <c r="AF42" i="10"/>
  <c r="M92" i="10"/>
  <c r="O92" i="10" s="1"/>
  <c r="AH41" i="10"/>
  <c r="AM41" i="10"/>
  <c r="AI41" i="10"/>
  <c r="A135" i="10"/>
  <c r="A92" i="10"/>
  <c r="M86" i="1"/>
  <c r="O86" i="1" s="1"/>
  <c r="AK35" i="1"/>
  <c r="AI35" i="1"/>
  <c r="AG36" i="1"/>
  <c r="AD36" i="1"/>
  <c r="AE37" i="1"/>
  <c r="AO36" i="1"/>
  <c r="AH36" i="1"/>
  <c r="AF36" i="1"/>
  <c r="AP35" i="1"/>
  <c r="A83" i="1" l="1"/>
  <c r="A126" i="1"/>
  <c r="A136" i="10"/>
  <c r="A93" i="10"/>
  <c r="M93" i="10"/>
  <c r="O93" i="10" s="1"/>
  <c r="AM42" i="10"/>
  <c r="AH42" i="10"/>
  <c r="AI42" i="10"/>
  <c r="AG43" i="10"/>
  <c r="AF43" i="10"/>
  <c r="AD44" i="10"/>
  <c r="AE44" i="10" s="1"/>
  <c r="AL43" i="10"/>
  <c r="M87" i="1"/>
  <c r="O87" i="1" s="1"/>
  <c r="AI36" i="1"/>
  <c r="AK36" i="1"/>
  <c r="AG37" i="1"/>
  <c r="AD37" i="1"/>
  <c r="AP36" i="1"/>
  <c r="AE38" i="1"/>
  <c r="AO37" i="1"/>
  <c r="AH37" i="1"/>
  <c r="AF37" i="1"/>
  <c r="A84" i="1" l="1"/>
  <c r="A127" i="1"/>
  <c r="AL44" i="10"/>
  <c r="AD45" i="10"/>
  <c r="AE45" i="10" s="1"/>
  <c r="AG44" i="10"/>
  <c r="AF44" i="10"/>
  <c r="AM43" i="10"/>
  <c r="M94" i="10"/>
  <c r="O94" i="10" s="1"/>
  <c r="AH43" i="10"/>
  <c r="AI43" i="10"/>
  <c r="A94" i="10"/>
  <c r="A137" i="10"/>
  <c r="M88" i="1"/>
  <c r="O88" i="1" s="1"/>
  <c r="AK37" i="1"/>
  <c r="AI37" i="1"/>
  <c r="AG38" i="1"/>
  <c r="AD38" i="1"/>
  <c r="AP37" i="1"/>
  <c r="AE39" i="1"/>
  <c r="AO38" i="1"/>
  <c r="AH38" i="1"/>
  <c r="AF38" i="1"/>
  <c r="A85" i="1" l="1"/>
  <c r="A128" i="1"/>
  <c r="A95" i="10"/>
  <c r="A138" i="10"/>
  <c r="M95" i="10"/>
  <c r="O95" i="10" s="1"/>
  <c r="AH44" i="10"/>
  <c r="AM44" i="10"/>
  <c r="AI44" i="10"/>
  <c r="AD46" i="10"/>
  <c r="AE46" i="10" s="1"/>
  <c r="AF45" i="10"/>
  <c r="AG45" i="10"/>
  <c r="AL45" i="10"/>
  <c r="M89" i="1"/>
  <c r="O89" i="1" s="1"/>
  <c r="AI38" i="1"/>
  <c r="AK38" i="1"/>
  <c r="AG39" i="1"/>
  <c r="AD39" i="1"/>
  <c r="AP38" i="1"/>
  <c r="AE40" i="1"/>
  <c r="AO39" i="1"/>
  <c r="AH39" i="1"/>
  <c r="AF39" i="1"/>
  <c r="A86" i="1" l="1"/>
  <c r="A129" i="1"/>
  <c r="M96" i="10"/>
  <c r="O96" i="10" s="1"/>
  <c r="AH45" i="10"/>
  <c r="AM45" i="10"/>
  <c r="AI45" i="10"/>
  <c r="AL46" i="10"/>
  <c r="AD47" i="10"/>
  <c r="AE47" i="10" s="1"/>
  <c r="AG46" i="10"/>
  <c r="AF46" i="10"/>
  <c r="A96" i="10"/>
  <c r="A140" i="10" s="1"/>
  <c r="A139" i="10"/>
  <c r="M90" i="1"/>
  <c r="O90" i="1" s="1"/>
  <c r="AI39" i="1"/>
  <c r="AK39" i="1"/>
  <c r="AG40" i="1"/>
  <c r="AD40" i="1"/>
  <c r="AE41" i="1"/>
  <c r="AO40" i="1"/>
  <c r="AH40" i="1"/>
  <c r="AF40" i="1"/>
  <c r="AP39" i="1"/>
  <c r="A87" i="1" l="1"/>
  <c r="A130" i="1"/>
  <c r="AD48" i="10"/>
  <c r="AE48" i="10" s="1"/>
  <c r="AG47" i="10"/>
  <c r="AF47" i="10"/>
  <c r="AL47" i="10"/>
  <c r="AH46" i="10"/>
  <c r="AM46" i="10"/>
  <c r="AI46" i="10"/>
  <c r="M91" i="1"/>
  <c r="O91" i="1" s="1"/>
  <c r="AK40" i="1"/>
  <c r="AI40" i="1"/>
  <c r="AD41" i="1"/>
  <c r="AG41" i="1"/>
  <c r="AE42" i="1"/>
  <c r="AO41" i="1"/>
  <c r="AH41" i="1"/>
  <c r="AF41" i="1"/>
  <c r="AP40" i="1"/>
  <c r="A88" i="1" l="1"/>
  <c r="A131" i="1"/>
  <c r="AH47" i="10"/>
  <c r="AM47" i="10"/>
  <c r="AI47" i="10"/>
  <c r="AG48" i="10"/>
  <c r="AF48" i="10"/>
  <c r="AD49" i="10"/>
  <c r="AE49" i="10" s="1"/>
  <c r="AL48" i="10"/>
  <c r="M92" i="1"/>
  <c r="O92" i="1" s="1"/>
  <c r="AK41" i="1"/>
  <c r="AD42" i="1"/>
  <c r="AG42" i="1"/>
  <c r="AI41" i="1"/>
  <c r="AE43" i="1"/>
  <c r="AO42" i="1"/>
  <c r="AH42" i="1"/>
  <c r="AF42" i="1"/>
  <c r="AP41" i="1"/>
  <c r="A89" i="1" l="1"/>
  <c r="A132" i="1"/>
  <c r="AH48" i="10"/>
  <c r="AM48" i="10"/>
  <c r="AI48" i="10"/>
  <c r="AL49" i="10"/>
  <c r="AG49" i="10"/>
  <c r="AF49" i="10"/>
  <c r="AD50" i="10"/>
  <c r="AE50" i="10" s="1"/>
  <c r="M93" i="1"/>
  <c r="O93" i="1" s="1"/>
  <c r="AI42" i="1"/>
  <c r="AJ42" i="1" s="1"/>
  <c r="AK42" i="1"/>
  <c r="AL42" i="1" s="1"/>
  <c r="AD43" i="1"/>
  <c r="AG43" i="1"/>
  <c r="AP42" i="1"/>
  <c r="AE44" i="1"/>
  <c r="AO43" i="1"/>
  <c r="AH43" i="1"/>
  <c r="AF43" i="1"/>
  <c r="A90" i="1" l="1"/>
  <c r="A133" i="1"/>
  <c r="AI49" i="10"/>
  <c r="AL50" i="10"/>
  <c r="AD51" i="10"/>
  <c r="AE51" i="10" s="1"/>
  <c r="AG50" i="10"/>
  <c r="AF50" i="10"/>
  <c r="AM49" i="10"/>
  <c r="AH49" i="10"/>
  <c r="M94" i="1"/>
  <c r="AI43" i="1"/>
  <c r="AK43" i="1"/>
  <c r="AD44" i="1"/>
  <c r="AG44" i="1"/>
  <c r="AP43" i="1"/>
  <c r="AE45" i="1"/>
  <c r="AO44" i="1"/>
  <c r="AH44" i="1"/>
  <c r="AF44" i="1"/>
  <c r="A91" i="1" l="1"/>
  <c r="A134" i="1"/>
  <c r="AM50" i="10"/>
  <c r="AH50" i="10"/>
  <c r="AI50" i="10"/>
  <c r="AD52" i="10"/>
  <c r="AE52" i="10" s="1"/>
  <c r="AL51" i="10"/>
  <c r="AG51" i="10"/>
  <c r="AF51" i="10"/>
  <c r="M95" i="1"/>
  <c r="AI44" i="1"/>
  <c r="AK44" i="1"/>
  <c r="AD45" i="1"/>
  <c r="AG45" i="1"/>
  <c r="AE46" i="1"/>
  <c r="AO45" i="1"/>
  <c r="AF45" i="1"/>
  <c r="AH45" i="1"/>
  <c r="AP44" i="1"/>
  <c r="A92" i="1" l="1"/>
  <c r="A135" i="1"/>
  <c r="AM51" i="10"/>
  <c r="AH51" i="10"/>
  <c r="AF52" i="10"/>
  <c r="AD53" i="10"/>
  <c r="AE53" i="10" s="1"/>
  <c r="AG52" i="10"/>
  <c r="AL52" i="10"/>
  <c r="AI51" i="10"/>
  <c r="M96" i="1"/>
  <c r="AK45" i="1"/>
  <c r="AI45" i="1"/>
  <c r="AG46" i="1"/>
  <c r="AD46" i="1"/>
  <c r="AP45" i="1"/>
  <c r="AE47" i="1"/>
  <c r="AO46" i="1"/>
  <c r="AF46" i="1"/>
  <c r="AH46" i="1"/>
  <c r="A93" i="1" l="1"/>
  <c r="A136" i="1"/>
  <c r="AI52" i="10"/>
  <c r="AG53" i="10"/>
  <c r="AL53" i="10"/>
  <c r="AF53" i="10"/>
  <c r="AD54" i="10"/>
  <c r="AE54" i="10" s="1"/>
  <c r="AM52" i="10"/>
  <c r="AH52" i="10"/>
  <c r="AI46" i="1"/>
  <c r="AK46" i="1"/>
  <c r="AG47" i="1"/>
  <c r="AD47" i="1"/>
  <c r="AE48" i="1"/>
  <c r="AO47" i="1"/>
  <c r="AF47" i="1"/>
  <c r="AH47" i="1"/>
  <c r="AP46" i="1"/>
  <c r="A94" i="1" l="1"/>
  <c r="A137" i="1"/>
  <c r="AM53" i="10"/>
  <c r="AH53" i="10"/>
  <c r="AL54" i="10"/>
  <c r="AG54" i="10"/>
  <c r="AF54" i="10"/>
  <c r="AD55" i="10"/>
  <c r="AE55" i="10" s="1"/>
  <c r="AI53" i="10"/>
  <c r="AK47" i="1"/>
  <c r="AI47" i="1"/>
  <c r="AG48" i="1"/>
  <c r="AD48" i="1"/>
  <c r="AE49" i="1"/>
  <c r="AO48" i="1"/>
  <c r="AF48" i="1"/>
  <c r="AH48" i="1"/>
  <c r="AP47" i="1"/>
  <c r="A95" i="1" l="1"/>
  <c r="A138" i="1"/>
  <c r="AL55" i="10"/>
  <c r="AF55" i="10"/>
  <c r="AD56" i="10"/>
  <c r="AE56" i="10" s="1"/>
  <c r="AG55" i="10"/>
  <c r="AH54" i="10"/>
  <c r="AM54" i="10"/>
  <c r="AI54" i="10"/>
  <c r="AK48" i="1"/>
  <c r="AI48" i="1"/>
  <c r="AG49" i="1"/>
  <c r="AD49" i="1"/>
  <c r="AP48" i="1"/>
  <c r="AE50" i="1"/>
  <c r="AO49" i="1"/>
  <c r="AF49" i="1"/>
  <c r="AH49" i="1"/>
  <c r="A96" i="1" l="1"/>
  <c r="A140" i="1" s="1"/>
  <c r="A139" i="1"/>
  <c r="AH55" i="10"/>
  <c r="AM55" i="10"/>
  <c r="AI55" i="10"/>
  <c r="AG56" i="10"/>
  <c r="AD57" i="10"/>
  <c r="AE57" i="10" s="1"/>
  <c r="AL56" i="10"/>
  <c r="AF56" i="10"/>
  <c r="AG50" i="1"/>
  <c r="AD50" i="1"/>
  <c r="AK49" i="1"/>
  <c r="AI49" i="1"/>
  <c r="AP49" i="1"/>
  <c r="AE51" i="1"/>
  <c r="AO50" i="1"/>
  <c r="AF50" i="1"/>
  <c r="AH50" i="1"/>
  <c r="AM56" i="10" l="1"/>
  <c r="AH56" i="10"/>
  <c r="AL57" i="10"/>
  <c r="AD58" i="10"/>
  <c r="AE58" i="10" s="1"/>
  <c r="AF57" i="10"/>
  <c r="AG57" i="10"/>
  <c r="AI56" i="10"/>
  <c r="AK50" i="1"/>
  <c r="AI50" i="1"/>
  <c r="AG51" i="1"/>
  <c r="AD51" i="1"/>
  <c r="AP50" i="1"/>
  <c r="AE52" i="1"/>
  <c r="AO51" i="1"/>
  <c r="AH51" i="1"/>
  <c r="AF51" i="1"/>
  <c r="AM57" i="10" l="1"/>
  <c r="AH57" i="10"/>
  <c r="AL58" i="10"/>
  <c r="AG58" i="10"/>
  <c r="AF58" i="10"/>
  <c r="AD59" i="10"/>
  <c r="AE59" i="10" s="1"/>
  <c r="AI57" i="10"/>
  <c r="AK51" i="1"/>
  <c r="AI51" i="1"/>
  <c r="AD52" i="1"/>
  <c r="AG52" i="1"/>
  <c r="AE53" i="1"/>
  <c r="AO52" i="1"/>
  <c r="AF52" i="1"/>
  <c r="AH52" i="1"/>
  <c r="AP51" i="1"/>
  <c r="O96" i="1"/>
  <c r="O94" i="1"/>
  <c r="O95" i="1"/>
  <c r="AJ52" i="1" l="1"/>
  <c r="AL52" i="1"/>
  <c r="AH58" i="10"/>
  <c r="AM58" i="10"/>
  <c r="AI58" i="10"/>
  <c r="AG59" i="10"/>
  <c r="AF59" i="10"/>
  <c r="AD60" i="10"/>
  <c r="AE60" i="10" s="1"/>
  <c r="AL59" i="10"/>
  <c r="AK52" i="1"/>
  <c r="AI52" i="1"/>
  <c r="AD53" i="1"/>
  <c r="AG53" i="1"/>
  <c r="AE54" i="1"/>
  <c r="AO53" i="1"/>
  <c r="AF53" i="1"/>
  <c r="AH53" i="1"/>
  <c r="AP52" i="1"/>
  <c r="AI59" i="10" l="1"/>
  <c r="AH59" i="10"/>
  <c r="AM59" i="10"/>
  <c r="AG60" i="10"/>
  <c r="AF60" i="10"/>
  <c r="AL60" i="10"/>
  <c r="AD61" i="10"/>
  <c r="AE61" i="10" s="1"/>
  <c r="AI53" i="1"/>
  <c r="AK53" i="1"/>
  <c r="AD54" i="1"/>
  <c r="AG54" i="1"/>
  <c r="AP53" i="1"/>
  <c r="AE55" i="1"/>
  <c r="AO54" i="1"/>
  <c r="AH54" i="1"/>
  <c r="AF54" i="1"/>
  <c r="AI60" i="10" l="1"/>
  <c r="AG61" i="10"/>
  <c r="AF61" i="10"/>
  <c r="AD62" i="10"/>
  <c r="AE62" i="10" s="1"/>
  <c r="AL61" i="10"/>
  <c r="AH60" i="10"/>
  <c r="AM60" i="10"/>
  <c r="AI54" i="1"/>
  <c r="AK54" i="1"/>
  <c r="AD55" i="1"/>
  <c r="AG55" i="1"/>
  <c r="AE56" i="1"/>
  <c r="AO55" i="1"/>
  <c r="AF55" i="1"/>
  <c r="AH55" i="1"/>
  <c r="AP54" i="1"/>
  <c r="AH61" i="10" l="1"/>
  <c r="AM61" i="10"/>
  <c r="AF62" i="10"/>
  <c r="AD63" i="10"/>
  <c r="AE63" i="10" s="1"/>
  <c r="AL62" i="10"/>
  <c r="AG62" i="10"/>
  <c r="AI61" i="10"/>
  <c r="AK55" i="1"/>
  <c r="AI55" i="1"/>
  <c r="AD56" i="1"/>
  <c r="AG56" i="1"/>
  <c r="AP55" i="1"/>
  <c r="AE57" i="1"/>
  <c r="AO56" i="1"/>
  <c r="AF56" i="1"/>
  <c r="AH56" i="1"/>
  <c r="C50" i="10" l="1"/>
  <c r="AI62" i="10"/>
  <c r="AG213" i="10"/>
  <c r="Q18" i="10"/>
  <c r="AM62" i="10"/>
  <c r="B50" i="10"/>
  <c r="AH62" i="10"/>
  <c r="AE213" i="10"/>
  <c r="AD64" i="10"/>
  <c r="AE64" i="10" s="1"/>
  <c r="AL63" i="10"/>
  <c r="AG63" i="10"/>
  <c r="AF63" i="10"/>
  <c r="Q17" i="10"/>
  <c r="AG57" i="1"/>
  <c r="AD57" i="1"/>
  <c r="AK56" i="1"/>
  <c r="AI56" i="1"/>
  <c r="AE58" i="1"/>
  <c r="AO57" i="1"/>
  <c r="AF57" i="1"/>
  <c r="AH57" i="1"/>
  <c r="AP56" i="1"/>
  <c r="Q19" i="10" l="1"/>
  <c r="Q23" i="10" s="1"/>
  <c r="Q22" i="10"/>
  <c r="AI63" i="10"/>
  <c r="AH63" i="10"/>
  <c r="AM63" i="10"/>
  <c r="AL64" i="10"/>
  <c r="AG64" i="10"/>
  <c r="AF64" i="10"/>
  <c r="AD65" i="10"/>
  <c r="AE65" i="10" s="1"/>
  <c r="AM213" i="10"/>
  <c r="AI57" i="1"/>
  <c r="AK57" i="1"/>
  <c r="AG58" i="1"/>
  <c r="AD58" i="1"/>
  <c r="AP57" i="1"/>
  <c r="AE59" i="1"/>
  <c r="AO58" i="1"/>
  <c r="AF58" i="1"/>
  <c r="AH58" i="1"/>
  <c r="AD66" i="10" l="1"/>
  <c r="AE66" i="10" s="1"/>
  <c r="AG65" i="10"/>
  <c r="AL65" i="10"/>
  <c r="AF65" i="10"/>
  <c r="AH64" i="10"/>
  <c r="AM64" i="10"/>
  <c r="AI64" i="10"/>
  <c r="AK58" i="1"/>
  <c r="AI58" i="1"/>
  <c r="AG59" i="1"/>
  <c r="AD59" i="1"/>
  <c r="AE60" i="1"/>
  <c r="AO59" i="1"/>
  <c r="AF59" i="1"/>
  <c r="AH59" i="1"/>
  <c r="AP58" i="1"/>
  <c r="AM65" i="10" l="1"/>
  <c r="AH65" i="10"/>
  <c r="AI65" i="10"/>
  <c r="AL66" i="10"/>
  <c r="AF66" i="10"/>
  <c r="AG66" i="10"/>
  <c r="AD67" i="10"/>
  <c r="AE67" i="10" s="1"/>
  <c r="AI59" i="1"/>
  <c r="AK59" i="1"/>
  <c r="AG60" i="1"/>
  <c r="AD60" i="1"/>
  <c r="AP59" i="1"/>
  <c r="AE61" i="1"/>
  <c r="AO60" i="1"/>
  <c r="AF60" i="1"/>
  <c r="AH60" i="1"/>
  <c r="AM66" i="10" l="1"/>
  <c r="AH66" i="10"/>
  <c r="AI66" i="10"/>
  <c r="AL67" i="10"/>
  <c r="AD68" i="10"/>
  <c r="AE68" i="10" s="1"/>
  <c r="AG67" i="10"/>
  <c r="AF67" i="10"/>
  <c r="AK60" i="1"/>
  <c r="AI60" i="1"/>
  <c r="AG61" i="1"/>
  <c r="AD61" i="1"/>
  <c r="AP60" i="1"/>
  <c r="AE62" i="1"/>
  <c r="AO61" i="1"/>
  <c r="AH61" i="1"/>
  <c r="AF61" i="1"/>
  <c r="AI67" i="10" l="1"/>
  <c r="AL68" i="10"/>
  <c r="AD69" i="10"/>
  <c r="AE69" i="10" s="1"/>
  <c r="AF68" i="10"/>
  <c r="AG68" i="10"/>
  <c r="AM67" i="10"/>
  <c r="AH67" i="10"/>
  <c r="AI61" i="1"/>
  <c r="AK61" i="1"/>
  <c r="AG62" i="1"/>
  <c r="AD62" i="1"/>
  <c r="AE63" i="1"/>
  <c r="AO62" i="1"/>
  <c r="AH62" i="1"/>
  <c r="AF62" i="1"/>
  <c r="AP61" i="1"/>
  <c r="Q18" i="1" l="1"/>
  <c r="Q17" i="1"/>
  <c r="AI68" i="10"/>
  <c r="AH68" i="10"/>
  <c r="AM68" i="10"/>
  <c r="AG69" i="10"/>
  <c r="AD70" i="10"/>
  <c r="AE70" i="10" s="1"/>
  <c r="AL69" i="10"/>
  <c r="AF69" i="10"/>
  <c r="AI62" i="1"/>
  <c r="AJ62" i="1" s="1"/>
  <c r="AF213" i="1"/>
  <c r="AK62" i="1"/>
  <c r="AL62" i="1" s="1"/>
  <c r="AH213" i="1"/>
  <c r="AD63" i="1"/>
  <c r="AG63" i="1"/>
  <c r="B50" i="1"/>
  <c r="AP62" i="1"/>
  <c r="C50" i="1"/>
  <c r="AE64" i="1"/>
  <c r="AO63" i="1"/>
  <c r="AF63" i="1"/>
  <c r="AH63" i="1"/>
  <c r="AG70" i="10" l="1"/>
  <c r="AF70" i="10"/>
  <c r="AL70" i="10"/>
  <c r="AD71" i="10"/>
  <c r="AE71" i="10" s="1"/>
  <c r="AI69" i="10"/>
  <c r="AH69" i="10"/>
  <c r="AM69" i="10"/>
  <c r="Q19" i="1"/>
  <c r="Q23" i="1" s="1"/>
  <c r="AI63" i="1"/>
  <c r="AK63" i="1"/>
  <c r="AP213" i="1"/>
  <c r="AD64" i="1"/>
  <c r="AG64" i="1"/>
  <c r="AP63" i="1"/>
  <c r="AE65" i="1"/>
  <c r="AO64" i="1"/>
  <c r="AH64" i="1"/>
  <c r="AF64" i="1"/>
  <c r="Q22" i="1" l="1"/>
  <c r="K44" i="1" s="1"/>
  <c r="K45" i="1"/>
  <c r="AH70" i="10"/>
  <c r="AM70" i="10"/>
  <c r="AG71" i="10"/>
  <c r="AF71" i="10"/>
  <c r="AD72" i="10"/>
  <c r="AE72" i="10" s="1"/>
  <c r="AL71" i="10"/>
  <c r="AI70" i="10"/>
  <c r="AK64" i="1"/>
  <c r="AD65" i="1"/>
  <c r="AG65" i="1"/>
  <c r="AI64" i="1"/>
  <c r="AP64" i="1"/>
  <c r="AE66" i="1"/>
  <c r="AO65" i="1"/>
  <c r="AH65" i="1"/>
  <c r="AF65" i="1"/>
  <c r="K46" i="1" l="1"/>
  <c r="AH71" i="10"/>
  <c r="AM71" i="10"/>
  <c r="AF72" i="10"/>
  <c r="AD73" i="10"/>
  <c r="AE73" i="10" s="1"/>
  <c r="AL72" i="10"/>
  <c r="AG72" i="10"/>
  <c r="AI71" i="10"/>
  <c r="AK65" i="1"/>
  <c r="AI65" i="1"/>
  <c r="AD66" i="1"/>
  <c r="AG66" i="1"/>
  <c r="AE67" i="1"/>
  <c r="AO66" i="1"/>
  <c r="AF66" i="1"/>
  <c r="AH66" i="1"/>
  <c r="AP65" i="1"/>
  <c r="AI72" i="10" l="1"/>
  <c r="AH72" i="10"/>
  <c r="AM72" i="10"/>
  <c r="AD74" i="10"/>
  <c r="AE74" i="10" s="1"/>
  <c r="AF73" i="10"/>
  <c r="AL73" i="10"/>
  <c r="AG73" i="10"/>
  <c r="AI66" i="1"/>
  <c r="AK66" i="1"/>
  <c r="AG67" i="1"/>
  <c r="AD67" i="1"/>
  <c r="AE68" i="1"/>
  <c r="AO67" i="1"/>
  <c r="AF67" i="1"/>
  <c r="AH67" i="1"/>
  <c r="AP66" i="1"/>
  <c r="AH73" i="10" l="1"/>
  <c r="AM73" i="10"/>
  <c r="AF74" i="10"/>
  <c r="AL74" i="10"/>
  <c r="AG74" i="10"/>
  <c r="AD75" i="10"/>
  <c r="AE75" i="10" s="1"/>
  <c r="AI73" i="10"/>
  <c r="AI67" i="1"/>
  <c r="AK67" i="1"/>
  <c r="AD68" i="1"/>
  <c r="AG68" i="1"/>
  <c r="AP67" i="1"/>
  <c r="AE69" i="1"/>
  <c r="AO68" i="1"/>
  <c r="AF68" i="1"/>
  <c r="AH68" i="1"/>
  <c r="AM74" i="10" l="1"/>
  <c r="AH74" i="10"/>
  <c r="AL75" i="10"/>
  <c r="AD76" i="10"/>
  <c r="AE76" i="10" s="1"/>
  <c r="AG75" i="10"/>
  <c r="AF75" i="10"/>
  <c r="AI74" i="10"/>
  <c r="AK68" i="1"/>
  <c r="AI68" i="1"/>
  <c r="AG69" i="1"/>
  <c r="AD69" i="1"/>
  <c r="AP68" i="1"/>
  <c r="AE70" i="1"/>
  <c r="AO69" i="1"/>
  <c r="AF69" i="1"/>
  <c r="AH69" i="1"/>
  <c r="AM75" i="10" l="1"/>
  <c r="AH75" i="10"/>
  <c r="AI75" i="10"/>
  <c r="AL76" i="10"/>
  <c r="AD77" i="10"/>
  <c r="AE77" i="10" s="1"/>
  <c r="AG76" i="10"/>
  <c r="AF76" i="10"/>
  <c r="AK69" i="1"/>
  <c r="AI69" i="1"/>
  <c r="AG70" i="1"/>
  <c r="AD70" i="1"/>
  <c r="AP69" i="1"/>
  <c r="AE71" i="1"/>
  <c r="AO70" i="1"/>
  <c r="AF70" i="1"/>
  <c r="AH70" i="1"/>
  <c r="AL77" i="10" l="1"/>
  <c r="AF77" i="10"/>
  <c r="AD78" i="10"/>
  <c r="AE78" i="10" s="1"/>
  <c r="AG77" i="10"/>
  <c r="AI76" i="10"/>
  <c r="AM76" i="10"/>
  <c r="AH76" i="10"/>
  <c r="AI70" i="1"/>
  <c r="AK70" i="1"/>
  <c r="AG71" i="1"/>
  <c r="AD71" i="1"/>
  <c r="AP70" i="1"/>
  <c r="AE72" i="1"/>
  <c r="AO71" i="1"/>
  <c r="AH71" i="1"/>
  <c r="AF71" i="1"/>
  <c r="AM77" i="10" l="1"/>
  <c r="AH77" i="10"/>
  <c r="AI77" i="10"/>
  <c r="AL78" i="10"/>
  <c r="AD79" i="10"/>
  <c r="AE79" i="10" s="1"/>
  <c r="AG78" i="10"/>
  <c r="AF78" i="10"/>
  <c r="AI71" i="1"/>
  <c r="AK71" i="1"/>
  <c r="AG72" i="1"/>
  <c r="AD72" i="1"/>
  <c r="AP71" i="1"/>
  <c r="AE73" i="1"/>
  <c r="AO72" i="1"/>
  <c r="AF72" i="1"/>
  <c r="AH72" i="1"/>
  <c r="AI78" i="10" l="1"/>
  <c r="AG79" i="10"/>
  <c r="AD80" i="10"/>
  <c r="AE80" i="10" s="1"/>
  <c r="AL79" i="10"/>
  <c r="AF79" i="10"/>
  <c r="AH78" i="10"/>
  <c r="AM78" i="10"/>
  <c r="AI72" i="1"/>
  <c r="AI103" i="1" s="1"/>
  <c r="AK72" i="1"/>
  <c r="AK103" i="1" s="1"/>
  <c r="AG73" i="1"/>
  <c r="AD73" i="1"/>
  <c r="AP72" i="1"/>
  <c r="AE74" i="1"/>
  <c r="AO73" i="1"/>
  <c r="AF73" i="1"/>
  <c r="AH73" i="1"/>
  <c r="Q4" i="1" l="1"/>
  <c r="AH79" i="10"/>
  <c r="AM79" i="10"/>
  <c r="AG80" i="10"/>
  <c r="AF80" i="10"/>
  <c r="AL80" i="10"/>
  <c r="AD81" i="10"/>
  <c r="AE81" i="10" s="1"/>
  <c r="AI79" i="10"/>
  <c r="AK73" i="1"/>
  <c r="AI73" i="1"/>
  <c r="AD74" i="1"/>
  <c r="AG74" i="1"/>
  <c r="AP73" i="1"/>
  <c r="AE75" i="1"/>
  <c r="AO74" i="1"/>
  <c r="AH74" i="1"/>
  <c r="AF74" i="1"/>
  <c r="Q6" i="1" l="1"/>
  <c r="G44" i="1"/>
  <c r="AG81" i="10"/>
  <c r="AF81" i="10"/>
  <c r="AD82" i="10"/>
  <c r="AE82" i="10" s="1"/>
  <c r="AL81" i="10"/>
  <c r="AH80" i="10"/>
  <c r="AM80" i="10"/>
  <c r="AI80" i="10"/>
  <c r="AK74" i="1"/>
  <c r="AI74" i="1"/>
  <c r="AD75" i="1"/>
  <c r="AG75" i="1"/>
  <c r="AP74" i="1"/>
  <c r="AE76" i="1"/>
  <c r="AO75" i="1"/>
  <c r="AH75" i="1"/>
  <c r="AF75" i="1"/>
  <c r="AM81" i="10" l="1"/>
  <c r="AH81" i="10"/>
  <c r="AF82" i="10"/>
  <c r="AD83" i="10"/>
  <c r="AE83" i="10" s="1"/>
  <c r="AL82" i="10"/>
  <c r="AG82" i="10"/>
  <c r="AI81" i="10"/>
  <c r="AI75" i="1"/>
  <c r="AK75" i="1"/>
  <c r="AD76" i="1"/>
  <c r="AG76" i="1"/>
  <c r="AP75" i="1"/>
  <c r="AE77" i="1"/>
  <c r="AO76" i="1"/>
  <c r="AH76" i="1"/>
  <c r="AF76" i="1"/>
  <c r="AI82" i="10" l="1"/>
  <c r="AM82" i="10"/>
  <c r="AH82" i="10"/>
  <c r="AD84" i="10"/>
  <c r="AE84" i="10" s="1"/>
  <c r="AG83" i="10"/>
  <c r="AF83" i="10"/>
  <c r="AL83" i="10"/>
  <c r="AI76" i="1"/>
  <c r="AK76" i="1"/>
  <c r="AG77" i="1"/>
  <c r="AD77" i="1"/>
  <c r="AP76" i="1"/>
  <c r="AE78" i="1"/>
  <c r="AO77" i="1"/>
  <c r="AF77" i="1"/>
  <c r="AH77" i="1"/>
  <c r="AI83" i="10" l="1"/>
  <c r="AM83" i="10"/>
  <c r="AH83" i="10"/>
  <c r="AL84" i="10"/>
  <c r="AG84" i="10"/>
  <c r="AF84" i="10"/>
  <c r="AD85" i="10"/>
  <c r="AE85" i="10" s="1"/>
  <c r="AD78" i="1"/>
  <c r="AG78" i="1"/>
  <c r="AK77" i="1"/>
  <c r="AI77" i="1"/>
  <c r="AE79" i="1"/>
  <c r="AO78" i="1"/>
  <c r="AF78" i="1"/>
  <c r="AH78" i="1"/>
  <c r="AP77" i="1"/>
  <c r="AI84" i="10" l="1"/>
  <c r="AL85" i="10"/>
  <c r="AG85" i="10"/>
  <c r="AF85" i="10"/>
  <c r="AD86" i="10"/>
  <c r="AE86" i="10" s="1"/>
  <c r="AM84" i="10"/>
  <c r="AH84" i="10"/>
  <c r="AK78" i="1"/>
  <c r="AI78" i="1"/>
  <c r="AD79" i="1"/>
  <c r="AG79" i="1"/>
  <c r="AP78" i="1"/>
  <c r="AE80" i="1"/>
  <c r="AO79" i="1"/>
  <c r="AH79" i="1"/>
  <c r="AF79" i="1"/>
  <c r="AI85" i="10" l="1"/>
  <c r="AL86" i="10"/>
  <c r="AG86" i="10"/>
  <c r="AD87" i="10"/>
  <c r="AE87" i="10" s="1"/>
  <c r="AF86" i="10"/>
  <c r="AM85" i="10"/>
  <c r="AH85" i="10"/>
  <c r="AI79" i="1"/>
  <c r="AK79" i="1"/>
  <c r="AG80" i="1"/>
  <c r="AD80" i="1"/>
  <c r="AP79" i="1"/>
  <c r="AE81" i="1"/>
  <c r="AO80" i="1"/>
  <c r="AH80" i="1"/>
  <c r="AF80" i="1"/>
  <c r="AD88" i="10" l="1"/>
  <c r="AE88" i="10" s="1"/>
  <c r="AL87" i="10"/>
  <c r="AG87" i="10"/>
  <c r="AF87" i="10"/>
  <c r="AM86" i="10"/>
  <c r="AH86" i="10"/>
  <c r="AI86" i="10"/>
  <c r="AI80" i="1"/>
  <c r="AK80" i="1"/>
  <c r="AG81" i="1"/>
  <c r="AD81" i="1"/>
  <c r="AE82" i="1"/>
  <c r="AO81" i="1"/>
  <c r="AH81" i="1"/>
  <c r="AF81" i="1"/>
  <c r="AP80" i="1"/>
  <c r="AM87" i="10" l="1"/>
  <c r="AH87" i="10"/>
  <c r="AI87" i="10"/>
  <c r="AL88" i="10"/>
  <c r="AG88" i="10"/>
  <c r="AF88" i="10"/>
  <c r="AD89" i="10"/>
  <c r="AE89" i="10" s="1"/>
  <c r="AG82" i="1"/>
  <c r="AD82" i="1"/>
  <c r="AI81" i="1"/>
  <c r="AK81" i="1"/>
  <c r="AE83" i="1"/>
  <c r="AO82" i="1"/>
  <c r="AH82" i="1"/>
  <c r="AF82" i="1"/>
  <c r="AP81" i="1"/>
  <c r="AI88" i="10" l="1"/>
  <c r="AD90" i="10"/>
  <c r="AE90" i="10" s="1"/>
  <c r="AL89" i="10"/>
  <c r="AG89" i="10"/>
  <c r="AF89" i="10"/>
  <c r="AM88" i="10"/>
  <c r="AH88" i="10"/>
  <c r="AK82" i="1"/>
  <c r="AI82" i="1"/>
  <c r="AG83" i="1"/>
  <c r="AD83" i="1"/>
  <c r="AP82" i="1"/>
  <c r="AE84" i="1"/>
  <c r="AO83" i="1"/>
  <c r="AF83" i="1"/>
  <c r="AH83" i="1"/>
  <c r="AM89" i="10" l="1"/>
  <c r="AH89" i="10"/>
  <c r="AI89" i="10"/>
  <c r="AD91" i="10"/>
  <c r="AE91" i="10" s="1"/>
  <c r="AL90" i="10"/>
  <c r="AG90" i="10"/>
  <c r="AF90" i="10"/>
  <c r="AI83" i="1"/>
  <c r="AK83" i="1"/>
  <c r="AD84" i="1"/>
  <c r="AG84" i="1"/>
  <c r="AP83" i="1"/>
  <c r="AE85" i="1"/>
  <c r="AO84" i="1"/>
  <c r="AH84" i="1"/>
  <c r="AF84" i="1"/>
  <c r="AF91" i="10" l="1"/>
  <c r="AD92" i="10"/>
  <c r="AE92" i="10" s="1"/>
  <c r="AL91" i="10"/>
  <c r="AG91" i="10"/>
  <c r="AM90" i="10"/>
  <c r="AH90" i="10"/>
  <c r="AI90" i="10"/>
  <c r="AK84" i="1"/>
  <c r="AI84" i="1"/>
  <c r="AG85" i="1"/>
  <c r="AD85" i="1"/>
  <c r="AP84" i="1"/>
  <c r="AE86" i="1"/>
  <c r="AO85" i="1"/>
  <c r="AH85" i="1"/>
  <c r="AF85" i="1"/>
  <c r="AI91" i="10" l="1"/>
  <c r="AL92" i="10"/>
  <c r="AG92" i="10"/>
  <c r="AF92" i="10"/>
  <c r="AD93" i="10"/>
  <c r="AE93" i="10" s="1"/>
  <c r="AM91" i="10"/>
  <c r="AH91" i="10"/>
  <c r="AD86" i="1"/>
  <c r="AG86" i="1"/>
  <c r="AI85" i="1"/>
  <c r="AK85" i="1"/>
  <c r="AP85" i="1"/>
  <c r="AE87" i="1"/>
  <c r="AO86" i="1"/>
  <c r="AH86" i="1"/>
  <c r="AF86" i="1"/>
  <c r="AD94" i="10" l="1"/>
  <c r="AE94" i="10" s="1"/>
  <c r="AL93" i="10"/>
  <c r="AG93" i="10"/>
  <c r="AF93" i="10"/>
  <c r="AH92" i="10"/>
  <c r="AM92" i="10"/>
  <c r="AI92" i="10"/>
  <c r="AI86" i="1"/>
  <c r="AK86" i="1"/>
  <c r="AG87" i="1"/>
  <c r="AD87" i="1"/>
  <c r="AE88" i="1"/>
  <c r="AO87" i="1"/>
  <c r="AH87" i="1"/>
  <c r="AF87" i="1"/>
  <c r="AP86" i="1"/>
  <c r="AH93" i="10" l="1"/>
  <c r="AM93" i="10"/>
  <c r="AI93" i="10"/>
  <c r="AG94" i="10"/>
  <c r="AD95" i="10"/>
  <c r="AE95" i="10" s="1"/>
  <c r="AL94" i="10"/>
  <c r="AF94" i="10"/>
  <c r="AI87" i="1"/>
  <c r="AK87" i="1"/>
  <c r="AD88" i="1"/>
  <c r="AG88" i="1"/>
  <c r="AP87" i="1"/>
  <c r="AE89" i="1"/>
  <c r="AO88" i="1"/>
  <c r="AF88" i="1"/>
  <c r="AH88" i="1"/>
  <c r="AD96" i="10" l="1"/>
  <c r="AE96" i="10" s="1"/>
  <c r="AL95" i="10"/>
  <c r="AG95" i="10"/>
  <c r="AF95" i="10"/>
  <c r="AH94" i="10"/>
  <c r="AM94" i="10"/>
  <c r="AI94" i="10"/>
  <c r="AK88" i="1"/>
  <c r="AI88" i="1"/>
  <c r="AD89" i="1"/>
  <c r="AG89" i="1"/>
  <c r="AE90" i="1"/>
  <c r="AO89" i="1"/>
  <c r="AF89" i="1"/>
  <c r="AH89" i="1"/>
  <c r="AP88" i="1"/>
  <c r="AI95" i="10" l="1"/>
  <c r="AM95" i="10"/>
  <c r="AH95" i="10"/>
  <c r="AG96" i="10"/>
  <c r="AF96" i="10"/>
  <c r="AL96" i="10"/>
  <c r="AD97" i="10"/>
  <c r="AE97" i="10" s="1"/>
  <c r="AI89" i="1"/>
  <c r="AK89" i="1"/>
  <c r="AD90" i="1"/>
  <c r="AG90" i="1"/>
  <c r="AP89" i="1"/>
  <c r="AE91" i="1"/>
  <c r="AO90" i="1"/>
  <c r="AF90" i="1"/>
  <c r="AH90" i="1"/>
  <c r="AI96" i="10" l="1"/>
  <c r="AL97" i="10"/>
  <c r="AD98" i="10"/>
  <c r="AE98" i="10" s="1"/>
  <c r="AG97" i="10"/>
  <c r="AF97" i="10"/>
  <c r="AM96" i="10"/>
  <c r="AH96" i="10"/>
  <c r="AK90" i="1"/>
  <c r="AI90" i="1"/>
  <c r="AG91" i="1"/>
  <c r="AD91" i="1"/>
  <c r="AP90" i="1"/>
  <c r="AE92" i="1"/>
  <c r="AO91" i="1"/>
  <c r="AF91" i="1"/>
  <c r="AH91" i="1"/>
  <c r="AM97" i="10" l="1"/>
  <c r="AH97" i="10"/>
  <c r="AI97" i="10"/>
  <c r="AG98" i="10"/>
  <c r="AF98" i="10"/>
  <c r="AL98" i="10"/>
  <c r="AD99" i="10"/>
  <c r="AE99" i="10" s="1"/>
  <c r="AI91" i="1"/>
  <c r="AK91" i="1"/>
  <c r="AG92" i="1"/>
  <c r="AD92" i="1"/>
  <c r="AP91" i="1"/>
  <c r="AE93" i="1"/>
  <c r="AO92" i="1"/>
  <c r="AH92" i="1"/>
  <c r="AF92" i="1"/>
  <c r="AK92" i="1" l="1"/>
  <c r="AL99" i="10"/>
  <c r="AG99" i="10"/>
  <c r="AD100" i="10"/>
  <c r="AE100" i="10" s="1"/>
  <c r="AF99" i="10"/>
  <c r="AI98" i="10"/>
  <c r="AH98" i="10"/>
  <c r="AM98" i="10"/>
  <c r="AI92" i="1"/>
  <c r="AG93" i="1"/>
  <c r="AD93" i="1"/>
  <c r="AP92" i="1"/>
  <c r="AE94" i="1"/>
  <c r="AO93" i="1"/>
  <c r="AH93" i="1"/>
  <c r="AF93" i="1"/>
  <c r="AM99" i="10" l="1"/>
  <c r="AH99" i="10"/>
  <c r="AG100" i="10"/>
  <c r="AF100" i="10"/>
  <c r="AD101" i="10"/>
  <c r="AE101" i="10" s="1"/>
  <c r="AL100" i="10"/>
  <c r="AI99" i="10"/>
  <c r="AI93" i="1"/>
  <c r="AK93" i="1"/>
  <c r="AD94" i="1"/>
  <c r="AG94" i="1"/>
  <c r="AP93" i="1"/>
  <c r="AE95" i="1"/>
  <c r="AO94" i="1"/>
  <c r="AH94" i="1"/>
  <c r="AF94" i="1"/>
  <c r="AL101" i="10" l="1"/>
  <c r="AD102" i="10"/>
  <c r="AE102" i="10" s="1"/>
  <c r="AF101" i="10"/>
  <c r="AG101" i="10"/>
  <c r="AH100" i="10"/>
  <c r="AM100" i="10"/>
  <c r="AI100" i="10"/>
  <c r="AI94" i="1"/>
  <c r="AK94" i="1"/>
  <c r="AG95" i="1"/>
  <c r="AD95" i="1"/>
  <c r="AP94" i="1"/>
  <c r="AE96" i="1"/>
  <c r="AO95" i="1"/>
  <c r="AH95" i="1"/>
  <c r="AF95" i="1"/>
  <c r="AI101" i="10" l="1"/>
  <c r="AM101" i="10"/>
  <c r="AH101" i="10"/>
  <c r="AG102" i="10"/>
  <c r="AF102" i="10"/>
  <c r="AD103" i="10"/>
  <c r="AE103" i="10" s="1"/>
  <c r="AL102" i="10"/>
  <c r="AI95" i="1"/>
  <c r="AK95" i="1"/>
  <c r="AG96" i="1"/>
  <c r="AD96" i="1"/>
  <c r="AP95" i="1"/>
  <c r="AE97" i="1"/>
  <c r="AO96" i="1"/>
  <c r="AH96" i="1"/>
  <c r="AF96" i="1"/>
  <c r="AM102" i="10" l="1"/>
  <c r="AH102" i="10"/>
  <c r="B51" i="10"/>
  <c r="AI102" i="10"/>
  <c r="C51" i="10"/>
  <c r="AL103" i="10"/>
  <c r="AD104" i="10"/>
  <c r="AE104" i="10" s="1"/>
  <c r="AF103" i="10"/>
  <c r="AG103" i="10"/>
  <c r="AI96" i="1"/>
  <c r="AK96" i="1"/>
  <c r="AG97" i="1"/>
  <c r="AD97" i="1"/>
  <c r="AP96" i="1"/>
  <c r="AE98" i="1"/>
  <c r="AO97" i="1"/>
  <c r="AH97" i="1"/>
  <c r="AF97" i="1"/>
  <c r="AI104" i="10" l="1"/>
  <c r="AI103" i="10"/>
  <c r="AH104" i="10"/>
  <c r="AH103" i="10"/>
  <c r="AM204" i="10"/>
  <c r="AM194" i="10"/>
  <c r="AM184" i="10"/>
  <c r="AM174" i="10"/>
  <c r="AM164" i="10"/>
  <c r="AM154" i="10"/>
  <c r="AM144" i="10"/>
  <c r="AM136" i="10"/>
  <c r="AM126" i="10"/>
  <c r="AM205" i="10"/>
  <c r="AM195" i="10"/>
  <c r="AM207" i="10"/>
  <c r="AM203" i="10"/>
  <c r="AM192" i="10"/>
  <c r="AM187" i="10"/>
  <c r="AM171" i="10"/>
  <c r="AM166" i="10"/>
  <c r="AM150" i="10"/>
  <c r="AM145" i="10"/>
  <c r="AM135" i="10"/>
  <c r="AM134" i="10"/>
  <c r="AM133" i="10"/>
  <c r="AM132" i="10"/>
  <c r="AM131" i="10"/>
  <c r="AM130" i="10"/>
  <c r="AM129" i="10"/>
  <c r="AM128" i="10"/>
  <c r="AM127" i="10"/>
  <c r="AM122" i="10"/>
  <c r="AM112" i="10"/>
  <c r="AM200" i="10"/>
  <c r="AM182" i="10"/>
  <c r="AM177" i="10"/>
  <c r="AM161" i="10"/>
  <c r="AM156" i="10"/>
  <c r="AM140" i="10"/>
  <c r="AM139" i="10"/>
  <c r="AM138" i="10"/>
  <c r="AM137" i="10"/>
  <c r="AM121" i="10"/>
  <c r="AM193" i="10"/>
  <c r="AM190" i="10"/>
  <c r="AM173" i="10"/>
  <c r="AM170" i="10"/>
  <c r="AM153" i="10"/>
  <c r="AM116" i="10"/>
  <c r="AM212" i="10"/>
  <c r="AM198" i="10"/>
  <c r="AM179" i="10"/>
  <c r="AM176" i="10"/>
  <c r="AM162" i="10"/>
  <c r="AM159" i="10"/>
  <c r="AM142" i="10"/>
  <c r="AM124" i="10"/>
  <c r="AM117" i="10"/>
  <c r="AM103" i="10"/>
  <c r="AM188" i="10"/>
  <c r="AM185" i="10"/>
  <c r="AM168" i="10"/>
  <c r="AM165" i="10"/>
  <c r="AM151" i="10"/>
  <c r="AM148" i="10"/>
  <c r="AM118" i="10"/>
  <c r="AM210" i="10"/>
  <c r="AM208" i="10"/>
  <c r="AM196" i="10"/>
  <c r="AM201" i="10"/>
  <c r="AM191" i="10"/>
  <c r="AM211" i="10"/>
  <c r="AM181" i="10"/>
  <c r="AM109" i="10"/>
  <c r="AM206" i="10"/>
  <c r="AM183" i="10"/>
  <c r="AM180" i="10"/>
  <c r="AM115" i="10"/>
  <c r="AM106" i="10"/>
  <c r="AM199" i="10"/>
  <c r="AM189" i="10"/>
  <c r="AM186" i="10"/>
  <c r="AM152" i="10"/>
  <c r="AM141" i="10"/>
  <c r="AM123" i="10"/>
  <c r="AM143" i="10"/>
  <c r="AM113" i="10"/>
  <c r="AM110" i="10"/>
  <c r="AM167" i="10"/>
  <c r="AM119" i="10"/>
  <c r="AM107" i="10"/>
  <c r="AM209" i="10"/>
  <c r="AM202" i="10"/>
  <c r="AM158" i="10"/>
  <c r="AM147" i="10"/>
  <c r="AM163" i="10"/>
  <c r="AM160" i="10"/>
  <c r="AM149" i="10"/>
  <c r="AM111" i="10"/>
  <c r="AM197" i="10"/>
  <c r="AM155" i="10"/>
  <c r="AM125" i="10"/>
  <c r="AM108" i="10"/>
  <c r="AM114" i="10"/>
  <c r="AM178" i="10"/>
  <c r="AM175" i="10"/>
  <c r="AM120" i="10"/>
  <c r="AM105" i="10"/>
  <c r="AM172" i="10"/>
  <c r="AM104" i="10"/>
  <c r="AM169" i="10"/>
  <c r="AM157" i="10"/>
  <c r="AM146" i="10"/>
  <c r="AD105" i="10"/>
  <c r="AE105" i="10" s="1"/>
  <c r="AG104" i="10"/>
  <c r="AF104" i="10"/>
  <c r="AL104" i="10"/>
  <c r="AI97" i="1"/>
  <c r="AK97" i="1"/>
  <c r="AD98" i="1"/>
  <c r="AG98" i="1"/>
  <c r="AP97" i="1"/>
  <c r="AE99" i="1"/>
  <c r="AO98" i="1"/>
  <c r="AH98" i="1"/>
  <c r="AF98" i="1"/>
  <c r="AI105" i="10" l="1"/>
  <c r="AH105" i="10"/>
  <c r="Q4" i="10"/>
  <c r="AD106" i="10"/>
  <c r="AE106" i="10" s="1"/>
  <c r="AF105" i="10"/>
  <c r="AG105" i="10"/>
  <c r="AL105" i="10"/>
  <c r="AI98" i="1"/>
  <c r="AK98" i="1"/>
  <c r="AD99" i="1"/>
  <c r="AG99" i="1"/>
  <c r="AP98" i="1"/>
  <c r="AE100" i="1"/>
  <c r="AO99" i="1"/>
  <c r="AH99" i="1"/>
  <c r="AF99" i="1"/>
  <c r="AD107" i="10" l="1"/>
  <c r="AE107" i="10" s="1"/>
  <c r="AL106" i="10"/>
  <c r="AG106" i="10"/>
  <c r="AF106" i="10"/>
  <c r="Q6" i="10"/>
  <c r="Q5" i="10"/>
  <c r="AI99" i="1"/>
  <c r="AK99" i="1"/>
  <c r="AD100" i="1"/>
  <c r="AG100" i="1"/>
  <c r="AP99" i="1"/>
  <c r="AE101" i="1"/>
  <c r="AO100" i="1"/>
  <c r="AH100" i="1"/>
  <c r="AF100" i="1"/>
  <c r="Q7" i="10" l="1"/>
  <c r="Q8" i="10" s="1"/>
  <c r="AD108" i="10"/>
  <c r="AE108" i="10" s="1"/>
  <c r="AL107" i="10"/>
  <c r="AG107" i="10"/>
  <c r="AF107" i="10"/>
  <c r="F48" i="10"/>
  <c r="AI100" i="1"/>
  <c r="AK100" i="1"/>
  <c r="AD101" i="1"/>
  <c r="AG101" i="1"/>
  <c r="AP100" i="1"/>
  <c r="AE102" i="1"/>
  <c r="AO101" i="1"/>
  <c r="AH101" i="1"/>
  <c r="AF101" i="1"/>
  <c r="AD109" i="10" l="1"/>
  <c r="AE109" i="10" s="1"/>
  <c r="AF108" i="10"/>
  <c r="AG108" i="10"/>
  <c r="AL108" i="10"/>
  <c r="G48" i="10"/>
  <c r="Q15" i="10"/>
  <c r="AI101" i="1"/>
  <c r="AK101" i="1"/>
  <c r="AG102" i="1"/>
  <c r="AD102" i="1"/>
  <c r="AP101" i="1"/>
  <c r="AE103" i="1"/>
  <c r="AO102" i="1"/>
  <c r="AH102" i="1"/>
  <c r="AR101" i="1" s="1"/>
  <c r="AF102" i="1"/>
  <c r="AQ100" i="1" s="1"/>
  <c r="AR98" i="1" l="1"/>
  <c r="AQ102" i="1"/>
  <c r="AQ3" i="1"/>
  <c r="AQ2" i="1"/>
  <c r="AQ4" i="1"/>
  <c r="AQ5" i="1"/>
  <c r="AQ6" i="1"/>
  <c r="AQ7" i="1"/>
  <c r="AQ8" i="1"/>
  <c r="AQ9" i="1"/>
  <c r="AQ10" i="1"/>
  <c r="AQ12" i="1"/>
  <c r="AQ11" i="1"/>
  <c r="AQ14" i="1"/>
  <c r="AQ13" i="1"/>
  <c r="AQ15" i="1"/>
  <c r="AQ16" i="1"/>
  <c r="AQ17" i="1"/>
  <c r="AQ18" i="1"/>
  <c r="AQ21" i="1"/>
  <c r="AQ19" i="1"/>
  <c r="AQ20" i="1"/>
  <c r="AQ23" i="1"/>
  <c r="AQ24" i="1"/>
  <c r="AQ22" i="1"/>
  <c r="AQ27" i="1"/>
  <c r="AQ25" i="1"/>
  <c r="AQ26" i="1"/>
  <c r="AQ28" i="1"/>
  <c r="AQ29" i="1"/>
  <c r="AQ30" i="1"/>
  <c r="AQ31" i="1"/>
  <c r="AQ32" i="1"/>
  <c r="AQ33" i="1"/>
  <c r="AQ34" i="1"/>
  <c r="AQ36" i="1"/>
  <c r="AQ35" i="1"/>
  <c r="AQ37" i="1"/>
  <c r="AQ38" i="1"/>
  <c r="AQ39" i="1"/>
  <c r="AQ40" i="1"/>
  <c r="AQ41" i="1"/>
  <c r="AQ42" i="1"/>
  <c r="AQ44" i="1"/>
  <c r="AQ43" i="1"/>
  <c r="AQ45" i="1"/>
  <c r="AQ47" i="1"/>
  <c r="AQ46" i="1"/>
  <c r="AQ49" i="1"/>
  <c r="AQ48" i="1"/>
  <c r="AQ51" i="1"/>
  <c r="AQ50" i="1"/>
  <c r="AQ52" i="1"/>
  <c r="AQ53" i="1"/>
  <c r="AQ55" i="1"/>
  <c r="AQ54" i="1"/>
  <c r="AQ57" i="1"/>
  <c r="AQ56" i="1"/>
  <c r="AQ58" i="1"/>
  <c r="AQ59" i="1"/>
  <c r="AQ62" i="1"/>
  <c r="AQ60" i="1"/>
  <c r="AQ64" i="1"/>
  <c r="AQ61" i="1"/>
  <c r="AQ65" i="1"/>
  <c r="AQ63" i="1"/>
  <c r="AQ66" i="1"/>
  <c r="AQ67" i="1"/>
  <c r="AQ69" i="1"/>
  <c r="AQ68" i="1"/>
  <c r="AQ70" i="1"/>
  <c r="AQ71" i="1"/>
  <c r="AQ72" i="1"/>
  <c r="AQ74" i="1"/>
  <c r="AQ73" i="1"/>
  <c r="AQ75" i="1"/>
  <c r="AQ77" i="1"/>
  <c r="AQ78" i="1"/>
  <c r="AQ76" i="1"/>
  <c r="AQ79" i="1"/>
  <c r="AQ80" i="1"/>
  <c r="AQ81" i="1"/>
  <c r="AQ82" i="1"/>
  <c r="AQ83" i="1"/>
  <c r="AQ84" i="1"/>
  <c r="AQ86" i="1"/>
  <c r="AQ88" i="1"/>
  <c r="AQ85" i="1"/>
  <c r="AQ90" i="1"/>
  <c r="AQ89" i="1"/>
  <c r="AQ87" i="1"/>
  <c r="AQ92" i="1"/>
  <c r="AQ91" i="1"/>
  <c r="AQ93" i="1"/>
  <c r="AQ94" i="1"/>
  <c r="AQ96" i="1"/>
  <c r="AQ97" i="1"/>
  <c r="AQ98" i="1"/>
  <c r="AQ95" i="1"/>
  <c r="AR102" i="1"/>
  <c r="AR3" i="1"/>
  <c r="AR4" i="1"/>
  <c r="AR2" i="1"/>
  <c r="AR7" i="1"/>
  <c r="AR5" i="1"/>
  <c r="AR6" i="1"/>
  <c r="AR8" i="1"/>
  <c r="AR10" i="1"/>
  <c r="AR9" i="1"/>
  <c r="AR12" i="1"/>
  <c r="AR11" i="1"/>
  <c r="AR14" i="1"/>
  <c r="AR13" i="1"/>
  <c r="AR16" i="1"/>
  <c r="AR15" i="1"/>
  <c r="AR17" i="1"/>
  <c r="AR19" i="1"/>
  <c r="AR18" i="1"/>
  <c r="AR20" i="1"/>
  <c r="AR22" i="1"/>
  <c r="AR21" i="1"/>
  <c r="AR23" i="1"/>
  <c r="AR25" i="1"/>
  <c r="AR26" i="1"/>
  <c r="AR24" i="1"/>
  <c r="AR29" i="1"/>
  <c r="AR28" i="1"/>
  <c r="AR27" i="1"/>
  <c r="AR31" i="1"/>
  <c r="AR30" i="1"/>
  <c r="AR32" i="1"/>
  <c r="AR33" i="1"/>
  <c r="AR34" i="1"/>
  <c r="AR35" i="1"/>
  <c r="AR36" i="1"/>
  <c r="AR37" i="1"/>
  <c r="AR39" i="1"/>
  <c r="AR38" i="1"/>
  <c r="AR40" i="1"/>
  <c r="AR42" i="1"/>
  <c r="AR41" i="1"/>
  <c r="AR43" i="1"/>
  <c r="AR44" i="1"/>
  <c r="AR45" i="1"/>
  <c r="AR46" i="1"/>
  <c r="AR47" i="1"/>
  <c r="AR49" i="1"/>
  <c r="AR48" i="1"/>
  <c r="AR50" i="1"/>
  <c r="AR52" i="1"/>
  <c r="AR51" i="1"/>
  <c r="AR54" i="1"/>
  <c r="AR53" i="1"/>
  <c r="AR57" i="1"/>
  <c r="AR55" i="1"/>
  <c r="AR56" i="1"/>
  <c r="AR58" i="1"/>
  <c r="AR61" i="1"/>
  <c r="AR59" i="1"/>
  <c r="AR64" i="1"/>
  <c r="AR62" i="1"/>
  <c r="AR60" i="1"/>
  <c r="AR63" i="1"/>
  <c r="AR66" i="1"/>
  <c r="AR65" i="1"/>
  <c r="AR67" i="1"/>
  <c r="AR68" i="1"/>
  <c r="AR69" i="1"/>
  <c r="AR71" i="1"/>
  <c r="AR70" i="1"/>
  <c r="AR74" i="1"/>
  <c r="AR72" i="1"/>
  <c r="AR73" i="1"/>
  <c r="AR76" i="1"/>
  <c r="AR77" i="1"/>
  <c r="AR75" i="1"/>
  <c r="AR78" i="1"/>
  <c r="AR79" i="1"/>
  <c r="AR80" i="1"/>
  <c r="AR81" i="1"/>
  <c r="AR83" i="1"/>
  <c r="AR82" i="1"/>
  <c r="AR84" i="1"/>
  <c r="AR86" i="1"/>
  <c r="AR85" i="1"/>
  <c r="AR87" i="1"/>
  <c r="AR88" i="1"/>
  <c r="AR89" i="1"/>
  <c r="AR91" i="1"/>
  <c r="AR92" i="1"/>
  <c r="AR90" i="1"/>
  <c r="AR93" i="1"/>
  <c r="AR96" i="1"/>
  <c r="AR94" i="1"/>
  <c r="AR95" i="1"/>
  <c r="AR97" i="1"/>
  <c r="AR99" i="1"/>
  <c r="AQ99" i="1"/>
  <c r="AQ101" i="1"/>
  <c r="AR100" i="1"/>
  <c r="AD110" i="10"/>
  <c r="AE110" i="10" s="1"/>
  <c r="AL109" i="10"/>
  <c r="AG109" i="10"/>
  <c r="AF109" i="10"/>
  <c r="AI102" i="1"/>
  <c r="AK102" i="1"/>
  <c r="AG103" i="1"/>
  <c r="AD103" i="1"/>
  <c r="C51" i="1"/>
  <c r="AE104" i="1"/>
  <c r="AF103" i="1"/>
  <c r="AH103" i="1"/>
  <c r="AO103" i="1"/>
  <c r="B51" i="1"/>
  <c r="AP102" i="1"/>
  <c r="AQ213" i="1" l="1"/>
  <c r="AR213" i="1"/>
  <c r="AD111" i="10"/>
  <c r="AE111" i="10" s="1"/>
  <c r="AL110" i="10"/>
  <c r="AG110" i="10"/>
  <c r="AF110" i="10"/>
  <c r="AP113" i="1"/>
  <c r="AP123" i="1"/>
  <c r="AP133" i="1"/>
  <c r="AP143" i="1"/>
  <c r="AP153" i="1"/>
  <c r="AP163" i="1"/>
  <c r="AP173" i="1"/>
  <c r="AP183" i="1"/>
  <c r="AP193" i="1"/>
  <c r="AP203" i="1"/>
  <c r="AP103" i="1"/>
  <c r="AP104" i="1"/>
  <c r="AP114" i="1"/>
  <c r="AP124" i="1"/>
  <c r="AP134" i="1"/>
  <c r="AP144" i="1"/>
  <c r="AP154" i="1"/>
  <c r="AP164" i="1"/>
  <c r="AP174" i="1"/>
  <c r="AP184" i="1"/>
  <c r="AP194" i="1"/>
  <c r="AP204" i="1"/>
  <c r="AP105" i="1"/>
  <c r="AP115" i="1"/>
  <c r="AP125" i="1"/>
  <c r="AP135" i="1"/>
  <c r="AP145" i="1"/>
  <c r="AP155" i="1"/>
  <c r="AP165" i="1"/>
  <c r="AP175" i="1"/>
  <c r="AP185" i="1"/>
  <c r="AP195" i="1"/>
  <c r="AP205" i="1"/>
  <c r="AP106" i="1"/>
  <c r="AP116" i="1"/>
  <c r="AP126" i="1"/>
  <c r="AP136" i="1"/>
  <c r="AP146" i="1"/>
  <c r="AP156" i="1"/>
  <c r="AP166" i="1"/>
  <c r="AP176" i="1"/>
  <c r="AP186" i="1"/>
  <c r="AP196" i="1"/>
  <c r="AP206" i="1"/>
  <c r="AP107" i="1"/>
  <c r="AP117" i="1"/>
  <c r="AP127" i="1"/>
  <c r="AP137" i="1"/>
  <c r="AP147" i="1"/>
  <c r="AP157" i="1"/>
  <c r="AP167" i="1"/>
  <c r="AP177" i="1"/>
  <c r="AP187" i="1"/>
  <c r="AP197" i="1"/>
  <c r="AP207" i="1"/>
  <c r="AP108" i="1"/>
  <c r="AP118" i="1"/>
  <c r="AP128" i="1"/>
  <c r="AP138" i="1"/>
  <c r="AP148" i="1"/>
  <c r="AP158" i="1"/>
  <c r="AP168" i="1"/>
  <c r="AP178" i="1"/>
  <c r="AP188" i="1"/>
  <c r="AP198" i="1"/>
  <c r="AP208" i="1"/>
  <c r="AP109" i="1"/>
  <c r="AP119" i="1"/>
  <c r="AP129" i="1"/>
  <c r="AP139" i="1"/>
  <c r="AP149" i="1"/>
  <c r="AP159" i="1"/>
  <c r="AP169" i="1"/>
  <c r="AP179" i="1"/>
  <c r="AP189" i="1"/>
  <c r="AP199" i="1"/>
  <c r="AP209" i="1"/>
  <c r="AP110" i="1"/>
  <c r="AP120" i="1"/>
  <c r="AP130" i="1"/>
  <c r="AP150" i="1"/>
  <c r="AP160" i="1"/>
  <c r="AP170" i="1"/>
  <c r="AP180" i="1"/>
  <c r="AP190" i="1"/>
  <c r="AP140" i="1"/>
  <c r="AP152" i="1"/>
  <c r="AP201" i="1"/>
  <c r="AP111" i="1"/>
  <c r="AP161" i="1"/>
  <c r="AP202" i="1"/>
  <c r="AP112" i="1"/>
  <c r="AP162" i="1"/>
  <c r="AP210" i="1"/>
  <c r="AP121" i="1"/>
  <c r="AP171" i="1"/>
  <c r="AP211" i="1"/>
  <c r="AP122" i="1"/>
  <c r="AP172" i="1"/>
  <c r="AP212" i="1"/>
  <c r="AP131" i="1"/>
  <c r="AP181" i="1"/>
  <c r="AP132" i="1"/>
  <c r="AP182" i="1"/>
  <c r="AP141" i="1"/>
  <c r="AP191" i="1"/>
  <c r="AP142" i="1"/>
  <c r="AP192" i="1"/>
  <c r="AP151" i="1"/>
  <c r="AP200" i="1"/>
  <c r="AD104" i="1"/>
  <c r="AG104" i="1"/>
  <c r="AE105" i="1"/>
  <c r="AO104" i="1"/>
  <c r="AH104" i="1"/>
  <c r="AF104" i="1"/>
  <c r="AD112" i="10" l="1"/>
  <c r="AE112" i="10" s="1"/>
  <c r="AF111" i="10"/>
  <c r="AL111" i="10"/>
  <c r="AG111" i="10"/>
  <c r="Q5" i="1"/>
  <c r="AG105" i="1"/>
  <c r="AD105" i="1"/>
  <c r="AE106" i="1"/>
  <c r="AO105" i="1"/>
  <c r="AH105" i="1"/>
  <c r="AF105" i="1"/>
  <c r="AD113" i="10" l="1"/>
  <c r="AE113" i="10" s="1"/>
  <c r="AL112" i="10"/>
  <c r="AG112" i="10"/>
  <c r="AF112" i="10"/>
  <c r="AG106" i="1"/>
  <c r="AD106" i="1"/>
  <c r="AE107" i="1"/>
  <c r="AF106" i="1"/>
  <c r="AH106" i="1"/>
  <c r="AO106" i="1"/>
  <c r="Q31" i="1" l="1"/>
  <c r="F48" i="1"/>
  <c r="Q32" i="1"/>
  <c r="AL113" i="10"/>
  <c r="AD114" i="10"/>
  <c r="AE114" i="10" s="1"/>
  <c r="AG113" i="10"/>
  <c r="AF113" i="10"/>
  <c r="AG107" i="1"/>
  <c r="AD107" i="1"/>
  <c r="AE108" i="1"/>
  <c r="AF107" i="1"/>
  <c r="AH107" i="1"/>
  <c r="AO107" i="1"/>
  <c r="Q33" i="1" l="1"/>
  <c r="G48" i="1"/>
  <c r="Q34" i="1"/>
  <c r="Q35" i="1"/>
  <c r="Q13" i="1" s="1"/>
  <c r="AG114" i="10"/>
  <c r="AF114" i="10"/>
  <c r="AD115" i="10"/>
  <c r="AE115" i="10" s="1"/>
  <c r="AL114" i="10"/>
  <c r="AD108" i="1"/>
  <c r="AG108" i="1"/>
  <c r="AE109" i="1"/>
  <c r="AF108" i="1"/>
  <c r="AH108" i="1"/>
  <c r="AO108" i="1"/>
  <c r="Q36" i="1" l="1"/>
  <c r="Q14" i="1" s="1"/>
  <c r="Q15" i="1" s="1"/>
  <c r="AF115" i="10"/>
  <c r="AD116" i="10"/>
  <c r="AE116" i="10" s="1"/>
  <c r="AL115" i="10"/>
  <c r="AG115" i="10"/>
  <c r="AD109" i="1"/>
  <c r="AG109" i="1"/>
  <c r="AE110" i="1"/>
  <c r="AF109" i="1"/>
  <c r="AH109" i="1"/>
  <c r="AO109" i="1"/>
  <c r="AD117" i="10" l="1"/>
  <c r="AE117" i="10" s="1"/>
  <c r="AL116" i="10"/>
  <c r="AG116" i="10"/>
  <c r="AF116" i="10"/>
  <c r="AD110" i="1"/>
  <c r="AG110" i="1"/>
  <c r="AE111" i="1"/>
  <c r="AO110" i="1"/>
  <c r="AF110" i="1"/>
  <c r="AH110" i="1"/>
  <c r="AL117" i="10" l="1"/>
  <c r="AD118" i="10"/>
  <c r="AE118" i="10" s="1"/>
  <c r="AF117" i="10"/>
  <c r="AG117" i="10"/>
  <c r="AD111" i="1"/>
  <c r="AG111" i="1"/>
  <c r="AE112" i="1"/>
  <c r="AO111" i="1"/>
  <c r="AF111" i="1"/>
  <c r="AH111" i="1"/>
  <c r="AL118" i="10" l="1"/>
  <c r="AG118" i="10"/>
  <c r="AF118" i="10"/>
  <c r="AD119" i="10"/>
  <c r="AE119" i="10" s="1"/>
  <c r="AD112" i="1"/>
  <c r="AG112" i="1"/>
  <c r="AE113" i="1"/>
  <c r="AH112" i="1"/>
  <c r="AO112" i="1"/>
  <c r="AF112" i="1"/>
  <c r="AD120" i="10" l="1"/>
  <c r="AE120" i="10" s="1"/>
  <c r="AL119" i="10"/>
  <c r="AG119" i="10"/>
  <c r="AF119" i="10"/>
  <c r="AG113" i="1"/>
  <c r="AD113" i="1"/>
  <c r="AE114" i="1"/>
  <c r="AH113" i="1"/>
  <c r="AO113" i="1"/>
  <c r="AF113" i="1"/>
  <c r="AD121" i="10" l="1"/>
  <c r="AE121" i="10" s="1"/>
  <c r="AG120" i="10"/>
  <c r="AF120" i="10"/>
  <c r="AL120" i="10"/>
  <c r="AD114" i="1"/>
  <c r="AG114" i="1"/>
  <c r="AE115" i="1"/>
  <c r="AO114" i="1"/>
  <c r="AH114" i="1"/>
  <c r="AF114" i="1"/>
  <c r="AD122" i="10" l="1"/>
  <c r="AE122" i="10" s="1"/>
  <c r="AL121" i="10"/>
  <c r="AG121" i="10"/>
  <c r="AF121" i="10"/>
  <c r="AG115" i="1"/>
  <c r="AD115" i="1"/>
  <c r="AE116" i="1"/>
  <c r="AO115" i="1"/>
  <c r="AH115" i="1"/>
  <c r="AF115" i="1"/>
  <c r="AL122" i="10" l="1"/>
  <c r="AD123" i="10"/>
  <c r="AE123" i="10" s="1"/>
  <c r="AF122" i="10"/>
  <c r="AG122" i="10"/>
  <c r="AG116" i="1"/>
  <c r="AD116" i="1"/>
  <c r="AE117" i="1"/>
  <c r="AF116" i="1"/>
  <c r="AH116" i="1"/>
  <c r="AO116" i="1"/>
  <c r="AL123" i="10" l="1"/>
  <c r="AG123" i="10"/>
  <c r="AF123" i="10"/>
  <c r="AD124" i="10"/>
  <c r="AE124" i="10" s="1"/>
  <c r="AG117" i="1"/>
  <c r="AD117" i="1"/>
  <c r="AE118" i="1"/>
  <c r="AF117" i="1"/>
  <c r="AH117" i="1"/>
  <c r="AO117" i="1"/>
  <c r="AL124" i="10" l="1"/>
  <c r="AG124" i="10"/>
  <c r="AF124" i="10"/>
  <c r="AD125" i="10"/>
  <c r="AE125" i="10" s="1"/>
  <c r="AG118" i="1"/>
  <c r="AD118" i="1"/>
  <c r="AE119" i="1"/>
  <c r="AF118" i="1"/>
  <c r="AH118" i="1"/>
  <c r="AO118" i="1"/>
  <c r="AL125" i="10" l="1"/>
  <c r="AG125" i="10"/>
  <c r="AF125" i="10"/>
  <c r="AD126" i="10"/>
  <c r="AE126" i="10" s="1"/>
  <c r="AD119" i="1"/>
  <c r="AG119" i="1"/>
  <c r="AE120" i="1"/>
  <c r="AF119" i="1"/>
  <c r="AH119" i="1"/>
  <c r="AO119" i="1"/>
  <c r="AL126" i="10" l="1"/>
  <c r="AG126" i="10"/>
  <c r="AD127" i="10"/>
  <c r="AE127" i="10" s="1"/>
  <c r="AF126" i="10"/>
  <c r="AD120" i="1"/>
  <c r="AG120" i="1"/>
  <c r="AE121" i="1"/>
  <c r="AF120" i="1"/>
  <c r="AH120" i="1"/>
  <c r="AO120" i="1"/>
  <c r="AL127" i="10" l="1"/>
  <c r="AG127" i="10"/>
  <c r="AD128" i="10"/>
  <c r="AE128" i="10" s="1"/>
  <c r="AF127" i="10"/>
  <c r="AD121" i="1"/>
  <c r="AG121" i="1"/>
  <c r="AE122" i="1"/>
  <c r="AF121" i="1"/>
  <c r="AH121" i="1"/>
  <c r="AO121" i="1"/>
  <c r="AG128" i="10" l="1"/>
  <c r="AL128" i="10"/>
  <c r="AF128" i="10"/>
  <c r="AD129" i="10"/>
  <c r="AE129" i="10" s="1"/>
  <c r="AD122" i="1"/>
  <c r="AG122" i="1"/>
  <c r="AE123" i="1"/>
  <c r="AO122" i="1"/>
  <c r="AF122" i="1"/>
  <c r="AH122" i="1"/>
  <c r="AF129" i="10" l="1"/>
  <c r="AL129" i="10"/>
  <c r="AG129" i="10"/>
  <c r="AD130" i="10"/>
  <c r="AE130" i="10" s="1"/>
  <c r="AD123" i="1"/>
  <c r="AG123" i="1"/>
  <c r="AE124" i="1"/>
  <c r="AO123" i="1"/>
  <c r="AF123" i="1"/>
  <c r="AH123" i="1"/>
  <c r="AD131" i="10" l="1"/>
  <c r="AE131" i="10" s="1"/>
  <c r="AL130" i="10"/>
  <c r="AG130" i="10"/>
  <c r="AF130" i="10"/>
  <c r="AD124" i="1"/>
  <c r="AG124" i="1"/>
  <c r="AE125" i="1"/>
  <c r="AO124" i="1"/>
  <c r="AH124" i="1"/>
  <c r="AF124" i="1"/>
  <c r="AL131" i="10" l="1"/>
  <c r="AD132" i="10"/>
  <c r="AE132" i="10" s="1"/>
  <c r="AG131" i="10"/>
  <c r="AF131" i="10"/>
  <c r="AG125" i="1"/>
  <c r="AD125" i="1"/>
  <c r="AE126" i="1"/>
  <c r="AO125" i="1"/>
  <c r="AH125" i="1"/>
  <c r="AF125" i="1"/>
  <c r="AL132" i="10" l="1"/>
  <c r="AG132" i="10"/>
  <c r="AF132" i="10"/>
  <c r="AD133" i="10"/>
  <c r="AE133" i="10" s="1"/>
  <c r="AG126" i="1"/>
  <c r="AD126" i="1"/>
  <c r="AE127" i="1"/>
  <c r="AH126" i="1"/>
  <c r="AO126" i="1"/>
  <c r="AF126" i="1"/>
  <c r="AL133" i="10" l="1"/>
  <c r="AG133" i="10"/>
  <c r="AF133" i="10"/>
  <c r="AD134" i="10"/>
  <c r="AE134" i="10" s="1"/>
  <c r="AG127" i="1"/>
  <c r="AD127" i="1"/>
  <c r="AE128" i="1"/>
  <c r="AH127" i="1"/>
  <c r="AO127" i="1"/>
  <c r="AF127" i="1"/>
  <c r="AL134" i="10" l="1"/>
  <c r="AG134" i="10"/>
  <c r="AF134" i="10"/>
  <c r="AD135" i="10"/>
  <c r="AE135" i="10" s="1"/>
  <c r="AG128" i="1"/>
  <c r="AD128" i="1"/>
  <c r="AE129" i="1"/>
  <c r="AF128" i="1"/>
  <c r="AH128" i="1"/>
  <c r="AO128" i="1"/>
  <c r="AL135" i="10" l="1"/>
  <c r="AD136" i="10"/>
  <c r="AE136" i="10" s="1"/>
  <c r="AG135" i="10"/>
  <c r="AF135" i="10"/>
  <c r="AG129" i="1"/>
  <c r="AD129" i="1"/>
  <c r="AE130" i="1"/>
  <c r="AF129" i="1"/>
  <c r="AH129" i="1"/>
  <c r="AO129" i="1"/>
  <c r="AL136" i="10" l="1"/>
  <c r="AD137" i="10"/>
  <c r="AE137" i="10" s="1"/>
  <c r="AF136" i="10"/>
  <c r="AG136" i="10"/>
  <c r="AD130" i="1"/>
  <c r="AG130" i="1"/>
  <c r="AE131" i="1"/>
  <c r="AF130" i="1"/>
  <c r="AH130" i="1"/>
  <c r="AO130" i="1"/>
  <c r="AL137" i="10" l="1"/>
  <c r="AG137" i="10"/>
  <c r="AF137" i="10"/>
  <c r="AD138" i="10"/>
  <c r="AE138" i="10" s="1"/>
  <c r="AD131" i="1"/>
  <c r="AG131" i="1"/>
  <c r="AE132" i="1"/>
  <c r="AF131" i="1"/>
  <c r="AH131" i="1"/>
  <c r="AO131" i="1"/>
  <c r="AG138" i="10" l="1"/>
  <c r="AL138" i="10"/>
  <c r="AF138" i="10"/>
  <c r="AD139" i="10"/>
  <c r="AE139" i="10" s="1"/>
  <c r="AD132" i="1"/>
  <c r="AG132" i="1"/>
  <c r="AE133" i="1"/>
  <c r="AF132" i="1"/>
  <c r="AH132" i="1"/>
  <c r="AO132" i="1"/>
  <c r="AF139" i="10" l="1"/>
  <c r="AL139" i="10"/>
  <c r="AG139" i="10"/>
  <c r="AD140" i="10"/>
  <c r="AE140" i="10" s="1"/>
  <c r="AD133" i="1"/>
  <c r="AG133" i="1"/>
  <c r="AE134" i="1"/>
  <c r="AF133" i="1"/>
  <c r="AH133" i="1"/>
  <c r="AO133" i="1"/>
  <c r="AD141" i="10" l="1"/>
  <c r="AE141" i="10" s="1"/>
  <c r="AL140" i="10"/>
  <c r="AG140" i="10"/>
  <c r="AF140" i="10"/>
  <c r="AD134" i="1"/>
  <c r="AG134" i="1"/>
  <c r="AE135" i="1"/>
  <c r="AO134" i="1"/>
  <c r="AH134" i="1"/>
  <c r="AF134" i="1"/>
  <c r="AF141" i="10" l="1"/>
  <c r="AD142" i="10"/>
  <c r="AE142" i="10" s="1"/>
  <c r="AL141" i="10"/>
  <c r="AG141" i="10"/>
  <c r="AG135" i="1"/>
  <c r="AD135" i="1"/>
  <c r="AE136" i="1"/>
  <c r="AO135" i="1"/>
  <c r="AH135" i="1"/>
  <c r="AF135" i="1"/>
  <c r="AG142" i="10" l="1"/>
  <c r="AD143" i="10"/>
  <c r="AE143" i="10" s="1"/>
  <c r="AL142" i="10"/>
  <c r="AF142" i="10"/>
  <c r="AD136" i="1"/>
  <c r="AG136" i="1"/>
  <c r="AE137" i="1"/>
  <c r="AO136" i="1"/>
  <c r="AF136" i="1"/>
  <c r="AH136" i="1"/>
  <c r="AL143" i="10" l="1"/>
  <c r="AD144" i="10"/>
  <c r="AE144" i="10" s="1"/>
  <c r="AG143" i="10"/>
  <c r="AF143" i="10"/>
  <c r="AG137" i="1"/>
  <c r="AD137" i="1"/>
  <c r="AE138" i="1"/>
  <c r="AO137" i="1"/>
  <c r="AF137" i="1"/>
  <c r="AH137" i="1"/>
  <c r="AG144" i="10" l="1"/>
  <c r="AF144" i="10"/>
  <c r="AL144" i="10"/>
  <c r="AD145" i="10"/>
  <c r="AE145" i="10" s="1"/>
  <c r="AG138" i="1"/>
  <c r="AD138" i="1"/>
  <c r="AE139" i="1"/>
  <c r="AH138" i="1"/>
  <c r="AO138" i="1"/>
  <c r="AF138" i="1"/>
  <c r="AL145" i="10" l="1"/>
  <c r="AG145" i="10"/>
  <c r="AD146" i="10"/>
  <c r="AE146" i="10" s="1"/>
  <c r="AF145" i="10"/>
  <c r="AG139" i="1"/>
  <c r="AD139" i="1"/>
  <c r="AE140" i="1"/>
  <c r="AH139" i="1"/>
  <c r="AO139" i="1"/>
  <c r="AF139" i="1"/>
  <c r="AG146" i="10" l="1"/>
  <c r="AF146" i="10"/>
  <c r="AL146" i="10"/>
  <c r="AD147" i="10"/>
  <c r="AE147" i="10" s="1"/>
  <c r="AG140" i="1"/>
  <c r="AD140" i="1"/>
  <c r="AE141" i="1"/>
  <c r="AF140" i="1"/>
  <c r="AH140" i="1"/>
  <c r="AO140" i="1"/>
  <c r="AD148" i="10" l="1"/>
  <c r="AE148" i="10" s="1"/>
  <c r="AG147" i="10"/>
  <c r="AF147" i="10"/>
  <c r="AL147" i="10"/>
  <c r="AD141" i="1"/>
  <c r="AG141" i="1"/>
  <c r="AE142" i="1"/>
  <c r="AF141" i="1"/>
  <c r="AH141" i="1"/>
  <c r="AO141" i="1"/>
  <c r="AD149" i="10" l="1"/>
  <c r="AE149" i="10" s="1"/>
  <c r="AL148" i="10"/>
  <c r="AG148" i="10"/>
  <c r="AF148" i="10"/>
  <c r="AD142" i="1"/>
  <c r="AG142" i="1"/>
  <c r="AE143" i="1"/>
  <c r="AF142" i="1"/>
  <c r="AH142" i="1"/>
  <c r="AO142" i="1"/>
  <c r="AG149" i="10" l="1"/>
  <c r="AF149" i="10"/>
  <c r="AD150" i="10"/>
  <c r="AE150" i="10" s="1"/>
  <c r="AL149" i="10"/>
  <c r="AD143" i="1"/>
  <c r="AG143" i="1"/>
  <c r="AE144" i="1"/>
  <c r="AF143" i="1"/>
  <c r="AH143" i="1"/>
  <c r="AO143" i="1"/>
  <c r="AL150" i="10" l="1"/>
  <c r="AG150" i="10"/>
  <c r="AF150" i="10"/>
  <c r="AD151" i="10"/>
  <c r="AE151" i="10" s="1"/>
  <c r="AD144" i="1"/>
  <c r="AG144" i="1"/>
  <c r="AE145" i="1"/>
  <c r="AO144" i="1"/>
  <c r="AH144" i="1"/>
  <c r="AF144" i="1"/>
  <c r="AF151" i="10" l="1"/>
  <c r="AD152" i="10"/>
  <c r="AE152" i="10" s="1"/>
  <c r="AL151" i="10"/>
  <c r="AG151" i="10"/>
  <c r="AD145" i="1"/>
  <c r="AG145" i="1"/>
  <c r="AE146" i="1"/>
  <c r="AO145" i="1"/>
  <c r="AH145" i="1"/>
  <c r="AF145" i="1"/>
  <c r="AG152" i="10" l="1"/>
  <c r="AD153" i="10"/>
  <c r="AE153" i="10" s="1"/>
  <c r="AL152" i="10"/>
  <c r="AF152" i="10"/>
  <c r="AG146" i="1"/>
  <c r="AD146" i="1"/>
  <c r="AE147" i="1"/>
  <c r="AF146" i="1"/>
  <c r="AH146" i="1"/>
  <c r="AO146" i="1"/>
  <c r="AL153" i="10" l="1"/>
  <c r="AG153" i="10"/>
  <c r="AF153" i="10"/>
  <c r="AD154" i="10"/>
  <c r="AE154" i="10" s="1"/>
  <c r="AG147" i="1"/>
  <c r="AD147" i="1"/>
  <c r="AE148" i="1"/>
  <c r="AF147" i="1"/>
  <c r="AH147" i="1"/>
  <c r="AO147" i="1"/>
  <c r="AF154" i="10" l="1"/>
  <c r="AD155" i="10"/>
  <c r="AE155" i="10" s="1"/>
  <c r="AL154" i="10"/>
  <c r="AG154" i="10"/>
  <c r="AG148" i="1"/>
  <c r="AD148" i="1"/>
  <c r="AO148" i="1"/>
  <c r="AE149" i="1"/>
  <c r="AF148" i="1"/>
  <c r="AH148" i="1"/>
  <c r="AL155" i="10" l="1"/>
  <c r="AG155" i="10"/>
  <c r="AF155" i="10"/>
  <c r="AD156" i="10"/>
  <c r="AE156" i="10" s="1"/>
  <c r="AG149" i="1"/>
  <c r="AD149" i="1"/>
  <c r="AO149" i="1"/>
  <c r="AE150" i="1"/>
  <c r="AF149" i="1"/>
  <c r="AH149" i="1"/>
  <c r="AL156" i="10" l="1"/>
  <c r="AG156" i="10"/>
  <c r="AF156" i="10"/>
  <c r="AD157" i="10"/>
  <c r="AE157" i="10" s="1"/>
  <c r="AG150" i="1"/>
  <c r="AD150" i="1"/>
  <c r="AH150" i="1"/>
  <c r="AO150" i="1"/>
  <c r="AE151" i="1"/>
  <c r="AF150" i="1"/>
  <c r="AD158" i="10" l="1"/>
  <c r="AE158" i="10" s="1"/>
  <c r="AG157" i="10"/>
  <c r="AF157" i="10"/>
  <c r="AL157" i="10"/>
  <c r="AG151" i="1"/>
  <c r="AD151" i="1"/>
  <c r="AE152" i="1"/>
  <c r="AH151" i="1"/>
  <c r="AO151" i="1"/>
  <c r="AF151" i="1"/>
  <c r="AD159" i="10" l="1"/>
  <c r="AE159" i="10" s="1"/>
  <c r="AF158" i="10"/>
  <c r="AL158" i="10"/>
  <c r="AG158" i="10"/>
  <c r="AD152" i="1"/>
  <c r="AG152" i="1"/>
  <c r="AE153" i="1"/>
  <c r="AF152" i="1"/>
  <c r="AH152" i="1"/>
  <c r="AO152" i="1"/>
  <c r="AF159" i="10" l="1"/>
  <c r="AL159" i="10"/>
  <c r="AG159" i="10"/>
  <c r="AD160" i="10"/>
  <c r="AE160" i="10" s="1"/>
  <c r="AD153" i="1"/>
  <c r="AG153" i="1"/>
  <c r="AE154" i="1"/>
  <c r="AF153" i="1"/>
  <c r="AH153" i="1"/>
  <c r="AO153" i="1"/>
  <c r="AL160" i="10" l="1"/>
  <c r="AG160" i="10"/>
  <c r="AD161" i="10"/>
  <c r="AE161" i="10" s="1"/>
  <c r="AF160" i="10"/>
  <c r="AD154" i="1"/>
  <c r="AG154" i="1"/>
  <c r="AE155" i="1"/>
  <c r="AO154" i="1"/>
  <c r="AH154" i="1"/>
  <c r="AF154" i="1"/>
  <c r="AF161" i="10" l="1"/>
  <c r="AD162" i="10"/>
  <c r="AE162" i="10" s="1"/>
  <c r="AL161" i="10"/>
  <c r="AG161" i="10"/>
  <c r="AD155" i="1"/>
  <c r="AG155" i="1"/>
  <c r="AE156" i="1"/>
  <c r="AO155" i="1"/>
  <c r="AH155" i="1"/>
  <c r="AF155" i="1"/>
  <c r="AG162" i="10" l="1"/>
  <c r="AL162" i="10"/>
  <c r="AF162" i="10"/>
  <c r="AD163" i="10"/>
  <c r="AE163" i="10" s="1"/>
  <c r="AD156" i="1"/>
  <c r="AG156" i="1"/>
  <c r="AE157" i="1"/>
  <c r="AF156" i="1"/>
  <c r="AH156" i="1"/>
  <c r="AO156" i="1"/>
  <c r="AL163" i="10" l="1"/>
  <c r="AD164" i="10"/>
  <c r="AE164" i="10" s="1"/>
  <c r="AG163" i="10"/>
  <c r="AF163" i="10"/>
  <c r="AG157" i="1"/>
  <c r="AD157" i="1"/>
  <c r="AE158" i="1"/>
  <c r="AF157" i="1"/>
  <c r="AH157" i="1"/>
  <c r="AO157" i="1"/>
  <c r="AG164" i="10" l="1"/>
  <c r="AF164" i="10"/>
  <c r="AD165" i="10"/>
  <c r="AE165" i="10" s="1"/>
  <c r="AL164" i="10"/>
  <c r="AG158" i="1"/>
  <c r="AD158" i="1"/>
  <c r="AE159" i="1"/>
  <c r="AF158" i="1"/>
  <c r="AH158" i="1"/>
  <c r="AO158" i="1"/>
  <c r="AG165" i="10" l="1"/>
  <c r="AF165" i="10"/>
  <c r="AL165" i="10"/>
  <c r="AD166" i="10"/>
  <c r="AE166" i="10" s="1"/>
  <c r="AG159" i="1"/>
  <c r="AD159" i="1"/>
  <c r="AE160" i="1"/>
  <c r="AF159" i="1"/>
  <c r="AH159" i="1"/>
  <c r="AO159" i="1"/>
  <c r="AL166" i="10" l="1"/>
  <c r="AD167" i="10"/>
  <c r="AE167" i="10" s="1"/>
  <c r="AG166" i="10"/>
  <c r="AF166" i="10"/>
  <c r="AG160" i="1"/>
  <c r="AD160" i="1"/>
  <c r="AE161" i="1"/>
  <c r="AO160" i="1"/>
  <c r="AF160" i="1"/>
  <c r="AH160" i="1"/>
  <c r="AG167" i="10" l="1"/>
  <c r="AF167" i="10"/>
  <c r="AD168" i="10"/>
  <c r="AE168" i="10" s="1"/>
  <c r="AL167" i="10"/>
  <c r="AG161" i="1"/>
  <c r="AD161" i="1"/>
  <c r="AE162" i="1"/>
  <c r="AO161" i="1"/>
  <c r="AF161" i="1"/>
  <c r="AH161" i="1"/>
  <c r="AD169" i="10" l="1"/>
  <c r="AE169" i="10" s="1"/>
  <c r="AL168" i="10"/>
  <c r="AG168" i="10"/>
  <c r="AF168" i="10"/>
  <c r="AG162" i="1"/>
  <c r="AD162" i="1"/>
  <c r="AE163" i="1"/>
  <c r="AH162" i="1"/>
  <c r="AO162" i="1"/>
  <c r="AF162" i="1"/>
  <c r="AD170" i="10" l="1"/>
  <c r="AE170" i="10" s="1"/>
  <c r="AF169" i="10"/>
  <c r="AG169" i="10"/>
  <c r="AL169" i="10"/>
  <c r="AD163" i="1"/>
  <c r="AG163" i="1"/>
  <c r="AE164" i="1"/>
  <c r="AH163" i="1"/>
  <c r="AO163" i="1"/>
  <c r="AF163" i="1"/>
  <c r="AG170" i="10" l="1"/>
  <c r="AF170" i="10"/>
  <c r="AL170" i="10"/>
  <c r="AD171" i="10"/>
  <c r="AE171" i="10" s="1"/>
  <c r="AD164" i="1"/>
  <c r="AG164" i="1"/>
  <c r="AE165" i="1"/>
  <c r="AO164" i="1"/>
  <c r="AH164" i="1"/>
  <c r="AF164" i="1"/>
  <c r="AF171" i="10" l="1"/>
  <c r="AL171" i="10"/>
  <c r="AD172" i="10"/>
  <c r="AE172" i="10" s="1"/>
  <c r="AG171" i="10"/>
  <c r="AD165" i="1"/>
  <c r="AG165" i="1"/>
  <c r="AE166" i="1"/>
  <c r="AO165" i="1"/>
  <c r="AH165" i="1"/>
  <c r="AF165" i="1"/>
  <c r="AG172" i="10" l="1"/>
  <c r="AD173" i="10"/>
  <c r="AE173" i="10" s="1"/>
  <c r="AF172" i="10"/>
  <c r="AL172" i="10"/>
  <c r="AD166" i="1"/>
  <c r="AG166" i="1"/>
  <c r="AE167" i="1"/>
  <c r="AF166" i="1"/>
  <c r="AH166" i="1"/>
  <c r="AO166" i="1"/>
  <c r="AL173" i="10" l="1"/>
  <c r="AD174" i="10"/>
  <c r="AE174" i="10" s="1"/>
  <c r="AG173" i="10"/>
  <c r="AF173" i="10"/>
  <c r="AG167" i="1"/>
  <c r="AD167" i="1"/>
  <c r="AE168" i="1"/>
  <c r="AF167" i="1"/>
  <c r="AH167" i="1"/>
  <c r="AO167" i="1"/>
  <c r="AD175" i="10" l="1"/>
  <c r="AE175" i="10" s="1"/>
  <c r="AL174" i="10"/>
  <c r="AG174" i="10"/>
  <c r="AF174" i="10"/>
  <c r="AD168" i="1"/>
  <c r="AG168" i="1"/>
  <c r="AE169" i="1"/>
  <c r="AF168" i="1"/>
  <c r="AH168" i="1"/>
  <c r="AO168" i="1"/>
  <c r="AF175" i="10" l="1"/>
  <c r="AD176" i="10"/>
  <c r="AE176" i="10" s="1"/>
  <c r="AG175" i="10"/>
  <c r="AL175" i="10"/>
  <c r="AG169" i="1"/>
  <c r="AD169" i="1"/>
  <c r="AE170" i="1"/>
  <c r="AF169" i="1"/>
  <c r="AH169" i="1"/>
  <c r="AO169" i="1"/>
  <c r="AL176" i="10" l="1"/>
  <c r="AG176" i="10"/>
  <c r="AF176" i="10"/>
  <c r="AD177" i="10"/>
  <c r="AE177" i="10" s="1"/>
  <c r="AG170" i="1"/>
  <c r="AD170" i="1"/>
  <c r="AE171" i="1"/>
  <c r="AF170" i="1"/>
  <c r="AH170" i="1"/>
  <c r="AO170" i="1"/>
  <c r="AD178" i="10" l="1"/>
  <c r="AE178" i="10" s="1"/>
  <c r="AL177" i="10"/>
  <c r="AG177" i="10"/>
  <c r="AF177" i="10"/>
  <c r="AG171" i="1"/>
  <c r="AD171" i="1"/>
  <c r="AE172" i="1"/>
  <c r="AF171" i="1"/>
  <c r="AH171" i="1"/>
  <c r="AO171" i="1"/>
  <c r="AD179" i="10" l="1"/>
  <c r="AE179" i="10" s="1"/>
  <c r="AF178" i="10"/>
  <c r="AG178" i="10"/>
  <c r="AL178" i="10"/>
  <c r="AG172" i="1"/>
  <c r="AD172" i="1"/>
  <c r="AE173" i="1"/>
  <c r="AO172" i="1"/>
  <c r="AF172" i="1"/>
  <c r="AH172" i="1"/>
  <c r="AD180" i="10" l="1"/>
  <c r="AE180" i="10" s="1"/>
  <c r="AL179" i="10"/>
  <c r="AG179" i="10"/>
  <c r="AF179" i="10"/>
  <c r="AG173" i="1"/>
  <c r="AD173" i="1"/>
  <c r="AE174" i="1"/>
  <c r="AO173" i="1"/>
  <c r="AF173" i="1"/>
  <c r="AH173" i="1"/>
  <c r="AF180" i="10" l="1"/>
  <c r="AD181" i="10"/>
  <c r="AE181" i="10" s="1"/>
  <c r="AL180" i="10"/>
  <c r="AG180" i="10"/>
  <c r="AD174" i="1"/>
  <c r="AG174" i="1"/>
  <c r="AE175" i="1"/>
  <c r="AO174" i="1"/>
  <c r="AH174" i="1"/>
  <c r="AF174" i="1"/>
  <c r="AF181" i="10" l="1"/>
  <c r="AL181" i="10"/>
  <c r="AG181" i="10"/>
  <c r="AD182" i="10"/>
  <c r="AE182" i="10" s="1"/>
  <c r="AD175" i="1"/>
  <c r="AG175" i="1"/>
  <c r="AE176" i="1"/>
  <c r="AO175" i="1"/>
  <c r="AH175" i="1"/>
  <c r="AF175" i="1"/>
  <c r="AG182" i="10" l="1"/>
  <c r="AL182" i="10"/>
  <c r="AF182" i="10"/>
  <c r="AD183" i="10"/>
  <c r="AE183" i="10" s="1"/>
  <c r="AD176" i="1"/>
  <c r="AG176" i="1"/>
  <c r="AE177" i="1"/>
  <c r="AH176" i="1"/>
  <c r="AO176" i="1"/>
  <c r="AF176" i="1"/>
  <c r="AL183" i="10" l="1"/>
  <c r="AD184" i="10"/>
  <c r="AE184" i="10" s="1"/>
  <c r="AG183" i="10"/>
  <c r="AF183" i="10"/>
  <c r="AG177" i="1"/>
  <c r="AD177" i="1"/>
  <c r="AE178" i="1"/>
  <c r="AH177" i="1"/>
  <c r="AO177" i="1"/>
  <c r="AF177" i="1"/>
  <c r="AD185" i="10" l="1"/>
  <c r="AE185" i="10" s="1"/>
  <c r="AG184" i="10"/>
  <c r="AF184" i="10"/>
  <c r="AL184" i="10"/>
  <c r="AD178" i="1"/>
  <c r="AG178" i="1"/>
  <c r="AE179" i="1"/>
  <c r="AF178" i="1"/>
  <c r="AH178" i="1"/>
  <c r="AO178" i="1"/>
  <c r="AL185" i="10" l="1"/>
  <c r="AG185" i="10"/>
  <c r="AD186" i="10"/>
  <c r="AE186" i="10" s="1"/>
  <c r="AF185" i="10"/>
  <c r="AD179" i="1"/>
  <c r="AG179" i="1"/>
  <c r="AE180" i="1"/>
  <c r="AF179" i="1"/>
  <c r="AH179" i="1"/>
  <c r="AO179" i="1"/>
  <c r="AG186" i="10" l="1"/>
  <c r="AF186" i="10"/>
  <c r="AD187" i="10"/>
  <c r="AE187" i="10" s="1"/>
  <c r="AL186" i="10"/>
  <c r="Q9" i="10" s="1"/>
  <c r="Q27" i="10" s="1"/>
  <c r="AG180" i="1"/>
  <c r="AD180" i="1"/>
  <c r="AE181" i="1"/>
  <c r="AF180" i="1"/>
  <c r="AH180" i="1"/>
  <c r="AO180" i="1"/>
  <c r="AL187" i="10" l="1"/>
  <c r="AG187" i="10"/>
  <c r="AF187" i="10"/>
  <c r="AD188" i="10"/>
  <c r="AE188" i="10" s="1"/>
  <c r="AG181" i="1"/>
  <c r="AD181" i="1"/>
  <c r="AF181" i="1"/>
  <c r="AH181" i="1"/>
  <c r="AO181" i="1"/>
  <c r="AE182" i="1"/>
  <c r="AD189" i="10" l="1"/>
  <c r="AE189" i="10" s="1"/>
  <c r="AL188" i="10"/>
  <c r="AG188" i="10"/>
  <c r="AF188" i="10"/>
  <c r="AG182" i="1"/>
  <c r="AD182" i="1"/>
  <c r="AE183" i="1"/>
  <c r="AF182" i="1"/>
  <c r="AH182" i="1"/>
  <c r="AO182" i="1"/>
  <c r="AD190" i="10" l="1"/>
  <c r="AE190" i="10" s="1"/>
  <c r="AL189" i="10"/>
  <c r="AG189" i="10"/>
  <c r="AF189" i="10"/>
  <c r="AG183" i="1"/>
  <c r="AD183" i="1"/>
  <c r="AF183" i="1"/>
  <c r="AH183" i="1"/>
  <c r="AE184" i="1"/>
  <c r="AO183" i="1"/>
  <c r="AL190" i="10" l="1"/>
  <c r="AG190" i="10"/>
  <c r="AF190" i="10"/>
  <c r="AD191" i="10"/>
  <c r="AE191" i="10" s="1"/>
  <c r="AD184" i="1"/>
  <c r="AG184" i="1"/>
  <c r="AO184" i="1"/>
  <c r="AH184" i="1"/>
  <c r="AF184" i="1"/>
  <c r="AE185" i="1"/>
  <c r="AF191" i="10" l="1"/>
  <c r="AG191" i="10"/>
  <c r="AD192" i="10"/>
  <c r="AE192" i="10" s="1"/>
  <c r="AL191" i="10"/>
  <c r="AG185" i="1"/>
  <c r="AD185" i="1"/>
  <c r="AO185" i="1"/>
  <c r="AH185" i="1"/>
  <c r="AF185" i="1"/>
  <c r="AE186" i="1"/>
  <c r="AG192" i="10" l="1"/>
  <c r="AL192" i="10"/>
  <c r="AD193" i="10"/>
  <c r="AE193" i="10" s="1"/>
  <c r="AF192" i="10"/>
  <c r="AD186" i="1"/>
  <c r="AG186" i="1"/>
  <c r="AO186" i="1"/>
  <c r="AE187" i="1"/>
  <c r="AF186" i="1"/>
  <c r="AH186" i="1"/>
  <c r="AL193" i="10" l="1"/>
  <c r="AG193" i="10"/>
  <c r="AF193" i="10"/>
  <c r="AD194" i="10"/>
  <c r="AE194" i="10" s="1"/>
  <c r="AG187" i="1"/>
  <c r="AD187" i="1"/>
  <c r="AE188" i="1"/>
  <c r="AO187" i="1"/>
  <c r="AF187" i="1"/>
  <c r="AH187" i="1"/>
  <c r="AL194" i="10" l="1"/>
  <c r="AD195" i="10"/>
  <c r="AE195" i="10" s="1"/>
  <c r="AG194" i="10"/>
  <c r="AF194" i="10"/>
  <c r="AD188" i="1"/>
  <c r="AG188" i="1"/>
  <c r="AE189" i="1"/>
  <c r="AH188" i="1"/>
  <c r="AO188" i="1"/>
  <c r="AF188" i="1"/>
  <c r="AG195" i="10" l="1"/>
  <c r="AF195" i="10"/>
  <c r="AD196" i="10"/>
  <c r="AE196" i="10" s="1"/>
  <c r="AL195" i="10"/>
  <c r="AD189" i="1"/>
  <c r="AG189" i="1"/>
  <c r="AE190" i="1"/>
  <c r="AH189" i="1"/>
  <c r="AO189" i="1"/>
  <c r="AF189" i="1"/>
  <c r="AL196" i="10" l="1"/>
  <c r="AG196" i="10"/>
  <c r="AD197" i="10"/>
  <c r="AE197" i="10" s="1"/>
  <c r="AF196" i="10"/>
  <c r="AD190" i="1"/>
  <c r="AG190" i="1"/>
  <c r="AE191" i="1"/>
  <c r="AF190" i="1"/>
  <c r="AH190" i="1"/>
  <c r="AO190" i="1"/>
  <c r="AD198" i="10" l="1"/>
  <c r="AE198" i="10" s="1"/>
  <c r="AF197" i="10"/>
  <c r="AG197" i="10"/>
  <c r="AL197" i="10"/>
  <c r="AG191" i="1"/>
  <c r="AD191" i="1"/>
  <c r="AE192" i="1"/>
  <c r="AF191" i="1"/>
  <c r="AH191" i="1"/>
  <c r="AO191" i="1"/>
  <c r="AD199" i="10" l="1"/>
  <c r="AE199" i="10" s="1"/>
  <c r="AL198" i="10"/>
  <c r="AG198" i="10"/>
  <c r="AF198" i="10"/>
  <c r="AG192" i="1"/>
  <c r="AD192" i="1"/>
  <c r="AE193" i="1"/>
  <c r="AF192" i="1"/>
  <c r="AH192" i="1"/>
  <c r="AO192" i="1"/>
  <c r="AD200" i="10" l="1"/>
  <c r="AE200" i="10" s="1"/>
  <c r="AG199" i="10"/>
  <c r="AF199" i="10"/>
  <c r="AL199" i="10"/>
  <c r="AG193" i="1"/>
  <c r="AD193" i="1"/>
  <c r="AE194" i="1"/>
  <c r="AF193" i="1"/>
  <c r="AH193" i="1"/>
  <c r="AO193" i="1"/>
  <c r="AL200" i="10" l="1"/>
  <c r="AG200" i="10"/>
  <c r="AF200" i="10"/>
  <c r="AD201" i="10"/>
  <c r="AE201" i="10" s="1"/>
  <c r="AD194" i="1"/>
  <c r="AG194" i="1"/>
  <c r="AE195" i="1"/>
  <c r="AO194" i="1"/>
  <c r="AH194" i="1"/>
  <c r="AF194" i="1"/>
  <c r="AF201" i="10" l="1"/>
  <c r="AD202" i="10"/>
  <c r="AE202" i="10" s="1"/>
  <c r="AL201" i="10"/>
  <c r="AG201" i="10"/>
  <c r="AG195" i="1"/>
  <c r="AD195" i="1"/>
  <c r="AE196" i="1"/>
  <c r="AO195" i="1"/>
  <c r="AH195" i="1"/>
  <c r="AF195" i="1"/>
  <c r="AG202" i="10" l="1"/>
  <c r="AF202" i="10"/>
  <c r="AL202" i="10"/>
  <c r="AD203" i="10"/>
  <c r="AE203" i="10" s="1"/>
  <c r="AD196" i="1"/>
  <c r="AG196" i="1"/>
  <c r="AE197" i="1"/>
  <c r="AF196" i="1"/>
  <c r="AH196" i="1"/>
  <c r="AO196" i="1"/>
  <c r="AL203" i="10" l="1"/>
  <c r="AG203" i="10"/>
  <c r="AF203" i="10"/>
  <c r="AD204" i="10"/>
  <c r="AE204" i="10" s="1"/>
  <c r="AG197" i="1"/>
  <c r="AD197" i="1"/>
  <c r="AE198" i="1"/>
  <c r="AF197" i="1"/>
  <c r="AH197" i="1"/>
  <c r="AO197" i="1"/>
  <c r="AL204" i="10" l="1"/>
  <c r="AD205" i="10"/>
  <c r="AE205" i="10" s="1"/>
  <c r="AF204" i="10"/>
  <c r="AG204" i="10"/>
  <c r="AD198" i="1"/>
  <c r="AG198" i="1"/>
  <c r="AE199" i="1"/>
  <c r="AO198" i="1"/>
  <c r="AF198" i="1"/>
  <c r="AH198" i="1"/>
  <c r="AL205" i="10" l="1"/>
  <c r="AG205" i="10"/>
  <c r="AF205" i="10"/>
  <c r="AD206" i="10"/>
  <c r="AE206" i="10" s="1"/>
  <c r="AD199" i="1"/>
  <c r="AG199" i="1"/>
  <c r="AE200" i="1"/>
  <c r="AO199" i="1"/>
  <c r="AF199" i="1"/>
  <c r="AH199" i="1"/>
  <c r="AF206" i="10" l="1"/>
  <c r="AD207" i="10"/>
  <c r="AE207" i="10" s="1"/>
  <c r="AL206" i="10"/>
  <c r="AG206" i="10"/>
  <c r="AD200" i="1"/>
  <c r="AG200" i="1"/>
  <c r="AE201" i="1"/>
  <c r="AH200" i="1"/>
  <c r="AO200" i="1"/>
  <c r="AF200" i="1"/>
  <c r="AL207" i="10" l="1"/>
  <c r="AG207" i="10"/>
  <c r="AF207" i="10"/>
  <c r="AD208" i="10"/>
  <c r="AE208" i="10" s="1"/>
  <c r="AD201" i="1"/>
  <c r="AG201" i="1"/>
  <c r="AE202" i="1"/>
  <c r="AH201" i="1"/>
  <c r="AO201" i="1"/>
  <c r="AF201" i="1"/>
  <c r="AD209" i="10" l="1"/>
  <c r="AE209" i="10" s="1"/>
  <c r="AL208" i="10"/>
  <c r="AF208" i="10"/>
  <c r="AG208" i="10"/>
  <c r="AG202" i="1"/>
  <c r="AD202" i="1"/>
  <c r="AE203" i="1"/>
  <c r="AF202" i="1"/>
  <c r="AH202" i="1"/>
  <c r="AO202" i="1"/>
  <c r="AD210" i="10" l="1"/>
  <c r="AE210" i="10" s="1"/>
  <c r="AG209" i="10"/>
  <c r="AF209" i="10"/>
  <c r="AL209" i="10"/>
  <c r="AG203" i="1"/>
  <c r="AD203" i="1"/>
  <c r="AE204" i="1"/>
  <c r="AF203" i="1"/>
  <c r="AH203" i="1"/>
  <c r="AO203" i="1"/>
  <c r="AL210" i="10" l="1"/>
  <c r="AG210" i="10"/>
  <c r="AF210" i="10"/>
  <c r="AD211" i="10"/>
  <c r="AE211" i="10" s="1"/>
  <c r="AD204" i="1"/>
  <c r="AG204" i="1"/>
  <c r="AE205" i="1"/>
  <c r="AO204" i="1"/>
  <c r="AH204" i="1"/>
  <c r="AF204" i="1"/>
  <c r="AF211" i="10" l="1"/>
  <c r="AD212" i="10"/>
  <c r="AE212" i="10" s="1"/>
  <c r="AL211" i="10"/>
  <c r="AG211" i="10"/>
  <c r="AG205" i="1"/>
  <c r="AD205" i="1"/>
  <c r="AE206" i="1"/>
  <c r="AO205" i="1"/>
  <c r="AH205" i="1"/>
  <c r="AF205" i="1"/>
  <c r="AG212" i="10" l="1"/>
  <c r="AO205" i="10" s="1"/>
  <c r="AF212" i="10"/>
  <c r="AL212" i="10"/>
  <c r="AN206" i="10"/>
  <c r="AG206" i="1"/>
  <c r="AD206" i="1"/>
  <c r="AE207" i="1"/>
  <c r="AF206" i="1"/>
  <c r="AH206" i="1"/>
  <c r="AO206" i="1"/>
  <c r="AO207" i="10" l="1"/>
  <c r="AO211" i="10"/>
  <c r="AO209" i="10"/>
  <c r="AN212" i="10"/>
  <c r="AN82" i="10"/>
  <c r="AN42" i="10"/>
  <c r="AN55" i="10"/>
  <c r="AN13" i="10"/>
  <c r="AN105" i="10"/>
  <c r="AN32" i="10"/>
  <c r="AN104" i="10"/>
  <c r="AN4" i="10"/>
  <c r="AN103" i="10"/>
  <c r="AN18" i="10"/>
  <c r="AN96" i="10"/>
  <c r="AN61" i="10"/>
  <c r="AN92" i="10"/>
  <c r="AN72" i="10"/>
  <c r="AN64" i="10"/>
  <c r="AN69" i="10"/>
  <c r="AN101" i="10"/>
  <c r="AN16" i="10"/>
  <c r="AN89" i="10"/>
  <c r="AN59" i="10"/>
  <c r="AN3" i="10"/>
  <c r="AN46" i="10"/>
  <c r="AN34" i="10"/>
  <c r="AN87" i="10"/>
  <c r="AN10" i="10"/>
  <c r="AN54" i="10"/>
  <c r="AN29" i="10"/>
  <c r="AN98" i="10"/>
  <c r="AN62" i="10"/>
  <c r="AN91" i="10"/>
  <c r="AN99" i="10"/>
  <c r="AN8" i="10"/>
  <c r="AN9" i="10"/>
  <c r="AN19" i="10"/>
  <c r="AN31" i="10"/>
  <c r="AN50" i="10"/>
  <c r="AN51" i="10"/>
  <c r="AN12" i="10"/>
  <c r="AN57" i="10"/>
  <c r="AN79" i="10"/>
  <c r="AN52" i="10"/>
  <c r="AN6" i="10"/>
  <c r="AN60" i="10"/>
  <c r="AN74" i="10"/>
  <c r="AN21" i="10"/>
  <c r="AN17" i="10"/>
  <c r="AN90" i="10"/>
  <c r="AN24" i="10"/>
  <c r="AN28" i="10"/>
  <c r="AN80" i="10"/>
  <c r="AN65" i="10"/>
  <c r="AN11" i="10"/>
  <c r="AN73" i="10"/>
  <c r="AN68" i="10"/>
  <c r="AN63" i="10"/>
  <c r="AN76" i="10"/>
  <c r="AN36" i="10"/>
  <c r="AN48" i="10"/>
  <c r="AN35" i="10"/>
  <c r="AN37" i="10"/>
  <c r="AN75" i="10"/>
  <c r="AN81" i="10"/>
  <c r="AN56" i="10"/>
  <c r="AN93" i="10"/>
  <c r="AN41" i="10"/>
  <c r="AN97" i="10"/>
  <c r="AN23" i="10"/>
  <c r="AN5" i="10"/>
  <c r="AN83" i="10"/>
  <c r="AN67" i="10"/>
  <c r="AN85" i="10"/>
  <c r="AN39" i="10"/>
  <c r="AN86" i="10"/>
  <c r="AN20" i="10"/>
  <c r="AN47" i="10"/>
  <c r="AN53" i="10"/>
  <c r="AN14" i="10"/>
  <c r="AN45" i="10"/>
  <c r="AN26" i="10"/>
  <c r="AN2" i="10"/>
  <c r="AN100" i="10"/>
  <c r="AN106" i="10"/>
  <c r="AN77" i="10"/>
  <c r="AN7" i="10"/>
  <c r="AN15" i="10"/>
  <c r="AN40" i="10"/>
  <c r="AN94" i="10"/>
  <c r="AN43" i="10"/>
  <c r="AN58" i="10"/>
  <c r="AN22" i="10"/>
  <c r="AN70" i="10"/>
  <c r="AN44" i="10"/>
  <c r="AN102" i="10"/>
  <c r="AN33" i="10"/>
  <c r="AN27" i="10"/>
  <c r="AN38" i="10"/>
  <c r="AN25" i="10"/>
  <c r="AN95" i="10"/>
  <c r="AN84" i="10"/>
  <c r="AN30" i="10"/>
  <c r="AN71" i="10"/>
  <c r="AN49" i="10"/>
  <c r="AN66" i="10"/>
  <c r="AN88" i="10"/>
  <c r="AN78" i="10"/>
  <c r="AN107" i="10"/>
  <c r="AN108" i="10"/>
  <c r="AN110" i="10"/>
  <c r="AN109" i="10"/>
  <c r="AN111" i="10"/>
  <c r="AN115" i="10"/>
  <c r="AN112" i="10"/>
  <c r="AN113" i="10"/>
  <c r="AN114" i="10"/>
  <c r="AN116" i="10"/>
  <c r="AN117" i="10"/>
  <c r="AN118" i="10"/>
  <c r="AN121" i="10"/>
  <c r="AN119" i="10"/>
  <c r="AN120" i="10"/>
  <c r="AN122" i="10"/>
  <c r="AN126" i="10"/>
  <c r="AN123" i="10"/>
  <c r="AN124" i="10"/>
  <c r="AN125" i="10"/>
  <c r="AN128" i="10"/>
  <c r="AN127" i="10"/>
  <c r="AN130" i="10"/>
  <c r="AN129" i="10"/>
  <c r="AN131" i="10"/>
  <c r="AN132" i="10"/>
  <c r="AN133" i="10"/>
  <c r="AN134" i="10"/>
  <c r="AN135" i="10"/>
  <c r="AN137" i="10"/>
  <c r="AN136" i="10"/>
  <c r="AN139" i="10"/>
  <c r="AN138" i="10"/>
  <c r="AN140" i="10"/>
  <c r="AN141" i="10"/>
  <c r="AN142" i="10"/>
  <c r="AN143" i="10"/>
  <c r="AN145" i="10"/>
  <c r="AN147" i="10"/>
  <c r="AN144" i="10"/>
  <c r="AN146" i="10"/>
  <c r="AN149" i="10"/>
  <c r="AN148" i="10"/>
  <c r="AN151" i="10"/>
  <c r="AN150" i="10"/>
  <c r="AN152" i="10"/>
  <c r="AN153" i="10"/>
  <c r="AN154" i="10"/>
  <c r="AN155" i="10"/>
  <c r="AN156" i="10"/>
  <c r="AN158" i="10"/>
  <c r="AN157" i="10"/>
  <c r="AN159" i="10"/>
  <c r="AN160" i="10"/>
  <c r="AN161" i="10"/>
  <c r="AN164" i="10"/>
  <c r="AN162" i="10"/>
  <c r="AN163" i="10"/>
  <c r="AN165" i="10"/>
  <c r="AN166" i="10"/>
  <c r="AN168" i="10"/>
  <c r="AN167" i="10"/>
  <c r="AN170" i="10"/>
  <c r="AN169" i="10"/>
  <c r="AN171" i="10"/>
  <c r="AN174" i="10"/>
  <c r="AN172" i="10"/>
  <c r="AN173" i="10"/>
  <c r="AN175" i="10"/>
  <c r="AN176" i="10"/>
  <c r="AN177" i="10"/>
  <c r="AN178" i="10"/>
  <c r="AN179" i="10"/>
  <c r="AN180" i="10"/>
  <c r="AN182" i="10"/>
  <c r="AN181" i="10"/>
  <c r="AN184" i="10"/>
  <c r="AN183" i="10"/>
  <c r="AN185" i="10"/>
  <c r="AN187" i="10"/>
  <c r="AN186" i="10"/>
  <c r="AN188" i="10"/>
  <c r="AN189" i="10"/>
  <c r="AN190" i="10"/>
  <c r="AN192" i="10"/>
  <c r="AN191" i="10"/>
  <c r="AN194" i="10"/>
  <c r="AN193" i="10"/>
  <c r="AN195" i="10"/>
  <c r="AN196" i="10"/>
  <c r="AN197" i="10"/>
  <c r="AN198" i="10"/>
  <c r="AN200" i="10"/>
  <c r="AN199" i="10"/>
  <c r="AN202" i="10"/>
  <c r="AN201" i="10"/>
  <c r="AN204" i="10"/>
  <c r="AN205" i="10"/>
  <c r="AN203" i="10"/>
  <c r="AN207" i="10"/>
  <c r="AN208" i="10"/>
  <c r="AN209" i="10"/>
  <c r="AO212" i="10"/>
  <c r="AO67" i="10"/>
  <c r="AO104" i="10"/>
  <c r="AO100" i="10"/>
  <c r="AO103" i="10"/>
  <c r="AO48" i="10"/>
  <c r="AO37" i="10"/>
  <c r="AO102" i="10"/>
  <c r="AO20" i="10"/>
  <c r="AO38" i="10"/>
  <c r="AO28" i="10"/>
  <c r="AO64" i="10"/>
  <c r="AO76" i="10"/>
  <c r="AO99" i="10"/>
  <c r="AO87" i="10"/>
  <c r="AO9" i="10"/>
  <c r="AO95" i="10"/>
  <c r="AO39" i="10"/>
  <c r="AO19" i="10"/>
  <c r="AO97" i="10"/>
  <c r="AO29" i="10"/>
  <c r="AO44" i="10"/>
  <c r="AO34" i="10"/>
  <c r="AO82" i="10"/>
  <c r="AO73" i="10"/>
  <c r="AO84" i="10"/>
  <c r="AO68" i="10"/>
  <c r="AO72" i="10"/>
  <c r="AO69" i="10"/>
  <c r="AO45" i="10"/>
  <c r="AO33" i="10"/>
  <c r="AO43" i="10"/>
  <c r="AO21" i="10"/>
  <c r="AO47" i="10"/>
  <c r="AO18" i="10"/>
  <c r="AO70" i="10"/>
  <c r="AO105" i="10"/>
  <c r="AO23" i="10"/>
  <c r="AO56" i="10"/>
  <c r="AO89" i="10"/>
  <c r="AO24" i="10"/>
  <c r="AO36" i="10"/>
  <c r="AO91" i="10"/>
  <c r="AO25" i="10"/>
  <c r="AO66" i="10"/>
  <c r="AO90" i="10"/>
  <c r="AO74" i="10"/>
  <c r="AO49" i="10"/>
  <c r="AO57" i="10"/>
  <c r="AO6" i="10"/>
  <c r="AO27" i="10"/>
  <c r="AO63" i="10"/>
  <c r="AO5" i="10"/>
  <c r="AO42" i="10"/>
  <c r="AO92" i="10"/>
  <c r="AO58" i="10"/>
  <c r="AO79" i="10"/>
  <c r="AO54" i="10"/>
  <c r="AO10" i="10"/>
  <c r="AO32" i="10"/>
  <c r="AO16" i="10"/>
  <c r="AO3" i="10"/>
  <c r="AO50" i="10"/>
  <c r="AO83" i="10"/>
  <c r="AO7" i="10"/>
  <c r="AO101" i="10"/>
  <c r="AO40" i="10"/>
  <c r="AO41" i="10"/>
  <c r="AO15" i="10"/>
  <c r="AO71" i="10"/>
  <c r="AO14" i="10"/>
  <c r="AO93" i="10"/>
  <c r="AO2" i="10"/>
  <c r="AO4" i="10"/>
  <c r="AO52" i="10"/>
  <c r="AO65" i="10"/>
  <c r="AO85" i="10"/>
  <c r="AO80" i="10"/>
  <c r="AO35" i="10"/>
  <c r="AO59" i="10"/>
  <c r="AO30" i="10"/>
  <c r="AO53" i="10"/>
  <c r="AO60" i="10"/>
  <c r="AO98" i="10"/>
  <c r="AO13" i="10"/>
  <c r="AO22" i="10"/>
  <c r="AO77" i="10"/>
  <c r="AO61" i="10"/>
  <c r="AO81" i="10"/>
  <c r="AO78" i="10"/>
  <c r="AO94" i="10"/>
  <c r="AO88" i="10"/>
  <c r="AO8" i="10"/>
  <c r="AO62" i="10"/>
  <c r="AO96" i="10"/>
  <c r="AO55" i="10"/>
  <c r="AO17" i="10"/>
  <c r="AO12" i="10"/>
  <c r="AO11" i="10"/>
  <c r="AO86" i="10"/>
  <c r="AO26" i="10"/>
  <c r="AO31" i="10"/>
  <c r="AO51" i="10"/>
  <c r="AO75" i="10"/>
  <c r="AO46" i="10"/>
  <c r="AO109" i="10"/>
  <c r="AO106" i="10"/>
  <c r="AO108" i="10"/>
  <c r="AO107" i="10"/>
  <c r="AO110" i="10"/>
  <c r="AO112" i="10"/>
  <c r="AO111" i="10"/>
  <c r="AO115" i="10"/>
  <c r="AO113" i="10"/>
  <c r="AO114" i="10"/>
  <c r="AO117" i="10"/>
  <c r="AO116" i="10"/>
  <c r="AO118" i="10"/>
  <c r="AO119" i="10"/>
  <c r="AO120" i="10"/>
  <c r="AO121" i="10"/>
  <c r="AO122" i="10"/>
  <c r="AO123" i="10"/>
  <c r="AO124" i="10"/>
  <c r="AO125" i="10"/>
  <c r="AO126" i="10"/>
  <c r="AO127" i="10"/>
  <c r="AO130" i="10"/>
  <c r="AO128" i="10"/>
  <c r="AO129" i="10"/>
  <c r="AO131" i="10"/>
  <c r="AO132" i="10"/>
  <c r="AO134" i="10"/>
  <c r="AO133" i="10"/>
  <c r="AO135" i="10"/>
  <c r="AO136" i="10"/>
  <c r="AO138" i="10"/>
  <c r="AO137" i="10"/>
  <c r="AO140" i="10"/>
  <c r="AO139" i="10"/>
  <c r="AO141" i="10"/>
  <c r="AO142" i="10"/>
  <c r="AO143" i="10"/>
  <c r="AO144" i="10"/>
  <c r="AO147" i="10"/>
  <c r="AO145" i="10"/>
  <c r="AO146" i="10"/>
  <c r="AO148" i="10"/>
  <c r="AO149" i="10"/>
  <c r="AO151" i="10"/>
  <c r="AO150" i="10"/>
  <c r="AO152" i="10"/>
  <c r="AO153" i="10"/>
  <c r="AO154" i="10"/>
  <c r="AO156" i="10"/>
  <c r="AO155" i="10"/>
  <c r="AO158" i="10"/>
  <c r="AO157" i="10"/>
  <c r="AO160" i="10"/>
  <c r="AO159" i="10"/>
  <c r="AO163" i="10"/>
  <c r="AO161" i="10"/>
  <c r="AO162" i="10"/>
  <c r="AO165" i="10"/>
  <c r="AO164" i="10"/>
  <c r="AO166" i="10"/>
  <c r="AO168" i="10"/>
  <c r="AO167" i="10"/>
  <c r="AO169" i="10"/>
  <c r="AO171" i="10"/>
  <c r="AO170" i="10"/>
  <c r="AO173" i="10"/>
  <c r="AO172" i="10"/>
  <c r="AO174" i="10"/>
  <c r="AO175" i="10"/>
  <c r="AO177" i="10"/>
  <c r="AO176" i="10"/>
  <c r="AO178" i="10"/>
  <c r="AO179" i="10"/>
  <c r="AO180" i="10"/>
  <c r="AO182" i="10"/>
  <c r="AO181" i="10"/>
  <c r="AO184" i="10"/>
  <c r="AO186" i="10"/>
  <c r="AO183" i="10"/>
  <c r="AO185" i="10"/>
  <c r="AO188" i="10"/>
  <c r="AO187" i="10"/>
  <c r="AO189" i="10"/>
  <c r="AO190" i="10"/>
  <c r="AO192" i="10"/>
  <c r="AO191" i="10"/>
  <c r="AO193" i="10"/>
  <c r="AO196" i="10"/>
  <c r="AO195" i="10"/>
  <c r="AO194" i="10"/>
  <c r="AO197" i="10"/>
  <c r="AO198" i="10"/>
  <c r="AO199" i="10"/>
  <c r="AO200" i="10"/>
  <c r="AO201" i="10"/>
  <c r="AO202" i="10"/>
  <c r="AO204" i="10"/>
  <c r="AO203" i="10"/>
  <c r="AO210" i="10"/>
  <c r="AO208" i="10"/>
  <c r="AO206" i="10"/>
  <c r="AN211" i="10"/>
  <c r="AN210" i="10"/>
  <c r="AG207" i="1"/>
  <c r="AD207" i="1"/>
  <c r="AE208" i="1"/>
  <c r="AF207" i="1"/>
  <c r="AH207" i="1"/>
  <c r="AO207" i="1"/>
  <c r="AO213" i="10" l="1"/>
  <c r="AN213" i="10"/>
  <c r="AD208" i="1"/>
  <c r="AG208" i="1"/>
  <c r="AE209" i="1"/>
  <c r="AF208" i="1"/>
  <c r="AH208" i="1"/>
  <c r="AO208" i="1"/>
  <c r="AN214" i="10" l="1"/>
  <c r="Q16" i="10" s="1"/>
  <c r="Q20" i="10" s="1"/>
  <c r="Q24" i="10" s="1"/>
  <c r="AD209" i="1"/>
  <c r="AG209" i="1"/>
  <c r="AE210" i="1"/>
  <c r="AF209" i="1"/>
  <c r="AH209" i="1"/>
  <c r="AO209" i="1"/>
  <c r="Q21" i="10" l="1"/>
  <c r="Q25" i="10" s="1"/>
  <c r="G47" i="10" s="1"/>
  <c r="B52" i="10"/>
  <c r="F47" i="10"/>
  <c r="D47" i="10"/>
  <c r="AP3" i="10"/>
  <c r="G59" i="10"/>
  <c r="AP7" i="10"/>
  <c r="B59" i="10"/>
  <c r="B66" i="10"/>
  <c r="AP16" i="10"/>
  <c r="G69" i="10"/>
  <c r="AP18" i="10"/>
  <c r="G72" i="10"/>
  <c r="AP20" i="10"/>
  <c r="G73" i="10"/>
  <c r="AP25" i="10"/>
  <c r="G77" i="10"/>
  <c r="AP26" i="10"/>
  <c r="AP27" i="10"/>
  <c r="B78" i="10"/>
  <c r="G82" i="10"/>
  <c r="B81" i="10"/>
  <c r="B84" i="10"/>
  <c r="AP34" i="10"/>
  <c r="G87" i="10"/>
  <c r="B86" i="10"/>
  <c r="AP37" i="10"/>
  <c r="G89" i="10"/>
  <c r="B88" i="10"/>
  <c r="G93" i="10"/>
  <c r="B92" i="10"/>
  <c r="G94" i="10"/>
  <c r="B93" i="10"/>
  <c r="AP43" i="10"/>
  <c r="AP45" i="10"/>
  <c r="AP46" i="10"/>
  <c r="AP52" i="10"/>
  <c r="AP53" i="10"/>
  <c r="AP61" i="10"/>
  <c r="AP62" i="10"/>
  <c r="AP63" i="10"/>
  <c r="AP64" i="10"/>
  <c r="AP65" i="10"/>
  <c r="AP76" i="10"/>
  <c r="AP79" i="10"/>
  <c r="AP82" i="10"/>
  <c r="AP83" i="10"/>
  <c r="AP84" i="10"/>
  <c r="AP85" i="10"/>
  <c r="AP91" i="10"/>
  <c r="AP99" i="10"/>
  <c r="AP100" i="10"/>
  <c r="AP101" i="10"/>
  <c r="AD210" i="1"/>
  <c r="AG210" i="1"/>
  <c r="AE211" i="1"/>
  <c r="AO210" i="1"/>
  <c r="AF210" i="1"/>
  <c r="AH210" i="1"/>
  <c r="AP96" i="10" l="1"/>
  <c r="AP51" i="10"/>
  <c r="B83" i="10"/>
  <c r="B76" i="10"/>
  <c r="AP71" i="10"/>
  <c r="AP50" i="10"/>
  <c r="G92" i="10"/>
  <c r="G83" i="10"/>
  <c r="B75" i="10"/>
  <c r="B62" i="10"/>
  <c r="AP75" i="10"/>
  <c r="AP41" i="10"/>
  <c r="G64" i="10"/>
  <c r="AP95" i="10"/>
  <c r="AP94" i="10"/>
  <c r="AP70" i="10"/>
  <c r="AP49" i="10"/>
  <c r="G90" i="10"/>
  <c r="B82" i="10"/>
  <c r="AP21" i="10"/>
  <c r="AP8" i="10"/>
  <c r="AP13" i="10"/>
  <c r="G74" i="10"/>
  <c r="G67" i="10"/>
  <c r="Q26" i="10"/>
  <c r="AP30" i="10"/>
  <c r="B72" i="10"/>
  <c r="B65" i="10"/>
  <c r="AP74" i="10"/>
  <c r="B96" i="10"/>
  <c r="B85" i="10"/>
  <c r="G81" i="10"/>
  <c r="G70" i="10"/>
  <c r="AP12" i="10"/>
  <c r="F90" i="10"/>
  <c r="AP89" i="10"/>
  <c r="AP73" i="10"/>
  <c r="AP59" i="10"/>
  <c r="G96" i="10"/>
  <c r="AP38" i="10"/>
  <c r="G86" i="10"/>
  <c r="AP28" i="10"/>
  <c r="B74" i="10"/>
  <c r="B69" i="10"/>
  <c r="G63" i="10"/>
  <c r="AP5" i="10"/>
  <c r="F87" i="10"/>
  <c r="B58" i="10"/>
  <c r="AP90" i="10"/>
  <c r="AP60" i="10"/>
  <c r="B90" i="10"/>
  <c r="AP24" i="10"/>
  <c r="G56" i="10"/>
  <c r="AP102" i="10"/>
  <c r="AP86" i="10"/>
  <c r="AP72" i="10"/>
  <c r="AP56" i="10"/>
  <c r="B94" i="10"/>
  <c r="B89" i="10"/>
  <c r="AP33" i="10"/>
  <c r="G80" i="10"/>
  <c r="B73" i="10"/>
  <c r="B68" i="10"/>
  <c r="AP11" i="10"/>
  <c r="B56" i="10"/>
  <c r="F80" i="10"/>
  <c r="G55" i="10"/>
  <c r="F79" i="10"/>
  <c r="B61" i="10"/>
  <c r="B57" i="10"/>
  <c r="F78" i="10"/>
  <c r="F77" i="10"/>
  <c r="AP93" i="10"/>
  <c r="AP81" i="10"/>
  <c r="AP69" i="10"/>
  <c r="AP55" i="10"/>
  <c r="AP44" i="10"/>
  <c r="AP40" i="10"/>
  <c r="AP36" i="10"/>
  <c r="G84" i="10"/>
  <c r="B79" i="10"/>
  <c r="G76" i="10"/>
  <c r="B71" i="10"/>
  <c r="AP15" i="10"/>
  <c r="G62" i="10"/>
  <c r="G57" i="10"/>
  <c r="F94" i="10"/>
  <c r="F75" i="10"/>
  <c r="F95" i="10"/>
  <c r="AP92" i="10"/>
  <c r="AP80" i="10"/>
  <c r="AP66" i="10"/>
  <c r="AP54" i="10"/>
  <c r="B95" i="10"/>
  <c r="B91" i="10"/>
  <c r="AP35" i="10"/>
  <c r="AP31" i="10"/>
  <c r="G79" i="10"/>
  <c r="H79" i="10" s="1"/>
  <c r="AP23" i="10"/>
  <c r="B70" i="10"/>
  <c r="AP14" i="10"/>
  <c r="G60" i="10"/>
  <c r="B54" i="10"/>
  <c r="F91" i="10"/>
  <c r="F72" i="10"/>
  <c r="F69" i="10"/>
  <c r="F89" i="10"/>
  <c r="F60" i="10"/>
  <c r="F88" i="10"/>
  <c r="F59" i="10"/>
  <c r="F85" i="10"/>
  <c r="F68" i="10"/>
  <c r="G66" i="10"/>
  <c r="AP10" i="10"/>
  <c r="AP4" i="10"/>
  <c r="F84" i="10"/>
  <c r="F67" i="10"/>
  <c r="AP17" i="10"/>
  <c r="G65" i="10"/>
  <c r="G61" i="10"/>
  <c r="AP2" i="10"/>
  <c r="F81" i="10"/>
  <c r="F66" i="10"/>
  <c r="F65" i="10"/>
  <c r="F96" i="10"/>
  <c r="F86" i="10"/>
  <c r="F76" i="10"/>
  <c r="F62" i="10"/>
  <c r="AP98" i="10"/>
  <c r="AP88" i="10"/>
  <c r="AP78" i="10"/>
  <c r="AP68" i="10"/>
  <c r="AP58" i="10"/>
  <c r="AP48" i="10"/>
  <c r="G95" i="10"/>
  <c r="G91" i="10"/>
  <c r="G88" i="10"/>
  <c r="G85" i="10"/>
  <c r="B80" i="10"/>
  <c r="B77" i="10"/>
  <c r="G75" i="10"/>
  <c r="G71" i="10"/>
  <c r="G68" i="10"/>
  <c r="B64" i="10"/>
  <c r="AP9" i="10"/>
  <c r="B55" i="10"/>
  <c r="G58" i="10"/>
  <c r="F93" i="10"/>
  <c r="H93" i="10" s="1"/>
  <c r="F83" i="10"/>
  <c r="F71" i="10"/>
  <c r="F54" i="10"/>
  <c r="AP97" i="10"/>
  <c r="AP87" i="10"/>
  <c r="AP77" i="10"/>
  <c r="AP67" i="10"/>
  <c r="AP57" i="10"/>
  <c r="AP47" i="10"/>
  <c r="AP42" i="10"/>
  <c r="AP39" i="10"/>
  <c r="B87" i="10"/>
  <c r="AP32" i="10"/>
  <c r="AP29" i="10"/>
  <c r="G78" i="10"/>
  <c r="AP22" i="10"/>
  <c r="AP19" i="10"/>
  <c r="B67" i="10"/>
  <c r="B63" i="10"/>
  <c r="B60" i="10"/>
  <c r="G54" i="10"/>
  <c r="AP6" i="10"/>
  <c r="F92" i="10"/>
  <c r="F82" i="10"/>
  <c r="H81" i="10" s="1"/>
  <c r="F70" i="10"/>
  <c r="F57" i="10"/>
  <c r="F58" i="10"/>
  <c r="F56" i="10"/>
  <c r="F55" i="10"/>
  <c r="F74" i="10"/>
  <c r="H74" i="10" s="1"/>
  <c r="F64" i="10"/>
  <c r="C52" i="10"/>
  <c r="F73" i="10"/>
  <c r="F63" i="10"/>
  <c r="E47" i="10"/>
  <c r="F61" i="10"/>
  <c r="C54" i="10"/>
  <c r="B98" i="10" s="1"/>
  <c r="AD211" i="1"/>
  <c r="AG211" i="1"/>
  <c r="AE212" i="1"/>
  <c r="AO211" i="1"/>
  <c r="AF211" i="1"/>
  <c r="AH211" i="1"/>
  <c r="H77" i="10" l="1"/>
  <c r="H80" i="10"/>
  <c r="C57" i="10"/>
  <c r="B101" i="10" s="1"/>
  <c r="AQ63" i="10"/>
  <c r="H90" i="10"/>
  <c r="AQ4" i="10"/>
  <c r="E56" i="10" s="1"/>
  <c r="H89" i="10"/>
  <c r="AQ68" i="10"/>
  <c r="C61" i="10"/>
  <c r="B105" i="10" s="1"/>
  <c r="C74" i="10"/>
  <c r="B118" i="10" s="1"/>
  <c r="H85" i="10"/>
  <c r="H76" i="10"/>
  <c r="AQ52" i="10"/>
  <c r="H59" i="10"/>
  <c r="AQ51" i="10"/>
  <c r="C95" i="10"/>
  <c r="B139" i="10" s="1"/>
  <c r="AQ3" i="10"/>
  <c r="E55" i="10" s="1"/>
  <c r="C67" i="10"/>
  <c r="B111" i="10" s="1"/>
  <c r="C73" i="10"/>
  <c r="B117" i="10" s="1"/>
  <c r="C55" i="10"/>
  <c r="B99" i="10" s="1"/>
  <c r="C91" i="10"/>
  <c r="B135" i="10" s="1"/>
  <c r="AQ30" i="10"/>
  <c r="E82" i="10" s="1"/>
  <c r="AQ19" i="10"/>
  <c r="E71" i="10" s="1"/>
  <c r="AQ5" i="10"/>
  <c r="E57" i="10" s="1"/>
  <c r="AQ71" i="10"/>
  <c r="C59" i="10"/>
  <c r="B103" i="10" s="1"/>
  <c r="H69" i="10"/>
  <c r="H78" i="10"/>
  <c r="H68" i="10"/>
  <c r="C79" i="10"/>
  <c r="B123" i="10" s="1"/>
  <c r="H86" i="10"/>
  <c r="AQ34" i="10"/>
  <c r="E86" i="10" s="1"/>
  <c r="AQ2" i="10"/>
  <c r="E54" i="10" s="1"/>
  <c r="C60" i="10"/>
  <c r="B104" i="10" s="1"/>
  <c r="AQ90" i="10"/>
  <c r="AQ31" i="10"/>
  <c r="E83" i="10" s="1"/>
  <c r="C58" i="10"/>
  <c r="B102" i="10" s="1"/>
  <c r="AQ22" i="10"/>
  <c r="E74" i="10" s="1"/>
  <c r="C87" i="10"/>
  <c r="B131" i="10" s="1"/>
  <c r="AQ60" i="10"/>
  <c r="C64" i="10"/>
  <c r="B108" i="10" s="1"/>
  <c r="H64" i="10"/>
  <c r="H83" i="10"/>
  <c r="H65" i="10"/>
  <c r="H87" i="10"/>
  <c r="H94" i="10"/>
  <c r="AQ35" i="10"/>
  <c r="E87" i="10" s="1"/>
  <c r="AQ43" i="10"/>
  <c r="E95" i="10" s="1"/>
  <c r="AQ16" i="10"/>
  <c r="E68" i="10" s="1"/>
  <c r="AQ25" i="10"/>
  <c r="E77" i="10" s="1"/>
  <c r="AQ54" i="10"/>
  <c r="AQ27" i="10"/>
  <c r="E79" i="10" s="1"/>
  <c r="AQ36" i="10"/>
  <c r="E88" i="10" s="1"/>
  <c r="AQ84" i="10"/>
  <c r="AQ97" i="10"/>
  <c r="AQ28" i="10"/>
  <c r="E80" i="10" s="1"/>
  <c r="AQ61" i="10"/>
  <c r="AQ96" i="10"/>
  <c r="C85" i="10"/>
  <c r="B129" i="10" s="1"/>
  <c r="C82" i="10"/>
  <c r="B126" i="10" s="1"/>
  <c r="C93" i="10"/>
  <c r="B137" i="10" s="1"/>
  <c r="AQ39" i="10"/>
  <c r="E91" i="10" s="1"/>
  <c r="C90" i="10"/>
  <c r="B134" i="10" s="1"/>
  <c r="C86" i="10"/>
  <c r="B130" i="10" s="1"/>
  <c r="C80" i="10"/>
  <c r="B124" i="10" s="1"/>
  <c r="AQ24" i="10"/>
  <c r="E76" i="10" s="1"/>
  <c r="AQ26" i="10"/>
  <c r="E78" i="10" s="1"/>
  <c r="H88" i="10"/>
  <c r="AQ49" i="10"/>
  <c r="AQ76" i="10"/>
  <c r="C77" i="10"/>
  <c r="B121" i="10" s="1"/>
  <c r="AQ40" i="10"/>
  <c r="E92" i="10" s="1"/>
  <c r="AQ44" i="10"/>
  <c r="E96" i="10" s="1"/>
  <c r="AQ66" i="10"/>
  <c r="AQ95" i="10"/>
  <c r="AQ102" i="10"/>
  <c r="C78" i="10"/>
  <c r="B122" i="10" s="1"/>
  <c r="C66" i="10"/>
  <c r="B110" i="10" s="1"/>
  <c r="C89" i="10"/>
  <c r="B133" i="10" s="1"/>
  <c r="C71" i="10"/>
  <c r="B115" i="10" s="1"/>
  <c r="H84" i="10"/>
  <c r="AQ11" i="10"/>
  <c r="E63" i="10" s="1"/>
  <c r="AQ81" i="10"/>
  <c r="C70" i="10"/>
  <c r="B114" i="10" s="1"/>
  <c r="AQ42" i="10"/>
  <c r="E94" i="10" s="1"/>
  <c r="AQ64" i="10"/>
  <c r="AQ8" i="10"/>
  <c r="E60" i="10" s="1"/>
  <c r="AQ62" i="10"/>
  <c r="C88" i="10"/>
  <c r="B132" i="10" s="1"/>
  <c r="C81" i="10"/>
  <c r="B125" i="10" s="1"/>
  <c r="H95" i="10"/>
  <c r="AQ86" i="10"/>
  <c r="AQ79" i="10"/>
  <c r="AQ83" i="10"/>
  <c r="AQ33" i="10"/>
  <c r="E85" i="10" s="1"/>
  <c r="AQ67" i="10"/>
  <c r="AQ53" i="10"/>
  <c r="AQ38" i="10"/>
  <c r="E90" i="10" s="1"/>
  <c r="AQ69" i="10"/>
  <c r="AQ6" i="10"/>
  <c r="E58" i="10" s="1"/>
  <c r="AQ9" i="10"/>
  <c r="E61" i="10" s="1"/>
  <c r="AQ80" i="10"/>
  <c r="C63" i="10"/>
  <c r="B107" i="10" s="1"/>
  <c r="AQ37" i="10"/>
  <c r="E89" i="10" s="1"/>
  <c r="AQ85" i="10"/>
  <c r="C68" i="10"/>
  <c r="B112" i="10" s="1"/>
  <c r="C94" i="10"/>
  <c r="B138" i="10" s="1"/>
  <c r="AQ20" i="10"/>
  <c r="E72" i="10" s="1"/>
  <c r="AQ21" i="10"/>
  <c r="E73" i="10" s="1"/>
  <c r="AQ56" i="10"/>
  <c r="AQ94" i="10"/>
  <c r="C83" i="10"/>
  <c r="B127" i="10" s="1"/>
  <c r="AQ15" i="10"/>
  <c r="E67" i="10" s="1"/>
  <c r="AQ23" i="10"/>
  <c r="E75" i="10" s="1"/>
  <c r="AQ17" i="10"/>
  <c r="E69" i="10" s="1"/>
  <c r="AQ50" i="10"/>
  <c r="AQ74" i="10"/>
  <c r="C76" i="10"/>
  <c r="B120" i="10" s="1"/>
  <c r="AQ65" i="10"/>
  <c r="AQ55" i="10"/>
  <c r="AQ98" i="10"/>
  <c r="C65" i="10"/>
  <c r="B109" i="10" s="1"/>
  <c r="AQ57" i="10"/>
  <c r="AQ70" i="10"/>
  <c r="AQ93" i="10"/>
  <c r="C56" i="10"/>
  <c r="B100" i="10" s="1"/>
  <c r="AQ73" i="10"/>
  <c r="AQ59" i="10"/>
  <c r="AQ91" i="10"/>
  <c r="AQ58" i="10"/>
  <c r="AQ100" i="10"/>
  <c r="AQ46" i="10"/>
  <c r="AQ45" i="10"/>
  <c r="AQ87" i="10"/>
  <c r="AQ47" i="10"/>
  <c r="AQ92" i="10"/>
  <c r="C96" i="10"/>
  <c r="B140" i="10" s="1"/>
  <c r="AQ7" i="10"/>
  <c r="E59" i="10" s="1"/>
  <c r="AQ10" i="10"/>
  <c r="E62" i="10" s="1"/>
  <c r="AQ77" i="10"/>
  <c r="AQ72" i="10"/>
  <c r="AQ14" i="10"/>
  <c r="E66" i="10" s="1"/>
  <c r="AQ41" i="10"/>
  <c r="E93" i="10" s="1"/>
  <c r="AQ75" i="10"/>
  <c r="AQ88" i="10"/>
  <c r="AQ99" i="10"/>
  <c r="AQ82" i="10"/>
  <c r="C62" i="10"/>
  <c r="B106" i="10" s="1"/>
  <c r="C72" i="10"/>
  <c r="B116" i="10" s="1"/>
  <c r="C69" i="10"/>
  <c r="B113" i="10" s="1"/>
  <c r="AQ13" i="10"/>
  <c r="E65" i="10" s="1"/>
  <c r="AQ29" i="10"/>
  <c r="E81" i="10" s="1"/>
  <c r="AQ48" i="10"/>
  <c r="AQ12" i="10"/>
  <c r="E64" i="10" s="1"/>
  <c r="AQ32" i="10"/>
  <c r="E84" i="10" s="1"/>
  <c r="AQ78" i="10"/>
  <c r="AQ89" i="10"/>
  <c r="AQ18" i="10"/>
  <c r="E70" i="10" s="1"/>
  <c r="AQ101" i="10"/>
  <c r="C75" i="10"/>
  <c r="B119" i="10" s="1"/>
  <c r="C84" i="10"/>
  <c r="B128" i="10" s="1"/>
  <c r="C92" i="10"/>
  <c r="B136" i="10" s="1"/>
  <c r="H67" i="10"/>
  <c r="H66" i="10"/>
  <c r="H55" i="10"/>
  <c r="H71" i="10"/>
  <c r="H62" i="10"/>
  <c r="H73" i="10"/>
  <c r="H92" i="10"/>
  <c r="H54" i="10"/>
  <c r="H75" i="10"/>
  <c r="H63" i="10"/>
  <c r="H61" i="10"/>
  <c r="H70" i="10"/>
  <c r="H56" i="10"/>
  <c r="H91" i="10"/>
  <c r="H57" i="10"/>
  <c r="H72" i="10"/>
  <c r="H82" i="10"/>
  <c r="H58" i="10"/>
  <c r="H60" i="10"/>
  <c r="AD212" i="1"/>
  <c r="AG212" i="1"/>
  <c r="AH212" i="1"/>
  <c r="AO212" i="1"/>
  <c r="AF212" i="1"/>
  <c r="K57" i="10" l="1"/>
  <c r="K55" i="10"/>
  <c r="J57" i="10"/>
  <c r="J79" i="10"/>
  <c r="J91" i="10"/>
  <c r="J56" i="10"/>
  <c r="J67" i="10"/>
  <c r="J55" i="10"/>
  <c r="J64" i="10"/>
  <c r="J62" i="10"/>
  <c r="J74" i="10"/>
  <c r="J69" i="10"/>
  <c r="J80" i="10"/>
  <c r="J83" i="10"/>
  <c r="J73" i="10"/>
  <c r="J84" i="10"/>
  <c r="J77" i="10"/>
  <c r="J60" i="10"/>
  <c r="J71" i="10"/>
  <c r="J88" i="10"/>
  <c r="J81" i="10"/>
  <c r="J86" i="10"/>
  <c r="J92" i="10"/>
  <c r="J66" i="10"/>
  <c r="J85" i="10"/>
  <c r="J78" i="10"/>
  <c r="J59" i="10"/>
  <c r="J89" i="10"/>
  <c r="J75" i="10"/>
  <c r="J94" i="10"/>
  <c r="J61" i="10"/>
  <c r="J90" i="10"/>
  <c r="J95" i="10"/>
  <c r="J93" i="10"/>
  <c r="J65" i="10"/>
  <c r="J72" i="10"/>
  <c r="J76" i="10"/>
  <c r="J70" i="10"/>
  <c r="J82" i="10"/>
  <c r="J54" i="10"/>
  <c r="J58" i="10"/>
  <c r="K53" i="10" s="1"/>
  <c r="Q28" i="10" s="1"/>
  <c r="J87" i="10"/>
  <c r="J96" i="10"/>
  <c r="J63" i="10"/>
  <c r="J68" i="10"/>
  <c r="Q29" i="10" l="1"/>
  <c r="Q30" i="10"/>
  <c r="AQ214" i="1" l="1"/>
  <c r="Q16" i="1" s="1"/>
  <c r="Q8" i="1"/>
  <c r="Q9" i="1" s="1"/>
  <c r="Q27" i="1" s="1"/>
  <c r="Q28" i="1" s="1"/>
  <c r="Q21" i="1" l="1"/>
  <c r="M45" i="1" s="1"/>
  <c r="Q20" i="1"/>
  <c r="G45" i="1"/>
  <c r="Q25" i="1" l="1"/>
  <c r="I45" i="1" s="1"/>
  <c r="Q24" i="1"/>
  <c r="I44" i="1" s="1"/>
  <c r="M44" i="1"/>
  <c r="M46" i="1" s="1"/>
  <c r="I46" i="1" l="1"/>
  <c r="F55" i="1"/>
  <c r="F77" i="1"/>
  <c r="B69" i="1"/>
  <c r="AS89" i="1"/>
  <c r="F68" i="1"/>
  <c r="F74" i="1"/>
  <c r="E47" i="1"/>
  <c r="AS20" i="1"/>
  <c r="F47" i="1"/>
  <c r="F67" i="1"/>
  <c r="AS76" i="1"/>
  <c r="F87" i="1"/>
  <c r="AS93" i="1"/>
  <c r="AS65" i="1"/>
  <c r="F54" i="1"/>
  <c r="G71" i="1"/>
  <c r="B73" i="1"/>
  <c r="AS40" i="1"/>
  <c r="C52" i="1"/>
  <c r="G61" i="1"/>
  <c r="AS99" i="1"/>
  <c r="F86" i="1"/>
  <c r="AS33" i="1"/>
  <c r="AS45" i="1"/>
  <c r="G63" i="1"/>
  <c r="F64" i="1"/>
  <c r="AS100" i="1"/>
  <c r="F73" i="1"/>
  <c r="AS48" i="1"/>
  <c r="F83" i="1"/>
  <c r="AS83" i="1"/>
  <c r="G47" i="1"/>
  <c r="F63" i="1"/>
  <c r="G58" i="1"/>
  <c r="AS63" i="1"/>
  <c r="B67" i="1"/>
  <c r="G85" i="1"/>
  <c r="F58" i="1"/>
  <c r="AS2" i="1"/>
  <c r="AT2" i="1" s="1"/>
  <c r="E54" i="1" s="1"/>
  <c r="G76" i="1"/>
  <c r="F57" i="1"/>
  <c r="AS72" i="1"/>
  <c r="B87" i="1"/>
  <c r="G66" i="1"/>
  <c r="F78" i="1"/>
  <c r="F62" i="1"/>
  <c r="B81" i="1"/>
  <c r="B71" i="1"/>
  <c r="B96" i="1"/>
  <c r="AS96" i="1"/>
  <c r="F71" i="1"/>
  <c r="AS91" i="1"/>
  <c r="AS81" i="1"/>
  <c r="B76" i="1"/>
  <c r="B61" i="1"/>
  <c r="G79" i="1"/>
  <c r="AS60" i="1"/>
  <c r="AS6" i="1"/>
  <c r="AS42" i="1"/>
  <c r="AS38" i="1"/>
  <c r="AS16" i="1"/>
  <c r="F85" i="1"/>
  <c r="F72" i="1"/>
  <c r="AS19" i="1"/>
  <c r="B82" i="1"/>
  <c r="AS22" i="1"/>
  <c r="AS28" i="1"/>
  <c r="B55" i="1"/>
  <c r="B94" i="1"/>
  <c r="AS59" i="1"/>
  <c r="B85" i="1"/>
  <c r="F84" i="1"/>
  <c r="F91" i="1"/>
  <c r="AS52" i="1"/>
  <c r="AS71" i="1"/>
  <c r="B91" i="1"/>
  <c r="G96" i="1"/>
  <c r="AS75" i="1"/>
  <c r="B64" i="1"/>
  <c r="G54" i="1"/>
  <c r="B52" i="1"/>
  <c r="F56" i="1"/>
  <c r="F60" i="1"/>
  <c r="B63" i="1"/>
  <c r="AS13" i="1"/>
  <c r="AS62" i="1"/>
  <c r="G89" i="1"/>
  <c r="B56" i="1"/>
  <c r="G57" i="1"/>
  <c r="F61" i="1"/>
  <c r="AS31" i="1"/>
  <c r="AS43" i="1"/>
  <c r="B88" i="1"/>
  <c r="G74" i="1"/>
  <c r="AS35" i="1"/>
  <c r="AS44" i="1"/>
  <c r="F76" i="1"/>
  <c r="F79" i="1"/>
  <c r="AS79" i="1"/>
  <c r="AS30" i="1"/>
  <c r="AS41" i="1"/>
  <c r="B68" i="1"/>
  <c r="G64" i="1"/>
  <c r="AS5" i="1"/>
  <c r="AS24" i="1"/>
  <c r="F75" i="1"/>
  <c r="F80" i="1"/>
  <c r="G88" i="1"/>
  <c r="AS39" i="1"/>
  <c r="B79" i="1"/>
  <c r="AS10" i="1"/>
  <c r="B92" i="1"/>
  <c r="AS21" i="1"/>
  <c r="AS78" i="1"/>
  <c r="G95" i="1"/>
  <c r="D47" i="1"/>
  <c r="G93" i="1"/>
  <c r="B57" i="1"/>
  <c r="AS14" i="1"/>
  <c r="F89" i="1"/>
  <c r="B80" i="1"/>
  <c r="AS50" i="1"/>
  <c r="AS61" i="1"/>
  <c r="AS97" i="1"/>
  <c r="B54" i="1"/>
  <c r="C54" i="1" s="1"/>
  <c r="B98" i="1" s="1"/>
  <c r="F88" i="1"/>
  <c r="F90" i="1"/>
  <c r="AS11" i="1"/>
  <c r="G70" i="1"/>
  <c r="AS47" i="1"/>
  <c r="B77" i="1"/>
  <c r="F65" i="1"/>
  <c r="F95" i="1"/>
  <c r="F70" i="1"/>
  <c r="G60" i="1"/>
  <c r="B83" i="1"/>
  <c r="B59" i="1"/>
  <c r="G78" i="1"/>
  <c r="AS102" i="1"/>
  <c r="B70" i="1"/>
  <c r="AS58" i="1"/>
  <c r="G75" i="1"/>
  <c r="B95" i="1"/>
  <c r="G73" i="1"/>
  <c r="AS57" i="1"/>
  <c r="AS4" i="1"/>
  <c r="B66" i="1"/>
  <c r="AS95" i="1"/>
  <c r="G77" i="1"/>
  <c r="AS86" i="1"/>
  <c r="AS32" i="1"/>
  <c r="AS73" i="1"/>
  <c r="AS9" i="1"/>
  <c r="AS82" i="1"/>
  <c r="G90" i="1"/>
  <c r="AS88" i="1"/>
  <c r="AS77" i="1"/>
  <c r="G94" i="1"/>
  <c r="AS55" i="1"/>
  <c r="AS68" i="1"/>
  <c r="AS26" i="1"/>
  <c r="AS54" i="1"/>
  <c r="F94" i="1"/>
  <c r="F69" i="1"/>
  <c r="AS53" i="1"/>
  <c r="G59" i="1"/>
  <c r="AS90" i="1"/>
  <c r="AS92" i="1"/>
  <c r="AS49" i="1"/>
  <c r="AS23" i="1"/>
  <c r="G91" i="1"/>
  <c r="G68" i="1"/>
  <c r="G87" i="1"/>
  <c r="AS18" i="1"/>
  <c r="AS27" i="1"/>
  <c r="AS66" i="1"/>
  <c r="B75" i="1"/>
  <c r="AS25" i="1"/>
  <c r="B78" i="1"/>
  <c r="AS37" i="1"/>
  <c r="B84" i="1"/>
  <c r="G92" i="1"/>
  <c r="F82" i="1"/>
  <c r="F93" i="1"/>
  <c r="F59" i="1"/>
  <c r="G81" i="1"/>
  <c r="B62" i="1"/>
  <c r="AS70" i="1"/>
  <c r="AS12" i="1"/>
  <c r="AS29" i="1"/>
  <c r="AS3" i="1"/>
  <c r="G69" i="1"/>
  <c r="B90" i="1"/>
  <c r="G67" i="1"/>
  <c r="AS8" i="1"/>
  <c r="AS7" i="1"/>
  <c r="AS36" i="1"/>
  <c r="B65" i="1"/>
  <c r="AS15" i="1"/>
  <c r="AS98" i="1"/>
  <c r="AS17" i="1"/>
  <c r="B74" i="1"/>
  <c r="G82" i="1"/>
  <c r="G65" i="1"/>
  <c r="AS94" i="1"/>
  <c r="Q26" i="1"/>
  <c r="N44" i="1" s="1"/>
  <c r="N46" i="1" s="1"/>
  <c r="F66" i="1"/>
  <c r="F96" i="1"/>
  <c r="F81" i="1"/>
  <c r="F92" i="1"/>
  <c r="AS51" i="1"/>
  <c r="B89" i="1"/>
  <c r="G80" i="1"/>
  <c r="AS69" i="1"/>
  <c r="B60" i="1"/>
  <c r="B93" i="1"/>
  <c r="B72" i="1"/>
  <c r="AS101" i="1"/>
  <c r="AS80" i="1"/>
  <c r="B58" i="1"/>
  <c r="G56" i="1"/>
  <c r="G55" i="1"/>
  <c r="G84" i="1"/>
  <c r="AS85" i="1"/>
  <c r="G83" i="1"/>
  <c r="G86" i="1"/>
  <c r="B86" i="1"/>
  <c r="AS84" i="1"/>
  <c r="AS87" i="1"/>
  <c r="AS56" i="1"/>
  <c r="AS74" i="1"/>
  <c r="G72" i="1"/>
  <c r="AS67" i="1"/>
  <c r="AS46" i="1"/>
  <c r="AS64" i="1"/>
  <c r="G62" i="1"/>
  <c r="AS34" i="1"/>
  <c r="H55" i="1" l="1"/>
  <c r="H86" i="1"/>
  <c r="H66" i="1"/>
  <c r="H84" i="1"/>
  <c r="H54" i="1"/>
  <c r="J54" i="1" s="1"/>
  <c r="H82" i="1"/>
  <c r="H63" i="1"/>
  <c r="H71" i="1"/>
  <c r="AT3" i="1"/>
  <c r="E55" i="1" s="1"/>
  <c r="H76" i="1"/>
  <c r="H60" i="1"/>
  <c r="H83" i="1"/>
  <c r="H58" i="1"/>
  <c r="H67" i="1"/>
  <c r="H73" i="1"/>
  <c r="H89" i="1"/>
  <c r="H72" i="1"/>
  <c r="H57" i="1"/>
  <c r="AT10" i="1"/>
  <c r="E62" i="1" s="1"/>
  <c r="H59" i="1"/>
  <c r="AT4" i="1"/>
  <c r="E56" i="1" s="1"/>
  <c r="H74" i="1"/>
  <c r="H61" i="1"/>
  <c r="H85" i="1"/>
  <c r="H62" i="1"/>
  <c r="H77" i="1"/>
  <c r="H78" i="1"/>
  <c r="C55" i="1"/>
  <c r="B99" i="1" s="1"/>
  <c r="H95" i="1"/>
  <c r="H94" i="1"/>
  <c r="H88" i="1"/>
  <c r="C57" i="1"/>
  <c r="B101" i="1" s="1"/>
  <c r="H80" i="1"/>
  <c r="H70" i="1"/>
  <c r="AT7" i="1"/>
  <c r="E59" i="1" s="1"/>
  <c r="C56" i="1"/>
  <c r="B100" i="1" s="1"/>
  <c r="H68" i="1"/>
  <c r="H79" i="1"/>
  <c r="H64" i="1"/>
  <c r="H56" i="1"/>
  <c r="H75" i="1"/>
  <c r="AT15" i="1"/>
  <c r="E67" i="1" s="1"/>
  <c r="H93" i="1"/>
  <c r="H87" i="1"/>
  <c r="H90" i="1"/>
  <c r="AT13" i="1"/>
  <c r="E65" i="1" s="1"/>
  <c r="AT19" i="1"/>
  <c r="E71" i="1" s="1"/>
  <c r="AT6" i="1"/>
  <c r="E58" i="1" s="1"/>
  <c r="AT5" i="1"/>
  <c r="E57" i="1" s="1"/>
  <c r="C68" i="1"/>
  <c r="B112" i="1" s="1"/>
  <c r="H92" i="1"/>
  <c r="AT39" i="1"/>
  <c r="E91" i="1" s="1"/>
  <c r="C88" i="1"/>
  <c r="B132" i="1" s="1"/>
  <c r="AT16" i="1"/>
  <c r="E68" i="1" s="1"/>
  <c r="H65" i="1"/>
  <c r="H81" i="1"/>
  <c r="AT32" i="1"/>
  <c r="E84" i="1" s="1"/>
  <c r="AT8" i="1"/>
  <c r="E60" i="1" s="1"/>
  <c r="AT21" i="1"/>
  <c r="E73" i="1" s="1"/>
  <c r="AT24" i="1"/>
  <c r="E76" i="1" s="1"/>
  <c r="C91" i="1"/>
  <c r="B135" i="1" s="1"/>
  <c r="AT35" i="1"/>
  <c r="E87" i="1" s="1"/>
  <c r="AT27" i="1"/>
  <c r="E79" i="1" s="1"/>
  <c r="C73" i="1"/>
  <c r="B117" i="1" s="1"/>
  <c r="C90" i="1"/>
  <c r="B134" i="1" s="1"/>
  <c r="AT30" i="1"/>
  <c r="E82" i="1" s="1"/>
  <c r="AT25" i="1"/>
  <c r="E77" i="1" s="1"/>
  <c r="AT80" i="1"/>
  <c r="C87" i="1"/>
  <c r="B131" i="1" s="1"/>
  <c r="C74" i="1"/>
  <c r="B118" i="1" s="1"/>
  <c r="C80" i="1"/>
  <c r="B124" i="1" s="1"/>
  <c r="C72" i="1"/>
  <c r="B116" i="1" s="1"/>
  <c r="AT38" i="1"/>
  <c r="E90" i="1" s="1"/>
  <c r="AT23" i="1"/>
  <c r="E75" i="1" s="1"/>
  <c r="H91" i="1"/>
  <c r="C60" i="1"/>
  <c r="B104" i="1" s="1"/>
  <c r="H69" i="1"/>
  <c r="C83" i="1"/>
  <c r="B127" i="1" s="1"/>
  <c r="C59" i="1"/>
  <c r="B103" i="1" s="1"/>
  <c r="C81" i="1"/>
  <c r="B125" i="1" s="1"/>
  <c r="C64" i="1"/>
  <c r="B108" i="1" s="1"/>
  <c r="AT97" i="1"/>
  <c r="C89" i="1"/>
  <c r="B133" i="1" s="1"/>
  <c r="AT12" i="1"/>
  <c r="E64" i="1" s="1"/>
  <c r="C92" i="1"/>
  <c r="B136" i="1" s="1"/>
  <c r="AT11" i="1"/>
  <c r="E63" i="1" s="1"/>
  <c r="AT33" i="1"/>
  <c r="E85" i="1" s="1"/>
  <c r="AT9" i="1"/>
  <c r="E61" i="1" s="1"/>
  <c r="AT22" i="1"/>
  <c r="E74" i="1" s="1"/>
  <c r="AT31" i="1"/>
  <c r="E83" i="1" s="1"/>
  <c r="C65" i="1"/>
  <c r="B109" i="1" s="1"/>
  <c r="C77" i="1"/>
  <c r="B121" i="1" s="1"/>
  <c r="C96" i="1"/>
  <c r="B140" i="1" s="1"/>
  <c r="C85" i="1"/>
  <c r="B129" i="1" s="1"/>
  <c r="C70" i="1"/>
  <c r="B114" i="1" s="1"/>
  <c r="AT37" i="1"/>
  <c r="E89" i="1" s="1"/>
  <c r="C82" i="1"/>
  <c r="B126" i="1" s="1"/>
  <c r="AT52" i="1"/>
  <c r="AT14" i="1"/>
  <c r="E66" i="1" s="1"/>
  <c r="C63" i="1"/>
  <c r="B107" i="1" s="1"/>
  <c r="C76" i="1"/>
  <c r="B120" i="1" s="1"/>
  <c r="AT18" i="1"/>
  <c r="E70" i="1" s="1"/>
  <c r="AT36" i="1"/>
  <c r="E88" i="1" s="1"/>
  <c r="C94" i="1"/>
  <c r="B138" i="1" s="1"/>
  <c r="C71" i="1"/>
  <c r="B115" i="1" s="1"/>
  <c r="C79" i="1"/>
  <c r="B123" i="1" s="1"/>
  <c r="C62" i="1"/>
  <c r="B106" i="1" s="1"/>
  <c r="AT49" i="1"/>
  <c r="C66" i="1"/>
  <c r="B110" i="1" s="1"/>
  <c r="AT29" i="1"/>
  <c r="E81" i="1" s="1"/>
  <c r="C61" i="1"/>
  <c r="B105" i="1" s="1"/>
  <c r="C67" i="1"/>
  <c r="B111" i="1" s="1"/>
  <c r="C86" i="1"/>
  <c r="B130" i="1" s="1"/>
  <c r="C69" i="1"/>
  <c r="B113" i="1" s="1"/>
  <c r="C95" i="1"/>
  <c r="B139" i="1" s="1"/>
  <c r="AT95" i="1"/>
  <c r="AT28" i="1"/>
  <c r="E80" i="1" s="1"/>
  <c r="C78" i="1"/>
  <c r="B122" i="1" s="1"/>
  <c r="C84" i="1"/>
  <c r="B128" i="1" s="1"/>
  <c r="AT26" i="1"/>
  <c r="E78" i="1" s="1"/>
  <c r="AT17" i="1"/>
  <c r="E69" i="1" s="1"/>
  <c r="AT20" i="1"/>
  <c r="E72" i="1" s="1"/>
  <c r="AT61" i="1"/>
  <c r="C93" i="1"/>
  <c r="B137" i="1" s="1"/>
  <c r="C58" i="1"/>
  <c r="B102" i="1" s="1"/>
  <c r="C75" i="1"/>
  <c r="B119" i="1" s="1"/>
  <c r="AT94" i="1"/>
  <c r="AT56" i="1"/>
  <c r="AT55" i="1"/>
  <c r="AT62" i="1"/>
  <c r="AT45" i="1"/>
  <c r="AT47" i="1"/>
  <c r="AT76" i="1"/>
  <c r="AT51" i="1"/>
  <c r="AT48" i="1"/>
  <c r="AT91" i="1"/>
  <c r="AT71" i="1"/>
  <c r="AT85" i="1"/>
  <c r="AT54" i="1"/>
  <c r="AT57" i="1"/>
  <c r="AT86" i="1"/>
  <c r="AT84" i="1"/>
  <c r="AT82" i="1"/>
  <c r="AT42" i="1"/>
  <c r="E94" i="1" s="1"/>
  <c r="AT100" i="1"/>
  <c r="AT34" i="1"/>
  <c r="E86" i="1" s="1"/>
  <c r="AT83" i="1"/>
  <c r="AT64" i="1"/>
  <c r="AT67" i="1"/>
  <c r="AT96" i="1"/>
  <c r="AT63" i="1"/>
  <c r="AT58" i="1"/>
  <c r="AT101" i="1"/>
  <c r="AT74" i="1"/>
  <c r="AT77" i="1"/>
  <c r="AT65" i="1"/>
  <c r="AT59" i="1"/>
  <c r="AT66" i="1"/>
  <c r="AT89" i="1"/>
  <c r="AT78" i="1"/>
  <c r="AT88" i="1"/>
  <c r="AT60" i="1"/>
  <c r="AT81" i="1"/>
  <c r="AT72" i="1"/>
  <c r="AT87" i="1"/>
  <c r="AT92" i="1"/>
  <c r="AT69" i="1"/>
  <c r="AT50" i="1"/>
  <c r="AT99" i="1"/>
  <c r="AT98" i="1"/>
  <c r="AT70" i="1"/>
  <c r="AT102" i="1"/>
  <c r="AT44" i="1"/>
  <c r="E96" i="1" s="1"/>
  <c r="AT40" i="1"/>
  <c r="E92" i="1" s="1"/>
  <c r="AT75" i="1"/>
  <c r="AT43" i="1"/>
  <c r="E95" i="1" s="1"/>
  <c r="AT79" i="1"/>
  <c r="AT68" i="1"/>
  <c r="AT41" i="1"/>
  <c r="E93" i="1" s="1"/>
  <c r="AT90" i="1"/>
  <c r="AT53" i="1"/>
  <c r="AT93" i="1"/>
  <c r="AT73" i="1"/>
  <c r="AT46" i="1"/>
  <c r="J56" i="1" l="1"/>
  <c r="K57" i="1"/>
  <c r="J55" i="1"/>
  <c r="K55" i="1"/>
  <c r="J58" i="1"/>
  <c r="J74" i="1"/>
  <c r="J57" i="1"/>
  <c r="J83" i="1"/>
  <c r="J64" i="1"/>
  <c r="J63" i="1"/>
  <c r="J61" i="1"/>
  <c r="J67" i="1"/>
  <c r="J68" i="1"/>
  <c r="J62" i="1"/>
  <c r="J70" i="1"/>
  <c r="J59" i="1"/>
  <c r="J77" i="1"/>
  <c r="J69" i="1"/>
  <c r="J75" i="1"/>
  <c r="J66" i="1"/>
  <c r="J91" i="1"/>
  <c r="J78" i="1"/>
  <c r="J89" i="1"/>
  <c r="J85" i="1"/>
  <c r="J65" i="1"/>
  <c r="J60" i="1"/>
  <c r="J95" i="1"/>
  <c r="J73" i="1"/>
  <c r="J87" i="1"/>
  <c r="J72" i="1"/>
  <c r="J86" i="1"/>
  <c r="J96" i="1"/>
  <c r="J92" i="1"/>
  <c r="J82" i="1"/>
  <c r="J88" i="1"/>
  <c r="J84" i="1"/>
  <c r="J90" i="1"/>
  <c r="J94" i="1"/>
  <c r="J81" i="1"/>
  <c r="J80" i="1"/>
  <c r="J93" i="1"/>
  <c r="J71" i="1"/>
  <c r="J76" i="1"/>
  <c r="J79" i="1"/>
  <c r="K53" i="1" l="1"/>
  <c r="Q29" i="1" l="1"/>
  <c r="Q30" i="1"/>
</calcChain>
</file>

<file path=xl/sharedStrings.xml><?xml version="1.0" encoding="utf-8"?>
<sst xmlns="http://schemas.openxmlformats.org/spreadsheetml/2006/main" count="226" uniqueCount="115">
  <si>
    <t>u</t>
  </si>
  <si>
    <t>v</t>
  </si>
  <si>
    <t>SFC</t>
  </si>
  <si>
    <t>alpha</t>
  </si>
  <si>
    <t>V10</t>
  </si>
  <si>
    <t>U2</t>
  </si>
  <si>
    <t>h</t>
  </si>
  <si>
    <t>hbwd</t>
  </si>
  <si>
    <t>tau</t>
  </si>
  <si>
    <t>SFC(T) degC:</t>
  </si>
  <si>
    <t>Labels:</t>
  </si>
  <si>
    <t>1 km</t>
  </si>
  <si>
    <t>3 km</t>
  </si>
  <si>
    <t>6 km</t>
  </si>
  <si>
    <t>10 km</t>
  </si>
  <si>
    <t>RM</t>
  </si>
  <si>
    <t>SRsfc_u</t>
  </si>
  <si>
    <t>SRsfc_v</t>
  </si>
  <si>
    <t>beta</t>
  </si>
  <si>
    <t>ttor</t>
  </si>
  <si>
    <t>pltor</t>
  </si>
  <si>
    <t>Pressure</t>
  </si>
  <si>
    <t>Altitude</t>
  </si>
  <si>
    <t>Temperature</t>
  </si>
  <si>
    <t>Dew_point</t>
  </si>
  <si>
    <t>Wind_direction</t>
  </si>
  <si>
    <t>Wind_speed</t>
  </si>
  <si>
    <t>Sigma_level</t>
  </si>
  <si>
    <t>radar-t1</t>
  </si>
  <si>
    <t>radar-lat1</t>
  </si>
  <si>
    <t>radar-lon1</t>
  </si>
  <si>
    <t>radar-t2</t>
  </si>
  <si>
    <t>radar-lat2</t>
  </si>
  <si>
    <t>radar-lon2</t>
  </si>
  <si>
    <t>unew_error</t>
  </si>
  <si>
    <t>vnew_error</t>
  </si>
  <si>
    <t>idu_error</t>
  </si>
  <si>
    <t>idv_error</t>
  </si>
  <si>
    <t>cu_error</t>
  </si>
  <si>
    <t>cv_error</t>
  </si>
  <si>
    <t>new_mag</t>
  </si>
  <si>
    <t>id_mag</t>
  </si>
  <si>
    <t>c_mag</t>
  </si>
  <si>
    <t>SRLCL_u</t>
  </si>
  <si>
    <t>SRLCL_v</t>
  </si>
  <si>
    <t>SRH SUM</t>
  </si>
  <si>
    <t>%RAW%</t>
  </si>
  <si>
    <t>phi</t>
  </si>
  <si>
    <t>v-c</t>
  </si>
  <si>
    <t>sw</t>
  </si>
  <si>
    <t>z</t>
  </si>
  <si>
    <t>total_shear</t>
  </si>
  <si>
    <t>srw</t>
  </si>
  <si>
    <t>sw_avg</t>
  </si>
  <si>
    <t>ts_avg</t>
  </si>
  <si>
    <t>SRH</t>
  </si>
  <si>
    <t>srw_avg</t>
  </si>
  <si>
    <t>1-6kmSHR</t>
  </si>
  <si>
    <t>ushr1-6</t>
  </si>
  <si>
    <t>vshr1-6</t>
  </si>
  <si>
    <r>
      <t>m s</t>
    </r>
    <r>
      <rPr>
        <b/>
        <vertAlign val="superscript"/>
        <sz val="12"/>
        <color theme="1"/>
        <rFont val="Aptos Narrow (Body)"/>
      </rPr>
      <t>–1</t>
    </r>
  </si>
  <si>
    <t>MLLCLHT (m):</t>
  </si>
  <si>
    <t>u-interp</t>
  </si>
  <si>
    <t>v-interp</t>
  </si>
  <si>
    <t>Ht (km)</t>
  </si>
  <si>
    <t>Variables</t>
  </si>
  <si>
    <t>u2-pwt</t>
  </si>
  <si>
    <t>v2-pwt</t>
  </si>
  <si>
    <t>h/1000</t>
  </si>
  <si>
    <t>lcl_omega_mag</t>
  </si>
  <si>
    <t>lcl_omega_u</t>
  </si>
  <si>
    <t>lcl_omega_v</t>
  </si>
  <si>
    <t>mllcl/1000</t>
  </si>
  <si>
    <t>avgMLLCL</t>
  </si>
  <si>
    <t>u-rel</t>
  </si>
  <si>
    <t>v-rel</t>
  </si>
  <si>
    <t>r</t>
  </si>
  <si>
    <t>idu</t>
  </si>
  <si>
    <t>idv</t>
  </si>
  <si>
    <t>chu</t>
  </si>
  <si>
    <t>chv</t>
  </si>
  <si>
    <t>chidu</t>
  </si>
  <si>
    <t>chidv</t>
  </si>
  <si>
    <t>chid_mag</t>
  </si>
  <si>
    <t>u-wt</t>
  </si>
  <si>
    <t>v-wt</t>
  </si>
  <si>
    <t>ln(p)</t>
  </si>
  <si>
    <t>mllcl+dz</t>
  </si>
  <si>
    <t>ulclshear</t>
  </si>
  <si>
    <t>vlclshear</t>
  </si>
  <si>
    <t>ulcl+dz_shear</t>
  </si>
  <si>
    <t>vlcl+dz_shear</t>
  </si>
  <si>
    <t>du/dz</t>
  </si>
  <si>
    <t>dv/dz</t>
  </si>
  <si>
    <t>chid_u</t>
  </si>
  <si>
    <t>chid_v</t>
  </si>
  <si>
    <t>ch_u</t>
  </si>
  <si>
    <t>ch_v</t>
  </si>
  <si>
    <t>ch_mag</t>
  </si>
  <si>
    <t>%END%</t>
  </si>
  <si>
    <t>e</t>
  </si>
  <si>
    <t>rv</t>
  </si>
  <si>
    <t>Tv</t>
  </si>
  <si>
    <t>zMLLCL</t>
  </si>
  <si>
    <t>meanT1.5km</t>
  </si>
  <si>
    <t>meanT1km</t>
  </si>
  <si>
    <t>meanT0.5km</t>
  </si>
  <si>
    <t>meanT0.25km</t>
  </si>
  <si>
    <t>avgT</t>
  </si>
  <si>
    <t>meanTd1.5km</t>
  </si>
  <si>
    <t>meanTd1km</t>
  </si>
  <si>
    <t>meanTd0.5km</t>
  </si>
  <si>
    <t>meanTd0.25km</t>
  </si>
  <si>
    <t>avgTd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</si>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</sst>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Arial Unicode MS"/>
      <family val="2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0"/>
      <name val="Arial Unicode MS"/>
      <family val="2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vertAlign val="superscript"/>
      <sz val="12"/>
      <color theme="1"/>
      <name val="Aptos Narrow (Body)"/>
    </font>
    <font>
      <sz val="12"/>
      <color rgb="FF000000"/>
      <name val="Aptos Narrow"/>
      <scheme val="minor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u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5" borderId="2" xfId="0" applyFill="1" applyBorder="1"/>
    <xf numFmtId="166" fontId="0" fillId="5" borderId="4" xfId="0" applyNumberFormat="1" applyFill="1" applyBorder="1"/>
    <xf numFmtId="166" fontId="0" fillId="5" borderId="8" xfId="0" applyNumberFormat="1" applyFill="1" applyBorder="1"/>
    <xf numFmtId="1" fontId="0" fillId="0" borderId="0" xfId="0" applyNumberFormat="1"/>
    <xf numFmtId="0" fontId="0" fillId="0" borderId="17" xfId="0" applyBorder="1"/>
    <xf numFmtId="0" fontId="5" fillId="0" borderId="0" xfId="0" applyFont="1"/>
    <xf numFmtId="0" fontId="6" fillId="0" borderId="0" xfId="0" applyFont="1"/>
    <xf numFmtId="2" fontId="0" fillId="6" borderId="0" xfId="0" applyNumberFormat="1" applyFill="1"/>
    <xf numFmtId="0" fontId="7" fillId="0" borderId="0" xfId="0" applyFont="1"/>
    <xf numFmtId="0" fontId="0" fillId="6" borderId="0" xfId="0" applyFill="1"/>
    <xf numFmtId="0" fontId="0" fillId="3" borderId="31" xfId="0" applyFill="1" applyBorder="1"/>
    <xf numFmtId="0" fontId="0" fillId="3" borderId="32" xfId="0" applyFill="1" applyBorder="1"/>
    <xf numFmtId="0" fontId="0" fillId="3" borderId="16" xfId="0" applyFill="1" applyBorder="1"/>
    <xf numFmtId="2" fontId="0" fillId="3" borderId="0" xfId="0" applyNumberFormat="1" applyFill="1"/>
    <xf numFmtId="166" fontId="0" fillId="3" borderId="0" xfId="0" applyNumberFormat="1" applyFill="1"/>
    <xf numFmtId="166" fontId="0" fillId="3" borderId="17" xfId="0" applyNumberFormat="1" applyFill="1" applyBorder="1"/>
    <xf numFmtId="0" fontId="0" fillId="3" borderId="17" xfId="0" applyFill="1" applyBorder="1"/>
    <xf numFmtId="0" fontId="4" fillId="0" borderId="0" xfId="0" applyFont="1"/>
    <xf numFmtId="0" fontId="0" fillId="3" borderId="2" xfId="0" applyFill="1" applyBorder="1"/>
    <xf numFmtId="0" fontId="0" fillId="3" borderId="19" xfId="0" applyFill="1" applyBorder="1"/>
    <xf numFmtId="0" fontId="11" fillId="0" borderId="0" xfId="0" applyFont="1"/>
    <xf numFmtId="0" fontId="0" fillId="5" borderId="3" xfId="0" applyFill="1" applyBorder="1"/>
    <xf numFmtId="165" fontId="0" fillId="0" borderId="0" xfId="0" applyNumberFormat="1"/>
    <xf numFmtId="166" fontId="0" fillId="5" borderId="3" xfId="0" applyNumberFormat="1" applyFill="1" applyBorder="1"/>
    <xf numFmtId="166" fontId="0" fillId="5" borderId="7" xfId="0" applyNumberFormat="1" applyFill="1" applyBorder="1"/>
    <xf numFmtId="1" fontId="0" fillId="5" borderId="7" xfId="0" applyNumberFormat="1" applyFill="1" applyBorder="1"/>
    <xf numFmtId="1" fontId="0" fillId="3" borderId="20" xfId="0" applyNumberFormat="1" applyFill="1" applyBorder="1"/>
    <xf numFmtId="166" fontId="0" fillId="5" borderId="6" xfId="0" applyNumberFormat="1" applyFill="1" applyBorder="1"/>
    <xf numFmtId="164" fontId="0" fillId="5" borderId="7" xfId="0" applyNumberFormat="1" applyFill="1" applyBorder="1"/>
    <xf numFmtId="1" fontId="0" fillId="3" borderId="6" xfId="0" applyNumberFormat="1" applyFill="1" applyBorder="1"/>
    <xf numFmtId="2" fontId="0" fillId="0" borderId="35" xfId="0" applyNumberFormat="1" applyBorder="1"/>
    <xf numFmtId="2" fontId="0" fillId="0" borderId="36" xfId="0" applyNumberFormat="1" applyBorder="1"/>
    <xf numFmtId="164" fontId="14" fillId="6" borderId="0" xfId="0" applyNumberFormat="1" applyFont="1" applyFill="1"/>
    <xf numFmtId="1" fontId="0" fillId="5" borderId="20" xfId="0" applyNumberFormat="1" applyFill="1" applyBorder="1"/>
    <xf numFmtId="0" fontId="8" fillId="6" borderId="29" xfId="0" applyFont="1" applyFill="1" applyBorder="1"/>
    <xf numFmtId="0" fontId="8" fillId="6" borderId="3" xfId="0" applyFont="1" applyFill="1" applyBorder="1"/>
    <xf numFmtId="0" fontId="9" fillId="6" borderId="30" xfId="0" applyFont="1" applyFill="1" applyBorder="1"/>
    <xf numFmtId="166" fontId="9" fillId="6" borderId="30" xfId="0" applyNumberFormat="1" applyFont="1" applyFill="1" applyBorder="1"/>
    <xf numFmtId="165" fontId="9" fillId="6" borderId="30" xfId="0" applyNumberFormat="1" applyFont="1" applyFill="1" applyBorder="1"/>
    <xf numFmtId="0" fontId="10" fillId="6" borderId="2" xfId="0" applyFont="1" applyFill="1" applyBorder="1"/>
    <xf numFmtId="164" fontId="10" fillId="6" borderId="3" xfId="0" applyNumberFormat="1" applyFont="1" applyFill="1" applyBorder="1"/>
    <xf numFmtId="164" fontId="10" fillId="6" borderId="4" xfId="0" applyNumberFormat="1" applyFont="1" applyFill="1" applyBorder="1"/>
    <xf numFmtId="0" fontId="10" fillId="6" borderId="6" xfId="0" applyFont="1" applyFill="1" applyBorder="1"/>
    <xf numFmtId="164" fontId="10" fillId="6" borderId="7" xfId="0" applyNumberFormat="1" applyFont="1" applyFill="1" applyBorder="1"/>
    <xf numFmtId="164" fontId="10" fillId="6" borderId="8" xfId="0" applyNumberFormat="1" applyFont="1" applyFill="1" applyBorder="1"/>
    <xf numFmtId="0" fontId="10" fillId="6" borderId="12" xfId="0" applyFont="1" applyFill="1" applyBorder="1"/>
    <xf numFmtId="164" fontId="10" fillId="6" borderId="10" xfId="0" applyNumberFormat="1" applyFont="1" applyFill="1" applyBorder="1"/>
    <xf numFmtId="164" fontId="10" fillId="6" borderId="11" xfId="0" applyNumberFormat="1" applyFont="1" applyFill="1" applyBorder="1"/>
    <xf numFmtId="1" fontId="8" fillId="6" borderId="0" xfId="0" applyNumberFormat="1" applyFont="1" applyFill="1"/>
    <xf numFmtId="164" fontId="8" fillId="6" borderId="0" xfId="0" applyNumberFormat="1" applyFont="1" applyFill="1"/>
    <xf numFmtId="0" fontId="1" fillId="6" borderId="0" xfId="0" applyFont="1" applyFill="1"/>
    <xf numFmtId="2" fontId="8" fillId="6" borderId="0" xfId="0" applyNumberFormat="1" applyFont="1" applyFill="1"/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/>
    <xf numFmtId="1" fontId="0" fillId="6" borderId="0" xfId="0" applyNumberFormat="1" applyFill="1"/>
    <xf numFmtId="164" fontId="0" fillId="6" borderId="0" xfId="0" applyNumberFormat="1" applyFill="1"/>
    <xf numFmtId="164" fontId="13" fillId="6" borderId="0" xfId="0" applyNumberFormat="1" applyFont="1" applyFill="1"/>
    <xf numFmtId="166" fontId="0" fillId="6" borderId="0" xfId="0" applyNumberFormat="1" applyFill="1"/>
    <xf numFmtId="2" fontId="0" fillId="0" borderId="17" xfId="0" applyNumberFormat="1" applyBorder="1"/>
    <xf numFmtId="2" fontId="0" fillId="0" borderId="15" xfId="0" applyNumberFormat="1" applyBorder="1"/>
    <xf numFmtId="2" fontId="0" fillId="0" borderId="32" xfId="0" applyNumberFormat="1" applyBorder="1"/>
    <xf numFmtId="0" fontId="2" fillId="0" borderId="0" xfId="0" applyFont="1"/>
    <xf numFmtId="2" fontId="0" fillId="0" borderId="31" xfId="0" applyNumberFormat="1" applyBorder="1"/>
    <xf numFmtId="2" fontId="12" fillId="0" borderId="0" xfId="0" applyNumberFormat="1" applyFont="1"/>
    <xf numFmtId="2" fontId="12" fillId="6" borderId="0" xfId="0" applyNumberFormat="1" applyFont="1" applyFill="1"/>
    <xf numFmtId="2" fontId="1" fillId="6" borderId="0" xfId="0" applyNumberFormat="1" applyFont="1" applyFill="1" applyAlignment="1">
      <alignment horizontal="left"/>
    </xf>
    <xf numFmtId="0" fontId="12" fillId="3" borderId="13" xfId="0" applyFont="1" applyFill="1" applyBorder="1"/>
    <xf numFmtId="0" fontId="12" fillId="3" borderId="18" xfId="0" applyFont="1" applyFill="1" applyBorder="1"/>
    <xf numFmtId="2" fontId="12" fillId="3" borderId="3" xfId="0" applyNumberFormat="1" applyFont="1" applyFill="1" applyBorder="1"/>
    <xf numFmtId="2" fontId="12" fillId="3" borderId="4" xfId="0" applyNumberFormat="1" applyFont="1" applyFill="1" applyBorder="1"/>
    <xf numFmtId="0" fontId="12" fillId="0" borderId="0" xfId="0" applyFont="1"/>
    <xf numFmtId="2" fontId="12" fillId="3" borderId="1" xfId="0" applyNumberFormat="1" applyFont="1" applyFill="1" applyBorder="1"/>
    <xf numFmtId="2" fontId="12" fillId="3" borderId="18" xfId="0" applyNumberFormat="1" applyFont="1" applyFill="1" applyBorder="1"/>
    <xf numFmtId="2" fontId="12" fillId="3" borderId="19" xfId="0" applyNumberFormat="1" applyFont="1" applyFill="1" applyBorder="1"/>
    <xf numFmtId="0" fontId="12" fillId="0" borderId="7" xfId="0" applyFont="1" applyBorder="1"/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164" fontId="1" fillId="3" borderId="14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left"/>
    </xf>
    <xf numFmtId="2" fontId="12" fillId="3" borderId="8" xfId="0" applyNumberFormat="1" applyFont="1" applyFill="1" applyBorder="1"/>
    <xf numFmtId="2" fontId="1" fillId="3" borderId="6" xfId="0" applyNumberFormat="1" applyFont="1" applyFill="1" applyBorder="1" applyAlignment="1">
      <alignment horizontal="left"/>
    </xf>
    <xf numFmtId="2" fontId="1" fillId="3" borderId="12" xfId="0" applyNumberFormat="1" applyFont="1" applyFill="1" applyBorder="1" applyAlignment="1">
      <alignment horizontal="left"/>
    </xf>
    <xf numFmtId="2" fontId="12" fillId="3" borderId="11" xfId="0" applyNumberFormat="1" applyFont="1" applyFill="1" applyBorder="1"/>
    <xf numFmtId="0" fontId="15" fillId="2" borderId="31" xfId="0" applyFont="1" applyFill="1" applyBorder="1"/>
    <xf numFmtId="2" fontId="18" fillId="0" borderId="31" xfId="0" applyNumberFormat="1" applyFont="1" applyBorder="1"/>
    <xf numFmtId="2" fontId="0" fillId="0" borderId="33" xfId="0" applyNumberFormat="1" applyBorder="1"/>
    <xf numFmtId="2" fontId="18" fillId="0" borderId="9" xfId="0" applyNumberFormat="1" applyFont="1" applyBorder="1"/>
    <xf numFmtId="2" fontId="0" fillId="0" borderId="9" xfId="0" applyNumberFormat="1" applyBorder="1"/>
    <xf numFmtId="166" fontId="12" fillId="3" borderId="8" xfId="0" applyNumberFormat="1" applyFont="1" applyFill="1" applyBorder="1"/>
    <xf numFmtId="2" fontId="0" fillId="0" borderId="23" xfId="0" applyNumberFormat="1" applyBorder="1"/>
    <xf numFmtId="2" fontId="18" fillId="0" borderId="32" xfId="0" applyNumberFormat="1" applyFont="1" applyBorder="1"/>
    <xf numFmtId="2" fontId="18" fillId="0" borderId="22" xfId="0" applyNumberFormat="1" applyFont="1" applyBorder="1"/>
    <xf numFmtId="2" fontId="0" fillId="0" borderId="22" xfId="0" applyNumberFormat="1" applyBorder="1"/>
    <xf numFmtId="164" fontId="1" fillId="3" borderId="12" xfId="0" applyNumberFormat="1" applyFont="1" applyFill="1" applyBorder="1" applyAlignment="1">
      <alignment horizontal="left"/>
    </xf>
    <xf numFmtId="2" fontId="0" fillId="0" borderId="16" xfId="0" applyNumberFormat="1" applyBorder="1"/>
    <xf numFmtId="0" fontId="0" fillId="5" borderId="19" xfId="0" applyFill="1" applyBorder="1"/>
    <xf numFmtId="1" fontId="0" fillId="5" borderId="6" xfId="0" applyNumberFormat="1" applyFill="1" applyBorder="1"/>
    <xf numFmtId="1" fontId="0" fillId="5" borderId="12" xfId="0" applyNumberFormat="1" applyFill="1" applyBorder="1"/>
    <xf numFmtId="1" fontId="0" fillId="3" borderId="12" xfId="0" applyNumberFormat="1" applyFill="1" applyBorder="1"/>
    <xf numFmtId="1" fontId="0" fillId="5" borderId="10" xfId="0" applyNumberFormat="1" applyFill="1" applyBorder="1"/>
    <xf numFmtId="164" fontId="0" fillId="5" borderId="10" xfId="0" applyNumberFormat="1" applyFill="1" applyBorder="1"/>
    <xf numFmtId="166" fontId="0" fillId="5" borderId="11" xfId="0" applyNumberFormat="1" applyFill="1" applyBorder="1"/>
    <xf numFmtId="1" fontId="0" fillId="5" borderId="37" xfId="0" applyNumberFormat="1" applyFill="1" applyBorder="1"/>
    <xf numFmtId="166" fontId="0" fillId="5" borderId="12" xfId="0" applyNumberFormat="1" applyFill="1" applyBorder="1"/>
    <xf numFmtId="2" fontId="20" fillId="2" borderId="32" xfId="0" applyNumberFormat="1" applyFont="1" applyFill="1" applyBorder="1"/>
    <xf numFmtId="2" fontId="12" fillId="3" borderId="38" xfId="0" applyNumberFormat="1" applyFont="1" applyFill="1" applyBorder="1"/>
    <xf numFmtId="2" fontId="12" fillId="3" borderId="20" xfId="0" applyNumberFormat="1" applyFont="1" applyFill="1" applyBorder="1"/>
    <xf numFmtId="1" fontId="12" fillId="3" borderId="20" xfId="0" applyNumberFormat="1" applyFont="1" applyFill="1" applyBorder="1"/>
    <xf numFmtId="166" fontId="12" fillId="3" borderId="20" xfId="0" applyNumberFormat="1" applyFont="1" applyFill="1" applyBorder="1"/>
    <xf numFmtId="164" fontId="12" fillId="3" borderId="20" xfId="0" applyNumberFormat="1" applyFont="1" applyFill="1" applyBorder="1"/>
    <xf numFmtId="164" fontId="12" fillId="3" borderId="37" xfId="0" applyNumberFormat="1" applyFont="1" applyFill="1" applyBorder="1"/>
    <xf numFmtId="0" fontId="12" fillId="0" borderId="39" xfId="0" applyFont="1" applyBorder="1"/>
    <xf numFmtId="2" fontId="17" fillId="4" borderId="5" xfId="0" applyNumberFormat="1" applyFont="1" applyFill="1" applyBorder="1"/>
    <xf numFmtId="2" fontId="17" fillId="4" borderId="1" xfId="0" applyNumberFormat="1" applyFont="1" applyFill="1" applyBorder="1"/>
    <xf numFmtId="2" fontId="12" fillId="3" borderId="13" xfId="0" applyNumberFormat="1" applyFont="1" applyFill="1" applyBorder="1"/>
    <xf numFmtId="2" fontId="19" fillId="0" borderId="31" xfId="0" applyNumberFormat="1" applyFont="1" applyBorder="1"/>
    <xf numFmtId="2" fontId="18" fillId="0" borderId="32" xfId="0" applyNumberFormat="1" applyFont="1" applyBorder="1" applyAlignment="1">
      <alignment horizontal="center"/>
    </xf>
    <xf numFmtId="2" fontId="18" fillId="0" borderId="32" xfId="0" quotePrefix="1" applyNumberFormat="1" applyFont="1" applyBorder="1" applyAlignment="1">
      <alignment horizontal="left"/>
    </xf>
    <xf numFmtId="2" fontId="18" fillId="0" borderId="32" xfId="0" applyNumberFormat="1" applyFont="1" applyBorder="1" applyAlignment="1">
      <alignment horizontal="right"/>
    </xf>
    <xf numFmtId="0" fontId="0" fillId="0" borderId="33" xfId="0" applyBorder="1"/>
    <xf numFmtId="2" fontId="18" fillId="0" borderId="16" xfId="0" applyNumberFormat="1" applyFont="1" applyBorder="1"/>
    <xf numFmtId="0" fontId="0" fillId="0" borderId="15" xfId="0" applyBorder="1"/>
    <xf numFmtId="1" fontId="0" fillId="5" borderId="34" xfId="0" applyNumberFormat="1" applyFill="1" applyBorder="1"/>
    <xf numFmtId="166" fontId="0" fillId="5" borderId="27" xfId="0" applyNumberFormat="1" applyFill="1" applyBorder="1"/>
    <xf numFmtId="166" fontId="0" fillId="5" borderId="28" xfId="0" applyNumberFormat="1" applyFill="1" applyBorder="1"/>
    <xf numFmtId="166" fontId="0" fillId="5" borderId="5" xfId="0" applyNumberFormat="1" applyFill="1" applyBorder="1"/>
    <xf numFmtId="166" fontId="0" fillId="5" borderId="26" xfId="0" applyNumberFormat="1" applyFill="1" applyBorder="1"/>
    <xf numFmtId="166" fontId="0" fillId="5" borderId="29" xfId="0" applyNumberFormat="1" applyFill="1" applyBorder="1"/>
    <xf numFmtId="166" fontId="0" fillId="5" borderId="24" xfId="0" applyNumberFormat="1" applyFill="1" applyBorder="1"/>
    <xf numFmtId="1" fontId="0" fillId="0" borderId="21" xfId="0" applyNumberFormat="1" applyBorder="1"/>
    <xf numFmtId="1" fontId="0" fillId="5" borderId="2" xfId="0" applyNumberFormat="1" applyFill="1" applyBorder="1"/>
    <xf numFmtId="1" fontId="0" fillId="5" borderId="4" xfId="0" applyNumberForma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65" fontId="12" fillId="3" borderId="20" xfId="0" applyNumberFormat="1" applyFont="1" applyFill="1" applyBorder="1"/>
    <xf numFmtId="2" fontId="12" fillId="6" borderId="20" xfId="0" applyNumberFormat="1" applyFont="1" applyFill="1" applyBorder="1"/>
    <xf numFmtId="2" fontId="1" fillId="6" borderId="6" xfId="0" applyNumberFormat="1" applyFont="1" applyFill="1" applyBorder="1" applyAlignment="1">
      <alignment horizontal="left"/>
    </xf>
    <xf numFmtId="2" fontId="1" fillId="6" borderId="12" xfId="0" applyNumberFormat="1" applyFont="1" applyFill="1" applyBorder="1" applyAlignment="1">
      <alignment horizontal="left"/>
    </xf>
    <xf numFmtId="2" fontId="12" fillId="6" borderId="37" xfId="0" applyNumberFormat="1" applyFont="1" applyFill="1" applyBorder="1"/>
    <xf numFmtId="164" fontId="1" fillId="3" borderId="2" xfId="0" applyNumberFormat="1" applyFont="1" applyFill="1" applyBorder="1" applyAlignment="1">
      <alignment horizontal="left"/>
    </xf>
    <xf numFmtId="166" fontId="12" fillId="3" borderId="4" xfId="0" applyNumberFormat="1" applyFont="1" applyFill="1" applyBorder="1"/>
    <xf numFmtId="166" fontId="12" fillId="3" borderId="11" xfId="0" applyNumberFormat="1" applyFont="1" applyFill="1" applyBorder="1"/>
    <xf numFmtId="0" fontId="3" fillId="6" borderId="35" xfId="0" applyFont="1" applyFill="1" applyBorder="1"/>
    <xf numFmtId="1" fontId="3" fillId="6" borderId="32" xfId="0" applyNumberFormat="1" applyFont="1" applyFill="1" applyBorder="1"/>
    <xf numFmtId="2" fontId="18" fillId="0" borderId="23" xfId="0" applyNumberFormat="1" applyFont="1" applyBorder="1"/>
    <xf numFmtId="166" fontId="0" fillId="5" borderId="19" xfId="0" applyNumberFormat="1" applyFill="1" applyBorder="1"/>
    <xf numFmtId="166" fontId="0" fillId="5" borderId="20" xfId="0" applyNumberFormat="1" applyFill="1" applyBorder="1"/>
    <xf numFmtId="2" fontId="17" fillId="4" borderId="40" xfId="0" applyNumberFormat="1" applyFont="1" applyFill="1" applyBorder="1"/>
    <xf numFmtId="2" fontId="1" fillId="3" borderId="7" xfId="0" applyNumberFormat="1" applyFont="1" applyFill="1" applyBorder="1" applyAlignment="1">
      <alignment horizontal="left"/>
    </xf>
    <xf numFmtId="2" fontId="12" fillId="3" borderId="7" xfId="0" applyNumberFormat="1" applyFont="1" applyFill="1" applyBorder="1"/>
    <xf numFmtId="1" fontId="1" fillId="3" borderId="7" xfId="0" applyNumberFormat="1" applyFont="1" applyFill="1" applyBorder="1" applyAlignment="1">
      <alignment horizontal="left"/>
    </xf>
    <xf numFmtId="1" fontId="12" fillId="3" borderId="7" xfId="0" applyNumberFormat="1" applyFont="1" applyFill="1" applyBorder="1"/>
    <xf numFmtId="2" fontId="1" fillId="3" borderId="2" xfId="0" applyNumberFormat="1" applyFont="1" applyFill="1" applyBorder="1" applyAlignment="1">
      <alignment horizontal="left"/>
    </xf>
    <xf numFmtId="1" fontId="12" fillId="3" borderId="8" xfId="0" applyNumberFormat="1" applyFont="1" applyFill="1" applyBorder="1"/>
    <xf numFmtId="2" fontId="0" fillId="3" borderId="8" xfId="0" applyNumberFormat="1" applyFill="1" applyBorder="1"/>
    <xf numFmtId="2" fontId="0" fillId="3" borderId="11" xfId="0" applyNumberFormat="1" applyFill="1" applyBorder="1"/>
    <xf numFmtId="1" fontId="3" fillId="6" borderId="31" xfId="0" applyNumberFormat="1" applyFont="1" applyFill="1" applyBorder="1"/>
    <xf numFmtId="165" fontId="12" fillId="3" borderId="38" xfId="0" applyNumberFormat="1" applyFont="1" applyFill="1" applyBorder="1"/>
    <xf numFmtId="2" fontId="1" fillId="3" borderId="14" xfId="0" applyNumberFormat="1" applyFont="1" applyFill="1" applyBorder="1" applyAlignment="1">
      <alignment horizontal="left"/>
    </xf>
    <xf numFmtId="166" fontId="0" fillId="6" borderId="2" xfId="0" applyNumberFormat="1" applyFill="1" applyBorder="1"/>
    <xf numFmtId="2" fontId="0" fillId="6" borderId="4" xfId="0" applyNumberFormat="1" applyFill="1" applyBorder="1"/>
    <xf numFmtId="166" fontId="0" fillId="6" borderId="12" xfId="0" applyNumberFormat="1" applyFill="1" applyBorder="1"/>
    <xf numFmtId="9" fontId="0" fillId="6" borderId="11" xfId="0" applyNumberFormat="1" applyFill="1" applyBorder="1"/>
    <xf numFmtId="0" fontId="0" fillId="6" borderId="17" xfId="0" applyFill="1" applyBorder="1"/>
    <xf numFmtId="0" fontId="0" fillId="6" borderId="22" xfId="0" applyFill="1" applyBorder="1"/>
    <xf numFmtId="0" fontId="0" fillId="6" borderId="15" xfId="0" applyFill="1" applyBorder="1"/>
    <xf numFmtId="1" fontId="0" fillId="6" borderId="32" xfId="0" applyNumberFormat="1" applyFill="1" applyBorder="1"/>
    <xf numFmtId="0" fontId="0" fillId="6" borderId="33" xfId="0" applyFill="1" applyBorder="1"/>
    <xf numFmtId="2" fontId="0" fillId="6" borderId="32" xfId="0" applyNumberFormat="1" applyFill="1" applyBorder="1"/>
    <xf numFmtId="2" fontId="0" fillId="6" borderId="33" xfId="0" applyNumberFormat="1" applyFill="1" applyBorder="1"/>
    <xf numFmtId="2" fontId="0" fillId="6" borderId="22" xfId="0" applyNumberFormat="1" applyFill="1" applyBorder="1"/>
    <xf numFmtId="2" fontId="0" fillId="6" borderId="15" xfId="0" applyNumberFormat="1" applyFill="1" applyBorder="1"/>
    <xf numFmtId="166" fontId="0" fillId="6" borderId="25" xfId="0" applyNumberFormat="1" applyFill="1" applyBorder="1"/>
    <xf numFmtId="2" fontId="0" fillId="6" borderId="41" xfId="0" applyNumberFormat="1" applyFill="1" applyBorder="1"/>
    <xf numFmtId="166" fontId="0" fillId="6" borderId="27" xfId="0" applyNumberFormat="1" applyFill="1" applyBorder="1"/>
    <xf numFmtId="9" fontId="0" fillId="6" borderId="42" xfId="0" applyNumberFormat="1" applyFill="1" applyBorder="1"/>
    <xf numFmtId="164" fontId="0" fillId="6" borderId="27" xfId="0" applyNumberFormat="1" applyFill="1" applyBorder="1"/>
    <xf numFmtId="1" fontId="0" fillId="6" borderId="2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'ERA5'!$AF$2:$AF$102</c:f>
              <c:numCache>
                <c:formatCode>0.00</c:formatCode>
                <c:ptCount val="101"/>
                <c:pt idx="0">
                  <c:v>-1.9266616041491285</c:v>
                </c:pt>
                <c:pt idx="1">
                  <c:v>-2.4934446445443958</c:v>
                </c:pt>
                <c:pt idx="2">
                  <c:v>-2.6319867903399747</c:v>
                </c:pt>
                <c:pt idx="3">
                  <c:v>-2.7906855478080601</c:v>
                </c:pt>
                <c:pt idx="4">
                  <c:v>-2.7796738737568134</c:v>
                </c:pt>
                <c:pt idx="5">
                  <c:v>-2.746974334567668</c:v>
                </c:pt>
                <c:pt idx="6">
                  <c:v>-2.6832876432788302</c:v>
                </c:pt>
                <c:pt idx="7">
                  <c:v>-2.6397634449635894</c:v>
                </c:pt>
                <c:pt idx="8">
                  <c:v>-2.6231885613403545</c:v>
                </c:pt>
                <c:pt idx="9">
                  <c:v>-2.5470722594836301</c:v>
                </c:pt>
                <c:pt idx="10">
                  <c:v>-2.4005186110292067</c:v>
                </c:pt>
                <c:pt idx="11">
                  <c:v>-2.1155064658182656</c:v>
                </c:pt>
                <c:pt idx="12">
                  <c:v>-1.7919531675845473</c:v>
                </c:pt>
                <c:pt idx="13">
                  <c:v>-1.1603268474683788</c:v>
                </c:pt>
                <c:pt idx="14">
                  <c:v>-0.41809269479297867</c:v>
                </c:pt>
                <c:pt idx="15">
                  <c:v>-0.41809269479297867</c:v>
                </c:pt>
                <c:pt idx="16">
                  <c:v>0.65952457912731877</c:v>
                </c:pt>
                <c:pt idx="17">
                  <c:v>2.1191048585163892</c:v>
                </c:pt>
                <c:pt idx="18">
                  <c:v>2.1191048585163892</c:v>
                </c:pt>
                <c:pt idx="19">
                  <c:v>3.7553882425871166</c:v>
                </c:pt>
                <c:pt idx="20">
                  <c:v>5.7061655059297172</c:v>
                </c:pt>
                <c:pt idx="21">
                  <c:v>5.7061655059297172</c:v>
                </c:pt>
                <c:pt idx="22">
                  <c:v>7.5998845296005522</c:v>
                </c:pt>
                <c:pt idx="23">
                  <c:v>7.5998845296005522</c:v>
                </c:pt>
                <c:pt idx="24">
                  <c:v>9.3062386294660797</c:v>
                </c:pt>
                <c:pt idx="25">
                  <c:v>10.651222650809116</c:v>
                </c:pt>
                <c:pt idx="26">
                  <c:v>10.651222650809116</c:v>
                </c:pt>
                <c:pt idx="27">
                  <c:v>11.733596540723564</c:v>
                </c:pt>
                <c:pt idx="28">
                  <c:v>11.733596540723564</c:v>
                </c:pt>
                <c:pt idx="29">
                  <c:v>12.33985600049725</c:v>
                </c:pt>
                <c:pt idx="30">
                  <c:v>12.33985600049725</c:v>
                </c:pt>
                <c:pt idx="31">
                  <c:v>12.33985600049725</c:v>
                </c:pt>
                <c:pt idx="32">
                  <c:v>12.910971404501488</c:v>
                </c:pt>
                <c:pt idx="33">
                  <c:v>12.910971404501488</c:v>
                </c:pt>
                <c:pt idx="34">
                  <c:v>13.38209335286585</c:v>
                </c:pt>
                <c:pt idx="35">
                  <c:v>13.38209335286585</c:v>
                </c:pt>
                <c:pt idx="36">
                  <c:v>13.534606447898218</c:v>
                </c:pt>
                <c:pt idx="37">
                  <c:v>13.534606447898218</c:v>
                </c:pt>
                <c:pt idx="38">
                  <c:v>13.443131528378368</c:v>
                </c:pt>
                <c:pt idx="39">
                  <c:v>13.443131528378368</c:v>
                </c:pt>
                <c:pt idx="40">
                  <c:v>13.443131528378368</c:v>
                </c:pt>
                <c:pt idx="41">
                  <c:v>12.723475773917754</c:v>
                </c:pt>
                <c:pt idx="42">
                  <c:v>12.723475773917754</c:v>
                </c:pt>
                <c:pt idx="43">
                  <c:v>12.58416911057655</c:v>
                </c:pt>
                <c:pt idx="44">
                  <c:v>12.58416911057655</c:v>
                </c:pt>
                <c:pt idx="45">
                  <c:v>12.58416911057655</c:v>
                </c:pt>
                <c:pt idx="46">
                  <c:v>12.660931293293126</c:v>
                </c:pt>
                <c:pt idx="47">
                  <c:v>12.660931293293126</c:v>
                </c:pt>
                <c:pt idx="48">
                  <c:v>12.660931293293126</c:v>
                </c:pt>
                <c:pt idx="49">
                  <c:v>12.647005227645291</c:v>
                </c:pt>
                <c:pt idx="50">
                  <c:v>12.647005227645291</c:v>
                </c:pt>
                <c:pt idx="51">
                  <c:v>12.603899503380283</c:v>
                </c:pt>
                <c:pt idx="52">
                  <c:v>12.603899503380283</c:v>
                </c:pt>
                <c:pt idx="53">
                  <c:v>12.603899503380283</c:v>
                </c:pt>
                <c:pt idx="54">
                  <c:v>12.5258440631703</c:v>
                </c:pt>
                <c:pt idx="55">
                  <c:v>12.5258440631703</c:v>
                </c:pt>
                <c:pt idx="56">
                  <c:v>12.5258440631703</c:v>
                </c:pt>
                <c:pt idx="57">
                  <c:v>12.264755917353932</c:v>
                </c:pt>
                <c:pt idx="58">
                  <c:v>12.264755917353932</c:v>
                </c:pt>
                <c:pt idx="59">
                  <c:v>12.27475909698353</c:v>
                </c:pt>
                <c:pt idx="60">
                  <c:v>12.27475909698353</c:v>
                </c:pt>
                <c:pt idx="61">
                  <c:v>12.27475909698353</c:v>
                </c:pt>
                <c:pt idx="62">
                  <c:v>11.953698543513623</c:v>
                </c:pt>
                <c:pt idx="63">
                  <c:v>11.953698543513623</c:v>
                </c:pt>
                <c:pt idx="64">
                  <c:v>11.685031168146715</c:v>
                </c:pt>
                <c:pt idx="65">
                  <c:v>11.685031168146715</c:v>
                </c:pt>
                <c:pt idx="66">
                  <c:v>11.685031168146715</c:v>
                </c:pt>
                <c:pt idx="67">
                  <c:v>11.290357004642857</c:v>
                </c:pt>
                <c:pt idx="68">
                  <c:v>11.290357004642857</c:v>
                </c:pt>
                <c:pt idx="69">
                  <c:v>11.290357004642857</c:v>
                </c:pt>
                <c:pt idx="70">
                  <c:v>11.054336826672865</c:v>
                </c:pt>
                <c:pt idx="71">
                  <c:v>11.054336826672865</c:v>
                </c:pt>
                <c:pt idx="72">
                  <c:v>10.897124726115628</c:v>
                </c:pt>
                <c:pt idx="73">
                  <c:v>10.897124726115628</c:v>
                </c:pt>
                <c:pt idx="74">
                  <c:v>10.897124726115628</c:v>
                </c:pt>
                <c:pt idx="75">
                  <c:v>10.779956224896015</c:v>
                </c:pt>
                <c:pt idx="76">
                  <c:v>10.779956224896015</c:v>
                </c:pt>
                <c:pt idx="77">
                  <c:v>10.779956224896015</c:v>
                </c:pt>
                <c:pt idx="78">
                  <c:v>10.671003643437485</c:v>
                </c:pt>
                <c:pt idx="79">
                  <c:v>10.671003643437485</c:v>
                </c:pt>
                <c:pt idx="80">
                  <c:v>10.671003643437485</c:v>
                </c:pt>
                <c:pt idx="81">
                  <c:v>10.375493281700853</c:v>
                </c:pt>
                <c:pt idx="82">
                  <c:v>10.375493281700853</c:v>
                </c:pt>
                <c:pt idx="83">
                  <c:v>10.006617073163056</c:v>
                </c:pt>
                <c:pt idx="84">
                  <c:v>10.006617073163056</c:v>
                </c:pt>
                <c:pt idx="85">
                  <c:v>10.006617073163056</c:v>
                </c:pt>
                <c:pt idx="86">
                  <c:v>9.8507497118612761</c:v>
                </c:pt>
                <c:pt idx="87">
                  <c:v>9.8507497118612761</c:v>
                </c:pt>
                <c:pt idx="88">
                  <c:v>9.8507497118612761</c:v>
                </c:pt>
                <c:pt idx="89">
                  <c:v>9.8578737368380853</c:v>
                </c:pt>
                <c:pt idx="90">
                  <c:v>9.8578737368380853</c:v>
                </c:pt>
                <c:pt idx="91">
                  <c:v>10.121104564205883</c:v>
                </c:pt>
                <c:pt idx="92">
                  <c:v>10.121104564205883</c:v>
                </c:pt>
                <c:pt idx="93">
                  <c:v>10.121104564205883</c:v>
                </c:pt>
                <c:pt idx="94">
                  <c:v>10.319131425161473</c:v>
                </c:pt>
                <c:pt idx="95">
                  <c:v>10.319131425161473</c:v>
                </c:pt>
                <c:pt idx="96">
                  <c:v>10.319131425161473</c:v>
                </c:pt>
                <c:pt idx="97">
                  <c:v>10.756021141077895</c:v>
                </c:pt>
                <c:pt idx="98">
                  <c:v>10.756021141077895</c:v>
                </c:pt>
                <c:pt idx="99">
                  <c:v>10.743551837645159</c:v>
                </c:pt>
                <c:pt idx="100">
                  <c:v>10.743551837645159</c:v>
                </c:pt>
              </c:numCache>
            </c:numRef>
          </c:xVal>
          <c:yVal>
            <c:numRef>
              <c:f>'ERA5'!$AH$2:$AH$102</c:f>
              <c:numCache>
                <c:formatCode>0.00</c:formatCode>
                <c:ptCount val="101"/>
                <c:pt idx="0">
                  <c:v>-2.7515579296321402</c:v>
                </c:pt>
                <c:pt idx="1">
                  <c:v>-3.8395680473450233</c:v>
                </c:pt>
                <c:pt idx="2">
                  <c:v>-3.9020808849991675</c:v>
                </c:pt>
                <c:pt idx="3">
                  <c:v>-3.3258095274009944</c:v>
                </c:pt>
                <c:pt idx="4">
                  <c:v>-2.4163336339110537</c:v>
                </c:pt>
                <c:pt idx="5">
                  <c:v>-1.6505486991211498</c:v>
                </c:pt>
                <c:pt idx="6">
                  <c:v>-1.1946766297216735</c:v>
                </c:pt>
                <c:pt idx="7">
                  <c:v>0.27745031816518567</c:v>
                </c:pt>
                <c:pt idx="8">
                  <c:v>1.0598369740922982</c:v>
                </c:pt>
                <c:pt idx="9">
                  <c:v>1.9193566170383645</c:v>
                </c:pt>
                <c:pt idx="10">
                  <c:v>2.8608266787833201</c:v>
                </c:pt>
                <c:pt idx="11">
                  <c:v>3.9786889978756963</c:v>
                </c:pt>
                <c:pt idx="12">
                  <c:v>5.2042098815846876</c:v>
                </c:pt>
                <c:pt idx="13">
                  <c:v>6.5805405548617424</c:v>
                </c:pt>
                <c:pt idx="14">
                  <c:v>7.9776838574855002</c:v>
                </c:pt>
                <c:pt idx="15">
                  <c:v>7.9776838574855002</c:v>
                </c:pt>
                <c:pt idx="16">
                  <c:v>9.43164089419815</c:v>
                </c:pt>
                <c:pt idx="17">
                  <c:v>10.901849410142676</c:v>
                </c:pt>
                <c:pt idx="18">
                  <c:v>10.901849410142676</c:v>
                </c:pt>
                <c:pt idx="19">
                  <c:v>12.283321466690612</c:v>
                </c:pt>
                <c:pt idx="20">
                  <c:v>13.442883506926403</c:v>
                </c:pt>
                <c:pt idx="21">
                  <c:v>13.442883506926403</c:v>
                </c:pt>
                <c:pt idx="22">
                  <c:v>14.293303968395909</c:v>
                </c:pt>
                <c:pt idx="23">
                  <c:v>14.293303968395909</c:v>
                </c:pt>
                <c:pt idx="24">
                  <c:v>14.893095014230228</c:v>
                </c:pt>
                <c:pt idx="25">
                  <c:v>15.211522398119492</c:v>
                </c:pt>
                <c:pt idx="26">
                  <c:v>15.211522398119492</c:v>
                </c:pt>
                <c:pt idx="27">
                  <c:v>15.018318707828781</c:v>
                </c:pt>
                <c:pt idx="28">
                  <c:v>15.018318707828781</c:v>
                </c:pt>
                <c:pt idx="29">
                  <c:v>14.706067720687813</c:v>
                </c:pt>
                <c:pt idx="30">
                  <c:v>14.706067720687813</c:v>
                </c:pt>
                <c:pt idx="31">
                  <c:v>14.706067720687813</c:v>
                </c:pt>
                <c:pt idx="32">
                  <c:v>14.339086420441189</c:v>
                </c:pt>
                <c:pt idx="33">
                  <c:v>14.339086420441189</c:v>
                </c:pt>
                <c:pt idx="34">
                  <c:v>13.857563328867872</c:v>
                </c:pt>
                <c:pt idx="35">
                  <c:v>13.857563328867872</c:v>
                </c:pt>
                <c:pt idx="36">
                  <c:v>13.534606447898218</c:v>
                </c:pt>
                <c:pt idx="37">
                  <c:v>13.534606447898218</c:v>
                </c:pt>
                <c:pt idx="38">
                  <c:v>12.981881215210052</c:v>
                </c:pt>
                <c:pt idx="39">
                  <c:v>12.981881215210052</c:v>
                </c:pt>
                <c:pt idx="40">
                  <c:v>12.981881215210052</c:v>
                </c:pt>
                <c:pt idx="41">
                  <c:v>12.723475773917754</c:v>
                </c:pt>
                <c:pt idx="42">
                  <c:v>12.723475773917754</c:v>
                </c:pt>
                <c:pt idx="43">
                  <c:v>11.734927542120191</c:v>
                </c:pt>
                <c:pt idx="44">
                  <c:v>11.734927542120191</c:v>
                </c:pt>
                <c:pt idx="45">
                  <c:v>11.734927542120191</c:v>
                </c:pt>
                <c:pt idx="46">
                  <c:v>10.623782778563147</c:v>
                </c:pt>
                <c:pt idx="47">
                  <c:v>10.623782778563147</c:v>
                </c:pt>
                <c:pt idx="48">
                  <c:v>10.623782778563147</c:v>
                </c:pt>
                <c:pt idx="49">
                  <c:v>9.8809234027145809</c:v>
                </c:pt>
                <c:pt idx="50">
                  <c:v>9.8809234027145809</c:v>
                </c:pt>
                <c:pt idx="51">
                  <c:v>9.4977195178608103</c:v>
                </c:pt>
                <c:pt idx="52">
                  <c:v>9.4977195178608103</c:v>
                </c:pt>
                <c:pt idx="53">
                  <c:v>9.4977195178608103</c:v>
                </c:pt>
                <c:pt idx="54">
                  <c:v>9.4389005247580204</c:v>
                </c:pt>
                <c:pt idx="55">
                  <c:v>9.4389005247580204</c:v>
                </c:pt>
                <c:pt idx="56">
                  <c:v>9.4389005247580204</c:v>
                </c:pt>
                <c:pt idx="57">
                  <c:v>9.9318035129071962</c:v>
                </c:pt>
                <c:pt idx="58">
                  <c:v>9.9318035129071962</c:v>
                </c:pt>
                <c:pt idx="59">
                  <c:v>10.299745831068844</c:v>
                </c:pt>
                <c:pt idx="60">
                  <c:v>10.299745831068844</c:v>
                </c:pt>
                <c:pt idx="61">
                  <c:v>10.299745831068844</c:v>
                </c:pt>
                <c:pt idx="62">
                  <c:v>10.763158512896865</c:v>
                </c:pt>
                <c:pt idx="63">
                  <c:v>10.763158512896865</c:v>
                </c:pt>
                <c:pt idx="64">
                  <c:v>10.896467846285594</c:v>
                </c:pt>
                <c:pt idx="65">
                  <c:v>10.896467846285594</c:v>
                </c:pt>
                <c:pt idx="66">
                  <c:v>10.896467846285594</c:v>
                </c:pt>
                <c:pt idx="67">
                  <c:v>11.290357004642857</c:v>
                </c:pt>
                <c:pt idx="68">
                  <c:v>11.290357004642857</c:v>
                </c:pt>
                <c:pt idx="69">
                  <c:v>11.290357004642857</c:v>
                </c:pt>
                <c:pt idx="70">
                  <c:v>11.85432492299752</c:v>
                </c:pt>
                <c:pt idx="71">
                  <c:v>11.85432492299752</c:v>
                </c:pt>
                <c:pt idx="72">
                  <c:v>12.535708014470318</c:v>
                </c:pt>
                <c:pt idx="73">
                  <c:v>12.535708014470318</c:v>
                </c:pt>
                <c:pt idx="74">
                  <c:v>12.535708014470318</c:v>
                </c:pt>
                <c:pt idx="75">
                  <c:v>13.312137289696411</c:v>
                </c:pt>
                <c:pt idx="76">
                  <c:v>13.312137289696411</c:v>
                </c:pt>
                <c:pt idx="77">
                  <c:v>13.312137289696411</c:v>
                </c:pt>
                <c:pt idx="78">
                  <c:v>14.160900126516244</c:v>
                </c:pt>
                <c:pt idx="79">
                  <c:v>14.160900126516244</c:v>
                </c:pt>
                <c:pt idx="80">
                  <c:v>14.160900126516244</c:v>
                </c:pt>
                <c:pt idx="81">
                  <c:v>15.382301368515845</c:v>
                </c:pt>
                <c:pt idx="82">
                  <c:v>15.382301368515845</c:v>
                </c:pt>
                <c:pt idx="83">
                  <c:v>16.653807482603664</c:v>
                </c:pt>
                <c:pt idx="84">
                  <c:v>16.653807482603664</c:v>
                </c:pt>
                <c:pt idx="85">
                  <c:v>16.653807482603664</c:v>
                </c:pt>
                <c:pt idx="86">
                  <c:v>17.771222905423951</c:v>
                </c:pt>
                <c:pt idx="87">
                  <c:v>17.771222905423951</c:v>
                </c:pt>
                <c:pt idx="88">
                  <c:v>17.771222905423951</c:v>
                </c:pt>
                <c:pt idx="89">
                  <c:v>18.539964028913918</c:v>
                </c:pt>
                <c:pt idx="90">
                  <c:v>18.539964028913918</c:v>
                </c:pt>
                <c:pt idx="91">
                  <c:v>19.035029212439543</c:v>
                </c:pt>
                <c:pt idx="92">
                  <c:v>19.035029212439543</c:v>
                </c:pt>
                <c:pt idx="93">
                  <c:v>19.035029212439543</c:v>
                </c:pt>
                <c:pt idx="94">
                  <c:v>19.407463570688183</c:v>
                </c:pt>
                <c:pt idx="95">
                  <c:v>19.407463570688183</c:v>
                </c:pt>
                <c:pt idx="96">
                  <c:v>19.407463570688183</c:v>
                </c:pt>
                <c:pt idx="97">
                  <c:v>19.40437579521355</c:v>
                </c:pt>
                <c:pt idx="98">
                  <c:v>19.40437579521355</c:v>
                </c:pt>
                <c:pt idx="99">
                  <c:v>19.381880576345921</c:v>
                </c:pt>
                <c:pt idx="100">
                  <c:v>19.381880576345921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4-BD4A-BDA5-4B8A52BA95DA}"/>
            </c:ext>
          </c:extLst>
        </c:ser>
        <c:ser>
          <c:idx val="1"/>
          <c:order val="1"/>
          <c:tx>
            <c:strRef>
              <c:f>'ERA5'!$A$47</c:f>
              <c:strCache>
                <c:ptCount val="1"/>
                <c:pt idx="0">
                  <c:v>SFC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2400">
                        <a:solidFill>
                          <a:schemeClr val="tx1"/>
                        </a:solidFill>
                      </a:rPr>
                      <a:t>SFC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B24-BD4A-BDA5-4B8A52BA9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'ERA5'!$B$47</c:f>
              <c:numCache>
                <c:formatCode>0.00</c:formatCode>
                <c:ptCount val="1"/>
                <c:pt idx="0">
                  <c:v>-1.9266616041491285</c:v>
                </c:pt>
              </c:numCache>
            </c:numRef>
          </c:xVal>
          <c:yVal>
            <c:numRef>
              <c:f>'ERA5'!$C$47</c:f>
              <c:numCache>
                <c:formatCode>0.00</c:formatCode>
                <c:ptCount val="1"/>
                <c:pt idx="0">
                  <c:v>-2.7515579296321402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4-BD4A-BDA5-4B8A52BA95DA}"/>
            </c:ext>
          </c:extLst>
        </c:ser>
        <c:ser>
          <c:idx val="2"/>
          <c:order val="2"/>
          <c:tx>
            <c:strRef>
              <c:f>'ERA5'!$A$48</c:f>
              <c:strCache>
                <c:ptCount val="1"/>
                <c:pt idx="0">
                  <c:v>1 km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276913023388002E-2"/>
                  <c:y val="4.120933200657609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1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372045220966083E-2"/>
                      <c:h val="3.712760664532317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6B24-BD4A-BDA5-4B8A52BA9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'ERA5'!$B$48</c:f>
              <c:numCache>
                <c:formatCode>0.00</c:formatCode>
                <c:ptCount val="1"/>
                <c:pt idx="0">
                  <c:v>-2.4005186110292067</c:v>
                </c:pt>
              </c:numCache>
            </c:numRef>
          </c:xVal>
          <c:yVal>
            <c:numRef>
              <c:f>'ERA5'!$C$48</c:f>
              <c:numCache>
                <c:formatCode>0.00</c:formatCode>
                <c:ptCount val="1"/>
                <c:pt idx="0">
                  <c:v>2.8608266787833201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24-BD4A-BDA5-4B8A52BA95DA}"/>
            </c:ext>
          </c:extLst>
        </c:ser>
        <c:ser>
          <c:idx val="4"/>
          <c:order val="3"/>
          <c:tx>
            <c:strRef>
              <c:f>'ERA5'!$A$50</c:f>
              <c:strCache>
                <c:ptCount val="1"/>
                <c:pt idx="0">
                  <c:v>6 km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6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185561337206948E-2"/>
                      <c:h val="2.87029716296364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6B24-BD4A-BDA5-4B8A52BA9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'ERA5'!$B$50</c:f>
              <c:numCache>
                <c:formatCode>0.00</c:formatCode>
                <c:ptCount val="1"/>
                <c:pt idx="0">
                  <c:v>12.27475909698353</c:v>
                </c:pt>
              </c:numCache>
            </c:numRef>
          </c:xVal>
          <c:yVal>
            <c:numRef>
              <c:f>'ERA5'!$C$50</c:f>
              <c:numCache>
                <c:formatCode>0.00</c:formatCode>
                <c:ptCount val="1"/>
                <c:pt idx="0">
                  <c:v>10.299745831068844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24-BD4A-BDA5-4B8A52BA95DA}"/>
            </c:ext>
          </c:extLst>
        </c:ser>
        <c:ser>
          <c:idx val="5"/>
          <c:order val="4"/>
          <c:tx>
            <c:strRef>
              <c:f>'ERA5'!$A$51</c:f>
              <c:strCache>
                <c:ptCount val="1"/>
                <c:pt idx="0">
                  <c:v>10 km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15325969763347E-3"/>
                  <c:y val="4.12087912087912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10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732785200411091E-2"/>
                      <c:h val="4.549634846145037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6B24-BD4A-BDA5-4B8A52BA9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'ERA5'!$B$51</c:f>
              <c:numCache>
                <c:formatCode>0.00</c:formatCode>
                <c:ptCount val="1"/>
                <c:pt idx="0">
                  <c:v>10.743551837645159</c:v>
                </c:pt>
              </c:numCache>
            </c:numRef>
          </c:xVal>
          <c:yVal>
            <c:numRef>
              <c:f>'ERA5'!$C$51</c:f>
              <c:numCache>
                <c:formatCode>0.00</c:formatCode>
                <c:ptCount val="1"/>
                <c:pt idx="0">
                  <c:v>19.381880576345921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24-BD4A-BDA5-4B8A52BA95DA}"/>
            </c:ext>
          </c:extLst>
        </c:ser>
        <c:ser>
          <c:idx val="6"/>
          <c:order val="5"/>
          <c:tx>
            <c:strRef>
              <c:f>'ERA5'!$N$46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E0-AF44-96DE-CA38C7573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'ERA5'!$B$52</c:f>
              <c:numCache>
                <c:formatCode>0.0000</c:formatCode>
                <c:ptCount val="1"/>
                <c:pt idx="0">
                  <c:v>9.6819716396126374</c:v>
                </c:pt>
              </c:numCache>
            </c:numRef>
          </c:xVal>
          <c:yVal>
            <c:numRef>
              <c:f>'ERA5'!$C$52</c:f>
              <c:numCache>
                <c:formatCode>0.0000</c:formatCode>
                <c:ptCount val="1"/>
                <c:pt idx="0">
                  <c:v>2.2021527293826191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24-BD4A-BDA5-4B8A52BA95DA}"/>
            </c:ext>
          </c:extLst>
        </c:ser>
        <c:ser>
          <c:idx val="7"/>
          <c:order val="6"/>
          <c:tx>
            <c:strRef>
              <c:f>'ERA5'!$D$46</c:f>
              <c:strCache>
                <c:ptCount val="1"/>
                <c:pt idx="0">
                  <c:v>SRsfc_u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headEnd type="none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none"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24-BD4A-BDA5-4B8A52BA95DA}"/>
              </c:ext>
            </c:extLst>
          </c:dPt>
          <c:xVal>
            <c:numRef>
              <c:f>'ERA5'!$D$47:$D$48</c:f>
              <c:numCache>
                <c:formatCode>0.0000</c:formatCode>
                <c:ptCount val="2"/>
                <c:pt idx="0">
                  <c:v>9.6819716396126374</c:v>
                </c:pt>
                <c:pt idx="1">
                  <c:v>-1.9266616041491285</c:v>
                </c:pt>
              </c:numCache>
            </c:numRef>
          </c:xVal>
          <c:yVal>
            <c:numRef>
              <c:f>'ERA5'!$E$47:$E$48</c:f>
              <c:numCache>
                <c:formatCode>0.0000</c:formatCode>
                <c:ptCount val="2"/>
                <c:pt idx="0">
                  <c:v>2.2021527293826191</c:v>
                </c:pt>
                <c:pt idx="1">
                  <c:v>-2.7515579296321402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24-BD4A-BDA5-4B8A52BA95DA}"/>
            </c:ext>
          </c:extLst>
        </c:ser>
        <c:ser>
          <c:idx val="8"/>
          <c:order val="7"/>
          <c:tx>
            <c:strRef>
              <c:f>'ERA5'!$F$46</c:f>
              <c:strCache>
                <c:ptCount val="1"/>
                <c:pt idx="0">
                  <c:v>SRLCL_u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headEnd type="none"/>
              <a:tailEnd type="arrow" w="lg" len="lg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none"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24-BD4A-BDA5-4B8A52BA95DA}"/>
              </c:ext>
            </c:extLst>
          </c:dPt>
          <c:dLbls>
            <c:dLbl>
              <c:idx val="1"/>
              <c:layout>
                <c:manualLayout>
                  <c:x val="-1.3360739979445015E-2"/>
                  <c:y val="-1.29124897143173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>
                        <a:solidFill>
                          <a:schemeClr val="tx1"/>
                        </a:solidFill>
                      </a:rPr>
                      <a:t>MLLCL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871531346351489E-2"/>
                      <c:h val="3.728124635340089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0-6B24-BD4A-BDA5-4B8A52BA9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'ERA5'!$F$47:$F$48</c:f>
              <c:numCache>
                <c:formatCode>0.0000</c:formatCode>
                <c:ptCount val="2"/>
                <c:pt idx="0">
                  <c:v>9.6819716396126374</c:v>
                </c:pt>
                <c:pt idx="1">
                  <c:v>-2.6231885613403545</c:v>
                </c:pt>
              </c:numCache>
            </c:numRef>
          </c:xVal>
          <c:yVal>
            <c:numRef>
              <c:f>'ERA5'!$G$47:$G$48</c:f>
              <c:numCache>
                <c:formatCode>0.0000</c:formatCode>
                <c:ptCount val="2"/>
                <c:pt idx="0">
                  <c:v>2.2021527293826191</c:v>
                </c:pt>
                <c:pt idx="1">
                  <c:v>1.0598369740922982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24-BD4A-BDA5-4B8A52BA95DA}"/>
            </c:ext>
          </c:extLst>
        </c:ser>
        <c:ser>
          <c:idx val="3"/>
          <c:order val="8"/>
          <c:tx>
            <c:strRef>
              <c:f>'ERA5'!$A$49</c:f>
              <c:strCache>
                <c:ptCount val="1"/>
                <c:pt idx="0">
                  <c:v>3 km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tx1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312-1B44-A93B-E38B59F89E05}"/>
              </c:ext>
            </c:extLst>
          </c:dPt>
          <c:dLbls>
            <c:dLbl>
              <c:idx val="0"/>
              <c:layout>
                <c:manualLayout>
                  <c:x val="-8.1846086822587438E-3"/>
                  <c:y val="-1.37362637362642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3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510791366906482E-2"/>
                      <c:h val="3.602362335801385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A312-1B44-A93B-E38B59F89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'ERA5'!$B$49</c:f>
              <c:numCache>
                <c:formatCode>0.00</c:formatCode>
                <c:ptCount val="1"/>
                <c:pt idx="0">
                  <c:v>12.33985600049725</c:v>
                </c:pt>
              </c:numCache>
            </c:numRef>
          </c:xVal>
          <c:yVal>
            <c:numRef>
              <c:f>'ERA5'!$C$49</c:f>
              <c:numCache>
                <c:formatCode>0.00</c:formatCode>
                <c:ptCount val="1"/>
                <c:pt idx="0">
                  <c:v>14.706067720687813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12-1B44-A93B-E38B59F8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47503"/>
        <c:axId val="1850476127"/>
      </c:scatterChart>
      <c:valAx>
        <c:axId val="1850647503"/>
        <c:scaling>
          <c:orientation val="minMax"/>
          <c:max val="40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m s</a:t>
                </a:r>
                <a:r>
                  <a:rPr lang="en-US" sz="4000" baseline="30000">
                    <a:solidFill>
                      <a:schemeClr val="tx1"/>
                    </a:solidFill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6127"/>
        <c:crosses val="autoZero"/>
        <c:crossBetween val="midCat"/>
      </c:valAx>
      <c:valAx>
        <c:axId val="1850476127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m s</a:t>
                </a:r>
                <a:r>
                  <a:rPr lang="en-US" sz="4000" baseline="30000">
                    <a:solidFill>
                      <a:schemeClr val="tx1"/>
                    </a:solidFill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475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SHARPPY!$AE$2:$AE$102</c:f>
              <c:numCache>
                <c:formatCode>0.00</c:formatCode>
                <c:ptCount val="101"/>
                <c:pt idx="0">
                  <c:v>2.299745850704479</c:v>
                </c:pt>
                <c:pt idx="1">
                  <c:v>4.8955486145735252</c:v>
                </c:pt>
                <c:pt idx="2">
                  <c:v>5.2950944209392814</c:v>
                </c:pt>
                <c:pt idx="3">
                  <c:v>6.1936826822212465</c:v>
                </c:pt>
                <c:pt idx="4">
                  <c:v>6.1936826822212465</c:v>
                </c:pt>
                <c:pt idx="5">
                  <c:v>7.8946983111412328</c:v>
                </c:pt>
                <c:pt idx="6">
                  <c:v>7.8946983111412328</c:v>
                </c:pt>
                <c:pt idx="7">
                  <c:v>10.1928836354586</c:v>
                </c:pt>
                <c:pt idx="8">
                  <c:v>10.1928836354586</c:v>
                </c:pt>
                <c:pt idx="9">
                  <c:v>12.590144128579603</c:v>
                </c:pt>
                <c:pt idx="10">
                  <c:v>12.590144128579603</c:v>
                </c:pt>
                <c:pt idx="11">
                  <c:v>12.590144128579603</c:v>
                </c:pt>
                <c:pt idx="12">
                  <c:v>14.787357637980076</c:v>
                </c:pt>
                <c:pt idx="13">
                  <c:v>14.787357637980076</c:v>
                </c:pt>
                <c:pt idx="14">
                  <c:v>15.587826996558929</c:v>
                </c:pt>
                <c:pt idx="15">
                  <c:v>15.587826996558929</c:v>
                </c:pt>
                <c:pt idx="16">
                  <c:v>15.587826996558929</c:v>
                </c:pt>
                <c:pt idx="17">
                  <c:v>15.587826996558929</c:v>
                </c:pt>
                <c:pt idx="18">
                  <c:v>15.888361030218814</c:v>
                </c:pt>
                <c:pt idx="19">
                  <c:v>15.888361030218814</c:v>
                </c:pt>
                <c:pt idx="20">
                  <c:v>15.888361030218814</c:v>
                </c:pt>
                <c:pt idx="21">
                  <c:v>19.284277431474152</c:v>
                </c:pt>
                <c:pt idx="22">
                  <c:v>19.284277431474152</c:v>
                </c:pt>
                <c:pt idx="23">
                  <c:v>19.284277431474152</c:v>
                </c:pt>
                <c:pt idx="24">
                  <c:v>19.284277431474152</c:v>
                </c:pt>
                <c:pt idx="25">
                  <c:v>17.788022058969474</c:v>
                </c:pt>
                <c:pt idx="26">
                  <c:v>17.788022058969474</c:v>
                </c:pt>
                <c:pt idx="27">
                  <c:v>17.788022058969474</c:v>
                </c:pt>
                <c:pt idx="28">
                  <c:v>17.788022058969474</c:v>
                </c:pt>
                <c:pt idx="29">
                  <c:v>17.788022058969474</c:v>
                </c:pt>
                <c:pt idx="30">
                  <c:v>14.487645019063278</c:v>
                </c:pt>
                <c:pt idx="31">
                  <c:v>14.487645019063278</c:v>
                </c:pt>
                <c:pt idx="32">
                  <c:v>14.487645019063278</c:v>
                </c:pt>
                <c:pt idx="33">
                  <c:v>14.487645019063278</c:v>
                </c:pt>
                <c:pt idx="34">
                  <c:v>14.487645019063278</c:v>
                </c:pt>
                <c:pt idx="35">
                  <c:v>17.984706774083229</c:v>
                </c:pt>
                <c:pt idx="36">
                  <c:v>17.984706774083229</c:v>
                </c:pt>
                <c:pt idx="37">
                  <c:v>17.984706774083229</c:v>
                </c:pt>
                <c:pt idx="38">
                  <c:v>17.984706774083229</c:v>
                </c:pt>
                <c:pt idx="39">
                  <c:v>17.984706774083229</c:v>
                </c:pt>
                <c:pt idx="40">
                  <c:v>17.984706774083229</c:v>
                </c:pt>
                <c:pt idx="41">
                  <c:v>25.781156384167559</c:v>
                </c:pt>
                <c:pt idx="42">
                  <c:v>25.781156384167559</c:v>
                </c:pt>
                <c:pt idx="43">
                  <c:v>25.781156384167559</c:v>
                </c:pt>
                <c:pt idx="44">
                  <c:v>25.781156384167559</c:v>
                </c:pt>
                <c:pt idx="45">
                  <c:v>25.781156384167559</c:v>
                </c:pt>
                <c:pt idx="46">
                  <c:v>25.781156384167559</c:v>
                </c:pt>
                <c:pt idx="47">
                  <c:v>27.878644744589501</c:v>
                </c:pt>
                <c:pt idx="48">
                  <c:v>27.878644744589501</c:v>
                </c:pt>
                <c:pt idx="49">
                  <c:v>27.878644744589501</c:v>
                </c:pt>
                <c:pt idx="50">
                  <c:v>27.878644744589501</c:v>
                </c:pt>
                <c:pt idx="51">
                  <c:v>27.878644744589501</c:v>
                </c:pt>
                <c:pt idx="52">
                  <c:v>27.878644744589501</c:v>
                </c:pt>
                <c:pt idx="53">
                  <c:v>27.878644744589501</c:v>
                </c:pt>
                <c:pt idx="54">
                  <c:v>28.484586308791251</c:v>
                </c:pt>
                <c:pt idx="55">
                  <c:v>28.484586308791251</c:v>
                </c:pt>
                <c:pt idx="56">
                  <c:v>28.484586308791251</c:v>
                </c:pt>
                <c:pt idx="57">
                  <c:v>28.484586308791251</c:v>
                </c:pt>
                <c:pt idx="58">
                  <c:v>28.484586308791251</c:v>
                </c:pt>
                <c:pt idx="59">
                  <c:v>28.484586308791251</c:v>
                </c:pt>
                <c:pt idx="60">
                  <c:v>26.885359868190008</c:v>
                </c:pt>
                <c:pt idx="61">
                  <c:v>26.885359868190008</c:v>
                </c:pt>
                <c:pt idx="62">
                  <c:v>26.885359868190008</c:v>
                </c:pt>
                <c:pt idx="63">
                  <c:v>26.885359868190008</c:v>
                </c:pt>
                <c:pt idx="64">
                  <c:v>26.885359868190008</c:v>
                </c:pt>
                <c:pt idx="65">
                  <c:v>26.885359868190008</c:v>
                </c:pt>
                <c:pt idx="66">
                  <c:v>24.384772024845152</c:v>
                </c:pt>
                <c:pt idx="67">
                  <c:v>24.384772024845152</c:v>
                </c:pt>
                <c:pt idx="68">
                  <c:v>24.384772024845152</c:v>
                </c:pt>
                <c:pt idx="69">
                  <c:v>24.384772024845152</c:v>
                </c:pt>
                <c:pt idx="70">
                  <c:v>24.384772024845152</c:v>
                </c:pt>
                <c:pt idx="71">
                  <c:v>24.384772024845152</c:v>
                </c:pt>
                <c:pt idx="72">
                  <c:v>20.581341504804278</c:v>
                </c:pt>
                <c:pt idx="73">
                  <c:v>20.581341504804278</c:v>
                </c:pt>
                <c:pt idx="74">
                  <c:v>20.581341504804278</c:v>
                </c:pt>
                <c:pt idx="75">
                  <c:v>20.581341504804278</c:v>
                </c:pt>
                <c:pt idx="76">
                  <c:v>20.581341504804278</c:v>
                </c:pt>
                <c:pt idx="77">
                  <c:v>19.883615889562154</c:v>
                </c:pt>
                <c:pt idx="78">
                  <c:v>19.883615889562154</c:v>
                </c:pt>
                <c:pt idx="79">
                  <c:v>19.883615889562154</c:v>
                </c:pt>
                <c:pt idx="80">
                  <c:v>19.883615889562154</c:v>
                </c:pt>
                <c:pt idx="81">
                  <c:v>19.883615889562154</c:v>
                </c:pt>
                <c:pt idx="82">
                  <c:v>19.883615889562154</c:v>
                </c:pt>
                <c:pt idx="83">
                  <c:v>21.682680913577464</c:v>
                </c:pt>
                <c:pt idx="84">
                  <c:v>21.682680913577464</c:v>
                </c:pt>
                <c:pt idx="85">
                  <c:v>21.682680913577464</c:v>
                </c:pt>
                <c:pt idx="86">
                  <c:v>21.682680913577464</c:v>
                </c:pt>
                <c:pt idx="87">
                  <c:v>21.682680913577464</c:v>
                </c:pt>
                <c:pt idx="88">
                  <c:v>24.28388752559999</c:v>
                </c:pt>
                <c:pt idx="89">
                  <c:v>24.28388752559999</c:v>
                </c:pt>
                <c:pt idx="90">
                  <c:v>24.28388752559999</c:v>
                </c:pt>
                <c:pt idx="91">
                  <c:v>24.28388752559999</c:v>
                </c:pt>
                <c:pt idx="92">
                  <c:v>24.28388752559999</c:v>
                </c:pt>
                <c:pt idx="93">
                  <c:v>28.780535753720773</c:v>
                </c:pt>
                <c:pt idx="94">
                  <c:v>28.780535753720773</c:v>
                </c:pt>
                <c:pt idx="95">
                  <c:v>28.780535753720773</c:v>
                </c:pt>
                <c:pt idx="96">
                  <c:v>28.780535753720773</c:v>
                </c:pt>
                <c:pt idx="97">
                  <c:v>30.680909030884312</c:v>
                </c:pt>
                <c:pt idx="98">
                  <c:v>30.680909030884312</c:v>
                </c:pt>
                <c:pt idx="99">
                  <c:v>30.680909030884312</c:v>
                </c:pt>
                <c:pt idx="100">
                  <c:v>30.680909030884312</c:v>
                </c:pt>
              </c:numCache>
            </c:numRef>
          </c:xVal>
          <c:yVal>
            <c:numRef>
              <c:f>SHARPPY!$AG$2:$AG$102</c:f>
              <c:numCache>
                <c:formatCode>0.00</c:formatCode>
                <c:ptCount val="101"/>
                <c:pt idx="0">
                  <c:v>10.196478952257566</c:v>
                </c:pt>
                <c:pt idx="1">
                  <c:v>16.983273924923996</c:v>
                </c:pt>
                <c:pt idx="2">
                  <c:v>19.382184723725906</c:v>
                </c:pt>
                <c:pt idx="3">
                  <c:v>21.277206010091092</c:v>
                </c:pt>
                <c:pt idx="4">
                  <c:v>21.277206010091092</c:v>
                </c:pt>
                <c:pt idx="5">
                  <c:v>21.584949534379916</c:v>
                </c:pt>
                <c:pt idx="6">
                  <c:v>21.584949534379916</c:v>
                </c:pt>
                <c:pt idx="7">
                  <c:v>21.485515735512244</c:v>
                </c:pt>
                <c:pt idx="8">
                  <c:v>21.485515735512244</c:v>
                </c:pt>
                <c:pt idx="9">
                  <c:v>22.280215994949256</c:v>
                </c:pt>
                <c:pt idx="10">
                  <c:v>22.280215994949256</c:v>
                </c:pt>
                <c:pt idx="11">
                  <c:v>22.280215994949256</c:v>
                </c:pt>
                <c:pt idx="12">
                  <c:v>22.683760812147707</c:v>
                </c:pt>
                <c:pt idx="13">
                  <c:v>22.683760812147707</c:v>
                </c:pt>
                <c:pt idx="14">
                  <c:v>22.386232673604834</c:v>
                </c:pt>
                <c:pt idx="15">
                  <c:v>22.386232673604834</c:v>
                </c:pt>
                <c:pt idx="16">
                  <c:v>22.386232673604834</c:v>
                </c:pt>
                <c:pt idx="17">
                  <c:v>22.386232673604834</c:v>
                </c:pt>
                <c:pt idx="18">
                  <c:v>21.780395394506503</c:v>
                </c:pt>
                <c:pt idx="19">
                  <c:v>21.780395394506503</c:v>
                </c:pt>
                <c:pt idx="20">
                  <c:v>21.780395394506503</c:v>
                </c:pt>
                <c:pt idx="21">
                  <c:v>21.682264073992656</c:v>
                </c:pt>
                <c:pt idx="22">
                  <c:v>21.682264073992656</c:v>
                </c:pt>
                <c:pt idx="23">
                  <c:v>21.682264073992656</c:v>
                </c:pt>
                <c:pt idx="24">
                  <c:v>21.682264073992656</c:v>
                </c:pt>
                <c:pt idx="25">
                  <c:v>21.08657979928465</c:v>
                </c:pt>
                <c:pt idx="26">
                  <c:v>21.08657979928465</c:v>
                </c:pt>
                <c:pt idx="27">
                  <c:v>21.08657979928465</c:v>
                </c:pt>
                <c:pt idx="28">
                  <c:v>21.08657979928465</c:v>
                </c:pt>
                <c:pt idx="29">
                  <c:v>21.08657979928465</c:v>
                </c:pt>
                <c:pt idx="30">
                  <c:v>19.586076846011473</c:v>
                </c:pt>
                <c:pt idx="31">
                  <c:v>19.586076846011473</c:v>
                </c:pt>
                <c:pt idx="32">
                  <c:v>19.586076846011473</c:v>
                </c:pt>
                <c:pt idx="33">
                  <c:v>19.586076846011473</c:v>
                </c:pt>
                <c:pt idx="34">
                  <c:v>19.586076846011473</c:v>
                </c:pt>
                <c:pt idx="35">
                  <c:v>17.483256844392031</c:v>
                </c:pt>
                <c:pt idx="36">
                  <c:v>17.483256844392031</c:v>
                </c:pt>
                <c:pt idx="37">
                  <c:v>17.483256844392031</c:v>
                </c:pt>
                <c:pt idx="38">
                  <c:v>17.483256844392031</c:v>
                </c:pt>
                <c:pt idx="39">
                  <c:v>17.483256844392031</c:v>
                </c:pt>
                <c:pt idx="40">
                  <c:v>17.483256844392031</c:v>
                </c:pt>
                <c:pt idx="41">
                  <c:v>11.689426073581211</c:v>
                </c:pt>
                <c:pt idx="42">
                  <c:v>11.689426073581211</c:v>
                </c:pt>
                <c:pt idx="43">
                  <c:v>11.689426073581211</c:v>
                </c:pt>
                <c:pt idx="44">
                  <c:v>11.689426073581211</c:v>
                </c:pt>
                <c:pt idx="45">
                  <c:v>11.689426073581211</c:v>
                </c:pt>
                <c:pt idx="46">
                  <c:v>11.689426073581211</c:v>
                </c:pt>
                <c:pt idx="47">
                  <c:v>6.2929504565877687</c:v>
                </c:pt>
                <c:pt idx="48">
                  <c:v>6.2929504565877687</c:v>
                </c:pt>
                <c:pt idx="49">
                  <c:v>6.2929504565877687</c:v>
                </c:pt>
                <c:pt idx="50">
                  <c:v>6.2929504565877687</c:v>
                </c:pt>
                <c:pt idx="51">
                  <c:v>6.2929504565877687</c:v>
                </c:pt>
                <c:pt idx="52">
                  <c:v>6.2929504565877687</c:v>
                </c:pt>
                <c:pt idx="53">
                  <c:v>6.2929504565877687</c:v>
                </c:pt>
                <c:pt idx="54">
                  <c:v>4.9969746971188389</c:v>
                </c:pt>
                <c:pt idx="55">
                  <c:v>4.9969746971188389</c:v>
                </c:pt>
                <c:pt idx="56">
                  <c:v>4.9969746971188389</c:v>
                </c:pt>
                <c:pt idx="57">
                  <c:v>4.9969746971188389</c:v>
                </c:pt>
                <c:pt idx="58">
                  <c:v>4.9969746971188389</c:v>
                </c:pt>
                <c:pt idx="59">
                  <c:v>4.9969746971188389</c:v>
                </c:pt>
                <c:pt idx="60">
                  <c:v>9.6952299097037464</c:v>
                </c:pt>
                <c:pt idx="61">
                  <c:v>9.6952299097037464</c:v>
                </c:pt>
                <c:pt idx="62">
                  <c:v>9.6952299097037464</c:v>
                </c:pt>
                <c:pt idx="63">
                  <c:v>9.6952299097037464</c:v>
                </c:pt>
                <c:pt idx="64">
                  <c:v>9.6952299097037464</c:v>
                </c:pt>
                <c:pt idx="65">
                  <c:v>9.6952299097037464</c:v>
                </c:pt>
                <c:pt idx="66">
                  <c:v>13.389019984070268</c:v>
                </c:pt>
                <c:pt idx="67">
                  <c:v>13.389019984070268</c:v>
                </c:pt>
                <c:pt idx="68">
                  <c:v>13.389019984070268</c:v>
                </c:pt>
                <c:pt idx="69">
                  <c:v>13.389019984070268</c:v>
                </c:pt>
                <c:pt idx="70">
                  <c:v>13.389019984070268</c:v>
                </c:pt>
                <c:pt idx="71">
                  <c:v>13.389019984070268</c:v>
                </c:pt>
                <c:pt idx="72">
                  <c:v>16.785732538003963</c:v>
                </c:pt>
                <c:pt idx="73">
                  <c:v>16.785732538003963</c:v>
                </c:pt>
                <c:pt idx="74">
                  <c:v>16.785732538003963</c:v>
                </c:pt>
                <c:pt idx="75">
                  <c:v>16.785732538003963</c:v>
                </c:pt>
                <c:pt idx="76">
                  <c:v>16.785732538003963</c:v>
                </c:pt>
                <c:pt idx="77">
                  <c:v>19.580546917702566</c:v>
                </c:pt>
                <c:pt idx="78">
                  <c:v>19.580546917702566</c:v>
                </c:pt>
                <c:pt idx="79">
                  <c:v>19.580546917702566</c:v>
                </c:pt>
                <c:pt idx="80">
                  <c:v>19.580546917702566</c:v>
                </c:pt>
                <c:pt idx="81">
                  <c:v>19.580546917702566</c:v>
                </c:pt>
                <c:pt idx="82">
                  <c:v>19.580546917702566</c:v>
                </c:pt>
                <c:pt idx="83">
                  <c:v>19.882444738594891</c:v>
                </c:pt>
                <c:pt idx="84">
                  <c:v>19.882444738594891</c:v>
                </c:pt>
                <c:pt idx="85">
                  <c:v>19.882444738594891</c:v>
                </c:pt>
                <c:pt idx="86">
                  <c:v>19.882444738594891</c:v>
                </c:pt>
                <c:pt idx="87">
                  <c:v>19.882444738594891</c:v>
                </c:pt>
                <c:pt idx="88">
                  <c:v>22.48712640872607</c:v>
                </c:pt>
                <c:pt idx="89">
                  <c:v>22.48712640872607</c:v>
                </c:pt>
                <c:pt idx="90">
                  <c:v>22.48712640872607</c:v>
                </c:pt>
                <c:pt idx="91">
                  <c:v>22.48712640872607</c:v>
                </c:pt>
                <c:pt idx="92">
                  <c:v>22.48712640872607</c:v>
                </c:pt>
                <c:pt idx="93">
                  <c:v>24.183996580811527</c:v>
                </c:pt>
                <c:pt idx="94">
                  <c:v>24.183996580811527</c:v>
                </c:pt>
                <c:pt idx="95">
                  <c:v>24.183996580811527</c:v>
                </c:pt>
                <c:pt idx="96">
                  <c:v>24.183996580811527</c:v>
                </c:pt>
                <c:pt idx="97">
                  <c:v>20.984069250136823</c:v>
                </c:pt>
                <c:pt idx="98">
                  <c:v>20.984069250136823</c:v>
                </c:pt>
                <c:pt idx="99">
                  <c:v>20.984069250136823</c:v>
                </c:pt>
                <c:pt idx="100">
                  <c:v>20.984069250136823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5-3347-AB22-F4027B991A8D}"/>
            </c:ext>
          </c:extLst>
        </c:ser>
        <c:ser>
          <c:idx val="1"/>
          <c:order val="1"/>
          <c:tx>
            <c:strRef>
              <c:f>SHARPPY!$A$47</c:f>
              <c:strCache>
                <c:ptCount val="1"/>
                <c:pt idx="0">
                  <c:v>SFC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2400">
                        <a:solidFill>
                          <a:schemeClr val="tx1"/>
                        </a:solidFill>
                      </a:rPr>
                      <a:t>SFC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SHARPPY!$B$47</c:f>
              <c:numCache>
                <c:formatCode>0.00</c:formatCode>
                <c:ptCount val="1"/>
                <c:pt idx="0">
                  <c:v>2.299745850704479</c:v>
                </c:pt>
              </c:numCache>
            </c:numRef>
          </c:xVal>
          <c:yVal>
            <c:numRef>
              <c:f>SHARPPY!$C$47</c:f>
              <c:numCache>
                <c:formatCode>0.00</c:formatCode>
                <c:ptCount val="1"/>
                <c:pt idx="0">
                  <c:v>10.196478952257566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5-3347-AB22-F4027B991A8D}"/>
            </c:ext>
          </c:extLst>
        </c:ser>
        <c:ser>
          <c:idx val="2"/>
          <c:order val="2"/>
          <c:tx>
            <c:strRef>
              <c:f>SHARPPY!$A$48</c:f>
              <c:strCache>
                <c:ptCount val="1"/>
                <c:pt idx="0">
                  <c:v>1 km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1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372045220966083E-2"/>
                      <c:h val="3.712760664532317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SHARPPY!$B$48</c:f>
              <c:numCache>
                <c:formatCode>0.00</c:formatCode>
                <c:ptCount val="1"/>
                <c:pt idx="0">
                  <c:v>12.590144128579603</c:v>
                </c:pt>
              </c:numCache>
            </c:numRef>
          </c:xVal>
          <c:yVal>
            <c:numRef>
              <c:f>SHARPPY!$C$48</c:f>
              <c:numCache>
                <c:formatCode>0.00</c:formatCode>
                <c:ptCount val="1"/>
                <c:pt idx="0">
                  <c:v>22.280215994949256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A5-3347-AB22-F4027B991A8D}"/>
            </c:ext>
          </c:extLst>
        </c:ser>
        <c:ser>
          <c:idx val="4"/>
          <c:order val="3"/>
          <c:tx>
            <c:strRef>
              <c:f>SHARPPY!$A$50</c:f>
              <c:strCache>
                <c:ptCount val="1"/>
                <c:pt idx="0">
                  <c:v>6 km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6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185561337206948E-2"/>
                      <c:h val="2.87029716296364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SHARPPY!$B$50</c:f>
              <c:numCache>
                <c:formatCode>0.00</c:formatCode>
                <c:ptCount val="1"/>
                <c:pt idx="0">
                  <c:v>26.885359868190008</c:v>
                </c:pt>
              </c:numCache>
            </c:numRef>
          </c:xVal>
          <c:yVal>
            <c:numRef>
              <c:f>SHARPPY!$C$50</c:f>
              <c:numCache>
                <c:formatCode>0.00</c:formatCode>
                <c:ptCount val="1"/>
                <c:pt idx="0">
                  <c:v>9.6952299097037464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A5-3347-AB22-F4027B991A8D}"/>
            </c:ext>
          </c:extLst>
        </c:ser>
        <c:ser>
          <c:idx val="5"/>
          <c:order val="4"/>
          <c:tx>
            <c:strRef>
              <c:f>SHARPPY!$A$51</c:f>
              <c:strCache>
                <c:ptCount val="1"/>
                <c:pt idx="0">
                  <c:v>10 km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10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732785200411091E-2"/>
                      <c:h val="4.549634846145037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SHARPPY!$B$51</c:f>
              <c:numCache>
                <c:formatCode>0.00</c:formatCode>
                <c:ptCount val="1"/>
                <c:pt idx="0">
                  <c:v>30.680909030884312</c:v>
                </c:pt>
              </c:numCache>
            </c:numRef>
          </c:xVal>
          <c:yVal>
            <c:numRef>
              <c:f>SHARPPY!$C$51</c:f>
              <c:numCache>
                <c:formatCode>0.00</c:formatCode>
                <c:ptCount val="1"/>
                <c:pt idx="0">
                  <c:v>20.984069250136823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A5-3347-AB22-F4027B991A8D}"/>
            </c:ext>
          </c:extLst>
        </c:ser>
        <c:ser>
          <c:idx val="6"/>
          <c:order val="5"/>
          <c:tx>
            <c:strRef>
              <c:f>SHARPPY!$N$46</c:f>
              <c:strCache>
                <c:ptCount val="1"/>
                <c:pt idx="0">
                  <c:v>24378 m/s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SHARPPY!$B$52</c:f>
              <c:numCache>
                <c:formatCode>0.0000</c:formatCode>
                <c:ptCount val="1"/>
                <c:pt idx="0">
                  <c:v>11.073286897413592</c:v>
                </c:pt>
              </c:numCache>
            </c:numRef>
          </c:xVal>
          <c:yVal>
            <c:numRef>
              <c:f>SHARPPY!$C$52</c:f>
              <c:numCache>
                <c:formatCode>0.0000</c:formatCode>
                <c:ptCount val="1"/>
                <c:pt idx="0">
                  <c:v>12.709686223659148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A5-3347-AB22-F4027B991A8D}"/>
            </c:ext>
          </c:extLst>
        </c:ser>
        <c:ser>
          <c:idx val="7"/>
          <c:order val="6"/>
          <c:tx>
            <c:strRef>
              <c:f>SHARPPY!$D$46</c:f>
              <c:strCache>
                <c:ptCount val="1"/>
                <c:pt idx="0">
                  <c:v>SRsfc_u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headEnd type="none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none"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A5-3347-AB22-F4027B991A8D}"/>
              </c:ext>
            </c:extLst>
          </c:dPt>
          <c:xVal>
            <c:numRef>
              <c:f>SHARPPY!$D$47:$D$48</c:f>
              <c:numCache>
                <c:formatCode>0.0000</c:formatCode>
                <c:ptCount val="2"/>
                <c:pt idx="0">
                  <c:v>11.073286897413592</c:v>
                </c:pt>
                <c:pt idx="1">
                  <c:v>2.299745850704479</c:v>
                </c:pt>
              </c:numCache>
            </c:numRef>
          </c:xVal>
          <c:yVal>
            <c:numRef>
              <c:f>SHARPPY!$E$47:$E$48</c:f>
              <c:numCache>
                <c:formatCode>0.0000</c:formatCode>
                <c:ptCount val="2"/>
                <c:pt idx="0">
                  <c:v>12.709686223659148</c:v>
                </c:pt>
                <c:pt idx="1">
                  <c:v>10.196478952257566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A5-3347-AB22-F4027B991A8D}"/>
            </c:ext>
          </c:extLst>
        </c:ser>
        <c:ser>
          <c:idx val="8"/>
          <c:order val="7"/>
          <c:tx>
            <c:strRef>
              <c:f>SHARPPY!$F$46</c:f>
              <c:strCache>
                <c:ptCount val="1"/>
                <c:pt idx="0">
                  <c:v>SRLCL_u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headEnd type="none"/>
              <a:tailEnd type="arrow" w="lg" len="lg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none"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A5-3347-AB22-F4027B991A8D}"/>
              </c:ext>
            </c:extLst>
          </c:dPt>
          <c:dLbls>
            <c:dLbl>
              <c:idx val="1"/>
              <c:layout>
                <c:manualLayout>
                  <c:x val="-1.3360739979445015E-2"/>
                  <c:y val="-1.29124897143173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>
                        <a:solidFill>
                          <a:schemeClr val="tx1"/>
                        </a:solidFill>
                      </a:rPr>
                      <a:t>MLLCL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871531346351489E-2"/>
                      <c:h val="3.728124635340089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SHARPPY!$F$47:$F$48</c:f>
              <c:numCache>
                <c:formatCode>0.0000</c:formatCode>
                <c:ptCount val="2"/>
                <c:pt idx="0">
                  <c:v>11.073286897413592</c:v>
                </c:pt>
                <c:pt idx="1">
                  <c:v>10.1928836354586</c:v>
                </c:pt>
              </c:numCache>
            </c:numRef>
          </c:xVal>
          <c:yVal>
            <c:numRef>
              <c:f>SHARPPY!$G$47:$G$48</c:f>
              <c:numCache>
                <c:formatCode>0.0000</c:formatCode>
                <c:ptCount val="2"/>
                <c:pt idx="0">
                  <c:v>12.709686223659148</c:v>
                </c:pt>
                <c:pt idx="1">
                  <c:v>21.485515735512244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A5-3347-AB22-F4027B991A8D}"/>
            </c:ext>
          </c:extLst>
        </c:ser>
        <c:ser>
          <c:idx val="3"/>
          <c:order val="8"/>
          <c:tx>
            <c:strRef>
              <c:f>SHARPPY!$A$49</c:f>
              <c:strCache>
                <c:ptCount val="1"/>
                <c:pt idx="0">
                  <c:v>3 km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tx1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7A5-3347-AB22-F4027B991A8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>
                        <a:solidFill>
                          <a:schemeClr val="tx1"/>
                        </a:solidFill>
                      </a:rPr>
                      <a:t>3 km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510791366906482E-2"/>
                      <c:h val="3.602362335801385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A7A5-3347-AB22-F4027B99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SHARPPY!$B$49</c:f>
              <c:numCache>
                <c:formatCode>0.00</c:formatCode>
                <c:ptCount val="1"/>
                <c:pt idx="0">
                  <c:v>14.487645019063278</c:v>
                </c:pt>
              </c:numCache>
            </c:numRef>
          </c:xVal>
          <c:yVal>
            <c:numRef>
              <c:f>SHARPPY!$C$49</c:f>
              <c:numCache>
                <c:formatCode>0.00</c:formatCode>
                <c:ptCount val="1"/>
                <c:pt idx="0">
                  <c:v>19.586076846011473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7A5-3347-AB22-F4027B99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47503"/>
        <c:axId val="1850476127"/>
      </c:scatterChart>
      <c:valAx>
        <c:axId val="1850647503"/>
        <c:scaling>
          <c:orientation val="minMax"/>
          <c:max val="40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m s</a:t>
                </a:r>
                <a:r>
                  <a:rPr lang="en-US" sz="4000" baseline="30000">
                    <a:solidFill>
                      <a:schemeClr val="tx1"/>
                    </a:solidFill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6127"/>
        <c:crosses val="autoZero"/>
        <c:crossBetween val="midCat"/>
      </c:valAx>
      <c:valAx>
        <c:axId val="1850476127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m s</a:t>
                </a:r>
                <a:r>
                  <a:rPr lang="en-US" sz="4000" baseline="30000">
                    <a:solidFill>
                      <a:schemeClr val="tx1"/>
                    </a:solidFill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475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25399</xdr:rowOff>
    </xdr:from>
    <xdr:to>
      <xdr:col>15</xdr:col>
      <xdr:colOff>23988</xdr:colOff>
      <xdr:row>42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799A2-74E7-1DE3-A34E-35478C515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620889</xdr:colOff>
      <xdr:row>40</xdr:row>
      <xdr:rowOff>169333</xdr:rowOff>
    </xdr:from>
    <xdr:to>
      <xdr:col>3</xdr:col>
      <xdr:colOff>112889</xdr:colOff>
      <xdr:row>42</xdr:row>
      <xdr:rowOff>42334</xdr:rowOff>
    </xdr:to>
    <xdr:sp macro="" textlink="Q2">
      <xdr:nvSpPr>
        <xdr:cNvPr id="2" name="TextBox 1">
          <a:extLst>
            <a:ext uri="{FF2B5EF4-FFF2-40B4-BE49-F238E27FC236}">
              <a16:creationId xmlns:a16="http://schemas.microsoft.com/office/drawing/2014/main" id="{66A3BAD4-2310-A47A-C080-64CC93F31BB8}"/>
            </a:ext>
          </a:extLst>
        </xdr:cNvPr>
        <xdr:cNvSpPr txBox="1"/>
      </xdr:nvSpPr>
      <xdr:spPr>
        <a:xfrm>
          <a:off x="1284111" y="8805333"/>
          <a:ext cx="1016000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6512F2F-6679-C040-A516-DFE3119B170C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855</a:t>
          </a:fld>
          <a:endParaRPr lang="en-US" sz="1600" kern="1200"/>
        </a:p>
      </xdr:txBody>
    </xdr:sp>
    <xdr:clientData/>
  </xdr:twoCellAnchor>
  <xdr:twoCellAnchor>
    <xdr:from>
      <xdr:col>2</xdr:col>
      <xdr:colOff>338667</xdr:colOff>
      <xdr:row>40</xdr:row>
      <xdr:rowOff>155222</xdr:rowOff>
    </xdr:from>
    <xdr:to>
      <xdr:col>3</xdr:col>
      <xdr:colOff>98778</xdr:colOff>
      <xdr:row>42</xdr:row>
      <xdr:rowOff>112889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82EC61-DE48-BEBF-B4CE-5DAF31A7DC3D}"/>
            </a:ext>
          </a:extLst>
        </xdr:cNvPr>
        <xdr:cNvSpPr txBox="1"/>
      </xdr:nvSpPr>
      <xdr:spPr>
        <a:xfrm>
          <a:off x="1749778" y="8791222"/>
          <a:ext cx="536222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762000</xdr:colOff>
      <xdr:row>39</xdr:row>
      <xdr:rowOff>141112</xdr:rowOff>
    </xdr:from>
    <xdr:to>
      <xdr:col>3</xdr:col>
      <xdr:colOff>762000</xdr:colOff>
      <xdr:row>41</xdr:row>
      <xdr:rowOff>127000</xdr:rowOff>
    </xdr:to>
    <xdr:sp macro="" textlink="K55">
      <xdr:nvSpPr>
        <xdr:cNvPr id="5" name="TextBox 4">
          <a:extLst>
            <a:ext uri="{FF2B5EF4-FFF2-40B4-BE49-F238E27FC236}">
              <a16:creationId xmlns:a16="http://schemas.microsoft.com/office/drawing/2014/main" id="{3B08439E-E40B-7515-DB7A-DAC5B403CE3F}"/>
            </a:ext>
          </a:extLst>
        </xdr:cNvPr>
        <xdr:cNvSpPr txBox="1"/>
      </xdr:nvSpPr>
      <xdr:spPr>
        <a:xfrm>
          <a:off x="2173111" y="8565445"/>
          <a:ext cx="776111" cy="409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50C01B-20D7-9247-A4B2-F9BC71200ECA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13.1</a:t>
          </a:fld>
          <a:endParaRPr lang="en-US" sz="1600" b="1" kern="1200"/>
        </a:p>
      </xdr:txBody>
    </xdr:sp>
    <xdr:clientData/>
  </xdr:twoCellAnchor>
  <xdr:twoCellAnchor>
    <xdr:from>
      <xdr:col>3</xdr:col>
      <xdr:colOff>409223</xdr:colOff>
      <xdr:row>39</xdr:row>
      <xdr:rowOff>141111</xdr:rowOff>
    </xdr:from>
    <xdr:to>
      <xdr:col>4</xdr:col>
      <xdr:colOff>310445</xdr:colOff>
      <xdr:row>41</xdr:row>
      <xdr:rowOff>98777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DB03AF-F723-927F-533A-5DE03C6743EB}"/>
            </a:ext>
          </a:extLst>
        </xdr:cNvPr>
        <xdr:cNvSpPr txBox="1"/>
      </xdr:nvSpPr>
      <xdr:spPr>
        <a:xfrm>
          <a:off x="2596445" y="8565444"/>
          <a:ext cx="790222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 s</a:t>
          </a:r>
          <a:r>
            <a:rPr lang="en-US" sz="1600" b="1" kern="1200" baseline="30000">
              <a:solidFill>
                <a:schemeClr val="tx1"/>
              </a:solidFill>
            </a:rPr>
            <a:t>–1</a:t>
          </a:r>
        </a:p>
      </xdr:txBody>
    </xdr:sp>
    <xdr:clientData/>
  </xdr:twoCellAnchor>
  <xdr:twoCellAnchor>
    <xdr:from>
      <xdr:col>3</xdr:col>
      <xdr:colOff>663222</xdr:colOff>
      <xdr:row>38</xdr:row>
      <xdr:rowOff>98777</xdr:rowOff>
    </xdr:from>
    <xdr:to>
      <xdr:col>4</xdr:col>
      <xdr:colOff>620889</xdr:colOff>
      <xdr:row>40</xdr:row>
      <xdr:rowOff>14111</xdr:rowOff>
    </xdr:to>
    <xdr:sp macro="" textlink="Q28">
      <xdr:nvSpPr>
        <xdr:cNvPr id="7" name="TextBox 6">
          <a:extLst>
            <a:ext uri="{FF2B5EF4-FFF2-40B4-BE49-F238E27FC236}">
              <a16:creationId xmlns:a16="http://schemas.microsoft.com/office/drawing/2014/main" id="{1A1F7091-C07C-CF3F-7DE3-5ABBFABC13C5}"/>
            </a:ext>
          </a:extLst>
        </xdr:cNvPr>
        <xdr:cNvSpPr txBox="1"/>
      </xdr:nvSpPr>
      <xdr:spPr>
        <a:xfrm>
          <a:off x="2850444" y="8311444"/>
          <a:ext cx="846667" cy="338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E403BA-C917-6B44-8EBC-5CF5AE0DB488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1.1</a:t>
          </a:fld>
          <a:endParaRPr lang="en-US" sz="1600" b="1" kern="1200"/>
        </a:p>
      </xdr:txBody>
    </xdr:sp>
    <xdr:clientData/>
  </xdr:twoCellAnchor>
  <xdr:twoCellAnchor>
    <xdr:from>
      <xdr:col>3</xdr:col>
      <xdr:colOff>183443</xdr:colOff>
      <xdr:row>37</xdr:row>
      <xdr:rowOff>56444</xdr:rowOff>
    </xdr:from>
    <xdr:to>
      <xdr:col>4</xdr:col>
      <xdr:colOff>126998</xdr:colOff>
      <xdr:row>38</xdr:row>
      <xdr:rowOff>141110</xdr:rowOff>
    </xdr:to>
    <xdr:sp macro="" textlink="Q16">
      <xdr:nvSpPr>
        <xdr:cNvPr id="8" name="TextBox 7">
          <a:extLst>
            <a:ext uri="{FF2B5EF4-FFF2-40B4-BE49-F238E27FC236}">
              <a16:creationId xmlns:a16="http://schemas.microsoft.com/office/drawing/2014/main" id="{29703595-F54B-E16D-834B-86FF0E2AE6A8}"/>
            </a:ext>
          </a:extLst>
        </xdr:cNvPr>
        <xdr:cNvSpPr txBox="1"/>
      </xdr:nvSpPr>
      <xdr:spPr>
        <a:xfrm>
          <a:off x="2370665" y="8057444"/>
          <a:ext cx="832555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95CFD0-048A-1E49-99E7-1F276DBB85F0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130</a:t>
          </a:fld>
          <a:endParaRPr lang="en-US" sz="1600" b="1" kern="1200"/>
        </a:p>
      </xdr:txBody>
    </xdr:sp>
    <xdr:clientData/>
  </xdr:twoCellAnchor>
  <xdr:twoCellAnchor>
    <xdr:from>
      <xdr:col>3</xdr:col>
      <xdr:colOff>663223</xdr:colOff>
      <xdr:row>37</xdr:row>
      <xdr:rowOff>42332</xdr:rowOff>
    </xdr:from>
    <xdr:to>
      <xdr:col>4</xdr:col>
      <xdr:colOff>296335</xdr:colOff>
      <xdr:row>38</xdr:row>
      <xdr:rowOff>98777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BE6DD0E-0C72-E69E-184E-0910D7CDA264}"/>
            </a:ext>
          </a:extLst>
        </xdr:cNvPr>
        <xdr:cNvSpPr txBox="1"/>
      </xdr:nvSpPr>
      <xdr:spPr>
        <a:xfrm>
          <a:off x="2850445" y="8043332"/>
          <a:ext cx="522112" cy="268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762003</xdr:colOff>
      <xdr:row>36</xdr:row>
      <xdr:rowOff>14112</xdr:rowOff>
    </xdr:from>
    <xdr:to>
      <xdr:col>4</xdr:col>
      <xdr:colOff>112892</xdr:colOff>
      <xdr:row>37</xdr:row>
      <xdr:rowOff>112889</xdr:rowOff>
    </xdr:to>
    <xdr:sp macro="" textlink="Q7">
      <xdr:nvSpPr>
        <xdr:cNvPr id="10" name="TextBox 9">
          <a:extLst>
            <a:ext uri="{FF2B5EF4-FFF2-40B4-BE49-F238E27FC236}">
              <a16:creationId xmlns:a16="http://schemas.microsoft.com/office/drawing/2014/main" id="{611ACD60-F579-064F-19A7-65D70346AD55}"/>
            </a:ext>
          </a:extLst>
        </xdr:cNvPr>
        <xdr:cNvSpPr txBox="1"/>
      </xdr:nvSpPr>
      <xdr:spPr>
        <a:xfrm>
          <a:off x="2173114" y="7803445"/>
          <a:ext cx="1016000" cy="310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118185-E60D-3840-A05D-836E7182A8ED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2061</a:t>
          </a:fld>
          <a:endParaRPr lang="en-US" sz="1600" b="1" kern="1200"/>
        </a:p>
      </xdr:txBody>
    </xdr:sp>
    <xdr:clientData/>
  </xdr:twoCellAnchor>
  <xdr:twoCellAnchor>
    <xdr:from>
      <xdr:col>3</xdr:col>
      <xdr:colOff>578557</xdr:colOff>
      <xdr:row>36</xdr:row>
      <xdr:rowOff>1</xdr:rowOff>
    </xdr:from>
    <xdr:to>
      <xdr:col>4</xdr:col>
      <xdr:colOff>197557</xdr:colOff>
      <xdr:row>37</xdr:row>
      <xdr:rowOff>70556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343F591-BC7C-FCC9-D23B-F82C3FF81B42}"/>
            </a:ext>
          </a:extLst>
        </xdr:cNvPr>
        <xdr:cNvSpPr txBox="1"/>
      </xdr:nvSpPr>
      <xdr:spPr>
        <a:xfrm>
          <a:off x="2765779" y="7789334"/>
          <a:ext cx="508000" cy="282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42334</xdr:colOff>
      <xdr:row>34</xdr:row>
      <xdr:rowOff>197556</xdr:rowOff>
    </xdr:from>
    <xdr:to>
      <xdr:col>3</xdr:col>
      <xdr:colOff>14112</xdr:colOff>
      <xdr:row>36</xdr:row>
      <xdr:rowOff>42334</xdr:rowOff>
    </xdr:to>
    <xdr:sp macro="" textlink="K53">
      <xdr:nvSpPr>
        <xdr:cNvPr id="12" name="TextBox 11">
          <a:extLst>
            <a:ext uri="{FF2B5EF4-FFF2-40B4-BE49-F238E27FC236}">
              <a16:creationId xmlns:a16="http://schemas.microsoft.com/office/drawing/2014/main" id="{155BD026-23CB-8258-D8D3-4735561731EF}"/>
            </a:ext>
          </a:extLst>
        </xdr:cNvPr>
        <xdr:cNvSpPr txBox="1"/>
      </xdr:nvSpPr>
      <xdr:spPr>
        <a:xfrm>
          <a:off x="1453445" y="7563556"/>
          <a:ext cx="747889" cy="268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2A0E11-108F-F14C-BF28-116B3F0ACEEA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0.0069</a:t>
          </a:fld>
          <a:endParaRPr lang="en-US" sz="1600" b="1" kern="1200"/>
        </a:p>
      </xdr:txBody>
    </xdr:sp>
    <xdr:clientData/>
  </xdr:twoCellAnchor>
  <xdr:twoCellAnchor>
    <xdr:from>
      <xdr:col>3</xdr:col>
      <xdr:colOff>578557</xdr:colOff>
      <xdr:row>34</xdr:row>
      <xdr:rowOff>197555</xdr:rowOff>
    </xdr:from>
    <xdr:to>
      <xdr:col>4</xdr:col>
      <xdr:colOff>465668</xdr:colOff>
      <xdr:row>36</xdr:row>
      <xdr:rowOff>127000</xdr:rowOff>
    </xdr:to>
    <xdr:sp macro="" textlink="K57">
      <xdr:nvSpPr>
        <xdr:cNvPr id="13" name="TextBox 12">
          <a:extLst>
            <a:ext uri="{FF2B5EF4-FFF2-40B4-BE49-F238E27FC236}">
              <a16:creationId xmlns:a16="http://schemas.microsoft.com/office/drawing/2014/main" id="{5A44351B-BB62-9645-1D7D-CC5FCF692E39}"/>
            </a:ext>
          </a:extLst>
        </xdr:cNvPr>
        <xdr:cNvSpPr txBox="1"/>
      </xdr:nvSpPr>
      <xdr:spPr>
        <a:xfrm>
          <a:off x="2765779" y="7563555"/>
          <a:ext cx="776111" cy="35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D4B268-F534-D148-927B-B76A20156776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63</a:t>
          </a:fld>
          <a:endParaRPr lang="en-US" sz="1600" b="1" kern="1200"/>
        </a:p>
      </xdr:txBody>
    </xdr:sp>
    <xdr:clientData/>
  </xdr:twoCellAnchor>
  <xdr:twoCellAnchor>
    <xdr:from>
      <xdr:col>4</xdr:col>
      <xdr:colOff>70556</xdr:colOff>
      <xdr:row>34</xdr:row>
      <xdr:rowOff>183444</xdr:rowOff>
    </xdr:from>
    <xdr:to>
      <xdr:col>5</xdr:col>
      <xdr:colOff>141111</xdr:colOff>
      <xdr:row>36</xdr:row>
      <xdr:rowOff>28222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D270609-AFB8-1316-61B9-F1FD88C4137C}"/>
            </a:ext>
          </a:extLst>
        </xdr:cNvPr>
        <xdr:cNvSpPr txBox="1"/>
      </xdr:nvSpPr>
      <xdr:spPr>
        <a:xfrm>
          <a:off x="3146778" y="7549444"/>
          <a:ext cx="818444" cy="268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  <a:r>
            <a:rPr lang="en-US" sz="1600" b="1" kern="1200" baseline="30000">
              <a:solidFill>
                <a:schemeClr val="tx1"/>
              </a:solidFill>
            </a:rPr>
            <a:t>2</a:t>
          </a:r>
          <a:r>
            <a:rPr lang="en-US" sz="1600" b="1" kern="1200">
              <a:solidFill>
                <a:schemeClr val="tx1"/>
              </a:solidFill>
            </a:rPr>
            <a:t> s</a:t>
          </a:r>
          <a:r>
            <a:rPr lang="en-US" sz="1600" b="1" kern="1200" baseline="30000">
              <a:solidFill>
                <a:schemeClr val="tx1"/>
              </a:solidFill>
            </a:rPr>
            <a:t>–2</a:t>
          </a:r>
        </a:p>
      </xdr:txBody>
    </xdr:sp>
    <xdr:clientData/>
  </xdr:twoCellAnchor>
  <xdr:twoCellAnchor>
    <xdr:from>
      <xdr:col>4</xdr:col>
      <xdr:colOff>127001</xdr:colOff>
      <xdr:row>33</xdr:row>
      <xdr:rowOff>169333</xdr:rowOff>
    </xdr:from>
    <xdr:to>
      <xdr:col>5</xdr:col>
      <xdr:colOff>395112</xdr:colOff>
      <xdr:row>35</xdr:row>
      <xdr:rowOff>70555</xdr:rowOff>
    </xdr:to>
    <xdr:sp macro="" textlink="Q15">
      <xdr:nvSpPr>
        <xdr:cNvPr id="15" name="TextBox 14">
          <a:extLst>
            <a:ext uri="{FF2B5EF4-FFF2-40B4-BE49-F238E27FC236}">
              <a16:creationId xmlns:a16="http://schemas.microsoft.com/office/drawing/2014/main" id="{841A37C3-6402-7AEB-9897-F37BFF59CE07}"/>
            </a:ext>
          </a:extLst>
        </xdr:cNvPr>
        <xdr:cNvSpPr txBox="1"/>
      </xdr:nvSpPr>
      <xdr:spPr>
        <a:xfrm>
          <a:off x="3203223" y="7323666"/>
          <a:ext cx="1016000" cy="324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8CD0AB-3CE5-5E48-B8DC-0BE3EDC940AC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0.005</a:t>
          </a:fld>
          <a:endParaRPr lang="en-US" sz="1600" b="1" kern="1200"/>
        </a:p>
      </xdr:txBody>
    </xdr:sp>
    <xdr:clientData/>
  </xdr:twoCellAnchor>
  <xdr:twoCellAnchor>
    <xdr:from>
      <xdr:col>4</xdr:col>
      <xdr:colOff>649110</xdr:colOff>
      <xdr:row>33</xdr:row>
      <xdr:rowOff>155223</xdr:rowOff>
    </xdr:from>
    <xdr:to>
      <xdr:col>5</xdr:col>
      <xdr:colOff>409222</xdr:colOff>
      <xdr:row>35</xdr:row>
      <xdr:rowOff>42333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83632D-6B0E-2AC1-8BA7-C5E5146822AB}"/>
            </a:ext>
          </a:extLst>
        </xdr:cNvPr>
        <xdr:cNvSpPr txBox="1"/>
      </xdr:nvSpPr>
      <xdr:spPr>
        <a:xfrm>
          <a:off x="3725332" y="7309556"/>
          <a:ext cx="508001" cy="310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s</a:t>
          </a:r>
          <a:r>
            <a:rPr lang="en-US" sz="1600" b="1" kern="1200" baseline="30000">
              <a:solidFill>
                <a:schemeClr val="tx1"/>
              </a:solidFill>
            </a:rPr>
            <a:t>–1</a:t>
          </a:r>
        </a:p>
      </xdr:txBody>
    </xdr:sp>
    <xdr:clientData/>
  </xdr:twoCellAnchor>
  <xdr:twoCellAnchor>
    <xdr:from>
      <xdr:col>3</xdr:col>
      <xdr:colOff>254001</xdr:colOff>
      <xdr:row>32</xdr:row>
      <xdr:rowOff>112889</xdr:rowOff>
    </xdr:from>
    <xdr:to>
      <xdr:col>4</xdr:col>
      <xdr:colOff>127001</xdr:colOff>
      <xdr:row>33</xdr:row>
      <xdr:rowOff>197556</xdr:rowOff>
    </xdr:to>
    <xdr:sp macro="" textlink="Q29">
      <xdr:nvSpPr>
        <xdr:cNvPr id="17" name="TextBox 16">
          <a:extLst>
            <a:ext uri="{FF2B5EF4-FFF2-40B4-BE49-F238E27FC236}">
              <a16:creationId xmlns:a16="http://schemas.microsoft.com/office/drawing/2014/main" id="{11335429-EC55-B094-07E9-BD29D309A3B4}"/>
            </a:ext>
          </a:extLst>
        </xdr:cNvPr>
        <xdr:cNvSpPr txBox="1"/>
      </xdr:nvSpPr>
      <xdr:spPr>
        <a:xfrm>
          <a:off x="2441223" y="7055556"/>
          <a:ext cx="762000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4241870-67A8-CD42-83AF-346420470D1B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2.1</a:t>
          </a:fld>
          <a:endParaRPr lang="en-US" sz="1600" b="1" kern="1200"/>
        </a:p>
      </xdr:txBody>
    </xdr:sp>
    <xdr:clientData/>
  </xdr:twoCellAnchor>
  <xdr:twoCellAnchor>
    <xdr:from>
      <xdr:col>3</xdr:col>
      <xdr:colOff>776112</xdr:colOff>
      <xdr:row>32</xdr:row>
      <xdr:rowOff>98777</xdr:rowOff>
    </xdr:from>
    <xdr:to>
      <xdr:col>4</xdr:col>
      <xdr:colOff>550334</xdr:colOff>
      <xdr:row>34</xdr:row>
      <xdr:rowOff>42333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E8E589E-1EE9-2107-9CD7-CFB8C75AE610}"/>
            </a:ext>
          </a:extLst>
        </xdr:cNvPr>
        <xdr:cNvSpPr txBox="1"/>
      </xdr:nvSpPr>
      <xdr:spPr>
        <a:xfrm>
          <a:off x="2963334" y="7041444"/>
          <a:ext cx="663222" cy="366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min</a:t>
          </a:r>
        </a:p>
      </xdr:txBody>
    </xdr:sp>
    <xdr:clientData/>
  </xdr:twoCellAnchor>
  <xdr:twoCellAnchor>
    <xdr:from>
      <xdr:col>4</xdr:col>
      <xdr:colOff>98778</xdr:colOff>
      <xdr:row>31</xdr:row>
      <xdr:rowOff>84667</xdr:rowOff>
    </xdr:from>
    <xdr:to>
      <xdr:col>4</xdr:col>
      <xdr:colOff>719667</xdr:colOff>
      <xdr:row>33</xdr:row>
      <xdr:rowOff>56445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10866B-68C1-93D8-414F-41A2889652C8}"/>
            </a:ext>
          </a:extLst>
        </xdr:cNvPr>
        <xdr:cNvSpPr txBox="1"/>
      </xdr:nvSpPr>
      <xdr:spPr>
        <a:xfrm>
          <a:off x="3175000" y="6815667"/>
          <a:ext cx="620889" cy="395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km</a:t>
          </a:r>
        </a:p>
      </xdr:txBody>
    </xdr:sp>
    <xdr:clientData/>
  </xdr:twoCellAnchor>
  <xdr:twoCellAnchor>
    <xdr:from>
      <xdr:col>3</xdr:col>
      <xdr:colOff>437444</xdr:colOff>
      <xdr:row>31</xdr:row>
      <xdr:rowOff>84666</xdr:rowOff>
    </xdr:from>
    <xdr:to>
      <xdr:col>4</xdr:col>
      <xdr:colOff>550333</xdr:colOff>
      <xdr:row>32</xdr:row>
      <xdr:rowOff>155221</xdr:rowOff>
    </xdr:to>
    <xdr:sp macro="" textlink="Q30">
      <xdr:nvSpPr>
        <xdr:cNvPr id="20" name="TextBox 19">
          <a:extLst>
            <a:ext uri="{FF2B5EF4-FFF2-40B4-BE49-F238E27FC236}">
              <a16:creationId xmlns:a16="http://schemas.microsoft.com/office/drawing/2014/main" id="{2B11CDB6-62B5-A074-ED3B-370B913A88E2}"/>
            </a:ext>
          </a:extLst>
        </xdr:cNvPr>
        <xdr:cNvSpPr txBox="1"/>
      </xdr:nvSpPr>
      <xdr:spPr>
        <a:xfrm>
          <a:off x="2624666" y="6815666"/>
          <a:ext cx="1001889" cy="282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02271B-FD8D-B641-8C31-30C66E9F82C6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1.2</a:t>
          </a:fld>
          <a:endParaRPr lang="en-US" sz="1600" b="1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0.00457</cdr:x>
      <cdr:y>0.73443</cdr:y>
    </cdr:from>
    <cdr:to>
      <cdr:x>0.37227</cdr:x>
      <cdr:y>0.98932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6AA25C4-24A6-DDF4-91C2-D3593DCAC0EA}"/>
                </a:ext>
              </a:extLst>
            </cdr:cNvPr>
            <cdr:cNvSpPr txBox="1"/>
          </cdr:nvSpPr>
          <cdr:spPr>
            <a:xfrm xmlns:a="http://schemas.openxmlformats.org/drawingml/2006/main">
              <a:off x="56446" y="6790267"/>
              <a:ext cx="4543777" cy="2356555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600" b="1" kern="1200"/>
                <a:t>Predicted Tornado Pathlength:</a:t>
              </a:r>
            </a:p>
            <a:p xmlns:a="http://schemas.openxmlformats.org/drawingml/2006/main">
              <a:r>
                <a:rPr lang="en-US" sz="1600" b="1" kern="1200"/>
                <a:t>Predicted Tornado Duration:</a:t>
              </a:r>
            </a:p>
            <a:p xmlns:a="http://schemas.openxmlformats.org/drawingml/2006/main">
              <a:r>
                <a:rPr lang="en-US" sz="1600" b="1" kern="1200"/>
                <a:t>Sub-Cloud Vertical Wind</a:t>
              </a:r>
              <a:r>
                <a:rPr lang="en-US" sz="1600" b="1" kern="1200" baseline="0"/>
                <a:t> Shear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1" i="1" kern="120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1" i="1" kern="120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600" b="1" i="1" kern="1200" baseline="0">
                          <a:latin typeface="Cambria Math" panose="02040503050406030204" pitchFamily="18" charset="0"/>
                        </a:rPr>
                        <m:t>𝒔𝒄</m:t>
                      </m:r>
                    </m:sub>
                  </m:sSub>
                </m:oMath>
              </a14:m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Sub-Cloud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1" i="1" kern="120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1" i="1" kern="120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600" b="1" i="1" kern="1200" baseline="0">
                          <a:latin typeface="Cambria Math" panose="02040503050406030204" pitchFamily="18" charset="0"/>
                        </a:rPr>
                        <m:t>𝒔𝒘</m:t>
                      </m:r>
                    </m:sub>
                  </m:sSub>
                </m:oMath>
              </a14:m>
              <a:r>
                <a:rPr lang="en-US" sz="1600" b="1" kern="1200"/>
                <a:t>:                s</a:t>
              </a:r>
              <a:r>
                <a:rPr lang="en-US" sz="1600" b="1" kern="1200" baseline="30000"/>
                <a:t>–1 </a:t>
              </a:r>
              <a:r>
                <a:rPr lang="en-US" sz="1600" b="1" kern="1200"/>
                <a:t>/</a:t>
              </a:r>
              <a:r>
                <a:rPr lang="en-US" sz="1600" b="1" kern="1200" baseline="0"/>
                <a:t> SRH:</a:t>
              </a:r>
            </a:p>
            <a:p xmlns:a="http://schemas.openxmlformats.org/drawingml/2006/main">
              <a:r>
                <a:rPr lang="en-US" sz="1600" b="1" kern="1200" baseline="0"/>
                <a:t>Vertical Scale-Height (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Horizontal Length Scale (</a:t>
              </a:r>
              <a:r>
                <a:rPr lang="en-US" sz="1600" b="1" i="1" kern="1200" baseline="0"/>
                <a:t>r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E-Folding 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-decay Parameter (</a:t>
              </a:r>
              <a14:m>
                <m:oMath xmlns:m="http://schemas.openxmlformats.org/officeDocument/2006/math">
                  <m:r>
                    <a:rPr lang="en-US" sz="1600" b="1" i="1" kern="1200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𝜷</m:t>
                  </m:r>
                </m:oMath>
              </a14:m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Average Sub-Cloud SRW:</a:t>
              </a:r>
            </a:p>
            <a:p xmlns:a="http://schemas.openxmlformats.org/drawingml/2006/main">
              <a:r>
                <a:rPr lang="en-US" sz="1600" b="1" kern="1200" baseline="0"/>
                <a:t>MLLCL Height:</a:t>
              </a:r>
              <a:endParaRPr lang="en-US" sz="1600" b="1" kern="12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6AA25C4-24A6-DDF4-91C2-D3593DCAC0EA}"/>
                </a:ext>
              </a:extLst>
            </cdr:cNvPr>
            <cdr:cNvSpPr txBox="1"/>
          </cdr:nvSpPr>
          <cdr:spPr>
            <a:xfrm xmlns:a="http://schemas.openxmlformats.org/drawingml/2006/main">
              <a:off x="56446" y="6790267"/>
              <a:ext cx="4543777" cy="2356555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600" b="1" kern="1200"/>
                <a:t>Predicted Tornado Pathlength:</a:t>
              </a:r>
            </a:p>
            <a:p xmlns:a="http://schemas.openxmlformats.org/drawingml/2006/main">
              <a:r>
                <a:rPr lang="en-US" sz="1600" b="1" kern="1200"/>
                <a:t>Predicted Tornado Duration:</a:t>
              </a:r>
            </a:p>
            <a:p xmlns:a="http://schemas.openxmlformats.org/drawingml/2006/main">
              <a:r>
                <a:rPr lang="en-US" sz="1600" b="1" kern="1200"/>
                <a:t>Sub-Cloud Vertical Wind</a:t>
              </a:r>
              <a:r>
                <a:rPr lang="en-US" sz="1600" b="1" kern="1200" baseline="0"/>
                <a:t> Shear (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𝝎_</a:t>
              </a:r>
              <a:r>
                <a:rPr lang="en-US" sz="1600" b="1" i="0" kern="1200" baseline="0">
                  <a:latin typeface="Cambria Math" panose="02040503050406030204" pitchFamily="18" charset="0"/>
                </a:rPr>
                <a:t>𝒔𝒄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Sub-Cloud 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𝝎_</a:t>
              </a:r>
              <a:r>
                <a:rPr lang="en-US" sz="1600" b="1" i="0" kern="1200" baseline="0">
                  <a:latin typeface="Cambria Math" panose="02040503050406030204" pitchFamily="18" charset="0"/>
                </a:rPr>
                <a:t>𝒔𝒘</a:t>
              </a:r>
              <a:r>
                <a:rPr lang="en-US" sz="1600" b="1" kern="1200"/>
                <a:t>:                s</a:t>
              </a:r>
              <a:r>
                <a:rPr lang="en-US" sz="1600" b="1" kern="1200" baseline="30000"/>
                <a:t>–1 </a:t>
              </a:r>
              <a:r>
                <a:rPr lang="en-US" sz="1600" b="1" kern="1200"/>
                <a:t>/</a:t>
              </a:r>
              <a:r>
                <a:rPr lang="en-US" sz="1600" b="1" kern="1200" baseline="0"/>
                <a:t> SRH:</a:t>
              </a:r>
            </a:p>
            <a:p xmlns:a="http://schemas.openxmlformats.org/drawingml/2006/main">
              <a:r>
                <a:rPr lang="en-US" sz="1600" b="1" kern="1200" baseline="0"/>
                <a:t>Vertical Scale-Height (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Horizontal Length Scale (</a:t>
              </a:r>
              <a:r>
                <a:rPr lang="en-US" sz="1600" b="1" i="1" kern="1200" baseline="0"/>
                <a:t>r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E-Folding 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-decay Parameter (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Average Sub-Cloud SRW:</a:t>
              </a:r>
            </a:p>
            <a:p xmlns:a="http://schemas.openxmlformats.org/drawingml/2006/main">
              <a:r>
                <a:rPr lang="en-US" sz="1600" b="1" kern="1200" baseline="0"/>
                <a:t>MLLCL Height:</a:t>
              </a:r>
              <a:endParaRPr lang="en-US" sz="1600" b="1" kern="12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25399</xdr:rowOff>
    </xdr:from>
    <xdr:to>
      <xdr:col>15</xdr:col>
      <xdr:colOff>23988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4CC9B-CEAB-EE44-AF37-880AC391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606778</xdr:colOff>
      <xdr:row>40</xdr:row>
      <xdr:rowOff>70555</xdr:rowOff>
    </xdr:from>
    <xdr:to>
      <xdr:col>3</xdr:col>
      <xdr:colOff>98778</xdr:colOff>
      <xdr:row>41</xdr:row>
      <xdr:rowOff>169334</xdr:rowOff>
    </xdr:to>
    <xdr:sp macro="" textlink="Q2">
      <xdr:nvSpPr>
        <xdr:cNvPr id="3" name="TextBox 2">
          <a:extLst>
            <a:ext uri="{FF2B5EF4-FFF2-40B4-BE49-F238E27FC236}">
              <a16:creationId xmlns:a16="http://schemas.microsoft.com/office/drawing/2014/main" id="{81ED8C54-95CA-704B-8556-FABCB9489785}"/>
            </a:ext>
          </a:extLst>
        </xdr:cNvPr>
        <xdr:cNvSpPr txBox="1"/>
      </xdr:nvSpPr>
      <xdr:spPr>
        <a:xfrm>
          <a:off x="1270000" y="9242777"/>
          <a:ext cx="1016000" cy="324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6512F2F-6679-C040-A516-DFE3119B170C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867</a:t>
          </a:fld>
          <a:endParaRPr lang="en-US" sz="1600" kern="1200"/>
        </a:p>
      </xdr:txBody>
    </xdr:sp>
    <xdr:clientData/>
  </xdr:twoCellAnchor>
  <xdr:twoCellAnchor>
    <xdr:from>
      <xdr:col>2</xdr:col>
      <xdr:colOff>310445</xdr:colOff>
      <xdr:row>40</xdr:row>
      <xdr:rowOff>70556</xdr:rowOff>
    </xdr:from>
    <xdr:to>
      <xdr:col>3</xdr:col>
      <xdr:colOff>70556</xdr:colOff>
      <xdr:row>42</xdr:row>
      <xdr:rowOff>28223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27AEDB-9E96-2C4C-9C56-7CE86CED9BC3}"/>
            </a:ext>
          </a:extLst>
        </xdr:cNvPr>
        <xdr:cNvSpPr txBox="1"/>
      </xdr:nvSpPr>
      <xdr:spPr>
        <a:xfrm>
          <a:off x="1721556" y="9242778"/>
          <a:ext cx="536222" cy="409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747889</xdr:colOff>
      <xdr:row>39</xdr:row>
      <xdr:rowOff>42334</xdr:rowOff>
    </xdr:from>
    <xdr:to>
      <xdr:col>3</xdr:col>
      <xdr:colOff>747889</xdr:colOff>
      <xdr:row>41</xdr:row>
      <xdr:rowOff>28222</xdr:rowOff>
    </xdr:to>
    <xdr:sp macro="" textlink="K55">
      <xdr:nvSpPr>
        <xdr:cNvPr id="5" name="TextBox 4">
          <a:extLst>
            <a:ext uri="{FF2B5EF4-FFF2-40B4-BE49-F238E27FC236}">
              <a16:creationId xmlns:a16="http://schemas.microsoft.com/office/drawing/2014/main" id="{4E0BFD32-6D36-F948-A87B-2BE653F33F40}"/>
            </a:ext>
          </a:extLst>
        </xdr:cNvPr>
        <xdr:cNvSpPr txBox="1"/>
      </xdr:nvSpPr>
      <xdr:spPr>
        <a:xfrm>
          <a:off x="2159000" y="8988778"/>
          <a:ext cx="776111" cy="437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50C01B-20D7-9247-A4B2-F9BC71200ECA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9.1</a:t>
          </a:fld>
          <a:endParaRPr lang="en-US" sz="1600" b="1" kern="1200"/>
        </a:p>
      </xdr:txBody>
    </xdr:sp>
    <xdr:clientData/>
  </xdr:twoCellAnchor>
  <xdr:twoCellAnchor>
    <xdr:from>
      <xdr:col>3</xdr:col>
      <xdr:colOff>395112</xdr:colOff>
      <xdr:row>39</xdr:row>
      <xdr:rowOff>42333</xdr:rowOff>
    </xdr:from>
    <xdr:to>
      <xdr:col>4</xdr:col>
      <xdr:colOff>296334</xdr:colOff>
      <xdr:row>40</xdr:row>
      <xdr:rowOff>225777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56CA10-5B98-8947-AFE8-5E949E31B7D8}"/>
            </a:ext>
          </a:extLst>
        </xdr:cNvPr>
        <xdr:cNvSpPr txBox="1"/>
      </xdr:nvSpPr>
      <xdr:spPr>
        <a:xfrm>
          <a:off x="2582334" y="8988777"/>
          <a:ext cx="790222" cy="409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 s</a:t>
          </a:r>
          <a:r>
            <a:rPr lang="en-US" sz="1600" b="1" kern="1200" baseline="30000">
              <a:solidFill>
                <a:schemeClr val="tx1"/>
              </a:solidFill>
            </a:rPr>
            <a:t>–1</a:t>
          </a:r>
        </a:p>
      </xdr:txBody>
    </xdr:sp>
    <xdr:clientData/>
  </xdr:twoCellAnchor>
  <xdr:twoCellAnchor>
    <xdr:from>
      <xdr:col>3</xdr:col>
      <xdr:colOff>663222</xdr:colOff>
      <xdr:row>38</xdr:row>
      <xdr:rowOff>28222</xdr:rowOff>
    </xdr:from>
    <xdr:to>
      <xdr:col>4</xdr:col>
      <xdr:colOff>620889</xdr:colOff>
      <xdr:row>39</xdr:row>
      <xdr:rowOff>169334</xdr:rowOff>
    </xdr:to>
    <xdr:sp macro="" textlink="Q28">
      <xdr:nvSpPr>
        <xdr:cNvPr id="7" name="TextBox 6">
          <a:extLst>
            <a:ext uri="{FF2B5EF4-FFF2-40B4-BE49-F238E27FC236}">
              <a16:creationId xmlns:a16="http://schemas.microsoft.com/office/drawing/2014/main" id="{7D76F5D2-6A86-CC41-AFA5-D94988B070E2}"/>
            </a:ext>
          </a:extLst>
        </xdr:cNvPr>
        <xdr:cNvSpPr txBox="1"/>
      </xdr:nvSpPr>
      <xdr:spPr>
        <a:xfrm>
          <a:off x="2850444" y="8748889"/>
          <a:ext cx="846667" cy="366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E403BA-C917-6B44-8EBC-5CF5AE0DB488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12.7</a:t>
          </a:fld>
          <a:endParaRPr lang="en-US" sz="1600" b="1" kern="1200"/>
        </a:p>
      </xdr:txBody>
    </xdr:sp>
    <xdr:clientData/>
  </xdr:twoCellAnchor>
  <xdr:twoCellAnchor>
    <xdr:from>
      <xdr:col>3</xdr:col>
      <xdr:colOff>155220</xdr:colOff>
      <xdr:row>36</xdr:row>
      <xdr:rowOff>225777</xdr:rowOff>
    </xdr:from>
    <xdr:to>
      <xdr:col>4</xdr:col>
      <xdr:colOff>98775</xdr:colOff>
      <xdr:row>38</xdr:row>
      <xdr:rowOff>84665</xdr:rowOff>
    </xdr:to>
    <xdr:sp macro="" textlink="Q16">
      <xdr:nvSpPr>
        <xdr:cNvPr id="8" name="TextBox 7">
          <a:extLst>
            <a:ext uri="{FF2B5EF4-FFF2-40B4-BE49-F238E27FC236}">
              <a16:creationId xmlns:a16="http://schemas.microsoft.com/office/drawing/2014/main" id="{E19B3CE4-C619-7449-A711-7DC41598351C}"/>
            </a:ext>
          </a:extLst>
        </xdr:cNvPr>
        <xdr:cNvSpPr txBox="1"/>
      </xdr:nvSpPr>
      <xdr:spPr>
        <a:xfrm>
          <a:off x="2342442" y="8494888"/>
          <a:ext cx="832555" cy="310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95CFD0-048A-1E49-99E7-1F276DBB85F0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1469</a:t>
          </a:fld>
          <a:endParaRPr lang="en-US" sz="1600" b="1" kern="1200"/>
        </a:p>
      </xdr:txBody>
    </xdr:sp>
    <xdr:clientData/>
  </xdr:twoCellAnchor>
  <xdr:twoCellAnchor>
    <xdr:from>
      <xdr:col>3</xdr:col>
      <xdr:colOff>635000</xdr:colOff>
      <xdr:row>36</xdr:row>
      <xdr:rowOff>225777</xdr:rowOff>
    </xdr:from>
    <xdr:to>
      <xdr:col>4</xdr:col>
      <xdr:colOff>268112</xdr:colOff>
      <xdr:row>38</xdr:row>
      <xdr:rowOff>56444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64C502-8A9D-AA43-A090-C61DF92AF047}"/>
            </a:ext>
          </a:extLst>
        </xdr:cNvPr>
        <xdr:cNvSpPr txBox="1"/>
      </xdr:nvSpPr>
      <xdr:spPr>
        <a:xfrm>
          <a:off x="2822222" y="8494888"/>
          <a:ext cx="522112" cy="282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762003</xdr:colOff>
      <xdr:row>35</xdr:row>
      <xdr:rowOff>197556</xdr:rowOff>
    </xdr:from>
    <xdr:to>
      <xdr:col>4</xdr:col>
      <xdr:colOff>112892</xdr:colOff>
      <xdr:row>37</xdr:row>
      <xdr:rowOff>70555</xdr:rowOff>
    </xdr:to>
    <xdr:sp macro="" textlink="Q7">
      <xdr:nvSpPr>
        <xdr:cNvPr id="10" name="TextBox 9">
          <a:extLst>
            <a:ext uri="{FF2B5EF4-FFF2-40B4-BE49-F238E27FC236}">
              <a16:creationId xmlns:a16="http://schemas.microsoft.com/office/drawing/2014/main" id="{5B0A7E2B-91EA-6743-A180-CAEE7303093A}"/>
            </a:ext>
          </a:extLst>
        </xdr:cNvPr>
        <xdr:cNvSpPr txBox="1"/>
      </xdr:nvSpPr>
      <xdr:spPr>
        <a:xfrm>
          <a:off x="2173114" y="8240889"/>
          <a:ext cx="1016000" cy="324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118185-E60D-3840-A05D-836E7182A8ED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9819</a:t>
          </a:fld>
          <a:endParaRPr lang="en-US" sz="1600" b="1" kern="1200"/>
        </a:p>
      </xdr:txBody>
    </xdr:sp>
    <xdr:clientData/>
  </xdr:twoCellAnchor>
  <xdr:twoCellAnchor>
    <xdr:from>
      <xdr:col>3</xdr:col>
      <xdr:colOff>536223</xdr:colOff>
      <xdr:row>35</xdr:row>
      <xdr:rowOff>197557</xdr:rowOff>
    </xdr:from>
    <xdr:to>
      <xdr:col>4</xdr:col>
      <xdr:colOff>155223</xdr:colOff>
      <xdr:row>37</xdr:row>
      <xdr:rowOff>42334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6F58B1-8CB7-C640-B225-30B4347332F1}"/>
            </a:ext>
          </a:extLst>
        </xdr:cNvPr>
        <xdr:cNvSpPr txBox="1"/>
      </xdr:nvSpPr>
      <xdr:spPr>
        <a:xfrm>
          <a:off x="2723445" y="8240890"/>
          <a:ext cx="508000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42334</xdr:colOff>
      <xdr:row>34</xdr:row>
      <xdr:rowOff>183445</xdr:rowOff>
    </xdr:from>
    <xdr:to>
      <xdr:col>3</xdr:col>
      <xdr:colOff>14112</xdr:colOff>
      <xdr:row>36</xdr:row>
      <xdr:rowOff>28223</xdr:rowOff>
    </xdr:to>
    <xdr:sp macro="" textlink="K53">
      <xdr:nvSpPr>
        <xdr:cNvPr id="12" name="TextBox 11">
          <a:extLst>
            <a:ext uri="{FF2B5EF4-FFF2-40B4-BE49-F238E27FC236}">
              <a16:creationId xmlns:a16="http://schemas.microsoft.com/office/drawing/2014/main" id="{2B18E00A-1559-7D4B-9CAD-DD21A10EFAE9}"/>
            </a:ext>
          </a:extLst>
        </xdr:cNvPr>
        <xdr:cNvSpPr txBox="1"/>
      </xdr:nvSpPr>
      <xdr:spPr>
        <a:xfrm>
          <a:off x="1453445" y="8001001"/>
          <a:ext cx="747889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2A0E11-108F-F14C-BF28-116B3F0ACEEA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0.0196</a:t>
          </a:fld>
          <a:endParaRPr lang="en-US" sz="1600" b="1" kern="1200"/>
        </a:p>
      </xdr:txBody>
    </xdr:sp>
    <xdr:clientData/>
  </xdr:twoCellAnchor>
  <xdr:twoCellAnchor>
    <xdr:from>
      <xdr:col>3</xdr:col>
      <xdr:colOff>578557</xdr:colOff>
      <xdr:row>34</xdr:row>
      <xdr:rowOff>169333</xdr:rowOff>
    </xdr:from>
    <xdr:to>
      <xdr:col>4</xdr:col>
      <xdr:colOff>465668</xdr:colOff>
      <xdr:row>36</xdr:row>
      <xdr:rowOff>98778</xdr:rowOff>
    </xdr:to>
    <xdr:sp macro="" textlink="K57">
      <xdr:nvSpPr>
        <xdr:cNvPr id="13" name="TextBox 12">
          <a:extLst>
            <a:ext uri="{FF2B5EF4-FFF2-40B4-BE49-F238E27FC236}">
              <a16:creationId xmlns:a16="http://schemas.microsoft.com/office/drawing/2014/main" id="{F57D7159-49F0-F743-B882-401CA1829FF5}"/>
            </a:ext>
          </a:extLst>
        </xdr:cNvPr>
        <xdr:cNvSpPr txBox="1"/>
      </xdr:nvSpPr>
      <xdr:spPr>
        <a:xfrm>
          <a:off x="2765779" y="7986889"/>
          <a:ext cx="77611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D4B268-F534-D148-927B-B76A20156776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144</a:t>
          </a:fld>
          <a:endParaRPr lang="en-US" sz="1600" b="1" kern="1200"/>
        </a:p>
      </xdr:txBody>
    </xdr:sp>
    <xdr:clientData/>
  </xdr:twoCellAnchor>
  <xdr:twoCellAnchor>
    <xdr:from>
      <xdr:col>4</xdr:col>
      <xdr:colOff>127000</xdr:colOff>
      <xdr:row>34</xdr:row>
      <xdr:rowOff>169333</xdr:rowOff>
    </xdr:from>
    <xdr:to>
      <xdr:col>5</xdr:col>
      <xdr:colOff>197555</xdr:colOff>
      <xdr:row>36</xdr:row>
      <xdr:rowOff>14111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ECFED1-2CA5-A649-855D-B3EABF0EC321}"/>
            </a:ext>
          </a:extLst>
        </xdr:cNvPr>
        <xdr:cNvSpPr txBox="1"/>
      </xdr:nvSpPr>
      <xdr:spPr>
        <a:xfrm>
          <a:off x="3203222" y="7986889"/>
          <a:ext cx="818444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</a:t>
          </a:r>
          <a:r>
            <a:rPr lang="en-US" sz="1600" b="1" kern="1200" baseline="30000">
              <a:solidFill>
                <a:schemeClr val="tx1"/>
              </a:solidFill>
            </a:rPr>
            <a:t>2</a:t>
          </a:r>
          <a:r>
            <a:rPr lang="en-US" sz="1600" b="1" kern="1200">
              <a:solidFill>
                <a:schemeClr val="tx1"/>
              </a:solidFill>
            </a:rPr>
            <a:t> s</a:t>
          </a:r>
          <a:r>
            <a:rPr lang="en-US" sz="1600" b="1" kern="1200" baseline="30000">
              <a:solidFill>
                <a:schemeClr val="tx1"/>
              </a:solidFill>
            </a:rPr>
            <a:t>–2</a:t>
          </a:r>
        </a:p>
      </xdr:txBody>
    </xdr:sp>
    <xdr:clientData/>
  </xdr:twoCellAnchor>
  <xdr:twoCellAnchor>
    <xdr:from>
      <xdr:col>4</xdr:col>
      <xdr:colOff>112890</xdr:colOff>
      <xdr:row>33</xdr:row>
      <xdr:rowOff>155222</xdr:rowOff>
    </xdr:from>
    <xdr:to>
      <xdr:col>5</xdr:col>
      <xdr:colOff>381001</xdr:colOff>
      <xdr:row>35</xdr:row>
      <xdr:rowOff>56444</xdr:rowOff>
    </xdr:to>
    <xdr:sp macro="" textlink="Q15">
      <xdr:nvSpPr>
        <xdr:cNvPr id="15" name="TextBox 14">
          <a:extLst>
            <a:ext uri="{FF2B5EF4-FFF2-40B4-BE49-F238E27FC236}">
              <a16:creationId xmlns:a16="http://schemas.microsoft.com/office/drawing/2014/main" id="{E9D99C25-0E8F-B245-AB5D-3C69F480C2DE}"/>
            </a:ext>
          </a:extLst>
        </xdr:cNvPr>
        <xdr:cNvSpPr txBox="1"/>
      </xdr:nvSpPr>
      <xdr:spPr>
        <a:xfrm>
          <a:off x="3189112" y="7747000"/>
          <a:ext cx="1016000" cy="352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8CD0AB-3CE5-5E48-B8DC-0BE3EDC940AC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0.013</a:t>
          </a:fld>
          <a:endParaRPr lang="en-US" sz="1600" b="1" kern="1200"/>
        </a:p>
      </xdr:txBody>
    </xdr:sp>
    <xdr:clientData/>
  </xdr:twoCellAnchor>
  <xdr:twoCellAnchor>
    <xdr:from>
      <xdr:col>4</xdr:col>
      <xdr:colOff>620888</xdr:colOff>
      <xdr:row>33</xdr:row>
      <xdr:rowOff>141112</xdr:rowOff>
    </xdr:from>
    <xdr:to>
      <xdr:col>5</xdr:col>
      <xdr:colOff>381000</xdr:colOff>
      <xdr:row>35</xdr:row>
      <xdr:rowOff>28222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C665EFF-24E9-DD45-93C0-B4D44250C2EA}"/>
            </a:ext>
          </a:extLst>
        </xdr:cNvPr>
        <xdr:cNvSpPr txBox="1"/>
      </xdr:nvSpPr>
      <xdr:spPr>
        <a:xfrm>
          <a:off x="3697110" y="7732890"/>
          <a:ext cx="508001" cy="338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s</a:t>
          </a:r>
          <a:r>
            <a:rPr lang="en-US" sz="1600" b="1" kern="1200" baseline="30000">
              <a:solidFill>
                <a:schemeClr val="tx1"/>
              </a:solidFill>
            </a:rPr>
            <a:t>–1</a:t>
          </a:r>
        </a:p>
      </xdr:txBody>
    </xdr:sp>
    <xdr:clientData/>
  </xdr:twoCellAnchor>
  <xdr:twoCellAnchor>
    <xdr:from>
      <xdr:col>3</xdr:col>
      <xdr:colOff>254001</xdr:colOff>
      <xdr:row>32</xdr:row>
      <xdr:rowOff>112889</xdr:rowOff>
    </xdr:from>
    <xdr:to>
      <xdr:col>4</xdr:col>
      <xdr:colOff>127001</xdr:colOff>
      <xdr:row>33</xdr:row>
      <xdr:rowOff>197556</xdr:rowOff>
    </xdr:to>
    <xdr:sp macro="" textlink="Q29">
      <xdr:nvSpPr>
        <xdr:cNvPr id="17" name="TextBox 16">
          <a:extLst>
            <a:ext uri="{FF2B5EF4-FFF2-40B4-BE49-F238E27FC236}">
              <a16:creationId xmlns:a16="http://schemas.microsoft.com/office/drawing/2014/main" id="{C80E2CF8-ADBA-334D-B26A-FE4B5A70B159}"/>
            </a:ext>
          </a:extLst>
        </xdr:cNvPr>
        <xdr:cNvSpPr txBox="1"/>
      </xdr:nvSpPr>
      <xdr:spPr>
        <a:xfrm>
          <a:off x="2438401" y="7174089"/>
          <a:ext cx="762000" cy="300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4241870-67A8-CD42-83AF-346420470D1B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68.4</a:t>
          </a:fld>
          <a:endParaRPr lang="en-US" sz="1600" b="1" kern="1200"/>
        </a:p>
      </xdr:txBody>
    </xdr:sp>
    <xdr:clientData/>
  </xdr:twoCellAnchor>
  <xdr:twoCellAnchor>
    <xdr:from>
      <xdr:col>3</xdr:col>
      <xdr:colOff>776112</xdr:colOff>
      <xdr:row>32</xdr:row>
      <xdr:rowOff>98777</xdr:rowOff>
    </xdr:from>
    <xdr:to>
      <xdr:col>4</xdr:col>
      <xdr:colOff>550334</xdr:colOff>
      <xdr:row>34</xdr:row>
      <xdr:rowOff>42333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30BB169-E753-9940-9488-F845CF05EF91}"/>
            </a:ext>
          </a:extLst>
        </xdr:cNvPr>
        <xdr:cNvSpPr txBox="1"/>
      </xdr:nvSpPr>
      <xdr:spPr>
        <a:xfrm>
          <a:off x="2960512" y="7159977"/>
          <a:ext cx="663222" cy="375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min</a:t>
          </a:r>
        </a:p>
      </xdr:txBody>
    </xdr:sp>
    <xdr:clientData/>
  </xdr:twoCellAnchor>
  <xdr:twoCellAnchor>
    <xdr:from>
      <xdr:col>4</xdr:col>
      <xdr:colOff>98778</xdr:colOff>
      <xdr:row>31</xdr:row>
      <xdr:rowOff>84667</xdr:rowOff>
    </xdr:from>
    <xdr:to>
      <xdr:col>4</xdr:col>
      <xdr:colOff>719667</xdr:colOff>
      <xdr:row>33</xdr:row>
      <xdr:rowOff>56445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D6DDB58-A269-6247-9429-FC1254742FB4}"/>
            </a:ext>
          </a:extLst>
        </xdr:cNvPr>
        <xdr:cNvSpPr txBox="1"/>
      </xdr:nvSpPr>
      <xdr:spPr>
        <a:xfrm>
          <a:off x="3172178" y="6929967"/>
          <a:ext cx="620889" cy="403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1"/>
              </a:solidFill>
            </a:rPr>
            <a:t>km</a:t>
          </a:r>
        </a:p>
      </xdr:txBody>
    </xdr:sp>
    <xdr:clientData/>
  </xdr:twoCellAnchor>
  <xdr:twoCellAnchor>
    <xdr:from>
      <xdr:col>3</xdr:col>
      <xdr:colOff>437444</xdr:colOff>
      <xdr:row>31</xdr:row>
      <xdr:rowOff>84666</xdr:rowOff>
    </xdr:from>
    <xdr:to>
      <xdr:col>4</xdr:col>
      <xdr:colOff>550333</xdr:colOff>
      <xdr:row>32</xdr:row>
      <xdr:rowOff>155221</xdr:rowOff>
    </xdr:to>
    <xdr:sp macro="" textlink="Q30">
      <xdr:nvSpPr>
        <xdr:cNvPr id="20" name="TextBox 19">
          <a:extLst>
            <a:ext uri="{FF2B5EF4-FFF2-40B4-BE49-F238E27FC236}">
              <a16:creationId xmlns:a16="http://schemas.microsoft.com/office/drawing/2014/main" id="{60CE008B-461E-EC4A-9104-A354F376E80A}"/>
            </a:ext>
          </a:extLst>
        </xdr:cNvPr>
        <xdr:cNvSpPr txBox="1"/>
      </xdr:nvSpPr>
      <xdr:spPr>
        <a:xfrm>
          <a:off x="2621844" y="6929966"/>
          <a:ext cx="1001889" cy="286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02271B-FD8D-B641-8C31-30C66E9F82C6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/>
            <a:t>69.2</a:t>
          </a:fld>
          <a:endParaRPr lang="en-US" sz="1600" b="1" kern="12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0.00457</cdr:x>
      <cdr:y>0.73443</cdr:y>
    </cdr:from>
    <cdr:to>
      <cdr:x>0.37227</cdr:x>
      <cdr:y>0.98932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6AA25C4-24A6-DDF4-91C2-D3593DCAC0EA}"/>
                </a:ext>
              </a:extLst>
            </cdr:cNvPr>
            <cdr:cNvSpPr txBox="1"/>
          </cdr:nvSpPr>
          <cdr:spPr>
            <a:xfrm xmlns:a="http://schemas.openxmlformats.org/drawingml/2006/main">
              <a:off x="56446" y="6790267"/>
              <a:ext cx="4543777" cy="2356555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600" b="1" kern="1200"/>
                <a:t>Predicted Tornado Pathlength:</a:t>
              </a:r>
            </a:p>
            <a:p xmlns:a="http://schemas.openxmlformats.org/drawingml/2006/main">
              <a:r>
                <a:rPr lang="en-US" sz="1600" b="1" kern="1200"/>
                <a:t>Predicted Tornado Duration:</a:t>
              </a:r>
            </a:p>
            <a:p xmlns:a="http://schemas.openxmlformats.org/drawingml/2006/main">
              <a:r>
                <a:rPr lang="en-US" sz="1600" b="1" kern="1200"/>
                <a:t>Sub-Cloud Vertical Wind</a:t>
              </a:r>
              <a:r>
                <a:rPr lang="en-US" sz="1600" b="1" kern="1200" baseline="0"/>
                <a:t> Shear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1" i="1" kern="120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1" i="1" kern="120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600" b="1" i="1" kern="1200" baseline="0">
                          <a:latin typeface="Cambria Math" panose="02040503050406030204" pitchFamily="18" charset="0"/>
                        </a:rPr>
                        <m:t>𝒔𝒄</m:t>
                      </m:r>
                    </m:sub>
                  </m:sSub>
                </m:oMath>
              </a14:m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Sub-Cloud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1" i="1" kern="120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1" i="1" kern="120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600" b="1" i="1" kern="1200" baseline="0">
                          <a:latin typeface="Cambria Math" panose="02040503050406030204" pitchFamily="18" charset="0"/>
                        </a:rPr>
                        <m:t>𝒔𝒘</m:t>
                      </m:r>
                    </m:sub>
                  </m:sSub>
                </m:oMath>
              </a14:m>
              <a:r>
                <a:rPr lang="en-US" sz="1600" b="1" kern="1200"/>
                <a:t>:                s</a:t>
              </a:r>
              <a:r>
                <a:rPr lang="en-US" sz="1600" b="1" kern="1200" baseline="30000"/>
                <a:t>–1 </a:t>
              </a:r>
              <a:r>
                <a:rPr lang="en-US" sz="1600" b="1" kern="1200"/>
                <a:t>/</a:t>
              </a:r>
              <a:r>
                <a:rPr lang="en-US" sz="1600" b="1" kern="1200" baseline="0"/>
                <a:t> SRH:</a:t>
              </a:r>
            </a:p>
            <a:p xmlns:a="http://schemas.openxmlformats.org/drawingml/2006/main">
              <a:r>
                <a:rPr lang="en-US" sz="1600" b="1" kern="1200" baseline="0"/>
                <a:t>Vertical Scale-Height (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Horizontal Length Scale (</a:t>
              </a:r>
              <a:r>
                <a:rPr lang="en-US" sz="1600" b="1" i="1" kern="1200" baseline="0"/>
                <a:t>r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E-Folding 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-decay Parameter (</a:t>
              </a:r>
              <a14:m>
                <m:oMath xmlns:m="http://schemas.openxmlformats.org/officeDocument/2006/math">
                  <m:r>
                    <a:rPr lang="en-US" sz="1600" b="1" i="1" kern="1200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𝜷</m:t>
                  </m:r>
                </m:oMath>
              </a14:m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Average Sub-Cloud SRW:</a:t>
              </a:r>
            </a:p>
            <a:p xmlns:a="http://schemas.openxmlformats.org/drawingml/2006/main">
              <a:r>
                <a:rPr lang="en-US" sz="1600" b="1" kern="1200" baseline="0"/>
                <a:t>MLLCL Height:</a:t>
              </a:r>
              <a:endParaRPr lang="en-US" sz="1600" b="1" kern="12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6AA25C4-24A6-DDF4-91C2-D3593DCAC0EA}"/>
                </a:ext>
              </a:extLst>
            </cdr:cNvPr>
            <cdr:cNvSpPr txBox="1"/>
          </cdr:nvSpPr>
          <cdr:spPr>
            <a:xfrm xmlns:a="http://schemas.openxmlformats.org/drawingml/2006/main">
              <a:off x="56446" y="6790267"/>
              <a:ext cx="4543777" cy="2356555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600" b="1" kern="1200"/>
                <a:t>Predicted Tornado Pathlength:</a:t>
              </a:r>
            </a:p>
            <a:p xmlns:a="http://schemas.openxmlformats.org/drawingml/2006/main">
              <a:r>
                <a:rPr lang="en-US" sz="1600" b="1" kern="1200"/>
                <a:t>Predicted Tornado Duration:</a:t>
              </a:r>
            </a:p>
            <a:p xmlns:a="http://schemas.openxmlformats.org/drawingml/2006/main">
              <a:r>
                <a:rPr lang="en-US" sz="1600" b="1" kern="1200"/>
                <a:t>Sub-Cloud Vertical Wind</a:t>
              </a:r>
              <a:r>
                <a:rPr lang="en-US" sz="1600" b="1" kern="1200" baseline="0"/>
                <a:t> Shear (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𝝎_</a:t>
              </a:r>
              <a:r>
                <a:rPr lang="en-US" sz="1600" b="1" i="0" kern="1200" baseline="0">
                  <a:latin typeface="Cambria Math" panose="02040503050406030204" pitchFamily="18" charset="0"/>
                </a:rPr>
                <a:t>𝒔𝒄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Sub-Cloud 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𝝎_</a:t>
              </a:r>
              <a:r>
                <a:rPr lang="en-US" sz="1600" b="1" i="0" kern="1200" baseline="0">
                  <a:latin typeface="Cambria Math" panose="02040503050406030204" pitchFamily="18" charset="0"/>
                </a:rPr>
                <a:t>𝒔𝒘</a:t>
              </a:r>
              <a:r>
                <a:rPr lang="en-US" sz="1600" b="1" kern="1200"/>
                <a:t>:                s</a:t>
              </a:r>
              <a:r>
                <a:rPr lang="en-US" sz="1600" b="1" kern="1200" baseline="30000"/>
                <a:t>–1 </a:t>
              </a:r>
              <a:r>
                <a:rPr lang="en-US" sz="1600" b="1" kern="1200"/>
                <a:t>/</a:t>
              </a:r>
              <a:r>
                <a:rPr lang="en-US" sz="1600" b="1" kern="1200" baseline="0"/>
                <a:t> SRH:</a:t>
              </a:r>
            </a:p>
            <a:p xmlns:a="http://schemas.openxmlformats.org/drawingml/2006/main">
              <a:r>
                <a:rPr lang="en-US" sz="1600" b="1" kern="1200" baseline="0"/>
                <a:t>Vertical Scale-Height (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Horizontal Length Scale (</a:t>
              </a:r>
              <a:r>
                <a:rPr lang="en-US" sz="1600" b="1" i="1" kern="1200" baseline="0"/>
                <a:t>r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E-Folding </a:t>
              </a:r>
              <a:r>
                <a:rPr lang="en-US" sz="1600" b="1" i="1" kern="1200" baseline="0"/>
                <a:t>h</a:t>
              </a:r>
              <a:r>
                <a:rPr lang="en-US" sz="1600" b="1" kern="1200" baseline="0"/>
                <a:t>-decay Parameter (</a:t>
              </a:r>
              <a:r>
                <a:rPr lang="en-US" sz="1600" b="1" i="0" kern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r>
                <a:rPr lang="en-US" sz="1600" b="1" kern="1200" baseline="0"/>
                <a:t>):</a:t>
              </a:r>
            </a:p>
            <a:p xmlns:a="http://schemas.openxmlformats.org/drawingml/2006/main">
              <a:r>
                <a:rPr lang="en-US" sz="1600" b="1" kern="1200" baseline="0"/>
                <a:t>Average Sub-Cloud SRW:</a:t>
              </a:r>
            </a:p>
            <a:p xmlns:a="http://schemas.openxmlformats.org/drawingml/2006/main">
              <a:r>
                <a:rPr lang="en-US" sz="1600" b="1" kern="1200" baseline="0"/>
                <a:t>MLLCL Height:</a:t>
              </a:r>
              <a:endParaRPr lang="en-US" sz="1600" b="1" kern="12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35EF-1471-6649-AD59-A18D03F8FA3F}">
  <dimension ref="A1:BB252"/>
  <sheetViews>
    <sheetView tabSelected="1" zoomScale="90" zoomScaleNormal="90" workbookViewId="0">
      <selection activeCell="I46" sqref="I46"/>
    </sheetView>
  </sheetViews>
  <sheetFormatPr baseColWidth="10" defaultRowHeight="16" x14ac:dyDescent="0.2"/>
  <cols>
    <col min="1" max="1" width="8.6640625" customWidth="1"/>
    <col min="2" max="2" width="9.83203125" customWidth="1"/>
    <col min="3" max="3" width="10.1640625" customWidth="1"/>
    <col min="4" max="4" width="11.6640625" customWidth="1"/>
    <col min="5" max="5" width="9.83203125" customWidth="1"/>
    <col min="6" max="6" width="14" customWidth="1"/>
    <col min="16" max="16" width="15.1640625" customWidth="1"/>
    <col min="18" max="18" width="10.83203125" style="68"/>
    <col min="19" max="19" width="10.83203125" style="75"/>
    <col min="20" max="20" width="10.83203125" style="68"/>
    <col min="21" max="21" width="10.83203125" style="75"/>
    <col min="22" max="22" width="10.83203125" style="79"/>
    <col min="23" max="25" width="10.83203125" style="1" customWidth="1"/>
    <col min="26" max="36" width="10.83203125" style="1"/>
    <col min="37" max="38" width="10.83203125" style="1" customWidth="1"/>
    <col min="39" max="45" width="10.83203125" style="1"/>
  </cols>
  <sheetData>
    <row r="1" spans="16:54" ht="23" thickBot="1" x14ac:dyDescent="0.35">
      <c r="P1" s="147" t="s">
        <v>9</v>
      </c>
      <c r="Q1" s="148">
        <f>Y2</f>
        <v>20.09</v>
      </c>
      <c r="R1" s="76" t="s">
        <v>64</v>
      </c>
      <c r="S1" s="71" t="s">
        <v>0</v>
      </c>
      <c r="T1" s="77" t="str">
        <f>R1</f>
        <v>Ht (km)</v>
      </c>
      <c r="U1" s="72" t="s">
        <v>1</v>
      </c>
      <c r="V1" s="74" t="str">
        <f>T1</f>
        <v>Ht (km)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120" t="s">
        <v>86</v>
      </c>
      <c r="AE1" s="95" t="s">
        <v>50</v>
      </c>
      <c r="AF1" s="121" t="s">
        <v>62</v>
      </c>
      <c r="AG1" s="121" t="str">
        <f>AE1</f>
        <v>z</v>
      </c>
      <c r="AH1" s="122" t="s">
        <v>63</v>
      </c>
      <c r="AI1" s="123" t="s">
        <v>84</v>
      </c>
      <c r="AJ1" s="123"/>
      <c r="AK1" s="123" t="s">
        <v>85</v>
      </c>
      <c r="AL1" s="123"/>
      <c r="AM1" s="123" t="s">
        <v>66</v>
      </c>
      <c r="AN1" s="95" t="s">
        <v>67</v>
      </c>
      <c r="AO1" s="65" t="s">
        <v>50</v>
      </c>
      <c r="AP1" s="65" t="s">
        <v>7</v>
      </c>
      <c r="AQ1" s="65" t="s">
        <v>74</v>
      </c>
      <c r="AR1" s="65" t="s">
        <v>75</v>
      </c>
      <c r="AS1" s="65" t="s">
        <v>52</v>
      </c>
      <c r="AT1" s="124"/>
      <c r="AU1" s="66"/>
      <c r="AW1" s="66"/>
      <c r="AY1" s="66"/>
      <c r="BA1" s="66"/>
    </row>
    <row r="2" spans="16:54" ht="23" thickBot="1" x14ac:dyDescent="0.35">
      <c r="P2" s="147" t="s">
        <v>61</v>
      </c>
      <c r="Q2" s="161">
        <f>Q56</f>
        <v>855.25706907788867</v>
      </c>
      <c r="R2" s="117">
        <f>X2-$X$2</f>
        <v>0</v>
      </c>
      <c r="S2" s="73">
        <f>SIN((360-AA2)*PI()/180)*AB2*0.5144</f>
        <v>-1.9266616041491285</v>
      </c>
      <c r="T2" s="78">
        <f>R2</f>
        <v>0</v>
      </c>
      <c r="U2" s="78">
        <f>(COS((180-AA2)*PI()/180)*AB2*0.5144)</f>
        <v>-2.7515579296321402</v>
      </c>
      <c r="V2" s="84">
        <f t="shared" ref="V2:V65" si="0">T2</f>
        <v>0</v>
      </c>
      <c r="W2" s="9">
        <v>838.91</v>
      </c>
      <c r="X2" s="10">
        <v>1513</v>
      </c>
      <c r="Y2" s="10">
        <v>20.09</v>
      </c>
      <c r="Z2" s="10">
        <v>15.93</v>
      </c>
      <c r="AA2" s="10">
        <v>35</v>
      </c>
      <c r="AB2" s="10">
        <v>6.53</v>
      </c>
      <c r="AC2" s="10">
        <v>137</v>
      </c>
      <c r="AD2" s="125">
        <f>LN(VLOOKUP(AE2,$V$2:$W$94,2))</f>
        <v>6.7321034301531171</v>
      </c>
      <c r="AE2" s="80">
        <v>0</v>
      </c>
      <c r="AF2" s="81">
        <f>VLOOKUP(AE2,$R$2:$S$94,2)</f>
        <v>-1.9266616041491285</v>
      </c>
      <c r="AG2" s="81">
        <f t="shared" ref="AG2:AG65" si="1">AE2</f>
        <v>0</v>
      </c>
      <c r="AH2" s="80">
        <f>VLOOKUP(AE2,$T$2:$U$94,2)</f>
        <v>-2.7515579296321402</v>
      </c>
      <c r="AI2" s="80">
        <f>AF2*AD2</f>
        <v>-12.970485194036655</v>
      </c>
      <c r="AJ2" s="80"/>
      <c r="AK2" s="80">
        <f>AH2*AD2</f>
        <v>-18.523772576341539</v>
      </c>
      <c r="AL2" s="80"/>
      <c r="AM2" s="80">
        <f>AF2*AD2</f>
        <v>-12.970485194036655</v>
      </c>
      <c r="AN2" s="1">
        <f>AH2*AD2</f>
        <v>-18.523772576341539</v>
      </c>
      <c r="AO2" s="1">
        <f>AE2</f>
        <v>0</v>
      </c>
      <c r="AP2" s="1">
        <v>0</v>
      </c>
      <c r="AQ2" s="1">
        <f>AF2-(AVERAGE($AF$2:$AF$102)*COS($Q$4))</f>
        <v>-9.5497030422693765</v>
      </c>
      <c r="AR2" s="1">
        <f>AH2-(AVERAGE($AH$2:$AH$102)*SIN($Q$4))</f>
        <v>-8.6226724111700808</v>
      </c>
      <c r="AS2" s="1">
        <f>SQRT((AF2-$Q$24)^2+(AH2-$Q$25)^2)</f>
        <v>12.621395132132076</v>
      </c>
      <c r="AT2" s="63">
        <f>AVERAGE(AS2:$AS$2)</f>
        <v>12.621395132132076</v>
      </c>
      <c r="AU2" s="66"/>
      <c r="AV2" s="1"/>
      <c r="AZ2" s="1"/>
      <c r="BB2" s="1"/>
    </row>
    <row r="3" spans="16:54" ht="17" thickBot="1" x14ac:dyDescent="0.25">
      <c r="P3" s="88" t="s">
        <v>65</v>
      </c>
      <c r="Q3" s="109"/>
      <c r="R3" s="117">
        <f>(X3-$X$2)/1000</f>
        <v>2.1999999999999999E-2</v>
      </c>
      <c r="S3" s="73">
        <f t="shared" ref="S3:S66" si="2">SIN((360-AA3)*PI()/180)*AB3*0.5144</f>
        <v>-2.2264019406810278</v>
      </c>
      <c r="T3" s="78">
        <f t="shared" ref="T3:T66" si="3">R3</f>
        <v>2.1999999999999999E-2</v>
      </c>
      <c r="U3" s="78">
        <f t="shared" ref="U3:U66" si="4">(COS((180-AA3)*PI()/180)*AB3*0.5144)</f>
        <v>-3.300776617474706</v>
      </c>
      <c r="V3" s="84">
        <f t="shared" si="0"/>
        <v>2.1999999999999999E-2</v>
      </c>
      <c r="W3" s="9">
        <v>836.83</v>
      </c>
      <c r="X3" s="10">
        <v>1535</v>
      </c>
      <c r="Y3" s="10">
        <v>19.84</v>
      </c>
      <c r="Z3" s="10">
        <v>15.8</v>
      </c>
      <c r="AA3" s="10">
        <v>34</v>
      </c>
      <c r="AB3" s="10">
        <v>7.74</v>
      </c>
      <c r="AC3" s="10">
        <v>136</v>
      </c>
      <c r="AD3" s="125">
        <f t="shared" ref="AD3:AD66" si="5">LN(VLOOKUP(AE3,$V$2:$W$94,2))</f>
        <v>6.7208351650129261</v>
      </c>
      <c r="AE3" s="80">
        <f>AE2+0.1</f>
        <v>0.1</v>
      </c>
      <c r="AF3" s="81">
        <f t="shared" ref="AF3:AF66" si="6">VLOOKUP(AE3,$R$2:$S$94,2)</f>
        <v>-2.4934446445443958</v>
      </c>
      <c r="AG3" s="81">
        <f t="shared" si="1"/>
        <v>0.1</v>
      </c>
      <c r="AH3" s="80">
        <f t="shared" ref="AH3:AH66" si="7">VLOOKUP(AE3,$T$2:$U$94,2)</f>
        <v>-3.8395680473450233</v>
      </c>
      <c r="AI3" s="80">
        <f t="shared" ref="AI3:AI66" si="8">AF3*AD3</f>
        <v>-16.758030449067132</v>
      </c>
      <c r="AJ3" s="80"/>
      <c r="AK3" s="80">
        <f t="shared" ref="AK3:AK66" si="9">AH3*AD3</f>
        <v>-25.805103951056449</v>
      </c>
      <c r="AL3" s="80"/>
      <c r="AM3" s="80">
        <f t="shared" ref="AM3:AM22" si="10">AF3*AD3</f>
        <v>-16.758030449067132</v>
      </c>
      <c r="AN3" s="1">
        <f t="shared" ref="AN3:AN22" si="11">AH3*AD3</f>
        <v>-25.805103951056449</v>
      </c>
      <c r="AO3" s="1">
        <f t="shared" ref="AO3:AO66" si="12">AE3</f>
        <v>0.1</v>
      </c>
      <c r="AP3" s="1">
        <f>SQRT((AF3-$AF$2)^2+(AH3-$AH$2)^2)</f>
        <v>1.226788095444892</v>
      </c>
      <c r="AQ3" s="1">
        <f t="shared" ref="AQ3:AQ66" si="13">AF3-(AVERAGE($AF$2:$AF$102)*COS($Q$4))</f>
        <v>-10.116486082664643</v>
      </c>
      <c r="AR3" s="1">
        <f t="shared" ref="AR3:AR66" si="14">AH3-(AVERAGE($AH$2:$AH$102)*SIN($Q$4))</f>
        <v>-9.7106825288829643</v>
      </c>
      <c r="AS3" s="1">
        <f t="shared" ref="AS3:AS66" si="15">SQRT((AF3-$Q$24)^2+(AH3-$Q$25)^2)</f>
        <v>13.592025295608405</v>
      </c>
      <c r="AT3" s="63">
        <f>AVERAGE(AS$2:$AS3)</f>
        <v>13.10671021387024</v>
      </c>
      <c r="AU3" s="66"/>
      <c r="AV3" s="1"/>
      <c r="AZ3" s="1"/>
      <c r="BB3" s="1"/>
    </row>
    <row r="4" spans="16:54" ht="17" thickBot="1" x14ac:dyDescent="0.25">
      <c r="P4" s="82" t="s">
        <v>3</v>
      </c>
      <c r="Q4" s="162">
        <f>(ATAN2(($AM$28-$AF$2),(($AN$28-$AH$2)))-(ATAN2(($AI$103-$AF$2),(($AK$103-$AH$2)))))</f>
        <v>0.5288335160222507</v>
      </c>
      <c r="R4" s="117">
        <f t="shared" ref="R4:R67" si="16">(X4-$X$2)/1000</f>
        <v>4.4999999999999998E-2</v>
      </c>
      <c r="S4" s="73">
        <f t="shared" si="2"/>
        <v>-2.3817323086355175</v>
      </c>
      <c r="T4" s="78">
        <f t="shared" si="3"/>
        <v>4.4999999999999998E-2</v>
      </c>
      <c r="U4" s="78">
        <f t="shared" si="4"/>
        <v>-3.5310633582287543</v>
      </c>
      <c r="V4" s="84">
        <f t="shared" si="0"/>
        <v>4.4999999999999998E-2</v>
      </c>
      <c r="W4" s="9">
        <v>834.58</v>
      </c>
      <c r="X4" s="10">
        <v>1558</v>
      </c>
      <c r="Y4" s="10">
        <v>19.600000000000001</v>
      </c>
      <c r="Z4" s="10">
        <v>15.72</v>
      </c>
      <c r="AA4" s="10">
        <v>34</v>
      </c>
      <c r="AB4" s="10">
        <v>8.2799999999999994</v>
      </c>
      <c r="AC4" s="10">
        <v>135</v>
      </c>
      <c r="AD4" s="125">
        <f t="shared" si="5"/>
        <v>6.7096335543540739</v>
      </c>
      <c r="AE4" s="80">
        <f t="shared" ref="AE4:AE67" si="17">AE3+0.1</f>
        <v>0.2</v>
      </c>
      <c r="AF4" s="81">
        <f t="shared" si="6"/>
        <v>-2.6319867903399747</v>
      </c>
      <c r="AG4" s="81">
        <f t="shared" si="1"/>
        <v>0.2</v>
      </c>
      <c r="AH4" s="80">
        <f t="shared" si="7"/>
        <v>-3.9020808849991675</v>
      </c>
      <c r="AI4" s="80">
        <f t="shared" si="8"/>
        <v>-17.659666883081776</v>
      </c>
      <c r="AJ4" s="80"/>
      <c r="AK4" s="80">
        <f t="shared" si="9"/>
        <v>-26.181532837794055</v>
      </c>
      <c r="AL4" s="80"/>
      <c r="AM4" s="80">
        <f t="shared" si="10"/>
        <v>-17.659666883081776</v>
      </c>
      <c r="AN4" s="1">
        <f t="shared" si="11"/>
        <v>-26.181532837794055</v>
      </c>
      <c r="AO4" s="1">
        <f t="shared" si="12"/>
        <v>0.2</v>
      </c>
      <c r="AP4" s="1">
        <f t="shared" ref="AP4:AP67" si="18">SQRT((AF4-$AF$2)^2+(AH4-$AH$2)^2)</f>
        <v>1.3495135008963901</v>
      </c>
      <c r="AQ4" s="1">
        <f t="shared" si="13"/>
        <v>-10.255028228460223</v>
      </c>
      <c r="AR4" s="1">
        <f t="shared" si="14"/>
        <v>-9.7731953665371076</v>
      </c>
      <c r="AS4" s="1">
        <f t="shared" si="15"/>
        <v>13.743916480885263</v>
      </c>
      <c r="AT4" s="63">
        <f>AVERAGE(AS$2:$AS4)</f>
        <v>13.319112302875247</v>
      </c>
      <c r="AU4" s="66"/>
      <c r="AV4" s="1"/>
      <c r="AZ4" s="1"/>
      <c r="BB4" s="1"/>
    </row>
    <row r="5" spans="16:54" ht="17" thickBot="1" x14ac:dyDescent="0.25">
      <c r="P5" s="83" t="s">
        <v>4</v>
      </c>
      <c r="Q5" s="111">
        <f>(SQRT(AI103^2+AK103^2))*SIN(Q4)</f>
        <v>6.2396895354072903</v>
      </c>
      <c r="R5" s="117">
        <f t="shared" si="16"/>
        <v>7.0000000000000007E-2</v>
      </c>
      <c r="S5" s="73">
        <f t="shared" si="2"/>
        <v>-2.4795329106809376</v>
      </c>
      <c r="T5" s="78">
        <f t="shared" si="3"/>
        <v>7.0000000000000007E-2</v>
      </c>
      <c r="U5" s="78">
        <f t="shared" si="4"/>
        <v>-3.6760587135183411</v>
      </c>
      <c r="V5" s="84">
        <f t="shared" si="0"/>
        <v>7.0000000000000007E-2</v>
      </c>
      <c r="W5" s="9">
        <v>832.14</v>
      </c>
      <c r="X5" s="10">
        <v>1583</v>
      </c>
      <c r="Y5" s="10">
        <v>19.350000000000001</v>
      </c>
      <c r="Z5" s="10">
        <v>15.64</v>
      </c>
      <c r="AA5" s="10">
        <v>34</v>
      </c>
      <c r="AB5" s="10">
        <v>8.6199999999999992</v>
      </c>
      <c r="AC5" s="10">
        <v>134</v>
      </c>
      <c r="AD5" s="125">
        <f t="shared" si="5"/>
        <v>6.7004727735989267</v>
      </c>
      <c r="AE5" s="80">
        <f t="shared" si="17"/>
        <v>0.30000000000000004</v>
      </c>
      <c r="AF5" s="81">
        <f t="shared" si="6"/>
        <v>-2.7906855478080601</v>
      </c>
      <c r="AG5" s="81">
        <f t="shared" si="1"/>
        <v>0.30000000000000004</v>
      </c>
      <c r="AH5" s="80">
        <f t="shared" si="7"/>
        <v>-3.3258095274009944</v>
      </c>
      <c r="AI5" s="80">
        <f t="shared" si="8"/>
        <v>-18.698912532763913</v>
      </c>
      <c r="AJ5" s="80"/>
      <c r="AK5" s="80">
        <f t="shared" si="9"/>
        <v>-22.284496188526276</v>
      </c>
      <c r="AL5" s="80"/>
      <c r="AM5" s="80">
        <f t="shared" si="10"/>
        <v>-18.698912532763913</v>
      </c>
      <c r="AN5" s="1">
        <f t="shared" si="11"/>
        <v>-22.284496188526276</v>
      </c>
      <c r="AO5" s="1">
        <f t="shared" si="12"/>
        <v>0.30000000000000004</v>
      </c>
      <c r="AP5" s="1">
        <f t="shared" si="18"/>
        <v>1.0374498892746651</v>
      </c>
      <c r="AQ5" s="1">
        <f t="shared" si="13"/>
        <v>-10.413726985928308</v>
      </c>
      <c r="AR5" s="1">
        <f t="shared" si="14"/>
        <v>-9.1969240089389359</v>
      </c>
      <c r="AS5" s="1">
        <f t="shared" si="15"/>
        <v>13.642783587939133</v>
      </c>
      <c r="AT5" s="63">
        <f>AVERAGE(AS$2:$AS5)</f>
        <v>13.400030124141219</v>
      </c>
      <c r="AU5" s="66"/>
      <c r="AV5" s="1"/>
      <c r="AZ5" s="1"/>
      <c r="BB5" s="1"/>
    </row>
    <row r="6" spans="16:54" ht="17" thickBot="1" x14ac:dyDescent="0.25">
      <c r="P6" s="83" t="s">
        <v>5</v>
      </c>
      <c r="Q6" s="111">
        <f>(SQRT((AM28-AF2)^2+(AN28-AH2)^2))*COS(Q4)</f>
        <v>5.5024260965817708</v>
      </c>
      <c r="R6" s="117">
        <f t="shared" si="16"/>
        <v>9.8000000000000004E-2</v>
      </c>
      <c r="S6" s="73">
        <f t="shared" si="2"/>
        <v>-2.4934446445443958</v>
      </c>
      <c r="T6" s="78">
        <f t="shared" si="3"/>
        <v>9.8000000000000004E-2</v>
      </c>
      <c r="U6" s="78">
        <f t="shared" si="4"/>
        <v>-3.8395680473450233</v>
      </c>
      <c r="V6" s="84">
        <f t="shared" si="0"/>
        <v>9.8000000000000004E-2</v>
      </c>
      <c r="W6" s="9">
        <v>829.51</v>
      </c>
      <c r="X6" s="10">
        <v>1611</v>
      </c>
      <c r="Y6" s="10">
        <v>19.100000000000001</v>
      </c>
      <c r="Z6" s="10">
        <v>15.57</v>
      </c>
      <c r="AA6" s="10">
        <v>33</v>
      </c>
      <c r="AB6" s="10">
        <v>8.9</v>
      </c>
      <c r="AC6" s="10">
        <v>133</v>
      </c>
      <c r="AD6" s="125">
        <f t="shared" si="5"/>
        <v>6.6896365819156731</v>
      </c>
      <c r="AE6" s="80">
        <f t="shared" si="17"/>
        <v>0.4</v>
      </c>
      <c r="AF6" s="81">
        <f t="shared" si="6"/>
        <v>-2.7796738737568134</v>
      </c>
      <c r="AG6" s="81">
        <f t="shared" si="1"/>
        <v>0.4</v>
      </c>
      <c r="AH6" s="80">
        <f t="shared" si="7"/>
        <v>-2.4163336339110537</v>
      </c>
      <c r="AI6" s="80">
        <f t="shared" si="8"/>
        <v>-18.595008031678827</v>
      </c>
      <c r="AJ6" s="80"/>
      <c r="AK6" s="80">
        <f t="shared" si="9"/>
        <v>-16.16439387152462</v>
      </c>
      <c r="AL6" s="80"/>
      <c r="AM6" s="80">
        <f t="shared" si="10"/>
        <v>-18.595008031678827</v>
      </c>
      <c r="AN6" s="1">
        <f t="shared" si="11"/>
        <v>-16.16439387152462</v>
      </c>
      <c r="AO6" s="1">
        <f t="shared" si="12"/>
        <v>0.4</v>
      </c>
      <c r="AP6" s="1">
        <f t="shared" si="18"/>
        <v>0.91651800884813617</v>
      </c>
      <c r="AQ6" s="1">
        <f t="shared" si="13"/>
        <v>-10.402715311877062</v>
      </c>
      <c r="AR6" s="1">
        <f t="shared" si="14"/>
        <v>-8.2874481154489938</v>
      </c>
      <c r="AS6" s="1">
        <f t="shared" si="15"/>
        <v>13.289959563099151</v>
      </c>
      <c r="AT6" s="63">
        <f>AVERAGE(AS$2:$AS6)</f>
        <v>13.378016011932806</v>
      </c>
      <c r="AU6" s="66"/>
      <c r="AV6" s="1"/>
      <c r="AZ6" s="1"/>
      <c r="BB6" s="1"/>
    </row>
    <row r="7" spans="16:54" ht="17" thickBot="1" x14ac:dyDescent="0.25">
      <c r="P7" s="83" t="s">
        <v>6</v>
      </c>
      <c r="Q7" s="112">
        <f>((273.15+Q1)/(2*9.81))*(Q5+Q6)^2</f>
        <v>2060.7101653913942</v>
      </c>
      <c r="R7" s="117">
        <f t="shared" si="16"/>
        <v>0.127</v>
      </c>
      <c r="S7" s="73">
        <f t="shared" si="2"/>
        <v>-2.5550803548589762</v>
      </c>
      <c r="T7" s="78">
        <f t="shared" si="3"/>
        <v>0.127</v>
      </c>
      <c r="U7" s="78">
        <f t="shared" si="4"/>
        <v>-3.9344787181782701</v>
      </c>
      <c r="V7" s="84">
        <f t="shared" si="0"/>
        <v>0.127</v>
      </c>
      <c r="W7" s="9">
        <v>826.67</v>
      </c>
      <c r="X7" s="10">
        <v>1640</v>
      </c>
      <c r="Y7" s="10">
        <v>18.84</v>
      </c>
      <c r="Z7" s="10">
        <v>15.43</v>
      </c>
      <c r="AA7" s="10">
        <v>33</v>
      </c>
      <c r="AB7" s="10">
        <v>9.1199999999999992</v>
      </c>
      <c r="AC7" s="10">
        <v>132</v>
      </c>
      <c r="AD7" s="125">
        <f t="shared" si="5"/>
        <v>6.6768567352948605</v>
      </c>
      <c r="AE7" s="80">
        <f t="shared" si="17"/>
        <v>0.5</v>
      </c>
      <c r="AF7" s="81">
        <f t="shared" si="6"/>
        <v>-2.746974334567668</v>
      </c>
      <c r="AG7" s="81">
        <f t="shared" si="1"/>
        <v>0.5</v>
      </c>
      <c r="AH7" s="80">
        <f t="shared" si="7"/>
        <v>-1.6505486991211498</v>
      </c>
      <c r="AI7" s="80">
        <f t="shared" si="8"/>
        <v>-18.341154087440252</v>
      </c>
      <c r="AJ7" s="80"/>
      <c r="AK7" s="80">
        <f t="shared" si="9"/>
        <v>-11.020477198659218</v>
      </c>
      <c r="AL7" s="80"/>
      <c r="AM7" s="80">
        <f t="shared" si="10"/>
        <v>-18.341154087440252</v>
      </c>
      <c r="AN7" s="1">
        <f t="shared" si="11"/>
        <v>-11.020477198659218</v>
      </c>
      <c r="AO7" s="1">
        <f t="shared" si="12"/>
        <v>0.5</v>
      </c>
      <c r="AP7" s="1">
        <f t="shared" si="18"/>
        <v>1.3730019305729773</v>
      </c>
      <c r="AQ7" s="1">
        <f t="shared" si="13"/>
        <v>-10.370015772687916</v>
      </c>
      <c r="AR7" s="1">
        <f t="shared" si="14"/>
        <v>-7.5216631806590906</v>
      </c>
      <c r="AS7" s="1">
        <f t="shared" si="15"/>
        <v>13.01237896490445</v>
      </c>
      <c r="AT7" s="63">
        <f>AVERAGE(AS$2:$AS7)</f>
        <v>13.317076504094748</v>
      </c>
      <c r="AU7" s="66"/>
      <c r="AV7" s="1"/>
      <c r="AZ7" s="1"/>
      <c r="BB7" s="1"/>
    </row>
    <row r="8" spans="16:54" ht="17" thickBot="1" x14ac:dyDescent="0.25">
      <c r="P8" s="83" t="s">
        <v>68</v>
      </c>
      <c r="Q8" s="111">
        <f>Q7/1000</f>
        <v>2.0607101653913942</v>
      </c>
      <c r="R8" s="117">
        <f t="shared" si="16"/>
        <v>0.159</v>
      </c>
      <c r="S8" s="73">
        <f t="shared" si="2"/>
        <v>-2.5214618430744395</v>
      </c>
      <c r="T8" s="78">
        <f t="shared" si="3"/>
        <v>0.159</v>
      </c>
      <c r="U8" s="78">
        <f t="shared" si="4"/>
        <v>-4.0351824511315062</v>
      </c>
      <c r="V8" s="84">
        <f t="shared" si="0"/>
        <v>0.159</v>
      </c>
      <c r="W8" s="9">
        <v>823.6</v>
      </c>
      <c r="X8" s="10">
        <v>1672</v>
      </c>
      <c r="Y8" s="10">
        <v>18.63</v>
      </c>
      <c r="Z8" s="10">
        <v>15.17</v>
      </c>
      <c r="AA8" s="10">
        <v>32</v>
      </c>
      <c r="AB8" s="10">
        <v>9.25</v>
      </c>
      <c r="AC8" s="10">
        <v>131</v>
      </c>
      <c r="AD8" s="125">
        <f t="shared" si="5"/>
        <v>6.6696376740241856</v>
      </c>
      <c r="AE8" s="80">
        <f t="shared" si="17"/>
        <v>0.6</v>
      </c>
      <c r="AF8" s="81">
        <f t="shared" si="6"/>
        <v>-2.6832876432788302</v>
      </c>
      <c r="AG8" s="81">
        <f t="shared" si="1"/>
        <v>0.6</v>
      </c>
      <c r="AH8" s="80">
        <f t="shared" si="7"/>
        <v>-1.1946766297216735</v>
      </c>
      <c r="AI8" s="80">
        <f t="shared" si="8"/>
        <v>-17.896556355856056</v>
      </c>
      <c r="AJ8" s="80"/>
      <c r="AK8" s="80">
        <f t="shared" si="9"/>
        <v>-7.9680602578679158</v>
      </c>
      <c r="AL8" s="80"/>
      <c r="AM8" s="80">
        <f t="shared" si="10"/>
        <v>-17.896556355856056</v>
      </c>
      <c r="AN8" s="1">
        <f t="shared" si="11"/>
        <v>-7.9680602578679158</v>
      </c>
      <c r="AO8" s="1">
        <f t="shared" si="12"/>
        <v>0.6</v>
      </c>
      <c r="AP8" s="1">
        <f t="shared" si="18"/>
        <v>1.731000388532598</v>
      </c>
      <c r="AQ8" s="1">
        <f t="shared" si="13"/>
        <v>-10.306329081399078</v>
      </c>
      <c r="AR8" s="1">
        <f t="shared" si="14"/>
        <v>-7.0657911112596139</v>
      </c>
      <c r="AS8" s="1">
        <f t="shared" si="15"/>
        <v>12.823341484496407</v>
      </c>
      <c r="AT8" s="63">
        <f>AVERAGE(AS$2:$AS8)</f>
        <v>13.246542929866413</v>
      </c>
      <c r="AU8" s="66"/>
      <c r="AV8" s="1"/>
      <c r="AZ8" s="1"/>
      <c r="BB8" s="1"/>
    </row>
    <row r="9" spans="16:54" ht="17" thickBot="1" x14ac:dyDescent="0.25">
      <c r="P9" s="83" t="s">
        <v>7</v>
      </c>
      <c r="Q9" s="111">
        <f>VLOOKUP($Q$8,$AO$2:$AP$212,2)</f>
        <v>17.903071891004597</v>
      </c>
      <c r="R9" s="117">
        <f t="shared" si="16"/>
        <v>0.19400000000000001</v>
      </c>
      <c r="S9" s="73">
        <f t="shared" si="2"/>
        <v>-2.6319867903399747</v>
      </c>
      <c r="T9" s="78">
        <f t="shared" si="3"/>
        <v>0.19400000000000001</v>
      </c>
      <c r="U9" s="78">
        <f t="shared" si="4"/>
        <v>-3.9020808849991675</v>
      </c>
      <c r="V9" s="84">
        <f t="shared" si="0"/>
        <v>0.19400000000000001</v>
      </c>
      <c r="W9" s="9">
        <v>820.27</v>
      </c>
      <c r="X9" s="10">
        <v>1707</v>
      </c>
      <c r="Y9" s="10">
        <v>18.52</v>
      </c>
      <c r="Z9" s="10">
        <v>14.97</v>
      </c>
      <c r="AA9" s="10">
        <v>34</v>
      </c>
      <c r="AB9" s="10">
        <v>9.15</v>
      </c>
      <c r="AC9" s="10">
        <v>130</v>
      </c>
      <c r="AD9" s="125">
        <f t="shared" si="5"/>
        <v>6.6533145403101583</v>
      </c>
      <c r="AE9" s="80">
        <f t="shared" si="17"/>
        <v>0.7</v>
      </c>
      <c r="AF9" s="81">
        <f t="shared" si="6"/>
        <v>-2.6397634449635894</v>
      </c>
      <c r="AG9" s="81">
        <f t="shared" si="1"/>
        <v>0.7</v>
      </c>
      <c r="AH9" s="80">
        <f t="shared" si="7"/>
        <v>0.27745031816518567</v>
      </c>
      <c r="AI9" s="80">
        <f t="shared" si="8"/>
        <v>-17.563176511355483</v>
      </c>
      <c r="AJ9" s="80"/>
      <c r="AK9" s="80">
        <f t="shared" si="9"/>
        <v>1.8459642360621096</v>
      </c>
      <c r="AL9" s="80"/>
      <c r="AM9" s="80">
        <f t="shared" si="10"/>
        <v>-17.563176511355483</v>
      </c>
      <c r="AN9" s="1">
        <f t="shared" si="11"/>
        <v>1.8459642360621096</v>
      </c>
      <c r="AO9" s="1">
        <f t="shared" si="12"/>
        <v>0.7</v>
      </c>
      <c r="AP9" s="1">
        <f t="shared" si="18"/>
        <v>3.11181702556516</v>
      </c>
      <c r="AQ9" s="1">
        <f t="shared" si="13"/>
        <v>-10.262804883083838</v>
      </c>
      <c r="AR9" s="1">
        <f t="shared" si="14"/>
        <v>-5.5936641633727548</v>
      </c>
      <c r="AS9" s="1">
        <f t="shared" si="15"/>
        <v>12.471152106610797</v>
      </c>
      <c r="AT9" s="63">
        <f>AVERAGE(AS$2:$AS9)</f>
        <v>13.149619076959462</v>
      </c>
      <c r="AU9" s="66"/>
      <c r="AV9" s="1"/>
      <c r="AZ9" s="1"/>
      <c r="BB9" s="1"/>
    </row>
    <row r="10" spans="16:54" ht="17" thickBot="1" x14ac:dyDescent="0.25">
      <c r="P10" s="83" t="s">
        <v>72</v>
      </c>
      <c r="Q10" s="111">
        <f>Q2/1000</f>
        <v>0.85525706907788868</v>
      </c>
      <c r="R10" s="117">
        <f t="shared" si="16"/>
        <v>0.23200000000000001</v>
      </c>
      <c r="S10" s="73">
        <f t="shared" si="2"/>
        <v>-2.7521097299146873</v>
      </c>
      <c r="T10" s="78">
        <f t="shared" si="3"/>
        <v>0.23200000000000001</v>
      </c>
      <c r="U10" s="78">
        <f t="shared" si="4"/>
        <v>-3.6521729656144317</v>
      </c>
      <c r="V10" s="84">
        <f t="shared" si="0"/>
        <v>0.23200000000000001</v>
      </c>
      <c r="W10" s="9">
        <v>816.68</v>
      </c>
      <c r="X10" s="10">
        <v>1745</v>
      </c>
      <c r="Y10" s="10">
        <v>18.78</v>
      </c>
      <c r="Z10" s="10">
        <v>14.84</v>
      </c>
      <c r="AA10" s="10">
        <v>37</v>
      </c>
      <c r="AB10" s="10">
        <v>8.89</v>
      </c>
      <c r="AC10" s="10">
        <v>129</v>
      </c>
      <c r="AD10" s="125">
        <f t="shared" si="5"/>
        <v>6.6441282175220389</v>
      </c>
      <c r="AE10" s="80">
        <f t="shared" si="17"/>
        <v>0.79999999999999993</v>
      </c>
      <c r="AF10" s="81">
        <f t="shared" si="6"/>
        <v>-2.6231885613403545</v>
      </c>
      <c r="AG10" s="81">
        <f t="shared" si="1"/>
        <v>0.79999999999999993</v>
      </c>
      <c r="AH10" s="80">
        <f t="shared" si="7"/>
        <v>1.0598369740922982</v>
      </c>
      <c r="AI10" s="80">
        <f t="shared" si="8"/>
        <v>-17.428801140282491</v>
      </c>
      <c r="AJ10" s="80"/>
      <c r="AK10" s="80">
        <f t="shared" si="9"/>
        <v>7.0416927455398124</v>
      </c>
      <c r="AL10" s="80"/>
      <c r="AM10" s="80">
        <f t="shared" si="10"/>
        <v>-17.428801140282491</v>
      </c>
      <c r="AN10" s="1">
        <f t="shared" si="11"/>
        <v>7.0416927455398124</v>
      </c>
      <c r="AO10" s="1">
        <f t="shared" si="12"/>
        <v>0.79999999999999993</v>
      </c>
      <c r="AP10" s="1">
        <f t="shared" si="18"/>
        <v>3.8745168620397932</v>
      </c>
      <c r="AQ10" s="1">
        <f t="shared" si="13"/>
        <v>-10.246229999460603</v>
      </c>
      <c r="AR10" s="1">
        <f t="shared" si="14"/>
        <v>-4.8112775074456424</v>
      </c>
      <c r="AS10" s="1">
        <f t="shared" si="15"/>
        <v>12.358068330281313</v>
      </c>
      <c r="AT10" s="63">
        <f>AVERAGE(AS$2:$AS10)</f>
        <v>13.061668993995223</v>
      </c>
      <c r="AU10" s="66"/>
      <c r="AV10" s="1"/>
      <c r="AZ10" s="1"/>
      <c r="BB10" s="1"/>
    </row>
    <row r="11" spans="16:54" ht="17" thickBot="1" x14ac:dyDescent="0.25">
      <c r="P11" s="83" t="s">
        <v>87</v>
      </c>
      <c r="Q11" s="111">
        <f>(Q10+0.1)</f>
        <v>0.95525706907788865</v>
      </c>
      <c r="R11" s="117">
        <f t="shared" si="16"/>
        <v>0.27300000000000002</v>
      </c>
      <c r="S11" s="73">
        <f t="shared" si="2"/>
        <v>-2.7906855478080601</v>
      </c>
      <c r="T11" s="78">
        <f t="shared" si="3"/>
        <v>0.27300000000000002</v>
      </c>
      <c r="U11" s="78">
        <f t="shared" si="4"/>
        <v>-3.3258095274009944</v>
      </c>
      <c r="V11" s="84">
        <f t="shared" si="0"/>
        <v>0.27300000000000002</v>
      </c>
      <c r="W11" s="9">
        <v>812.79</v>
      </c>
      <c r="X11" s="10">
        <v>1786</v>
      </c>
      <c r="Y11" s="10">
        <v>19.63</v>
      </c>
      <c r="Z11" s="10">
        <v>14.56</v>
      </c>
      <c r="AA11" s="10">
        <v>40</v>
      </c>
      <c r="AB11" s="10">
        <v>8.44</v>
      </c>
      <c r="AC11" s="10">
        <v>128</v>
      </c>
      <c r="AD11" s="125">
        <f t="shared" si="5"/>
        <v>6.6341864774736123</v>
      </c>
      <c r="AE11" s="80">
        <f t="shared" si="17"/>
        <v>0.89999999999999991</v>
      </c>
      <c r="AF11" s="81">
        <f t="shared" si="6"/>
        <v>-2.5470722594836301</v>
      </c>
      <c r="AG11" s="81">
        <f t="shared" si="1"/>
        <v>0.89999999999999991</v>
      </c>
      <c r="AH11" s="80">
        <f t="shared" si="7"/>
        <v>1.9193566170383645</v>
      </c>
      <c r="AI11" s="80">
        <f t="shared" si="8"/>
        <v>-16.89775234101446</v>
      </c>
      <c r="AJ11" s="80"/>
      <c r="AK11" s="80">
        <f t="shared" si="9"/>
        <v>12.733369714205416</v>
      </c>
      <c r="AL11" s="80"/>
      <c r="AM11" s="80">
        <f t="shared" si="10"/>
        <v>-16.89775234101446</v>
      </c>
      <c r="AN11" s="1">
        <f t="shared" si="11"/>
        <v>12.733369714205416</v>
      </c>
      <c r="AO11" s="1">
        <f t="shared" si="12"/>
        <v>0.89999999999999991</v>
      </c>
      <c r="AP11" s="1">
        <f t="shared" si="18"/>
        <v>4.7119371901109535</v>
      </c>
      <c r="AQ11" s="1">
        <f t="shared" si="13"/>
        <v>-10.170113697603878</v>
      </c>
      <c r="AR11" s="1">
        <f t="shared" si="14"/>
        <v>-3.9517578644995761</v>
      </c>
      <c r="AS11" s="1">
        <f t="shared" si="15"/>
        <v>12.232313286013429</v>
      </c>
      <c r="AT11" s="63">
        <f>AVERAGE(AS$2:$AS11)</f>
        <v>12.978733423197045</v>
      </c>
      <c r="AU11" s="66"/>
      <c r="AV11" s="1"/>
      <c r="AZ11" s="1"/>
      <c r="BB11" s="1"/>
    </row>
    <row r="12" spans="16:54" ht="17" thickBot="1" x14ac:dyDescent="0.25">
      <c r="P12" s="83" t="s">
        <v>73</v>
      </c>
      <c r="Q12" s="112">
        <f>0.5*((Q10*1000)+(Q11*1000))</f>
        <v>905.25706907788867</v>
      </c>
      <c r="R12" s="117">
        <f t="shared" si="16"/>
        <v>0.318</v>
      </c>
      <c r="S12" s="73">
        <f t="shared" si="2"/>
        <v>-2.7836183503024041</v>
      </c>
      <c r="T12" s="78">
        <f t="shared" si="3"/>
        <v>0.318</v>
      </c>
      <c r="U12" s="78">
        <f t="shared" si="4"/>
        <v>-2.8825211837618352</v>
      </c>
      <c r="V12" s="84">
        <f t="shared" si="0"/>
        <v>0.318</v>
      </c>
      <c r="W12" s="9">
        <v>808.58</v>
      </c>
      <c r="X12" s="10">
        <v>1831</v>
      </c>
      <c r="Y12" s="10">
        <v>20.61</v>
      </c>
      <c r="Z12" s="10">
        <v>14.36</v>
      </c>
      <c r="AA12" s="10">
        <v>44</v>
      </c>
      <c r="AB12" s="10">
        <v>7.79</v>
      </c>
      <c r="AC12" s="10">
        <v>127</v>
      </c>
      <c r="AD12" s="125">
        <f t="shared" si="5"/>
        <v>6.623454151356472</v>
      </c>
      <c r="AE12" s="80">
        <f t="shared" si="17"/>
        <v>0.99999999999999989</v>
      </c>
      <c r="AF12" s="81">
        <f t="shared" si="6"/>
        <v>-2.4005186110292067</v>
      </c>
      <c r="AG12" s="81">
        <f t="shared" si="1"/>
        <v>0.99999999999999989</v>
      </c>
      <c r="AH12" s="80">
        <f t="shared" si="7"/>
        <v>2.8608266787833201</v>
      </c>
      <c r="AI12" s="80">
        <f t="shared" si="8"/>
        <v>-15.899724959629872</v>
      </c>
      <c r="AJ12" s="80"/>
      <c r="AK12" s="80">
        <f t="shared" si="9"/>
        <v>18.948554341898731</v>
      </c>
      <c r="AL12" s="80"/>
      <c r="AM12" s="80">
        <f t="shared" si="10"/>
        <v>-15.899724959629872</v>
      </c>
      <c r="AN12" s="1">
        <f t="shared" si="11"/>
        <v>18.948554341898731</v>
      </c>
      <c r="AO12" s="1">
        <f t="shared" si="12"/>
        <v>0.99999999999999989</v>
      </c>
      <c r="AP12" s="1">
        <f t="shared" si="18"/>
        <v>5.6323531011246191</v>
      </c>
      <c r="AQ12" s="1">
        <f t="shared" si="13"/>
        <v>-10.023560049149456</v>
      </c>
      <c r="AR12" s="1">
        <f t="shared" si="14"/>
        <v>-3.0102878027546205</v>
      </c>
      <c r="AS12" s="1">
        <f t="shared" si="15"/>
        <v>12.10043065466987</v>
      </c>
      <c r="AT12" s="63">
        <f>AVERAGE(AS$2:$AS12)</f>
        <v>12.898887716967302</v>
      </c>
      <c r="AU12" s="66"/>
      <c r="AV12" s="1"/>
      <c r="AZ12" s="1"/>
      <c r="BB12" s="1"/>
    </row>
    <row r="13" spans="16:54" ht="17" thickBot="1" x14ac:dyDescent="0.25">
      <c r="P13" s="83" t="s">
        <v>70</v>
      </c>
      <c r="Q13" s="113">
        <f>Q35</f>
        <v>-7.3193819369751821E-4</v>
      </c>
      <c r="R13" s="117">
        <f t="shared" si="16"/>
        <v>0.36699999999999999</v>
      </c>
      <c r="S13" s="73">
        <f t="shared" si="2"/>
        <v>-2.7796738737568134</v>
      </c>
      <c r="T13" s="78">
        <f t="shared" si="3"/>
        <v>0.36699999999999999</v>
      </c>
      <c r="U13" s="78">
        <f t="shared" si="4"/>
        <v>-2.4163336339110537</v>
      </c>
      <c r="V13" s="84">
        <f t="shared" si="0"/>
        <v>0.36699999999999999</v>
      </c>
      <c r="W13" s="9">
        <v>804.03</v>
      </c>
      <c r="X13" s="10">
        <v>1880</v>
      </c>
      <c r="Y13" s="10">
        <v>21.01</v>
      </c>
      <c r="Z13" s="10">
        <v>14.16</v>
      </c>
      <c r="AA13" s="10">
        <v>49</v>
      </c>
      <c r="AB13" s="10">
        <v>7.16</v>
      </c>
      <c r="AC13" s="10">
        <v>126</v>
      </c>
      <c r="AD13" s="125">
        <f t="shared" si="5"/>
        <v>6.6118662883830241</v>
      </c>
      <c r="AE13" s="80">
        <f t="shared" si="17"/>
        <v>1.0999999999999999</v>
      </c>
      <c r="AF13" s="81">
        <f t="shared" si="6"/>
        <v>-2.1155064658182656</v>
      </c>
      <c r="AG13" s="81">
        <f t="shared" si="1"/>
        <v>1.0999999999999999</v>
      </c>
      <c r="AH13" s="80">
        <f t="shared" si="7"/>
        <v>3.9786889978756963</v>
      </c>
      <c r="AI13" s="80">
        <f t="shared" si="8"/>
        <v>-13.987445884200104</v>
      </c>
      <c r="AJ13" s="80"/>
      <c r="AK13" s="80">
        <f t="shared" si="9"/>
        <v>26.306559657014756</v>
      </c>
      <c r="AL13" s="80"/>
      <c r="AM13" s="80">
        <f t="shared" si="10"/>
        <v>-13.987445884200104</v>
      </c>
      <c r="AN13" s="1">
        <f t="shared" si="11"/>
        <v>26.306559657014756</v>
      </c>
      <c r="AO13" s="1">
        <f t="shared" si="12"/>
        <v>1.0999999999999999</v>
      </c>
      <c r="AP13" s="1">
        <f t="shared" si="18"/>
        <v>6.7328958173290872</v>
      </c>
      <c r="AQ13" s="1">
        <f t="shared" si="13"/>
        <v>-9.7385479039385139</v>
      </c>
      <c r="AR13" s="1">
        <f t="shared" si="14"/>
        <v>-1.8924254836622443</v>
      </c>
      <c r="AS13" s="1">
        <f t="shared" si="15"/>
        <v>11.930489124985314</v>
      </c>
      <c r="AT13" s="63">
        <f>AVERAGE(AS$2:$AS13)</f>
        <v>12.818187834302137</v>
      </c>
      <c r="AU13" s="66"/>
      <c r="AV13" s="1"/>
      <c r="AZ13" s="1"/>
      <c r="BB13" s="1"/>
    </row>
    <row r="14" spans="16:54" ht="17" thickBot="1" x14ac:dyDescent="0.25">
      <c r="P14" s="83" t="s">
        <v>71</v>
      </c>
      <c r="Q14" s="113">
        <f>Q36</f>
        <v>4.6730628495441464E-3</v>
      </c>
      <c r="R14" s="117">
        <f t="shared" si="16"/>
        <v>0.42</v>
      </c>
      <c r="S14" s="73">
        <f t="shared" si="2"/>
        <v>-2.7812385801135773</v>
      </c>
      <c r="T14" s="78">
        <f t="shared" si="3"/>
        <v>0.42</v>
      </c>
      <c r="U14" s="78">
        <f t="shared" si="4"/>
        <v>-2.0958135963467304</v>
      </c>
      <c r="V14" s="84">
        <f t="shared" si="0"/>
        <v>0.42</v>
      </c>
      <c r="W14" s="9">
        <v>799.12</v>
      </c>
      <c r="X14" s="10">
        <v>1933</v>
      </c>
      <c r="Y14" s="10">
        <v>20.95</v>
      </c>
      <c r="Z14" s="10">
        <v>14.04</v>
      </c>
      <c r="AA14" s="10">
        <v>53</v>
      </c>
      <c r="AB14" s="10">
        <v>6.77</v>
      </c>
      <c r="AC14" s="10">
        <v>125</v>
      </c>
      <c r="AD14" s="125">
        <f t="shared" si="5"/>
        <v>6.5993669711032883</v>
      </c>
      <c r="AE14" s="80">
        <f t="shared" si="17"/>
        <v>1.2</v>
      </c>
      <c r="AF14" s="81">
        <f t="shared" si="6"/>
        <v>-1.7919531675845473</v>
      </c>
      <c r="AG14" s="81">
        <f t="shared" si="1"/>
        <v>1.2</v>
      </c>
      <c r="AH14" s="80">
        <f t="shared" si="7"/>
        <v>5.2042098815846876</v>
      </c>
      <c r="AI14" s="80">
        <f t="shared" si="8"/>
        <v>-11.825756547921376</v>
      </c>
      <c r="AJ14" s="80"/>
      <c r="AK14" s="80">
        <f t="shared" si="9"/>
        <v>34.344490803219344</v>
      </c>
      <c r="AL14" s="80"/>
      <c r="AM14" s="80">
        <f t="shared" si="10"/>
        <v>-11.825756547921376</v>
      </c>
      <c r="AN14" s="1">
        <f t="shared" si="11"/>
        <v>34.344490803219344</v>
      </c>
      <c r="AO14" s="1">
        <f t="shared" si="12"/>
        <v>1.2</v>
      </c>
      <c r="AP14" s="1">
        <f t="shared" si="18"/>
        <v>7.9569081827601522</v>
      </c>
      <c r="AQ14" s="1">
        <f t="shared" si="13"/>
        <v>-9.4149946057047948</v>
      </c>
      <c r="AR14" s="1">
        <f t="shared" si="14"/>
        <v>-0.66690459995325302</v>
      </c>
      <c r="AS14" s="1">
        <f t="shared" si="15"/>
        <v>11.860155885413249</v>
      </c>
      <c r="AT14" s="63">
        <f>AVERAGE(AS$2:$AS14)</f>
        <v>12.74449306900299</v>
      </c>
      <c r="AU14" s="66"/>
      <c r="AV14" s="1"/>
      <c r="AZ14" s="1"/>
      <c r="BB14" s="1"/>
    </row>
    <row r="15" spans="16:54" ht="17" thickBot="1" x14ac:dyDescent="0.25">
      <c r="P15" s="83" t="s">
        <v>69</v>
      </c>
      <c r="Q15" s="139">
        <f>SQRT(Q13^2+Q14^2)</f>
        <v>4.730036988775335E-3</v>
      </c>
      <c r="R15" s="117">
        <f t="shared" si="16"/>
        <v>0.47799999999999998</v>
      </c>
      <c r="S15" s="73">
        <f t="shared" si="2"/>
        <v>-2.746974334567668</v>
      </c>
      <c r="T15" s="78">
        <f t="shared" si="3"/>
        <v>0.47799999999999998</v>
      </c>
      <c r="U15" s="78">
        <f t="shared" si="4"/>
        <v>-1.6505486991211498</v>
      </c>
      <c r="V15" s="84">
        <f t="shared" si="0"/>
        <v>0.47799999999999998</v>
      </c>
      <c r="W15" s="9">
        <v>793.82</v>
      </c>
      <c r="X15" s="10">
        <v>1991</v>
      </c>
      <c r="Y15" s="10">
        <v>20.5</v>
      </c>
      <c r="Z15" s="10">
        <v>13.93</v>
      </c>
      <c r="AA15" s="10">
        <v>59</v>
      </c>
      <c r="AB15" s="10">
        <v>6.23</v>
      </c>
      <c r="AC15" s="10">
        <v>124</v>
      </c>
      <c r="AD15" s="125">
        <f t="shared" si="5"/>
        <v>6.5859233481670518</v>
      </c>
      <c r="AE15" s="80">
        <f t="shared" si="17"/>
        <v>1.3</v>
      </c>
      <c r="AF15" s="81">
        <f t="shared" si="6"/>
        <v>-1.1603268474683788</v>
      </c>
      <c r="AG15" s="81">
        <f t="shared" si="1"/>
        <v>1.3</v>
      </c>
      <c r="AH15" s="80">
        <f t="shared" si="7"/>
        <v>6.5805405548617424</v>
      </c>
      <c r="AI15" s="80">
        <f t="shared" si="8"/>
        <v>-7.641823676247065</v>
      </c>
      <c r="AJ15" s="80"/>
      <c r="AK15" s="80">
        <f t="shared" si="9"/>
        <v>43.338935683824118</v>
      </c>
      <c r="AL15" s="80"/>
      <c r="AM15" s="80">
        <f t="shared" si="10"/>
        <v>-7.641823676247065</v>
      </c>
      <c r="AN15" s="1">
        <f t="shared" si="11"/>
        <v>43.338935683824118</v>
      </c>
      <c r="AO15" s="1">
        <f t="shared" si="12"/>
        <v>1.3</v>
      </c>
      <c r="AP15" s="1">
        <f t="shared" si="18"/>
        <v>9.3635106174762246</v>
      </c>
      <c r="AQ15" s="1">
        <f t="shared" si="13"/>
        <v>-8.7833682855886277</v>
      </c>
      <c r="AR15" s="1">
        <f t="shared" si="14"/>
        <v>0.70942607332380181</v>
      </c>
      <c r="AS15" s="1">
        <f t="shared" si="15"/>
        <v>11.692977227090759</v>
      </c>
      <c r="AT15" s="63">
        <f>AVERAGE(AS$2:$AS15)</f>
        <v>12.669384794580688</v>
      </c>
      <c r="AU15" s="66"/>
      <c r="AV15" s="1"/>
      <c r="AZ15" s="1"/>
      <c r="BB15" s="1"/>
    </row>
    <row r="16" spans="16:54" ht="17" thickBot="1" x14ac:dyDescent="0.25">
      <c r="P16" s="83" t="s">
        <v>76</v>
      </c>
      <c r="Q16" s="112">
        <f>(Q7*Q15-AQ214)/(2*PI()*Q15)</f>
        <v>129.76829565063144</v>
      </c>
      <c r="R16" s="117">
        <f t="shared" si="16"/>
        <v>0.54</v>
      </c>
      <c r="S16" s="73">
        <f t="shared" si="2"/>
        <v>-2.6832876432788302</v>
      </c>
      <c r="T16" s="78">
        <f t="shared" si="3"/>
        <v>0.54</v>
      </c>
      <c r="U16" s="78">
        <f t="shared" si="4"/>
        <v>-1.1946766297216735</v>
      </c>
      <c r="V16" s="84">
        <f t="shared" si="0"/>
        <v>0.54</v>
      </c>
      <c r="W16" s="9">
        <v>788.11</v>
      </c>
      <c r="X16" s="10">
        <v>2053</v>
      </c>
      <c r="Y16" s="10">
        <v>20.04</v>
      </c>
      <c r="Z16" s="10">
        <v>13.79</v>
      </c>
      <c r="AA16" s="10">
        <v>66</v>
      </c>
      <c r="AB16" s="10">
        <v>5.71</v>
      </c>
      <c r="AC16" s="10">
        <v>123</v>
      </c>
      <c r="AD16" s="125">
        <f t="shared" si="5"/>
        <v>6.5714850219616707</v>
      </c>
      <c r="AE16" s="80">
        <f t="shared" si="17"/>
        <v>1.4000000000000001</v>
      </c>
      <c r="AF16" s="81">
        <f t="shared" si="6"/>
        <v>-0.41809269479297867</v>
      </c>
      <c r="AG16" s="81">
        <f t="shared" si="1"/>
        <v>1.4000000000000001</v>
      </c>
      <c r="AH16" s="80">
        <f t="shared" si="7"/>
        <v>7.9776838574855002</v>
      </c>
      <c r="AI16" s="80">
        <f t="shared" si="8"/>
        <v>-2.7474898816236517</v>
      </c>
      <c r="AJ16" s="80"/>
      <c r="AK16" s="80">
        <f t="shared" si="9"/>
        <v>52.42522997941137</v>
      </c>
      <c r="AL16" s="80"/>
      <c r="AM16" s="80">
        <f t="shared" si="10"/>
        <v>-2.7474898816236517</v>
      </c>
      <c r="AN16" s="1">
        <f t="shared" si="11"/>
        <v>52.42522997941137</v>
      </c>
      <c r="AO16" s="1">
        <f t="shared" si="12"/>
        <v>1.4000000000000001</v>
      </c>
      <c r="AP16" s="1">
        <f t="shared" si="18"/>
        <v>10.834777777172329</v>
      </c>
      <c r="AQ16" s="1">
        <f t="shared" si="13"/>
        <v>-8.0411341329132267</v>
      </c>
      <c r="AR16" s="1">
        <f t="shared" si="14"/>
        <v>2.1065693759475597</v>
      </c>
      <c r="AS16" s="1">
        <f t="shared" si="15"/>
        <v>11.634778011239307</v>
      </c>
      <c r="AT16" s="63">
        <f>AVERAGE(AS$2:$AS16)</f>
        <v>12.600411009024596</v>
      </c>
      <c r="AU16" s="66"/>
      <c r="AV16" s="1"/>
      <c r="AZ16" s="1"/>
      <c r="BB16" s="1"/>
    </row>
    <row r="17" spans="16:54" ht="17" thickBot="1" x14ac:dyDescent="0.25">
      <c r="P17" s="83" t="s">
        <v>58</v>
      </c>
      <c r="Q17" s="114">
        <f>(AVERAGE($AF$57:$AF$62)-AVERAGE($AF$12:$AF$13))</f>
        <v>14.613132230926325</v>
      </c>
      <c r="R17" s="117">
        <f t="shared" si="16"/>
        <v>0.60799999999999998</v>
      </c>
      <c r="S17" s="73">
        <f t="shared" si="2"/>
        <v>-2.6509823716187615</v>
      </c>
      <c r="T17" s="78">
        <f t="shared" si="3"/>
        <v>0.60799999999999998</v>
      </c>
      <c r="U17" s="78">
        <f t="shared" si="4"/>
        <v>-0.51529877291389692</v>
      </c>
      <c r="V17" s="84">
        <f t="shared" si="0"/>
        <v>0.60799999999999998</v>
      </c>
      <c r="W17" s="9">
        <v>781.96</v>
      </c>
      <c r="X17" s="10">
        <v>2121</v>
      </c>
      <c r="Y17" s="10">
        <v>19.61</v>
      </c>
      <c r="Z17" s="10">
        <v>13.63</v>
      </c>
      <c r="AA17" s="10">
        <v>79</v>
      </c>
      <c r="AB17" s="10">
        <v>5.25</v>
      </c>
      <c r="AC17" s="10">
        <v>122</v>
      </c>
      <c r="AD17" s="125">
        <f t="shared" si="5"/>
        <v>6.5714850219616707</v>
      </c>
      <c r="AE17" s="80">
        <f t="shared" si="17"/>
        <v>1.5000000000000002</v>
      </c>
      <c r="AF17" s="81">
        <f t="shared" si="6"/>
        <v>-0.41809269479297867</v>
      </c>
      <c r="AG17" s="81">
        <f t="shared" si="1"/>
        <v>1.5000000000000002</v>
      </c>
      <c r="AH17" s="80">
        <f t="shared" si="7"/>
        <v>7.9776838574855002</v>
      </c>
      <c r="AI17" s="80">
        <f t="shared" si="8"/>
        <v>-2.7474898816236517</v>
      </c>
      <c r="AJ17" s="80"/>
      <c r="AK17" s="80">
        <f t="shared" si="9"/>
        <v>52.42522997941137</v>
      </c>
      <c r="AL17" s="80"/>
      <c r="AM17" s="80">
        <f t="shared" si="10"/>
        <v>-2.7474898816236517</v>
      </c>
      <c r="AN17" s="1">
        <f t="shared" si="11"/>
        <v>52.42522997941137</v>
      </c>
      <c r="AO17" s="1">
        <f t="shared" si="12"/>
        <v>1.5000000000000002</v>
      </c>
      <c r="AP17" s="1">
        <f t="shared" si="18"/>
        <v>10.834777777172329</v>
      </c>
      <c r="AQ17" s="1">
        <f t="shared" si="13"/>
        <v>-8.0411341329132267</v>
      </c>
      <c r="AR17" s="1">
        <f t="shared" si="14"/>
        <v>2.1065693759475597</v>
      </c>
      <c r="AS17" s="1">
        <f t="shared" si="15"/>
        <v>11.634778011239307</v>
      </c>
      <c r="AT17" s="63">
        <f>AVERAGE(AS$2:$AS17)</f>
        <v>12.540058946663017</v>
      </c>
      <c r="AU17" s="66"/>
      <c r="AV17" s="1"/>
      <c r="AZ17" s="1"/>
      <c r="BB17" s="1"/>
    </row>
    <row r="18" spans="16:54" ht="17" thickBot="1" x14ac:dyDescent="0.25">
      <c r="P18" s="83" t="s">
        <v>59</v>
      </c>
      <c r="Q18" s="114">
        <f>(AVERAGE($AH$57:$AH$62)-AVERAGE($AH$12:$AH$13))</f>
        <v>6.4703921179151784</v>
      </c>
      <c r="R18" s="117">
        <f t="shared" si="16"/>
        <v>0.68100000000000005</v>
      </c>
      <c r="S18" s="73">
        <f t="shared" si="2"/>
        <v>-2.6397634449635894</v>
      </c>
      <c r="T18" s="78">
        <f t="shared" si="3"/>
        <v>0.68100000000000005</v>
      </c>
      <c r="U18" s="78">
        <f t="shared" si="4"/>
        <v>0.27745031816518567</v>
      </c>
      <c r="V18" s="84">
        <f t="shared" si="0"/>
        <v>0.68100000000000005</v>
      </c>
      <c r="W18" s="9">
        <v>775.35</v>
      </c>
      <c r="X18" s="10">
        <v>2194</v>
      </c>
      <c r="Y18" s="10">
        <v>19.25</v>
      </c>
      <c r="Z18" s="10">
        <v>13.42</v>
      </c>
      <c r="AA18" s="10">
        <v>96</v>
      </c>
      <c r="AB18" s="10">
        <v>5.16</v>
      </c>
      <c r="AC18" s="10">
        <v>121</v>
      </c>
      <c r="AD18" s="125">
        <f t="shared" si="5"/>
        <v>6.5559825850707467</v>
      </c>
      <c r="AE18" s="80">
        <f t="shared" si="17"/>
        <v>1.6000000000000003</v>
      </c>
      <c r="AF18" s="81">
        <f t="shared" si="6"/>
        <v>0.65952457912731877</v>
      </c>
      <c r="AG18" s="81">
        <f t="shared" si="1"/>
        <v>1.6000000000000003</v>
      </c>
      <c r="AH18" s="80">
        <f t="shared" si="7"/>
        <v>9.43164089419815</v>
      </c>
      <c r="AI18" s="80">
        <f t="shared" si="8"/>
        <v>4.3238316551848159</v>
      </c>
      <c r="AJ18" s="80"/>
      <c r="AK18" s="80">
        <f t="shared" si="9"/>
        <v>61.833673451004159</v>
      </c>
      <c r="AL18" s="80"/>
      <c r="AM18" s="80">
        <f t="shared" si="10"/>
        <v>4.3238316551848159</v>
      </c>
      <c r="AN18" s="1">
        <f t="shared" si="11"/>
        <v>61.833673451004159</v>
      </c>
      <c r="AO18" s="1">
        <f t="shared" si="12"/>
        <v>1.6000000000000003</v>
      </c>
      <c r="AP18" s="1">
        <f t="shared" si="18"/>
        <v>12.45466549352289</v>
      </c>
      <c r="AQ18" s="1">
        <f t="shared" si="13"/>
        <v>-6.9635168589929295</v>
      </c>
      <c r="AR18" s="1">
        <f t="shared" si="14"/>
        <v>3.5605264126602094</v>
      </c>
      <c r="AS18" s="1">
        <f t="shared" si="15"/>
        <v>11.561576453255327</v>
      </c>
      <c r="AT18" s="63">
        <f>AVERAGE(AS$2:$AS18)</f>
        <v>12.482501152933153</v>
      </c>
      <c r="AU18" s="66"/>
      <c r="AV18" s="1"/>
      <c r="AZ18" s="1"/>
      <c r="BB18" s="1"/>
    </row>
    <row r="19" spans="16:54" ht="17" thickBot="1" x14ac:dyDescent="0.25">
      <c r="P19" s="83" t="s">
        <v>57</v>
      </c>
      <c r="Q19" s="114">
        <f>SQRT(Q17^2+Q18^2)</f>
        <v>15.981539592858903</v>
      </c>
      <c r="R19" s="117">
        <f t="shared" si="16"/>
        <v>0.76100000000000001</v>
      </c>
      <c r="S19" s="73">
        <f t="shared" si="2"/>
        <v>-2.6231885613403545</v>
      </c>
      <c r="T19" s="78">
        <f t="shared" si="3"/>
        <v>0.76100000000000001</v>
      </c>
      <c r="U19" s="78">
        <f t="shared" si="4"/>
        <v>1.0598369740922982</v>
      </c>
      <c r="V19" s="84">
        <f t="shared" si="0"/>
        <v>0.76100000000000001</v>
      </c>
      <c r="W19" s="9">
        <v>768.26</v>
      </c>
      <c r="X19" s="10">
        <v>2274</v>
      </c>
      <c r="Y19" s="10">
        <v>18.850000000000001</v>
      </c>
      <c r="Z19" s="10">
        <v>13.16</v>
      </c>
      <c r="AA19" s="10">
        <v>112</v>
      </c>
      <c r="AB19" s="10">
        <v>5.5</v>
      </c>
      <c r="AC19" s="10">
        <v>120</v>
      </c>
      <c r="AD19" s="125">
        <f t="shared" si="5"/>
        <v>6.5393980766978546</v>
      </c>
      <c r="AE19" s="80">
        <f t="shared" si="17"/>
        <v>1.7000000000000004</v>
      </c>
      <c r="AF19" s="81">
        <f t="shared" si="6"/>
        <v>2.1191048585163892</v>
      </c>
      <c r="AG19" s="81">
        <f t="shared" si="1"/>
        <v>1.7000000000000004</v>
      </c>
      <c r="AH19" s="80">
        <f t="shared" si="7"/>
        <v>10.901849410142676</v>
      </c>
      <c r="AI19" s="80">
        <f t="shared" si="8"/>
        <v>13.857670236103155</v>
      </c>
      <c r="AJ19" s="80"/>
      <c r="AK19" s="80">
        <f t="shared" si="9"/>
        <v>71.291533065136647</v>
      </c>
      <c r="AL19" s="80"/>
      <c r="AM19" s="80">
        <f t="shared" si="10"/>
        <v>13.857670236103155</v>
      </c>
      <c r="AN19" s="1">
        <f t="shared" si="11"/>
        <v>71.291533065136647</v>
      </c>
      <c r="AO19" s="1">
        <f t="shared" si="12"/>
        <v>1.7000000000000004</v>
      </c>
      <c r="AP19" s="1">
        <f t="shared" si="18"/>
        <v>14.240216229265828</v>
      </c>
      <c r="AQ19" s="1">
        <f t="shared" si="13"/>
        <v>-5.5039365796038595</v>
      </c>
      <c r="AR19" s="1">
        <f t="shared" si="14"/>
        <v>5.0307349286047351</v>
      </c>
      <c r="AS19" s="1">
        <f t="shared" si="15"/>
        <v>11.527431469578843</v>
      </c>
      <c r="AT19" s="63">
        <f>AVERAGE(AS$2:$AS19)</f>
        <v>12.429441726080135</v>
      </c>
      <c r="AU19" s="66"/>
      <c r="AV19" s="1"/>
      <c r="AZ19" s="1"/>
      <c r="BB19" s="1"/>
    </row>
    <row r="20" spans="16:54" ht="17" thickBot="1" x14ac:dyDescent="0.25">
      <c r="P20" s="83" t="s">
        <v>79</v>
      </c>
      <c r="Q20" s="114">
        <f>AJ62+(2*PI()*$Q$16-$Q$7)*$Q$13</f>
        <v>8.3158321093985581</v>
      </c>
      <c r="R20" s="117">
        <f t="shared" si="16"/>
        <v>0.84599999999999997</v>
      </c>
      <c r="S20" s="73">
        <f t="shared" si="2"/>
        <v>-2.5470722594836301</v>
      </c>
      <c r="T20" s="78">
        <f t="shared" si="3"/>
        <v>0.84599999999999997</v>
      </c>
      <c r="U20" s="78">
        <f t="shared" si="4"/>
        <v>1.9193566170383645</v>
      </c>
      <c r="V20" s="84">
        <f t="shared" si="0"/>
        <v>0.84599999999999997</v>
      </c>
      <c r="W20" s="9">
        <v>760.66</v>
      </c>
      <c r="X20" s="10">
        <v>2359</v>
      </c>
      <c r="Y20" s="10">
        <v>18.38</v>
      </c>
      <c r="Z20" s="10">
        <v>12.85</v>
      </c>
      <c r="AA20" s="10">
        <v>127</v>
      </c>
      <c r="AB20" s="10">
        <v>6.2</v>
      </c>
      <c r="AC20" s="10">
        <v>119</v>
      </c>
      <c r="AD20" s="125">
        <f t="shared" si="5"/>
        <v>6.5393980766978546</v>
      </c>
      <c r="AE20" s="80">
        <f t="shared" si="17"/>
        <v>1.8000000000000005</v>
      </c>
      <c r="AF20" s="81">
        <f t="shared" si="6"/>
        <v>2.1191048585163892</v>
      </c>
      <c r="AG20" s="81">
        <f t="shared" si="1"/>
        <v>1.8000000000000005</v>
      </c>
      <c r="AH20" s="80">
        <f t="shared" si="7"/>
        <v>10.901849410142676</v>
      </c>
      <c r="AI20" s="80">
        <f t="shared" si="8"/>
        <v>13.857670236103155</v>
      </c>
      <c r="AJ20" s="80"/>
      <c r="AK20" s="80">
        <f t="shared" si="9"/>
        <v>71.291533065136647</v>
      </c>
      <c r="AL20" s="80"/>
      <c r="AM20" s="80">
        <f t="shared" si="10"/>
        <v>13.857670236103155</v>
      </c>
      <c r="AN20" s="1">
        <f t="shared" si="11"/>
        <v>71.291533065136647</v>
      </c>
      <c r="AO20" s="1">
        <f t="shared" si="12"/>
        <v>1.8000000000000005</v>
      </c>
      <c r="AP20" s="1">
        <f t="shared" si="18"/>
        <v>14.240216229265828</v>
      </c>
      <c r="AQ20" s="1">
        <f t="shared" si="13"/>
        <v>-5.5039365796038595</v>
      </c>
      <c r="AR20" s="1">
        <f t="shared" si="14"/>
        <v>5.0307349286047351</v>
      </c>
      <c r="AS20" s="1">
        <f t="shared" si="15"/>
        <v>11.527431469578843</v>
      </c>
      <c r="AT20" s="63">
        <f>AVERAGE(AS$2:$AS20)</f>
        <v>12.381967502053753</v>
      </c>
      <c r="AU20" s="66"/>
      <c r="AV20" s="1"/>
      <c r="AZ20" s="1"/>
      <c r="BB20" s="1"/>
    </row>
    <row r="21" spans="16:54" ht="17" thickBot="1" x14ac:dyDescent="0.25">
      <c r="P21" s="83" t="s">
        <v>80</v>
      </c>
      <c r="Q21" s="114">
        <f>AL62+(2*PI()*$Q$16-$Q$7)*$Q$14</f>
        <v>3.4070397100709418</v>
      </c>
      <c r="R21" s="117">
        <f t="shared" si="16"/>
        <v>0.93799999999999994</v>
      </c>
      <c r="S21" s="73">
        <f t="shared" si="2"/>
        <v>-2.4005186110292067</v>
      </c>
      <c r="T21" s="78">
        <f t="shared" si="3"/>
        <v>0.93799999999999994</v>
      </c>
      <c r="U21" s="78">
        <f t="shared" si="4"/>
        <v>2.8608266787833201</v>
      </c>
      <c r="V21" s="84">
        <f t="shared" si="0"/>
        <v>0.93799999999999994</v>
      </c>
      <c r="W21" s="9">
        <v>752.54</v>
      </c>
      <c r="X21" s="10">
        <v>2451</v>
      </c>
      <c r="Y21" s="10">
        <v>17.86</v>
      </c>
      <c r="Z21" s="10">
        <v>12.47</v>
      </c>
      <c r="AA21" s="10">
        <v>140</v>
      </c>
      <c r="AB21" s="10">
        <v>7.26</v>
      </c>
      <c r="AC21" s="10">
        <v>118</v>
      </c>
      <c r="AD21" s="125">
        <f t="shared" si="5"/>
        <v>6.5216662366174729</v>
      </c>
      <c r="AE21" s="80">
        <f t="shared" si="17"/>
        <v>1.9000000000000006</v>
      </c>
      <c r="AF21" s="81">
        <f t="shared" si="6"/>
        <v>3.7553882425871166</v>
      </c>
      <c r="AG21" s="81">
        <f t="shared" si="1"/>
        <v>1.9000000000000006</v>
      </c>
      <c r="AH21" s="80">
        <f t="shared" si="7"/>
        <v>12.283321466690612</v>
      </c>
      <c r="AI21" s="80">
        <f t="shared" si="8"/>
        <v>24.491388707070627</v>
      </c>
      <c r="AJ21" s="80"/>
      <c r="AK21" s="80">
        <f t="shared" si="9"/>
        <v>80.107722882834778</v>
      </c>
      <c r="AL21" s="80"/>
      <c r="AM21" s="80">
        <f t="shared" si="10"/>
        <v>24.491388707070627</v>
      </c>
      <c r="AN21" s="1">
        <f t="shared" si="11"/>
        <v>80.107722882834778</v>
      </c>
      <c r="AO21" s="1">
        <f t="shared" si="12"/>
        <v>1.9000000000000006</v>
      </c>
      <c r="AP21" s="1">
        <f t="shared" si="18"/>
        <v>16.072749886773135</v>
      </c>
      <c r="AQ21" s="1">
        <f t="shared" si="13"/>
        <v>-3.8676531955331317</v>
      </c>
      <c r="AR21" s="1">
        <f t="shared" si="14"/>
        <v>6.4122069851526717</v>
      </c>
      <c r="AS21" s="1">
        <f t="shared" si="15"/>
        <v>11.694201720167761</v>
      </c>
      <c r="AT21" s="63">
        <f>AVERAGE(AS$2:$AS21)</f>
        <v>12.347579212959454</v>
      </c>
      <c r="AU21" s="66"/>
      <c r="AV21" s="1"/>
      <c r="AZ21" s="1"/>
      <c r="BB21" s="1"/>
    </row>
    <row r="22" spans="16:54" ht="17" thickBot="1" x14ac:dyDescent="0.25">
      <c r="P22" s="83" t="s">
        <v>77</v>
      </c>
      <c r="Q22" s="114">
        <f>AJ62+(9/$Q$19)*$Q$18</f>
        <v>11.048111169826717</v>
      </c>
      <c r="R22" s="117">
        <f t="shared" si="16"/>
        <v>1.038</v>
      </c>
      <c r="S22" s="73">
        <f t="shared" si="2"/>
        <v>-2.1155064658182656</v>
      </c>
      <c r="T22" s="78">
        <f t="shared" si="3"/>
        <v>1.038</v>
      </c>
      <c r="U22" s="78">
        <f t="shared" si="4"/>
        <v>3.9786889978756963</v>
      </c>
      <c r="V22" s="84">
        <f t="shared" si="0"/>
        <v>1.038</v>
      </c>
      <c r="W22" s="9">
        <v>743.87</v>
      </c>
      <c r="X22" s="10">
        <v>2551</v>
      </c>
      <c r="Y22" s="10">
        <v>17.27</v>
      </c>
      <c r="Z22" s="10">
        <v>12.02</v>
      </c>
      <c r="AA22" s="10">
        <v>152</v>
      </c>
      <c r="AB22" s="10">
        <v>8.76</v>
      </c>
      <c r="AC22" s="10">
        <v>117</v>
      </c>
      <c r="AD22" s="125">
        <f t="shared" si="5"/>
        <v>6.5027750532994872</v>
      </c>
      <c r="AE22" s="80">
        <f t="shared" si="17"/>
        <v>2.0000000000000004</v>
      </c>
      <c r="AF22" s="81">
        <f t="shared" si="6"/>
        <v>5.7061655059297172</v>
      </c>
      <c r="AG22" s="81">
        <f t="shared" si="1"/>
        <v>2.0000000000000004</v>
      </c>
      <c r="AH22" s="80">
        <f t="shared" si="7"/>
        <v>13.442883506926403</v>
      </c>
      <c r="AI22" s="80">
        <f t="shared" si="8"/>
        <v>37.105910701957811</v>
      </c>
      <c r="AJ22" s="80"/>
      <c r="AK22" s="80">
        <f t="shared" si="9"/>
        <v>87.416047513252138</v>
      </c>
      <c r="AL22" s="80"/>
      <c r="AM22" s="80">
        <f t="shared" si="10"/>
        <v>37.105910701957811</v>
      </c>
      <c r="AN22" s="1">
        <f t="shared" si="11"/>
        <v>87.416047513252138</v>
      </c>
      <c r="AO22" s="1">
        <f t="shared" si="12"/>
        <v>2.0000000000000004</v>
      </c>
      <c r="AP22" s="1">
        <f t="shared" si="18"/>
        <v>17.903071891004597</v>
      </c>
      <c r="AQ22" s="1">
        <f t="shared" si="13"/>
        <v>-1.9168759321905311</v>
      </c>
      <c r="AR22" s="1">
        <f t="shared" si="14"/>
        <v>7.5717690253884626</v>
      </c>
      <c r="AS22" s="1">
        <f t="shared" si="15"/>
        <v>11.923131418627023</v>
      </c>
      <c r="AT22" s="63">
        <f>AVERAGE(AS$2:$AS22)</f>
        <v>12.327367413229338</v>
      </c>
      <c r="AU22" s="66"/>
      <c r="AV22" s="1"/>
      <c r="AZ22" s="1"/>
      <c r="BB22" s="1"/>
    </row>
    <row r="23" spans="16:54" ht="17" thickBot="1" x14ac:dyDescent="0.25">
      <c r="P23" s="83" t="s">
        <v>78</v>
      </c>
      <c r="Q23" s="114">
        <f>AL62-(9/$Q$19)*$Q$17</f>
        <v>0.99726574869429641</v>
      </c>
      <c r="R23" s="117">
        <f t="shared" si="16"/>
        <v>1.145</v>
      </c>
      <c r="S23" s="73">
        <f t="shared" si="2"/>
        <v>-1.7919531675845473</v>
      </c>
      <c r="T23" s="78">
        <f t="shared" si="3"/>
        <v>1.145</v>
      </c>
      <c r="U23" s="78">
        <f t="shared" si="4"/>
        <v>5.2042098815846876</v>
      </c>
      <c r="V23" s="84">
        <f t="shared" si="0"/>
        <v>1.145</v>
      </c>
      <c r="W23" s="9">
        <v>734.63</v>
      </c>
      <c r="X23" s="10">
        <v>2658</v>
      </c>
      <c r="Y23" s="10">
        <v>16.59</v>
      </c>
      <c r="Z23" s="10">
        <v>11.54</v>
      </c>
      <c r="AA23" s="10">
        <v>161</v>
      </c>
      <c r="AB23" s="10">
        <v>10.7</v>
      </c>
      <c r="AC23" s="10">
        <v>116</v>
      </c>
      <c r="AD23" s="125">
        <f t="shared" si="5"/>
        <v>6.5027750532994872</v>
      </c>
      <c r="AE23" s="80">
        <f t="shared" si="17"/>
        <v>2.1000000000000005</v>
      </c>
      <c r="AF23" s="81">
        <f t="shared" si="6"/>
        <v>5.7061655059297172</v>
      </c>
      <c r="AG23" s="81">
        <f t="shared" si="1"/>
        <v>2.1000000000000005</v>
      </c>
      <c r="AH23" s="80">
        <f t="shared" si="7"/>
        <v>13.442883506926403</v>
      </c>
      <c r="AI23" s="80">
        <f t="shared" si="8"/>
        <v>37.105910701957811</v>
      </c>
      <c r="AJ23" s="80"/>
      <c r="AK23" s="80">
        <f t="shared" si="9"/>
        <v>87.416047513252138</v>
      </c>
      <c r="AL23" s="80"/>
      <c r="AM23" s="80"/>
      <c r="AO23" s="1">
        <f t="shared" si="12"/>
        <v>2.1000000000000005</v>
      </c>
      <c r="AP23" s="1">
        <f t="shared" si="18"/>
        <v>17.903071891004597</v>
      </c>
      <c r="AQ23" s="1">
        <f t="shared" si="13"/>
        <v>-1.9168759321905311</v>
      </c>
      <c r="AR23" s="1">
        <f t="shared" si="14"/>
        <v>7.5717690253884626</v>
      </c>
      <c r="AS23" s="1">
        <f t="shared" si="15"/>
        <v>11.923131418627023</v>
      </c>
      <c r="AT23" s="63">
        <f>AVERAGE(AS$2:$AS23)</f>
        <v>12.308993049838323</v>
      </c>
      <c r="AU23" s="66"/>
      <c r="AV23" s="1"/>
      <c r="AZ23" s="1"/>
      <c r="BB23" s="1"/>
    </row>
    <row r="24" spans="16:54" ht="17" thickBot="1" x14ac:dyDescent="0.25">
      <c r="P24" s="83" t="s">
        <v>81</v>
      </c>
      <c r="Q24" s="114">
        <f>AVERAGE(Q20,Q22)</f>
        <v>9.6819716396126374</v>
      </c>
      <c r="R24" s="117">
        <f t="shared" si="16"/>
        <v>1.2589999999999999</v>
      </c>
      <c r="S24" s="73">
        <f t="shared" si="2"/>
        <v>-1.1603268474683788</v>
      </c>
      <c r="T24" s="78">
        <f t="shared" si="3"/>
        <v>1.2589999999999999</v>
      </c>
      <c r="U24" s="78">
        <f t="shared" si="4"/>
        <v>6.5805405548617424</v>
      </c>
      <c r="V24" s="84">
        <f t="shared" si="0"/>
        <v>1.2589999999999999</v>
      </c>
      <c r="W24" s="9">
        <v>724.82</v>
      </c>
      <c r="X24" s="10">
        <v>2772</v>
      </c>
      <c r="Y24" s="10">
        <v>15.82</v>
      </c>
      <c r="Z24" s="10">
        <v>10.98</v>
      </c>
      <c r="AA24" s="10">
        <v>170</v>
      </c>
      <c r="AB24" s="10">
        <v>12.99</v>
      </c>
      <c r="AC24" s="10">
        <v>115</v>
      </c>
      <c r="AD24" s="125">
        <f t="shared" si="5"/>
        <v>6.4826638280387741</v>
      </c>
      <c r="AE24" s="80">
        <f t="shared" si="17"/>
        <v>2.2000000000000006</v>
      </c>
      <c r="AF24" s="81">
        <f t="shared" si="6"/>
        <v>7.5998845296005522</v>
      </c>
      <c r="AG24" s="81">
        <f t="shared" si="1"/>
        <v>2.2000000000000006</v>
      </c>
      <c r="AH24" s="80">
        <f t="shared" si="7"/>
        <v>14.293303968395909</v>
      </c>
      <c r="AI24" s="80">
        <f t="shared" si="8"/>
        <v>49.267496537312972</v>
      </c>
      <c r="AJ24" s="80"/>
      <c r="AK24" s="80">
        <f t="shared" si="9"/>
        <v>92.658684619083218</v>
      </c>
      <c r="AL24" s="80"/>
      <c r="AM24" s="80"/>
      <c r="AO24" s="1">
        <f t="shared" si="12"/>
        <v>2.2000000000000006</v>
      </c>
      <c r="AP24" s="1">
        <f t="shared" si="18"/>
        <v>19.526453809161286</v>
      </c>
      <c r="AQ24" s="1">
        <f t="shared" si="13"/>
        <v>-2.3156908519696096E-2</v>
      </c>
      <c r="AR24" s="1">
        <f t="shared" si="14"/>
        <v>8.4221894868579685</v>
      </c>
      <c r="AS24" s="1">
        <f t="shared" si="15"/>
        <v>12.269108566573657</v>
      </c>
      <c r="AT24" s="63">
        <f>AVERAGE(AS$2:$AS24)</f>
        <v>12.307258941870293</v>
      </c>
      <c r="AU24" s="66"/>
      <c r="AV24" s="1"/>
      <c r="AZ24" s="1"/>
      <c r="BB24" s="1"/>
    </row>
    <row r="25" spans="16:54" ht="17" thickBot="1" x14ac:dyDescent="0.25">
      <c r="P25" s="83" t="s">
        <v>82</v>
      </c>
      <c r="Q25" s="114">
        <f>AVERAGE(Q21,Q23)</f>
        <v>2.2021527293826191</v>
      </c>
      <c r="R25" s="117">
        <f t="shared" si="16"/>
        <v>1.3819999999999999</v>
      </c>
      <c r="S25" s="73">
        <f t="shared" si="2"/>
        <v>-0.41809269479297867</v>
      </c>
      <c r="T25" s="78">
        <f t="shared" si="3"/>
        <v>1.3819999999999999</v>
      </c>
      <c r="U25" s="78">
        <f t="shared" si="4"/>
        <v>7.9776838574855002</v>
      </c>
      <c r="V25" s="84">
        <f t="shared" si="0"/>
        <v>1.3819999999999999</v>
      </c>
      <c r="W25" s="9">
        <v>714.43</v>
      </c>
      <c r="X25" s="10">
        <v>2895</v>
      </c>
      <c r="Y25" s="10">
        <v>15.05</v>
      </c>
      <c r="Z25" s="10">
        <v>10.27</v>
      </c>
      <c r="AA25" s="10">
        <v>177</v>
      </c>
      <c r="AB25" s="10">
        <v>15.53</v>
      </c>
      <c r="AC25" s="10">
        <v>114</v>
      </c>
      <c r="AD25" s="125">
        <f t="shared" si="5"/>
        <v>6.4826638280387741</v>
      </c>
      <c r="AE25" s="80">
        <f t="shared" si="17"/>
        <v>2.3000000000000007</v>
      </c>
      <c r="AF25" s="81">
        <f t="shared" si="6"/>
        <v>7.5998845296005522</v>
      </c>
      <c r="AG25" s="81">
        <f t="shared" si="1"/>
        <v>2.3000000000000007</v>
      </c>
      <c r="AH25" s="80">
        <f t="shared" si="7"/>
        <v>14.293303968395909</v>
      </c>
      <c r="AI25" s="80">
        <f t="shared" si="8"/>
        <v>49.267496537312972</v>
      </c>
      <c r="AJ25" s="80"/>
      <c r="AK25" s="80">
        <f t="shared" si="9"/>
        <v>92.658684619083218</v>
      </c>
      <c r="AL25" s="80"/>
      <c r="AM25" s="80"/>
      <c r="AO25" s="1">
        <f t="shared" si="12"/>
        <v>2.3000000000000007</v>
      </c>
      <c r="AP25" s="1">
        <f t="shared" si="18"/>
        <v>19.526453809161286</v>
      </c>
      <c r="AQ25" s="1">
        <f t="shared" si="13"/>
        <v>-2.3156908519696096E-2</v>
      </c>
      <c r="AR25" s="1">
        <f t="shared" si="14"/>
        <v>8.4221894868579685</v>
      </c>
      <c r="AS25" s="1">
        <f t="shared" si="15"/>
        <v>12.269108566573657</v>
      </c>
      <c r="AT25" s="63">
        <f>AVERAGE(AS$2:$AS25)</f>
        <v>12.3056693428996</v>
      </c>
      <c r="AU25" s="66"/>
      <c r="AV25" s="1"/>
      <c r="AZ25" s="1"/>
      <c r="BB25" s="1"/>
    </row>
    <row r="26" spans="16:54" ht="17" thickBot="1" x14ac:dyDescent="0.25">
      <c r="P26" s="83" t="s">
        <v>83</v>
      </c>
      <c r="Q26" s="114">
        <f>SQRT(Q24^2+Q25^2)</f>
        <v>9.9292523119211129</v>
      </c>
      <c r="R26" s="117">
        <f t="shared" si="16"/>
        <v>1.5129999999999999</v>
      </c>
      <c r="S26" s="73">
        <f t="shared" si="2"/>
        <v>0.65952457912731877</v>
      </c>
      <c r="T26" s="78">
        <f t="shared" si="3"/>
        <v>1.5129999999999999</v>
      </c>
      <c r="U26" s="78">
        <f t="shared" si="4"/>
        <v>9.43164089419815</v>
      </c>
      <c r="V26" s="84">
        <f t="shared" si="0"/>
        <v>1.5129999999999999</v>
      </c>
      <c r="W26" s="9">
        <v>703.44</v>
      </c>
      <c r="X26" s="10">
        <v>3026</v>
      </c>
      <c r="Y26" s="10">
        <v>14.24</v>
      </c>
      <c r="Z26" s="10">
        <v>9.35</v>
      </c>
      <c r="AA26" s="10">
        <v>184</v>
      </c>
      <c r="AB26" s="10">
        <v>18.38</v>
      </c>
      <c r="AC26" s="10">
        <v>113</v>
      </c>
      <c r="AD26" s="125">
        <f t="shared" si="5"/>
        <v>6.4613119141454147</v>
      </c>
      <c r="AE26" s="80">
        <f t="shared" si="17"/>
        <v>2.4000000000000008</v>
      </c>
      <c r="AF26" s="81">
        <f t="shared" si="6"/>
        <v>9.3062386294660797</v>
      </c>
      <c r="AG26" s="81">
        <f t="shared" si="1"/>
        <v>2.4000000000000008</v>
      </c>
      <c r="AH26" s="80">
        <f t="shared" si="7"/>
        <v>14.893095014230228</v>
      </c>
      <c r="AI26" s="80">
        <f t="shared" si="8"/>
        <v>60.130510532449478</v>
      </c>
      <c r="AJ26" s="80"/>
      <c r="AK26" s="80">
        <f t="shared" si="9"/>
        <v>96.228932253945445</v>
      </c>
      <c r="AL26" s="80"/>
      <c r="AM26" s="80"/>
      <c r="AO26" s="1">
        <f t="shared" si="12"/>
        <v>2.4000000000000008</v>
      </c>
      <c r="AP26" s="1">
        <f t="shared" si="18"/>
        <v>20.916783337016799</v>
      </c>
      <c r="AQ26" s="1">
        <f t="shared" si="13"/>
        <v>1.6831971913458315</v>
      </c>
      <c r="AR26" s="1">
        <f t="shared" si="14"/>
        <v>9.0219805326922877</v>
      </c>
      <c r="AS26" s="1">
        <f t="shared" si="15"/>
        <v>12.69650311590742</v>
      </c>
      <c r="AT26" s="63">
        <f>AVERAGE(AS$2:$AS26)</f>
        <v>12.321302693819915</v>
      </c>
      <c r="AU26" s="66"/>
      <c r="AV26" s="1"/>
      <c r="AZ26" s="1"/>
      <c r="BB26" s="1"/>
    </row>
    <row r="27" spans="16:54" ht="17" thickBot="1" x14ac:dyDescent="0.25">
      <c r="P27" s="83" t="s">
        <v>8</v>
      </c>
      <c r="Q27" s="112">
        <f>Q7/Q9</f>
        <v>115.10371951457104</v>
      </c>
      <c r="R27" s="117">
        <f t="shared" si="16"/>
        <v>1.6539999999999999</v>
      </c>
      <c r="S27" s="73">
        <f t="shared" si="2"/>
        <v>2.1191048585163892</v>
      </c>
      <c r="T27" s="78">
        <f t="shared" si="3"/>
        <v>1.6539999999999999</v>
      </c>
      <c r="U27" s="78">
        <f t="shared" si="4"/>
        <v>10.901849410142676</v>
      </c>
      <c r="V27" s="84">
        <f t="shared" si="0"/>
        <v>1.6539999999999999</v>
      </c>
      <c r="W27" s="9">
        <v>691.87</v>
      </c>
      <c r="X27" s="10">
        <v>3167</v>
      </c>
      <c r="Y27" s="10">
        <v>13.38</v>
      </c>
      <c r="Z27" s="10">
        <v>8.18</v>
      </c>
      <c r="AA27" s="10">
        <v>191</v>
      </c>
      <c r="AB27" s="10">
        <v>21.59</v>
      </c>
      <c r="AC27" s="10">
        <v>112</v>
      </c>
      <c r="AD27" s="125">
        <f t="shared" si="5"/>
        <v>6.43872717375808</v>
      </c>
      <c r="AE27" s="80">
        <f t="shared" si="17"/>
        <v>2.5000000000000009</v>
      </c>
      <c r="AF27" s="81">
        <f t="shared" si="6"/>
        <v>10.651222650809116</v>
      </c>
      <c r="AG27" s="81">
        <f t="shared" si="1"/>
        <v>2.5000000000000009</v>
      </c>
      <c r="AH27" s="80">
        <f t="shared" si="7"/>
        <v>15.211522398119492</v>
      </c>
      <c r="AI27" s="80">
        <f t="shared" si="8"/>
        <v>68.580316715512225</v>
      </c>
      <c r="AJ27" s="80"/>
      <c r="AK27" s="80">
        <f t="shared" si="9"/>
        <v>97.942842619001652</v>
      </c>
      <c r="AL27" s="80"/>
      <c r="AM27" s="80"/>
      <c r="AO27" s="1">
        <f t="shared" si="12"/>
        <v>2.5000000000000009</v>
      </c>
      <c r="AP27" s="1">
        <f t="shared" si="18"/>
        <v>21.928872000000005</v>
      </c>
      <c r="AQ27" s="1">
        <f t="shared" si="13"/>
        <v>3.0281812126888674</v>
      </c>
      <c r="AR27" s="1">
        <f t="shared" si="14"/>
        <v>9.340407916581551</v>
      </c>
      <c r="AS27" s="1">
        <f t="shared" si="15"/>
        <v>13.045426275156988</v>
      </c>
      <c r="AT27" s="63">
        <f>AVERAGE(AS$2:$AS27)</f>
        <v>12.349153600794418</v>
      </c>
      <c r="AU27" s="66"/>
      <c r="AV27" s="1"/>
      <c r="AZ27" s="1"/>
      <c r="BB27" s="1"/>
    </row>
    <row r="28" spans="16:54" ht="17" thickBot="1" x14ac:dyDescent="0.25">
      <c r="P28" s="83" t="s">
        <v>18</v>
      </c>
      <c r="Q28" s="114">
        <f>2*Q27*Q15</f>
        <v>1.0888897016990848</v>
      </c>
      <c r="R28" s="117">
        <f t="shared" si="16"/>
        <v>1.8029999999999999</v>
      </c>
      <c r="S28" s="73">
        <f t="shared" si="2"/>
        <v>3.7553882425871166</v>
      </c>
      <c r="T28" s="78">
        <f t="shared" si="3"/>
        <v>1.8029999999999999</v>
      </c>
      <c r="U28" s="78">
        <f t="shared" si="4"/>
        <v>12.283321466690612</v>
      </c>
      <c r="V28" s="84">
        <f t="shared" si="0"/>
        <v>1.8029999999999999</v>
      </c>
      <c r="W28" s="9">
        <v>679.71</v>
      </c>
      <c r="X28" s="10">
        <v>3316</v>
      </c>
      <c r="Y28" s="10">
        <v>12.55</v>
      </c>
      <c r="Z28" s="10">
        <v>6.67</v>
      </c>
      <c r="AA28" s="10">
        <v>197</v>
      </c>
      <c r="AB28" s="10">
        <v>24.97</v>
      </c>
      <c r="AC28" s="10">
        <v>111</v>
      </c>
      <c r="AD28" s="125">
        <f t="shared" si="5"/>
        <v>6.43872717375808</v>
      </c>
      <c r="AE28" s="80">
        <f t="shared" si="17"/>
        <v>2.600000000000001</v>
      </c>
      <c r="AF28" s="81">
        <f t="shared" si="6"/>
        <v>10.651222650809116</v>
      </c>
      <c r="AG28" s="81">
        <f t="shared" si="1"/>
        <v>2.600000000000001</v>
      </c>
      <c r="AH28" s="80">
        <f t="shared" si="7"/>
        <v>15.211522398119492</v>
      </c>
      <c r="AI28" s="80">
        <f t="shared" si="8"/>
        <v>68.580316715512225</v>
      </c>
      <c r="AJ28" s="80"/>
      <c r="AK28" s="80">
        <f t="shared" si="9"/>
        <v>97.942842619001652</v>
      </c>
      <c r="AL28" s="80"/>
      <c r="AM28" s="89">
        <f>(SUM(AM2:AM22))/(SUM(AD2:AD22))</f>
        <v>-0.96382112406159981</v>
      </c>
      <c r="AN28" s="90">
        <f>(SUM(AN2:AN22))/(SUM(AD2:AD22))</f>
        <v>3.5482912992826914</v>
      </c>
      <c r="AO28" s="1">
        <f t="shared" si="12"/>
        <v>2.600000000000001</v>
      </c>
      <c r="AP28" s="1">
        <f t="shared" si="18"/>
        <v>21.928872000000005</v>
      </c>
      <c r="AQ28" s="1">
        <f t="shared" si="13"/>
        <v>3.0281812126888674</v>
      </c>
      <c r="AR28" s="1">
        <f t="shared" si="14"/>
        <v>9.340407916581551</v>
      </c>
      <c r="AS28" s="1">
        <f t="shared" si="15"/>
        <v>13.045426275156988</v>
      </c>
      <c r="AT28" s="63">
        <f>AVERAGE(AS$2:$AS28)</f>
        <v>12.374941477622663</v>
      </c>
      <c r="AU28" s="66"/>
      <c r="AV28" s="1"/>
      <c r="AZ28" s="1"/>
      <c r="BB28" s="1"/>
    </row>
    <row r="29" spans="16:54" ht="17" thickBot="1" x14ac:dyDescent="0.25">
      <c r="P29" s="83" t="s">
        <v>19</v>
      </c>
      <c r="Q29" s="114">
        <f>(Q28*Q27)/60</f>
        <v>2.0889209134446065</v>
      </c>
      <c r="R29" s="117">
        <f t="shared" si="16"/>
        <v>1.962</v>
      </c>
      <c r="S29" s="73">
        <f t="shared" si="2"/>
        <v>5.7061655059297172</v>
      </c>
      <c r="T29" s="78">
        <f t="shared" si="3"/>
        <v>1.962</v>
      </c>
      <c r="U29" s="78">
        <f t="shared" si="4"/>
        <v>13.442883506926403</v>
      </c>
      <c r="V29" s="84">
        <f t="shared" si="0"/>
        <v>1.962</v>
      </c>
      <c r="W29" s="9">
        <v>666.99</v>
      </c>
      <c r="X29" s="10">
        <v>3475</v>
      </c>
      <c r="Y29" s="10">
        <v>11.58</v>
      </c>
      <c r="Z29" s="10">
        <v>4.9000000000000004</v>
      </c>
      <c r="AA29" s="10">
        <v>203</v>
      </c>
      <c r="AB29" s="10">
        <v>28.39</v>
      </c>
      <c r="AC29" s="10">
        <v>110</v>
      </c>
      <c r="AD29" s="125">
        <f t="shared" si="5"/>
        <v>6.4148678003471593</v>
      </c>
      <c r="AE29" s="80">
        <f t="shared" si="17"/>
        <v>2.7000000000000011</v>
      </c>
      <c r="AF29" s="81">
        <f t="shared" si="6"/>
        <v>11.733596540723564</v>
      </c>
      <c r="AG29" s="81">
        <f t="shared" si="1"/>
        <v>2.7000000000000011</v>
      </c>
      <c r="AH29" s="80">
        <f t="shared" si="7"/>
        <v>15.018318707828781</v>
      </c>
      <c r="AI29" s="80">
        <f t="shared" si="8"/>
        <v>75.269470631352405</v>
      </c>
      <c r="AJ29" s="80"/>
      <c r="AK29" s="80">
        <f t="shared" si="9"/>
        <v>96.340529094202211</v>
      </c>
      <c r="AL29" s="80"/>
      <c r="AM29" s="91"/>
      <c r="AN29" s="64"/>
      <c r="AO29" s="1">
        <f t="shared" si="12"/>
        <v>2.7000000000000011</v>
      </c>
      <c r="AP29" s="1">
        <f t="shared" si="18"/>
        <v>22.41363799777136</v>
      </c>
      <c r="AQ29" s="1">
        <f t="shared" si="13"/>
        <v>4.1105551026033158</v>
      </c>
      <c r="AR29" s="1">
        <f t="shared" si="14"/>
        <v>9.1472042262908406</v>
      </c>
      <c r="AS29" s="1">
        <f t="shared" si="15"/>
        <v>12.979340319212657</v>
      </c>
      <c r="AT29" s="63">
        <f>AVERAGE(AS$2:$AS29)</f>
        <v>12.39652715053659</v>
      </c>
      <c r="AU29" s="66"/>
      <c r="AV29" s="1"/>
      <c r="AZ29" s="1"/>
      <c r="BB29" s="1"/>
    </row>
    <row r="30" spans="16:54" ht="17" thickBot="1" x14ac:dyDescent="0.25">
      <c r="P30" s="98" t="s">
        <v>20</v>
      </c>
      <c r="Q30" s="115">
        <f>(Q26*Q27*Q28)/1000</f>
        <v>1.2444853685544133</v>
      </c>
      <c r="R30" s="117">
        <f t="shared" si="16"/>
        <v>2.13</v>
      </c>
      <c r="S30" s="73">
        <f t="shared" si="2"/>
        <v>7.5998845296005522</v>
      </c>
      <c r="T30" s="78">
        <f t="shared" si="3"/>
        <v>2.13</v>
      </c>
      <c r="U30" s="78">
        <f t="shared" si="4"/>
        <v>14.293303968395909</v>
      </c>
      <c r="V30" s="84">
        <f t="shared" si="0"/>
        <v>2.13</v>
      </c>
      <c r="W30" s="9">
        <v>653.71</v>
      </c>
      <c r="X30" s="10">
        <v>3643</v>
      </c>
      <c r="Y30" s="10">
        <v>10.49</v>
      </c>
      <c r="Z30" s="10">
        <v>2.78</v>
      </c>
      <c r="AA30" s="10">
        <v>208</v>
      </c>
      <c r="AB30" s="10">
        <v>31.47</v>
      </c>
      <c r="AC30" s="10">
        <v>109</v>
      </c>
      <c r="AD30" s="125">
        <f t="shared" si="5"/>
        <v>6.4148678003471593</v>
      </c>
      <c r="AE30" s="80">
        <f t="shared" si="17"/>
        <v>2.8000000000000012</v>
      </c>
      <c r="AF30" s="81">
        <f t="shared" si="6"/>
        <v>11.733596540723564</v>
      </c>
      <c r="AG30" s="81">
        <f t="shared" si="1"/>
        <v>2.8000000000000012</v>
      </c>
      <c r="AH30" s="80">
        <f t="shared" si="7"/>
        <v>15.018318707828781</v>
      </c>
      <c r="AI30" s="80">
        <f t="shared" si="8"/>
        <v>75.269470631352405</v>
      </c>
      <c r="AJ30" s="80"/>
      <c r="AK30" s="80">
        <f t="shared" si="9"/>
        <v>96.340529094202211</v>
      </c>
      <c r="AL30" s="80"/>
      <c r="AM30" s="80"/>
      <c r="AO30" s="1">
        <f t="shared" si="12"/>
        <v>2.8000000000000012</v>
      </c>
      <c r="AP30" s="1">
        <f t="shared" si="18"/>
        <v>22.41363799777136</v>
      </c>
      <c r="AQ30" s="1">
        <f t="shared" si="13"/>
        <v>4.1105551026033158</v>
      </c>
      <c r="AR30" s="1">
        <f t="shared" si="14"/>
        <v>9.1472042262908406</v>
      </c>
      <c r="AS30" s="1">
        <f t="shared" si="15"/>
        <v>12.979340319212657</v>
      </c>
      <c r="AT30" s="63">
        <f>AVERAGE(AS$2:$AS30)</f>
        <v>12.416624156353008</v>
      </c>
      <c r="AU30" s="66"/>
      <c r="AV30" s="1"/>
      <c r="AZ30" s="1"/>
      <c r="BB30" s="1"/>
    </row>
    <row r="31" spans="16:54" ht="17" thickBot="1" x14ac:dyDescent="0.25">
      <c r="P31" s="144" t="s">
        <v>88</v>
      </c>
      <c r="Q31" s="145">
        <f>(VLOOKUP(Q10,AE2:AF212,2)-AF2)/(Q10*1000)</f>
        <v>-8.1440654789582685E-4</v>
      </c>
      <c r="R31" s="117">
        <f t="shared" si="16"/>
        <v>2.3069999999999999</v>
      </c>
      <c r="S31" s="73">
        <f t="shared" si="2"/>
        <v>9.3062386294660797</v>
      </c>
      <c r="T31" s="78">
        <f t="shared" si="3"/>
        <v>2.3069999999999999</v>
      </c>
      <c r="U31" s="78">
        <f t="shared" si="4"/>
        <v>14.893095014230228</v>
      </c>
      <c r="V31" s="84">
        <f t="shared" si="0"/>
        <v>2.3069999999999999</v>
      </c>
      <c r="W31" s="9">
        <v>639.9</v>
      </c>
      <c r="X31" s="10">
        <v>3820</v>
      </c>
      <c r="Y31" s="10">
        <v>9.25</v>
      </c>
      <c r="Z31" s="10">
        <v>0.4</v>
      </c>
      <c r="AA31" s="10">
        <v>212</v>
      </c>
      <c r="AB31" s="10">
        <v>34.14</v>
      </c>
      <c r="AC31" s="10">
        <v>108</v>
      </c>
      <c r="AD31" s="125">
        <f t="shared" si="5"/>
        <v>6.3897539714670506</v>
      </c>
      <c r="AE31" s="80">
        <f t="shared" si="17"/>
        <v>2.9000000000000012</v>
      </c>
      <c r="AF31" s="81">
        <f t="shared" si="6"/>
        <v>12.33985600049725</v>
      </c>
      <c r="AG31" s="81">
        <f t="shared" si="1"/>
        <v>2.9000000000000012</v>
      </c>
      <c r="AH31" s="80">
        <f t="shared" si="7"/>
        <v>14.706067720687813</v>
      </c>
      <c r="AI31" s="80">
        <f t="shared" si="8"/>
        <v>78.84864388650881</v>
      </c>
      <c r="AJ31" s="80"/>
      <c r="AK31" s="80">
        <f t="shared" si="9"/>
        <v>93.968154622928353</v>
      </c>
      <c r="AL31" s="80"/>
      <c r="AM31" s="80"/>
      <c r="AO31" s="1">
        <f t="shared" si="12"/>
        <v>2.9000000000000012</v>
      </c>
      <c r="AP31" s="1">
        <f t="shared" si="18"/>
        <v>22.545558718080024</v>
      </c>
      <c r="AQ31" s="1">
        <f t="shared" si="13"/>
        <v>4.7168145623770013</v>
      </c>
      <c r="AR31" s="1">
        <f t="shared" si="14"/>
        <v>8.834953239149872</v>
      </c>
      <c r="AS31" s="1">
        <f t="shared" si="15"/>
        <v>12.783279680333283</v>
      </c>
      <c r="AT31" s="63">
        <f>AVERAGE(AS$2:$AS31)</f>
        <v>12.42884600715235</v>
      </c>
      <c r="AU31" s="66"/>
      <c r="AV31" s="1"/>
      <c r="AZ31" s="1"/>
      <c r="BB31" s="1"/>
    </row>
    <row r="32" spans="16:54" ht="17" thickBot="1" x14ac:dyDescent="0.25">
      <c r="P32" s="83" t="s">
        <v>90</v>
      </c>
      <c r="Q32" s="93">
        <f>(VLOOKUP(Q11,AE2:AF212,2)-AF2)/(Q11*1000)</f>
        <v>-6.4946983949920958E-4</v>
      </c>
      <c r="R32" s="117">
        <f t="shared" si="16"/>
        <v>2.4940000000000002</v>
      </c>
      <c r="S32" s="73">
        <f t="shared" si="2"/>
        <v>10.651222650809116</v>
      </c>
      <c r="T32" s="78">
        <f t="shared" si="3"/>
        <v>2.4940000000000002</v>
      </c>
      <c r="U32" s="78">
        <f t="shared" si="4"/>
        <v>15.211522398119492</v>
      </c>
      <c r="V32" s="84">
        <f t="shared" si="0"/>
        <v>2.4940000000000002</v>
      </c>
      <c r="W32" s="9">
        <v>625.61</v>
      </c>
      <c r="X32" s="10">
        <v>4007</v>
      </c>
      <c r="Y32" s="10">
        <v>7.85</v>
      </c>
      <c r="Z32" s="10">
        <v>-1.85</v>
      </c>
      <c r="AA32" s="10">
        <v>215</v>
      </c>
      <c r="AB32" s="10">
        <v>36.1</v>
      </c>
      <c r="AC32" s="10">
        <v>107</v>
      </c>
      <c r="AD32" s="125">
        <f t="shared" si="5"/>
        <v>6.3897539714670506</v>
      </c>
      <c r="AE32" s="80">
        <f t="shared" si="17"/>
        <v>3.0000000000000013</v>
      </c>
      <c r="AF32" s="81">
        <f t="shared" si="6"/>
        <v>12.33985600049725</v>
      </c>
      <c r="AG32" s="81">
        <f t="shared" si="1"/>
        <v>3.0000000000000013</v>
      </c>
      <c r="AH32" s="80">
        <f t="shared" si="7"/>
        <v>14.706067720687813</v>
      </c>
      <c r="AI32" s="80">
        <f t="shared" si="8"/>
        <v>78.84864388650881</v>
      </c>
      <c r="AJ32" s="80"/>
      <c r="AK32" s="80">
        <f t="shared" si="9"/>
        <v>93.968154622928353</v>
      </c>
      <c r="AL32" s="80"/>
      <c r="AM32" s="80"/>
      <c r="AO32" s="1">
        <f t="shared" si="12"/>
        <v>3.0000000000000013</v>
      </c>
      <c r="AP32" s="1">
        <f t="shared" si="18"/>
        <v>22.545558718080024</v>
      </c>
      <c r="AQ32" s="1">
        <f t="shared" si="13"/>
        <v>4.7168145623770013</v>
      </c>
      <c r="AR32" s="1">
        <f t="shared" si="14"/>
        <v>8.834953239149872</v>
      </c>
      <c r="AS32" s="1">
        <f t="shared" si="15"/>
        <v>12.783279680333283</v>
      </c>
      <c r="AT32" s="63">
        <f>AVERAGE(AS$2:$AS32)</f>
        <v>12.44027935144851</v>
      </c>
      <c r="AU32" s="66"/>
      <c r="AV32" s="1"/>
      <c r="AZ32" s="1"/>
      <c r="BB32" s="1"/>
    </row>
    <row r="33" spans="1:54" ht="17" thickBot="1" x14ac:dyDescent="0.25">
      <c r="P33" s="83" t="s">
        <v>89</v>
      </c>
      <c r="Q33" s="93">
        <f>(VLOOKUP(Q10,AG2:AH212,2)-AH2)/(Q10*1000)</f>
        <v>4.4564319214967316E-3</v>
      </c>
      <c r="R33" s="117">
        <f t="shared" si="16"/>
        <v>2.69</v>
      </c>
      <c r="S33" s="73">
        <f t="shared" si="2"/>
        <v>11.733596540723564</v>
      </c>
      <c r="T33" s="78">
        <f t="shared" si="3"/>
        <v>2.69</v>
      </c>
      <c r="U33" s="78">
        <f t="shared" si="4"/>
        <v>15.018318707828781</v>
      </c>
      <c r="V33" s="84">
        <f t="shared" si="0"/>
        <v>2.69</v>
      </c>
      <c r="W33" s="9">
        <v>610.86</v>
      </c>
      <c r="X33" s="10">
        <v>4203</v>
      </c>
      <c r="Y33" s="10">
        <v>6.18</v>
      </c>
      <c r="Z33" s="10">
        <v>-3.8</v>
      </c>
      <c r="AA33" s="10">
        <v>218</v>
      </c>
      <c r="AB33" s="10">
        <v>37.049999999999997</v>
      </c>
      <c r="AC33" s="10">
        <v>106</v>
      </c>
      <c r="AD33" s="125">
        <f t="shared" si="5"/>
        <v>6.3897539714670506</v>
      </c>
      <c r="AE33" s="80">
        <f t="shared" si="17"/>
        <v>3.1000000000000014</v>
      </c>
      <c r="AF33" s="81">
        <f t="shared" si="6"/>
        <v>12.33985600049725</v>
      </c>
      <c r="AG33" s="81">
        <f t="shared" si="1"/>
        <v>3.1000000000000014</v>
      </c>
      <c r="AH33" s="80">
        <f t="shared" si="7"/>
        <v>14.706067720687813</v>
      </c>
      <c r="AI33" s="80">
        <f t="shared" si="8"/>
        <v>78.84864388650881</v>
      </c>
      <c r="AJ33" s="80"/>
      <c r="AK33" s="80">
        <f t="shared" si="9"/>
        <v>93.968154622928353</v>
      </c>
      <c r="AL33" s="80"/>
      <c r="AM33" s="80"/>
      <c r="AO33" s="1">
        <f t="shared" si="12"/>
        <v>3.1000000000000014</v>
      </c>
      <c r="AP33" s="1">
        <f t="shared" si="18"/>
        <v>22.545558718080024</v>
      </c>
      <c r="AQ33" s="1">
        <f t="shared" si="13"/>
        <v>4.7168145623770013</v>
      </c>
      <c r="AR33" s="1">
        <f t="shared" si="14"/>
        <v>8.834953239149872</v>
      </c>
      <c r="AS33" s="1">
        <f t="shared" si="15"/>
        <v>12.783279680333283</v>
      </c>
      <c r="AT33" s="63">
        <f>AVERAGE(AS$2:$AS33)</f>
        <v>12.450998111726159</v>
      </c>
      <c r="AU33" s="66"/>
      <c r="AV33" s="1"/>
      <c r="AZ33" s="1"/>
      <c r="BB33" s="1"/>
    </row>
    <row r="34" spans="1:54" ht="17" thickBot="1" x14ac:dyDescent="0.25">
      <c r="P34" s="85" t="s">
        <v>91</v>
      </c>
      <c r="Q34" s="93">
        <f>(VLOOKUP(Q11,AG2:AH212,2)-AH2)/(Q11*1000)</f>
        <v>4.8896937775915611E-3</v>
      </c>
      <c r="R34" s="117">
        <f t="shared" si="16"/>
        <v>2.8959999999999999</v>
      </c>
      <c r="S34" s="73">
        <f t="shared" si="2"/>
        <v>12.33985600049725</v>
      </c>
      <c r="T34" s="78">
        <f t="shared" si="3"/>
        <v>2.8959999999999999</v>
      </c>
      <c r="U34" s="78">
        <f t="shared" si="4"/>
        <v>14.706067720687813</v>
      </c>
      <c r="V34" s="84">
        <f t="shared" si="0"/>
        <v>2.8959999999999999</v>
      </c>
      <c r="W34" s="9">
        <v>595.71</v>
      </c>
      <c r="X34" s="10">
        <v>4409</v>
      </c>
      <c r="Y34" s="10">
        <v>4.37</v>
      </c>
      <c r="Z34" s="10">
        <v>-5.23</v>
      </c>
      <c r="AA34" s="10">
        <v>220</v>
      </c>
      <c r="AB34" s="10">
        <v>37.32</v>
      </c>
      <c r="AC34" s="10">
        <v>105</v>
      </c>
      <c r="AD34" s="125">
        <f t="shared" si="5"/>
        <v>6.3634073419653099</v>
      </c>
      <c r="AE34" s="80">
        <f t="shared" si="17"/>
        <v>3.2000000000000015</v>
      </c>
      <c r="AF34" s="81">
        <f t="shared" si="6"/>
        <v>12.910971404501488</v>
      </c>
      <c r="AG34" s="81">
        <f t="shared" si="1"/>
        <v>3.2000000000000015</v>
      </c>
      <c r="AH34" s="80">
        <f t="shared" si="7"/>
        <v>14.339086420441189</v>
      </c>
      <c r="AI34" s="80">
        <f t="shared" si="8"/>
        <v>82.157770227308944</v>
      </c>
      <c r="AJ34" s="80"/>
      <c r="AK34" s="80">
        <f t="shared" si="9"/>
        <v>91.24544780491054</v>
      </c>
      <c r="AL34" s="80"/>
      <c r="AM34" s="80"/>
      <c r="AO34" s="1">
        <f t="shared" si="12"/>
        <v>3.2000000000000015</v>
      </c>
      <c r="AP34" s="1">
        <f t="shared" si="18"/>
        <v>22.632840687816717</v>
      </c>
      <c r="AQ34" s="1">
        <f t="shared" si="13"/>
        <v>5.28792996638124</v>
      </c>
      <c r="AR34" s="1">
        <f t="shared" si="14"/>
        <v>8.4679719389032488</v>
      </c>
      <c r="AS34" s="1">
        <f t="shared" si="15"/>
        <v>12.559124129604136</v>
      </c>
      <c r="AT34" s="63">
        <f>AVERAGE(AS$2:$AS34)</f>
        <v>12.454274657722461</v>
      </c>
      <c r="AU34" s="66"/>
      <c r="AV34" s="1"/>
      <c r="AZ34" s="1"/>
      <c r="BB34" s="1"/>
    </row>
    <row r="35" spans="1:54" ht="17" thickBot="1" x14ac:dyDescent="0.25">
      <c r="P35" s="85" t="s">
        <v>92</v>
      </c>
      <c r="Q35" s="93">
        <f>AVERAGE(Q31,Q32)</f>
        <v>-7.3193819369751821E-4</v>
      </c>
      <c r="R35" s="117">
        <f t="shared" si="16"/>
        <v>3.11</v>
      </c>
      <c r="S35" s="73">
        <f t="shared" si="2"/>
        <v>12.910971404501488</v>
      </c>
      <c r="T35" s="78">
        <f t="shared" si="3"/>
        <v>3.11</v>
      </c>
      <c r="U35" s="78">
        <f t="shared" si="4"/>
        <v>14.339086420441189</v>
      </c>
      <c r="V35" s="84">
        <f t="shared" si="0"/>
        <v>3.11</v>
      </c>
      <c r="W35" s="9">
        <v>580.22</v>
      </c>
      <c r="X35" s="10">
        <v>4623</v>
      </c>
      <c r="Y35" s="10">
        <v>2.48</v>
      </c>
      <c r="Z35" s="10">
        <v>-6.44</v>
      </c>
      <c r="AA35" s="10">
        <v>222</v>
      </c>
      <c r="AB35" s="10">
        <v>37.51</v>
      </c>
      <c r="AC35" s="10">
        <v>104</v>
      </c>
      <c r="AD35" s="125">
        <f t="shared" si="5"/>
        <v>6.3634073419653099</v>
      </c>
      <c r="AE35" s="80">
        <f t="shared" si="17"/>
        <v>3.3000000000000016</v>
      </c>
      <c r="AF35" s="81">
        <f t="shared" si="6"/>
        <v>12.910971404501488</v>
      </c>
      <c r="AG35" s="81">
        <f t="shared" si="1"/>
        <v>3.3000000000000016</v>
      </c>
      <c r="AH35" s="80">
        <f t="shared" si="7"/>
        <v>14.339086420441189</v>
      </c>
      <c r="AI35" s="80">
        <f t="shared" si="8"/>
        <v>82.157770227308944</v>
      </c>
      <c r="AJ35" s="80"/>
      <c r="AK35" s="80">
        <f t="shared" si="9"/>
        <v>91.24544780491054</v>
      </c>
      <c r="AL35" s="80"/>
      <c r="AM35" s="80"/>
      <c r="AO35" s="1">
        <f t="shared" si="12"/>
        <v>3.3000000000000016</v>
      </c>
      <c r="AP35" s="1">
        <f t="shared" si="18"/>
        <v>22.632840687816717</v>
      </c>
      <c r="AQ35" s="1">
        <f t="shared" si="13"/>
        <v>5.28792996638124</v>
      </c>
      <c r="AR35" s="1">
        <f t="shared" si="14"/>
        <v>8.4679719389032488</v>
      </c>
      <c r="AS35" s="1">
        <f t="shared" si="15"/>
        <v>12.559124129604136</v>
      </c>
      <c r="AT35" s="63">
        <f>AVERAGE(AS$2:$AS35)</f>
        <v>12.457358465718981</v>
      </c>
      <c r="AU35" s="66"/>
      <c r="AV35" s="1"/>
      <c r="AZ35" s="1"/>
      <c r="BB35" s="1"/>
    </row>
    <row r="36" spans="1:54" ht="17" thickBot="1" x14ac:dyDescent="0.25">
      <c r="P36" s="86" t="s">
        <v>93</v>
      </c>
      <c r="Q36" s="146">
        <f>AVERAGE(Q33,Q34)</f>
        <v>4.6730628495441464E-3</v>
      </c>
      <c r="R36" s="117">
        <f t="shared" si="16"/>
        <v>3.3319999999999999</v>
      </c>
      <c r="S36" s="73">
        <f t="shared" si="2"/>
        <v>13.38209335286585</v>
      </c>
      <c r="T36" s="78">
        <f t="shared" si="3"/>
        <v>3.3319999999999999</v>
      </c>
      <c r="U36" s="78">
        <f t="shared" si="4"/>
        <v>13.857563328867872</v>
      </c>
      <c r="V36" s="84">
        <f t="shared" si="0"/>
        <v>3.3319999999999999</v>
      </c>
      <c r="W36" s="9">
        <v>564.42999999999995</v>
      </c>
      <c r="X36" s="10">
        <v>4845</v>
      </c>
      <c r="Y36" s="10">
        <v>0.56000000000000005</v>
      </c>
      <c r="Z36" s="10">
        <v>-7.85</v>
      </c>
      <c r="AA36" s="10">
        <v>224</v>
      </c>
      <c r="AB36" s="10">
        <v>37.450000000000003</v>
      </c>
      <c r="AC36" s="10">
        <v>103</v>
      </c>
      <c r="AD36" s="125">
        <f t="shared" si="5"/>
        <v>6.3358163723576837</v>
      </c>
      <c r="AE36" s="80">
        <f t="shared" si="17"/>
        <v>3.4000000000000017</v>
      </c>
      <c r="AF36" s="81">
        <f t="shared" si="6"/>
        <v>13.38209335286585</v>
      </c>
      <c r="AG36" s="81">
        <f t="shared" si="1"/>
        <v>3.4000000000000017</v>
      </c>
      <c r="AH36" s="80">
        <f t="shared" si="7"/>
        <v>13.857563328867872</v>
      </c>
      <c r="AI36" s="80">
        <f t="shared" si="8"/>
        <v>84.786486161506375</v>
      </c>
      <c r="AJ36" s="80"/>
      <c r="AK36" s="80">
        <f t="shared" si="9"/>
        <v>87.798976620024504</v>
      </c>
      <c r="AL36" s="80"/>
      <c r="AM36" s="80"/>
      <c r="AO36" s="1">
        <f t="shared" si="12"/>
        <v>3.4000000000000017</v>
      </c>
      <c r="AP36" s="1">
        <f t="shared" si="18"/>
        <v>22.588069579171382</v>
      </c>
      <c r="AQ36" s="1">
        <f t="shared" si="13"/>
        <v>5.7590519147456014</v>
      </c>
      <c r="AR36" s="1">
        <f t="shared" si="14"/>
        <v>7.9864488473299318</v>
      </c>
      <c r="AS36" s="1">
        <f t="shared" si="15"/>
        <v>12.228634303775753</v>
      </c>
      <c r="AT36" s="63">
        <f>AVERAGE(AS$2:$AS36)</f>
        <v>12.450823489663462</v>
      </c>
      <c r="AU36" s="66"/>
      <c r="AV36" s="1"/>
      <c r="AZ36" s="1"/>
      <c r="BB36" s="1"/>
    </row>
    <row r="37" spans="1:54" ht="17" thickBot="1" x14ac:dyDescent="0.25">
      <c r="P37" s="163" t="s">
        <v>114</v>
      </c>
      <c r="Q37" s="110">
        <f>((Q6*COS(Q4))^2)/((9.81*100))</f>
        <v>2.3006983163418513E-2</v>
      </c>
      <c r="R37" s="117">
        <f t="shared" si="16"/>
        <v>3.5619999999999998</v>
      </c>
      <c r="S37" s="73">
        <f t="shared" si="2"/>
        <v>13.534606447898218</v>
      </c>
      <c r="T37" s="78">
        <f t="shared" si="3"/>
        <v>3.5619999999999998</v>
      </c>
      <c r="U37" s="78">
        <f t="shared" si="4"/>
        <v>13.534606447898218</v>
      </c>
      <c r="V37" s="84">
        <f t="shared" si="0"/>
        <v>3.5619999999999998</v>
      </c>
      <c r="W37" s="9">
        <v>548.42999999999995</v>
      </c>
      <c r="X37" s="10">
        <v>5075</v>
      </c>
      <c r="Y37" s="10">
        <v>-1.48</v>
      </c>
      <c r="Z37" s="10">
        <v>-9.4</v>
      </c>
      <c r="AA37" s="10">
        <v>225</v>
      </c>
      <c r="AB37" s="10">
        <v>37.21</v>
      </c>
      <c r="AC37" s="10">
        <v>102</v>
      </c>
      <c r="AD37" s="125">
        <f t="shared" si="5"/>
        <v>6.3358163723576837</v>
      </c>
      <c r="AE37" s="80">
        <f t="shared" si="17"/>
        <v>3.5000000000000018</v>
      </c>
      <c r="AF37" s="81">
        <f t="shared" si="6"/>
        <v>13.38209335286585</v>
      </c>
      <c r="AG37" s="81">
        <f t="shared" si="1"/>
        <v>3.5000000000000018</v>
      </c>
      <c r="AH37" s="80">
        <f t="shared" si="7"/>
        <v>13.857563328867872</v>
      </c>
      <c r="AI37" s="80">
        <f t="shared" si="8"/>
        <v>84.786486161506375</v>
      </c>
      <c r="AJ37" s="80"/>
      <c r="AK37" s="80">
        <f t="shared" si="9"/>
        <v>87.798976620024504</v>
      </c>
      <c r="AL37" s="80"/>
      <c r="AM37" s="80"/>
      <c r="AO37" s="1">
        <f t="shared" si="12"/>
        <v>3.5000000000000018</v>
      </c>
      <c r="AP37" s="1">
        <f t="shared" si="18"/>
        <v>22.588069579171382</v>
      </c>
      <c r="AQ37" s="1">
        <f t="shared" si="13"/>
        <v>5.7590519147456014</v>
      </c>
      <c r="AR37" s="1">
        <f t="shared" si="14"/>
        <v>7.9864488473299318</v>
      </c>
      <c r="AS37" s="1">
        <f t="shared" si="15"/>
        <v>12.228634303775753</v>
      </c>
      <c r="AT37" s="63">
        <f>AVERAGE(AS$2:$AS37)</f>
        <v>12.444651567833247</v>
      </c>
      <c r="AU37" s="66"/>
      <c r="AV37" s="1"/>
      <c r="AZ37" s="1"/>
      <c r="BB37" s="1"/>
    </row>
    <row r="38" spans="1:54" ht="17" thickBot="1" x14ac:dyDescent="0.25">
      <c r="P38" s="141"/>
      <c r="Q38" s="140"/>
      <c r="R38" s="117">
        <f t="shared" si="16"/>
        <v>3.7989999999999999</v>
      </c>
      <c r="S38" s="73">
        <f t="shared" si="2"/>
        <v>13.443131528378368</v>
      </c>
      <c r="T38" s="78">
        <f t="shared" si="3"/>
        <v>3.7989999999999999</v>
      </c>
      <c r="U38" s="78">
        <f t="shared" si="4"/>
        <v>12.981881215210052</v>
      </c>
      <c r="V38" s="84">
        <f t="shared" si="0"/>
        <v>3.7989999999999999</v>
      </c>
      <c r="W38" s="9">
        <v>532.28</v>
      </c>
      <c r="X38" s="10">
        <v>5312</v>
      </c>
      <c r="Y38" s="10">
        <v>-3.51</v>
      </c>
      <c r="Z38" s="10">
        <v>-11.29</v>
      </c>
      <c r="AA38" s="10">
        <v>226</v>
      </c>
      <c r="AB38" s="10">
        <v>36.33</v>
      </c>
      <c r="AC38" s="10">
        <v>101</v>
      </c>
      <c r="AD38" s="125">
        <f t="shared" si="5"/>
        <v>6.3070596507871031</v>
      </c>
      <c r="AE38" s="80">
        <f t="shared" si="17"/>
        <v>3.6000000000000019</v>
      </c>
      <c r="AF38" s="81">
        <f t="shared" si="6"/>
        <v>13.534606447898218</v>
      </c>
      <c r="AG38" s="81">
        <f t="shared" si="1"/>
        <v>3.6000000000000019</v>
      </c>
      <c r="AH38" s="80">
        <f t="shared" si="7"/>
        <v>13.534606447898218</v>
      </c>
      <c r="AI38" s="80">
        <f t="shared" si="8"/>
        <v>85.363570216821813</v>
      </c>
      <c r="AJ38" s="80"/>
      <c r="AK38" s="80">
        <f t="shared" si="9"/>
        <v>85.363570216821813</v>
      </c>
      <c r="AL38" s="80"/>
      <c r="AM38" s="80"/>
      <c r="AO38" s="1">
        <f t="shared" si="12"/>
        <v>3.6000000000000019</v>
      </c>
      <c r="AP38" s="1">
        <f t="shared" si="18"/>
        <v>22.456401312525539</v>
      </c>
      <c r="AQ38" s="1">
        <f t="shared" si="13"/>
        <v>5.9115650097779699</v>
      </c>
      <c r="AR38" s="1">
        <f t="shared" si="14"/>
        <v>7.6634919663602776</v>
      </c>
      <c r="AS38" s="1">
        <f t="shared" si="15"/>
        <v>11.969431993553901</v>
      </c>
      <c r="AT38" s="63">
        <f>AVERAGE(AS$2:$AS38)</f>
        <v>12.431807795555427</v>
      </c>
      <c r="AU38" s="66"/>
      <c r="AV38" s="1"/>
      <c r="AZ38" s="1"/>
      <c r="BB38" s="1"/>
    </row>
    <row r="39" spans="1:54" ht="17" thickBot="1" x14ac:dyDescent="0.25">
      <c r="P39" s="141"/>
      <c r="Q39" s="140"/>
      <c r="R39" s="117">
        <f t="shared" si="16"/>
        <v>4.0430000000000001</v>
      </c>
      <c r="S39" s="73">
        <f t="shared" si="2"/>
        <v>12.723475773917754</v>
      </c>
      <c r="T39" s="78">
        <f t="shared" si="3"/>
        <v>4.0430000000000001</v>
      </c>
      <c r="U39" s="78">
        <f t="shared" si="4"/>
        <v>12.723475773917754</v>
      </c>
      <c r="V39" s="84">
        <f t="shared" si="0"/>
        <v>4.0430000000000001</v>
      </c>
      <c r="W39" s="9">
        <v>516.04999999999995</v>
      </c>
      <c r="X39" s="10">
        <v>5556</v>
      </c>
      <c r="Y39" s="10">
        <v>-5.4</v>
      </c>
      <c r="Z39" s="10">
        <v>-13.55</v>
      </c>
      <c r="AA39" s="10">
        <v>225</v>
      </c>
      <c r="AB39" s="10">
        <v>34.979999999999997</v>
      </c>
      <c r="AC39" s="10">
        <v>100</v>
      </c>
      <c r="AD39" s="125">
        <f t="shared" si="5"/>
        <v>6.3070596507871031</v>
      </c>
      <c r="AE39" s="80">
        <f t="shared" si="17"/>
        <v>3.700000000000002</v>
      </c>
      <c r="AF39" s="81">
        <f t="shared" si="6"/>
        <v>13.534606447898218</v>
      </c>
      <c r="AG39" s="81">
        <f t="shared" si="1"/>
        <v>3.700000000000002</v>
      </c>
      <c r="AH39" s="80">
        <f t="shared" si="7"/>
        <v>13.534606447898218</v>
      </c>
      <c r="AI39" s="80">
        <f t="shared" si="8"/>
        <v>85.363570216821813</v>
      </c>
      <c r="AJ39" s="80"/>
      <c r="AK39" s="80">
        <f t="shared" si="9"/>
        <v>85.363570216821813</v>
      </c>
      <c r="AL39" s="80"/>
      <c r="AM39" s="80"/>
      <c r="AO39" s="1">
        <f t="shared" si="12"/>
        <v>3.700000000000002</v>
      </c>
      <c r="AP39" s="1">
        <f t="shared" si="18"/>
        <v>22.456401312525539</v>
      </c>
      <c r="AQ39" s="1">
        <f t="shared" si="13"/>
        <v>5.9115650097779699</v>
      </c>
      <c r="AR39" s="1">
        <f t="shared" si="14"/>
        <v>7.6634919663602776</v>
      </c>
      <c r="AS39" s="1">
        <f t="shared" si="15"/>
        <v>11.969431993553901</v>
      </c>
      <c r="AT39" s="63">
        <f>AVERAGE(AS$2:$AS39)</f>
        <v>12.419640011292229</v>
      </c>
      <c r="AU39" s="66"/>
      <c r="AV39" s="1"/>
      <c r="AZ39" s="1"/>
      <c r="BB39" s="1"/>
    </row>
    <row r="40" spans="1:54" ht="17" thickBot="1" x14ac:dyDescent="0.25">
      <c r="P40" s="141"/>
      <c r="Q40" s="140"/>
      <c r="R40" s="117">
        <f t="shared" si="16"/>
        <v>4.2930000000000001</v>
      </c>
      <c r="S40" s="73">
        <f t="shared" si="2"/>
        <v>12.58416911057655</v>
      </c>
      <c r="T40" s="78">
        <f t="shared" si="3"/>
        <v>4.2930000000000001</v>
      </c>
      <c r="U40" s="78">
        <f t="shared" si="4"/>
        <v>11.734927542120191</v>
      </c>
      <c r="V40" s="84">
        <f t="shared" si="0"/>
        <v>4.2930000000000001</v>
      </c>
      <c r="W40" s="9">
        <v>499.82</v>
      </c>
      <c r="X40" s="10">
        <v>5806</v>
      </c>
      <c r="Y40" s="10">
        <v>-7.01</v>
      </c>
      <c r="Z40" s="10">
        <v>-16.059999999999999</v>
      </c>
      <c r="AA40" s="10">
        <v>227</v>
      </c>
      <c r="AB40" s="10">
        <v>33.450000000000003</v>
      </c>
      <c r="AC40" s="10">
        <v>99</v>
      </c>
      <c r="AD40" s="125">
        <f t="shared" si="5"/>
        <v>6.2771696666755421</v>
      </c>
      <c r="AE40" s="80">
        <f t="shared" si="17"/>
        <v>3.800000000000002</v>
      </c>
      <c r="AF40" s="81">
        <f t="shared" si="6"/>
        <v>13.443131528378368</v>
      </c>
      <c r="AG40" s="81">
        <f t="shared" si="1"/>
        <v>3.800000000000002</v>
      </c>
      <c r="AH40" s="80">
        <f t="shared" si="7"/>
        <v>12.981881215210052</v>
      </c>
      <c r="AI40" s="80">
        <f t="shared" si="8"/>
        <v>84.384817455066312</v>
      </c>
      <c r="AJ40" s="80"/>
      <c r="AK40" s="80">
        <f t="shared" si="9"/>
        <v>81.489470980501565</v>
      </c>
      <c r="AL40" s="80"/>
      <c r="AM40" s="80"/>
      <c r="AO40" s="1">
        <f t="shared" si="12"/>
        <v>3.800000000000002</v>
      </c>
      <c r="AP40" s="1">
        <f t="shared" si="18"/>
        <v>21.994809575468981</v>
      </c>
      <c r="AQ40" s="1">
        <f t="shared" si="13"/>
        <v>5.8200900902581196</v>
      </c>
      <c r="AR40" s="1">
        <f t="shared" si="14"/>
        <v>7.1107667336721114</v>
      </c>
      <c r="AS40" s="1">
        <f t="shared" si="15"/>
        <v>11.417042959410272</v>
      </c>
      <c r="AT40" s="63">
        <f>AVERAGE(AS$2:$AS40)</f>
        <v>12.393932394577305</v>
      </c>
      <c r="AU40" s="66"/>
      <c r="AV40" s="1"/>
      <c r="AZ40" s="1"/>
      <c r="BB40" s="1"/>
    </row>
    <row r="41" spans="1:54" ht="17" thickBot="1" x14ac:dyDescent="0.25">
      <c r="P41" s="141"/>
      <c r="Q41" s="140"/>
      <c r="R41" s="117">
        <f t="shared" si="16"/>
        <v>4.5490000000000004</v>
      </c>
      <c r="S41" s="73">
        <f t="shared" si="2"/>
        <v>12.660931293293126</v>
      </c>
      <c r="T41" s="78">
        <f t="shared" si="3"/>
        <v>4.5490000000000004</v>
      </c>
      <c r="U41" s="78">
        <f t="shared" si="4"/>
        <v>10.623782778563147</v>
      </c>
      <c r="V41" s="84">
        <f t="shared" si="0"/>
        <v>4.5490000000000004</v>
      </c>
      <c r="W41" s="9">
        <v>483.67</v>
      </c>
      <c r="X41" s="10">
        <v>6062</v>
      </c>
      <c r="Y41" s="10">
        <v>-8.69</v>
      </c>
      <c r="Z41" s="10">
        <v>-18.5</v>
      </c>
      <c r="AA41" s="10">
        <v>230</v>
      </c>
      <c r="AB41" s="10">
        <v>32.130000000000003</v>
      </c>
      <c r="AC41" s="10">
        <v>98</v>
      </c>
      <c r="AD41" s="125">
        <f t="shared" si="5"/>
        <v>6.2771696666755421</v>
      </c>
      <c r="AE41" s="80">
        <f t="shared" si="17"/>
        <v>3.9000000000000021</v>
      </c>
      <c r="AF41" s="81">
        <f t="shared" si="6"/>
        <v>13.443131528378368</v>
      </c>
      <c r="AG41" s="81">
        <f t="shared" si="1"/>
        <v>3.9000000000000021</v>
      </c>
      <c r="AH41" s="80">
        <f t="shared" si="7"/>
        <v>12.981881215210052</v>
      </c>
      <c r="AI41" s="80">
        <f t="shared" si="8"/>
        <v>84.384817455066312</v>
      </c>
      <c r="AJ41" s="80"/>
      <c r="AK41" s="80">
        <f t="shared" si="9"/>
        <v>81.489470980501565</v>
      </c>
      <c r="AL41" s="80"/>
      <c r="AM41" s="80"/>
      <c r="AO41" s="1">
        <f t="shared" si="12"/>
        <v>3.9000000000000021</v>
      </c>
      <c r="AP41" s="1">
        <f t="shared" si="18"/>
        <v>21.994809575468981</v>
      </c>
      <c r="AQ41" s="1">
        <f t="shared" si="13"/>
        <v>5.8200900902581196</v>
      </c>
      <c r="AR41" s="1">
        <f t="shared" si="14"/>
        <v>7.1107667336721114</v>
      </c>
      <c r="AS41" s="1">
        <f t="shared" si="15"/>
        <v>11.417042959410272</v>
      </c>
      <c r="AT41" s="63">
        <f>AVERAGE(AS$2:$AS41)</f>
        <v>12.36951015869813</v>
      </c>
      <c r="AU41" s="66"/>
      <c r="AV41" s="1"/>
      <c r="AZ41" s="1"/>
      <c r="BB41" s="1"/>
    </row>
    <row r="42" spans="1:54" ht="17" thickBot="1" x14ac:dyDescent="0.25">
      <c r="P42" s="141"/>
      <c r="Q42" s="140"/>
      <c r="R42" s="117">
        <f t="shared" si="16"/>
        <v>4.8090000000000002</v>
      </c>
      <c r="S42" s="73">
        <f t="shared" si="2"/>
        <v>12.647005227645291</v>
      </c>
      <c r="T42" s="78">
        <f t="shared" si="3"/>
        <v>4.8090000000000002</v>
      </c>
      <c r="U42" s="78">
        <f t="shared" si="4"/>
        <v>9.8809234027145809</v>
      </c>
      <c r="V42" s="84">
        <f t="shared" si="0"/>
        <v>4.8090000000000002</v>
      </c>
      <c r="W42" s="9">
        <v>467.66</v>
      </c>
      <c r="X42" s="10">
        <v>6322</v>
      </c>
      <c r="Y42" s="10">
        <v>-10.42</v>
      </c>
      <c r="Z42" s="10">
        <v>-20.89</v>
      </c>
      <c r="AA42" s="10">
        <v>232</v>
      </c>
      <c r="AB42" s="10">
        <v>31.2</v>
      </c>
      <c r="AC42" s="10">
        <v>97</v>
      </c>
      <c r="AD42" s="125">
        <f t="shared" si="5"/>
        <v>6.2771696666755421</v>
      </c>
      <c r="AE42" s="80">
        <f t="shared" si="17"/>
        <v>4.0000000000000018</v>
      </c>
      <c r="AF42" s="81">
        <f t="shared" si="6"/>
        <v>13.443131528378368</v>
      </c>
      <c r="AG42" s="81">
        <f t="shared" si="1"/>
        <v>4.0000000000000018</v>
      </c>
      <c r="AH42" s="80">
        <f t="shared" si="7"/>
        <v>12.981881215210052</v>
      </c>
      <c r="AI42" s="80">
        <f t="shared" si="8"/>
        <v>84.384817455066312</v>
      </c>
      <c r="AJ42" s="149">
        <f>(SUM(AI2:AI42))/(SUM(AD2:AD42))</f>
        <v>5.038418995547036</v>
      </c>
      <c r="AK42" s="80">
        <f t="shared" si="9"/>
        <v>81.489470980501565</v>
      </c>
      <c r="AL42" s="149">
        <f>(SUM(AK2:AK42))/(SUM(AD2:AD42))</f>
        <v>8.6467565742892081</v>
      </c>
      <c r="AM42" s="80"/>
      <c r="AO42" s="1">
        <f t="shared" si="12"/>
        <v>4.0000000000000018</v>
      </c>
      <c r="AP42" s="1">
        <f t="shared" si="18"/>
        <v>21.994809575468981</v>
      </c>
      <c r="AQ42" s="1">
        <f t="shared" si="13"/>
        <v>5.8200900902581196</v>
      </c>
      <c r="AR42" s="1">
        <f t="shared" si="14"/>
        <v>7.1107667336721114</v>
      </c>
      <c r="AS42" s="1">
        <f t="shared" si="15"/>
        <v>11.417042959410272</v>
      </c>
      <c r="AT42" s="63">
        <f>AVERAGE(AS$2:$AS42)</f>
        <v>12.346279251398425</v>
      </c>
      <c r="AU42" s="66"/>
      <c r="AV42" s="1"/>
      <c r="AZ42" s="1"/>
      <c r="BB42" s="1"/>
    </row>
    <row r="43" spans="1:54" ht="17" thickBot="1" x14ac:dyDescent="0.25">
      <c r="A43" s="21"/>
      <c r="B43" s="21"/>
      <c r="C43" s="21"/>
      <c r="D43" s="21"/>
      <c r="E43" s="21"/>
      <c r="F43" s="21"/>
      <c r="P43" s="141"/>
      <c r="Q43" s="140"/>
      <c r="R43" s="117">
        <f t="shared" si="16"/>
        <v>5.0720000000000001</v>
      </c>
      <c r="S43" s="73">
        <f t="shared" si="2"/>
        <v>12.603899503380283</v>
      </c>
      <c r="T43" s="78">
        <f t="shared" si="3"/>
        <v>5.0720000000000001</v>
      </c>
      <c r="U43" s="78">
        <f t="shared" si="4"/>
        <v>9.4977195178608103</v>
      </c>
      <c r="V43" s="84">
        <f t="shared" si="0"/>
        <v>5.0720000000000001</v>
      </c>
      <c r="W43" s="9">
        <v>451.9</v>
      </c>
      <c r="X43" s="10">
        <v>6585</v>
      </c>
      <c r="Y43" s="10">
        <v>-12.25</v>
      </c>
      <c r="Z43" s="10">
        <v>-23.23</v>
      </c>
      <c r="AA43" s="10">
        <v>233</v>
      </c>
      <c r="AB43" s="10">
        <v>30.68</v>
      </c>
      <c r="AC43" s="10">
        <v>96</v>
      </c>
      <c r="AD43" s="125">
        <f t="shared" si="5"/>
        <v>6.2462036600119424</v>
      </c>
      <c r="AE43" s="80">
        <f t="shared" si="17"/>
        <v>4.1000000000000014</v>
      </c>
      <c r="AF43" s="81">
        <f t="shared" si="6"/>
        <v>12.723475773917754</v>
      </c>
      <c r="AG43" s="81">
        <f t="shared" si="1"/>
        <v>4.1000000000000014</v>
      </c>
      <c r="AH43" s="80">
        <f t="shared" si="7"/>
        <v>12.723475773917754</v>
      </c>
      <c r="AI43" s="80">
        <f t="shared" si="8"/>
        <v>79.473420947118356</v>
      </c>
      <c r="AJ43" s="80"/>
      <c r="AK43" s="80">
        <f t="shared" si="9"/>
        <v>79.473420947118356</v>
      </c>
      <c r="AL43" s="80"/>
      <c r="AM43" s="80"/>
      <c r="AO43" s="1">
        <f t="shared" si="12"/>
        <v>4.1000000000000014</v>
      </c>
      <c r="AP43" s="1">
        <f t="shared" si="18"/>
        <v>21.309697166366245</v>
      </c>
      <c r="AQ43" s="1">
        <f t="shared" si="13"/>
        <v>5.1004343357975053</v>
      </c>
      <c r="AR43" s="1">
        <f t="shared" si="14"/>
        <v>6.852361292379813</v>
      </c>
      <c r="AS43" s="1">
        <f t="shared" si="15"/>
        <v>10.952122442999858</v>
      </c>
      <c r="AT43" s="63">
        <f>AVERAGE(AS$2:$AS43)</f>
        <v>12.31308504167465</v>
      </c>
      <c r="AU43" s="66"/>
      <c r="AV43" s="1"/>
      <c r="AZ43" s="1"/>
      <c r="BB43" s="1"/>
    </row>
    <row r="44" spans="1:54" ht="21" thickBot="1" x14ac:dyDescent="0.3">
      <c r="A44" s="38" t="s">
        <v>28</v>
      </c>
      <c r="B44" s="39" t="s">
        <v>29</v>
      </c>
      <c r="C44" s="39" t="s">
        <v>30</v>
      </c>
      <c r="D44" s="39" t="s">
        <v>31</v>
      </c>
      <c r="E44" s="39" t="s">
        <v>32</v>
      </c>
      <c r="F44" s="39" t="s">
        <v>33</v>
      </c>
      <c r="G44" s="52">
        <f>DEGREES(Q4)</f>
        <v>30.299928533138964</v>
      </c>
      <c r="H44" s="43" t="s">
        <v>94</v>
      </c>
      <c r="I44" s="44">
        <f>Q24-H50</f>
        <v>-11.57951701669953</v>
      </c>
      <c r="J44" s="44" t="s">
        <v>36</v>
      </c>
      <c r="K44" s="44">
        <f>Q22-H50</f>
        <v>-10.213377486485451</v>
      </c>
      <c r="L44" s="44" t="s">
        <v>96</v>
      </c>
      <c r="M44" s="45">
        <f>Q20-H50</f>
        <v>-12.945656546913609</v>
      </c>
      <c r="N44" s="53">
        <f>Q26</f>
        <v>9.9292523119211129</v>
      </c>
      <c r="O44" s="54" t="s">
        <v>60</v>
      </c>
      <c r="P44" s="141"/>
      <c r="Q44" s="140"/>
      <c r="R44" s="117">
        <f t="shared" si="16"/>
        <v>5.3360000000000003</v>
      </c>
      <c r="S44" s="73">
        <f t="shared" si="2"/>
        <v>12.5258440631703</v>
      </c>
      <c r="T44" s="78">
        <f t="shared" si="3"/>
        <v>5.3360000000000003</v>
      </c>
      <c r="U44" s="78">
        <f t="shared" si="4"/>
        <v>9.4389005247580204</v>
      </c>
      <c r="V44" s="84">
        <f t="shared" si="0"/>
        <v>5.3360000000000003</v>
      </c>
      <c r="W44" s="9">
        <v>436.47</v>
      </c>
      <c r="X44" s="10">
        <v>6849</v>
      </c>
      <c r="Y44" s="10">
        <v>-14.1</v>
      </c>
      <c r="Z44" s="10">
        <v>-25.59</v>
      </c>
      <c r="AA44" s="10">
        <v>233</v>
      </c>
      <c r="AB44" s="10">
        <v>30.49</v>
      </c>
      <c r="AC44" s="10">
        <v>95</v>
      </c>
      <c r="AD44" s="125">
        <f t="shared" si="5"/>
        <v>6.2462036600119424</v>
      </c>
      <c r="AE44" s="80">
        <f t="shared" si="17"/>
        <v>4.2000000000000011</v>
      </c>
      <c r="AF44" s="81">
        <f t="shared" si="6"/>
        <v>12.723475773917754</v>
      </c>
      <c r="AG44" s="81">
        <f t="shared" si="1"/>
        <v>4.2000000000000011</v>
      </c>
      <c r="AH44" s="80">
        <f t="shared" si="7"/>
        <v>12.723475773917754</v>
      </c>
      <c r="AI44" s="80">
        <f t="shared" si="8"/>
        <v>79.473420947118356</v>
      </c>
      <c r="AJ44" s="80"/>
      <c r="AK44" s="80">
        <f t="shared" si="9"/>
        <v>79.473420947118356</v>
      </c>
      <c r="AL44" s="80"/>
      <c r="AM44" s="80"/>
      <c r="AO44" s="1">
        <f t="shared" si="12"/>
        <v>4.2000000000000011</v>
      </c>
      <c r="AP44" s="1">
        <f t="shared" si="18"/>
        <v>21.309697166366245</v>
      </c>
      <c r="AQ44" s="1">
        <f t="shared" si="13"/>
        <v>5.1004343357975053</v>
      </c>
      <c r="AR44" s="1">
        <f t="shared" si="14"/>
        <v>6.852361292379813</v>
      </c>
      <c r="AS44" s="1">
        <f t="shared" si="15"/>
        <v>10.952122442999858</v>
      </c>
      <c r="AT44" s="63">
        <f>AVERAGE(AS$2:$AS44)</f>
        <v>12.281434748682214</v>
      </c>
      <c r="AU44" s="66"/>
      <c r="AV44" s="1"/>
      <c r="AZ44" s="1"/>
      <c r="BB44" s="1"/>
    </row>
    <row r="45" spans="1:54" ht="20" thickBot="1" x14ac:dyDescent="0.3">
      <c r="A45" s="40">
        <v>17</v>
      </c>
      <c r="B45" s="41">
        <v>36.679400000000001</v>
      </c>
      <c r="C45" s="42">
        <v>-88.803100000000001</v>
      </c>
      <c r="D45" s="40">
        <v>39</v>
      </c>
      <c r="E45" s="40">
        <v>36.822600000000001</v>
      </c>
      <c r="F45" s="40">
        <v>-88.503600000000006</v>
      </c>
      <c r="G45" s="52">
        <f>Q27</f>
        <v>115.10371951457104</v>
      </c>
      <c r="H45" s="46" t="s">
        <v>95</v>
      </c>
      <c r="I45" s="47">
        <f>Q25-H51</f>
        <v>-7.9636074562065327</v>
      </c>
      <c r="J45" s="47" t="s">
        <v>37</v>
      </c>
      <c r="K45" s="47">
        <f>Q23-H51</f>
        <v>-9.1684944368948553</v>
      </c>
      <c r="L45" s="47" t="s">
        <v>97</v>
      </c>
      <c r="M45" s="48">
        <f>Q21-H51</f>
        <v>-6.75872047551821</v>
      </c>
      <c r="N45" s="55">
        <f>AVERAGE(B45,E45)</f>
        <v>36.751000000000005</v>
      </c>
      <c r="O45" s="55">
        <f>AVERAGE(C45,F45)</f>
        <v>-88.653350000000003</v>
      </c>
      <c r="P45" s="141"/>
      <c r="Q45" s="140"/>
      <c r="R45" s="117">
        <f t="shared" si="16"/>
        <v>5.6020000000000003</v>
      </c>
      <c r="S45" s="73">
        <f t="shared" si="2"/>
        <v>12.264755917353932</v>
      </c>
      <c r="T45" s="78">
        <f t="shared" si="3"/>
        <v>5.6020000000000003</v>
      </c>
      <c r="U45" s="78">
        <f t="shared" si="4"/>
        <v>9.9318035129071962</v>
      </c>
      <c r="V45" s="84">
        <f t="shared" si="0"/>
        <v>5.6020000000000003</v>
      </c>
      <c r="W45" s="9">
        <v>421.42</v>
      </c>
      <c r="X45" s="10">
        <v>7115</v>
      </c>
      <c r="Y45" s="10">
        <v>-15.97</v>
      </c>
      <c r="Z45" s="10">
        <v>-27.95</v>
      </c>
      <c r="AA45" s="10">
        <v>231</v>
      </c>
      <c r="AB45" s="10">
        <v>30.68</v>
      </c>
      <c r="AC45" s="10">
        <v>94</v>
      </c>
      <c r="AD45" s="125">
        <f t="shared" si="5"/>
        <v>6.2142480336066352</v>
      </c>
      <c r="AE45" s="80">
        <f t="shared" si="17"/>
        <v>4.3000000000000007</v>
      </c>
      <c r="AF45" s="81">
        <f t="shared" si="6"/>
        <v>12.58416911057655</v>
      </c>
      <c r="AG45" s="81">
        <f t="shared" si="1"/>
        <v>4.3000000000000007</v>
      </c>
      <c r="AH45" s="80">
        <f t="shared" si="7"/>
        <v>11.734927542120191</v>
      </c>
      <c r="AI45" s="80">
        <f t="shared" si="8"/>
        <v>78.20114814997369</v>
      </c>
      <c r="AJ45" s="80"/>
      <c r="AK45" s="80">
        <f t="shared" si="9"/>
        <v>72.923750403136751</v>
      </c>
      <c r="AL45" s="80"/>
      <c r="AM45" s="80"/>
      <c r="AO45" s="1">
        <f t="shared" si="12"/>
        <v>4.3000000000000007</v>
      </c>
      <c r="AP45" s="1">
        <f t="shared" si="18"/>
        <v>20.504206138124868</v>
      </c>
      <c r="AQ45" s="1">
        <f t="shared" si="13"/>
        <v>4.9611276724563016</v>
      </c>
      <c r="AR45" s="1">
        <f t="shared" si="14"/>
        <v>5.8638130605822507</v>
      </c>
      <c r="AS45" s="1">
        <f t="shared" si="15"/>
        <v>9.9647652150380939</v>
      </c>
      <c r="AT45" s="63">
        <f>AVERAGE(AS$2:$AS45)</f>
        <v>12.228783168372122</v>
      </c>
      <c r="AU45" s="66"/>
      <c r="AV45" s="1"/>
      <c r="AZ45" s="1"/>
      <c r="BB45" s="1"/>
    </row>
    <row r="46" spans="1:54" ht="20" thickBot="1" x14ac:dyDescent="0.3">
      <c r="A46" s="14" t="s">
        <v>10</v>
      </c>
      <c r="B46" s="15" t="s">
        <v>0</v>
      </c>
      <c r="C46" s="15" t="s">
        <v>1</v>
      </c>
      <c r="D46" s="15" t="s">
        <v>16</v>
      </c>
      <c r="E46" s="15" t="s">
        <v>17</v>
      </c>
      <c r="F46" s="15" t="s">
        <v>43</v>
      </c>
      <c r="G46" s="15" t="s">
        <v>44</v>
      </c>
      <c r="H46" s="49" t="s">
        <v>83</v>
      </c>
      <c r="I46" s="50">
        <f>SQRT(I44^2+I45^2)</f>
        <v>14.05362081659322</v>
      </c>
      <c r="J46" s="50" t="s">
        <v>41</v>
      </c>
      <c r="K46" s="50">
        <f>SQRT(K44^2+K45^2)</f>
        <v>13.724954277549335</v>
      </c>
      <c r="L46" s="50" t="s">
        <v>98</v>
      </c>
      <c r="M46" s="51">
        <f>SQRT(M44^2+M45^2)</f>
        <v>14.603777795380081</v>
      </c>
      <c r="N46" s="36" t="str">
        <f>ROUND(N44,0)&amp;" m/s"</f>
        <v>10 m/s</v>
      </c>
      <c r="O46" s="59"/>
      <c r="P46" s="142"/>
      <c r="Q46" s="143"/>
      <c r="R46" s="117">
        <f t="shared" si="16"/>
        <v>5.867</v>
      </c>
      <c r="S46" s="73">
        <f t="shared" si="2"/>
        <v>12.27475909698353</v>
      </c>
      <c r="T46" s="78">
        <f t="shared" si="3"/>
        <v>5.867</v>
      </c>
      <c r="U46" s="78">
        <f t="shared" si="4"/>
        <v>10.299745831068844</v>
      </c>
      <c r="V46" s="84">
        <f t="shared" si="0"/>
        <v>5.867</v>
      </c>
      <c r="W46" s="9">
        <v>406.77</v>
      </c>
      <c r="X46" s="10">
        <v>7380</v>
      </c>
      <c r="Y46" s="10">
        <v>-17.98</v>
      </c>
      <c r="Z46" s="10">
        <v>-29.77</v>
      </c>
      <c r="AA46" s="10">
        <v>230</v>
      </c>
      <c r="AB46" s="10">
        <v>31.15</v>
      </c>
      <c r="AC46" s="10">
        <v>93</v>
      </c>
      <c r="AD46" s="125">
        <f t="shared" si="5"/>
        <v>6.2142480336066352</v>
      </c>
      <c r="AE46" s="80">
        <f t="shared" si="17"/>
        <v>4.4000000000000004</v>
      </c>
      <c r="AF46" s="81">
        <f t="shared" si="6"/>
        <v>12.58416911057655</v>
      </c>
      <c r="AG46" s="81">
        <f t="shared" si="1"/>
        <v>4.4000000000000004</v>
      </c>
      <c r="AH46" s="80">
        <f t="shared" si="7"/>
        <v>11.734927542120191</v>
      </c>
      <c r="AI46" s="80">
        <f t="shared" si="8"/>
        <v>78.20114814997369</v>
      </c>
      <c r="AJ46" s="80"/>
      <c r="AK46" s="80">
        <f t="shared" si="9"/>
        <v>72.923750403136751</v>
      </c>
      <c r="AL46" s="80"/>
      <c r="AM46" s="80"/>
      <c r="AO46" s="1">
        <f t="shared" si="12"/>
        <v>4.4000000000000004</v>
      </c>
      <c r="AP46" s="1">
        <f t="shared" si="18"/>
        <v>20.504206138124868</v>
      </c>
      <c r="AQ46" s="1">
        <f t="shared" si="13"/>
        <v>4.9611276724563016</v>
      </c>
      <c r="AR46" s="1">
        <f t="shared" si="14"/>
        <v>5.8638130605822507</v>
      </c>
      <c r="AS46" s="1">
        <f t="shared" si="15"/>
        <v>9.9647652150380939</v>
      </c>
      <c r="AT46" s="63">
        <f>AVERAGE(AS$2:$AS46)</f>
        <v>12.178471658298033</v>
      </c>
      <c r="AU46" s="66"/>
      <c r="AV46" s="1"/>
      <c r="AZ46" s="1"/>
      <c r="BB46" s="1"/>
    </row>
    <row r="47" spans="1:54" ht="17" thickBot="1" x14ac:dyDescent="0.25">
      <c r="A47" s="16" t="s">
        <v>2</v>
      </c>
      <c r="B47" s="17">
        <f>AF2</f>
        <v>-1.9266616041491285</v>
      </c>
      <c r="C47" s="17">
        <f>AH2</f>
        <v>-2.7515579296321402</v>
      </c>
      <c r="D47" s="18">
        <f>Q24</f>
        <v>9.6819716396126374</v>
      </c>
      <c r="E47" s="18">
        <f>Q25</f>
        <v>2.2021527293826191</v>
      </c>
      <c r="F47" s="18">
        <f>Q24</f>
        <v>9.6819716396126374</v>
      </c>
      <c r="G47" s="19">
        <f>Q25</f>
        <v>2.2021527293826191</v>
      </c>
      <c r="H47" s="56">
        <f>(D45-A45)*60</f>
        <v>1320</v>
      </c>
      <c r="I47" s="11"/>
      <c r="J47" s="59"/>
      <c r="K47" s="11"/>
      <c r="L47" s="60"/>
      <c r="M47" s="61"/>
      <c r="N47" s="62"/>
      <c r="O47" s="13"/>
      <c r="P47" s="70"/>
      <c r="Q47" s="69"/>
      <c r="R47" s="117">
        <f t="shared" si="16"/>
        <v>6.133</v>
      </c>
      <c r="S47" s="73">
        <f t="shared" si="2"/>
        <v>11.953698543513623</v>
      </c>
      <c r="T47" s="78">
        <f t="shared" si="3"/>
        <v>6.133</v>
      </c>
      <c r="U47" s="78">
        <f t="shared" si="4"/>
        <v>10.763158512896865</v>
      </c>
      <c r="V47" s="84">
        <f t="shared" si="0"/>
        <v>6.133</v>
      </c>
      <c r="W47" s="9">
        <v>392.51</v>
      </c>
      <c r="X47" s="10">
        <v>7646</v>
      </c>
      <c r="Y47" s="10">
        <v>-20.03</v>
      </c>
      <c r="Z47" s="10">
        <v>-31.11</v>
      </c>
      <c r="AA47" s="10">
        <v>228</v>
      </c>
      <c r="AB47" s="10">
        <v>31.27</v>
      </c>
      <c r="AC47" s="10">
        <v>92</v>
      </c>
      <c r="AD47" s="125">
        <f t="shared" si="5"/>
        <v>6.2142480336066352</v>
      </c>
      <c r="AE47" s="80">
        <f t="shared" si="17"/>
        <v>4.5</v>
      </c>
      <c r="AF47" s="81">
        <f t="shared" si="6"/>
        <v>12.58416911057655</v>
      </c>
      <c r="AG47" s="81">
        <f t="shared" si="1"/>
        <v>4.5</v>
      </c>
      <c r="AH47" s="80">
        <f t="shared" si="7"/>
        <v>11.734927542120191</v>
      </c>
      <c r="AI47" s="80">
        <f t="shared" si="8"/>
        <v>78.20114814997369</v>
      </c>
      <c r="AJ47" s="80"/>
      <c r="AK47" s="80">
        <f t="shared" si="9"/>
        <v>72.923750403136751</v>
      </c>
      <c r="AL47" s="80"/>
      <c r="AM47" s="80"/>
      <c r="AO47" s="1">
        <f t="shared" si="12"/>
        <v>4.5</v>
      </c>
      <c r="AP47" s="1">
        <f t="shared" si="18"/>
        <v>20.504206138124868</v>
      </c>
      <c r="AQ47" s="1">
        <f t="shared" si="13"/>
        <v>4.9611276724563016</v>
      </c>
      <c r="AR47" s="1">
        <f t="shared" si="14"/>
        <v>5.8638130605822507</v>
      </c>
      <c r="AS47" s="1">
        <f t="shared" si="15"/>
        <v>9.9647652150380939</v>
      </c>
      <c r="AT47" s="63">
        <f>AVERAGE(AS$2:$AS47)</f>
        <v>12.130347605183688</v>
      </c>
      <c r="AU47" s="66"/>
      <c r="AV47" s="1"/>
      <c r="AZ47" s="1"/>
      <c r="BB47" s="1"/>
    </row>
    <row r="48" spans="1:54" ht="17" thickBot="1" x14ac:dyDescent="0.25">
      <c r="A48" s="16" t="s">
        <v>11</v>
      </c>
      <c r="B48" s="17">
        <f>AF12</f>
        <v>-2.4005186110292067</v>
      </c>
      <c r="C48" s="17">
        <f>AH12</f>
        <v>2.8608266787833201</v>
      </c>
      <c r="D48" s="18">
        <f>AF2</f>
        <v>-1.9266616041491285</v>
      </c>
      <c r="E48" s="18">
        <f>AH2</f>
        <v>-2.7515579296321402</v>
      </c>
      <c r="F48" s="18">
        <f>VLOOKUP(Q10,AE2:AF212,2)</f>
        <v>-2.6231885613403545</v>
      </c>
      <c r="G48" s="19">
        <f>VLOOKUP(Q10,AG2:AH212,2)</f>
        <v>1.0598369740922982</v>
      </c>
      <c r="H48" s="57">
        <f>(1852*(ACOS((SIN(B45*PI()/180)*SIN(E45*PI()/180)+COS(B45*PI()/180)*COS(E45*PI()/180)*COS(C45*PI()/180-F45*PI()/180)))*3443.8985))/H47</f>
        <v>23.566789769364018</v>
      </c>
      <c r="I48" s="11"/>
      <c r="J48" s="60"/>
      <c r="K48" s="11"/>
      <c r="L48" s="60"/>
      <c r="M48" s="60"/>
      <c r="N48" s="60"/>
      <c r="O48" s="13"/>
      <c r="P48" s="70"/>
      <c r="Q48" s="69"/>
      <c r="R48" s="117">
        <f t="shared" si="16"/>
        <v>6.3979999999999997</v>
      </c>
      <c r="S48" s="73">
        <f t="shared" si="2"/>
        <v>11.685031168146715</v>
      </c>
      <c r="T48" s="78">
        <f t="shared" si="3"/>
        <v>6.3979999999999997</v>
      </c>
      <c r="U48" s="78">
        <f t="shared" si="4"/>
        <v>10.896467846285594</v>
      </c>
      <c r="V48" s="84">
        <f t="shared" si="0"/>
        <v>6.3979999999999997</v>
      </c>
      <c r="W48" s="9">
        <v>378.63</v>
      </c>
      <c r="X48" s="10">
        <v>7911</v>
      </c>
      <c r="Y48" s="10">
        <v>-22.1</v>
      </c>
      <c r="Z48" s="10">
        <v>-32.44</v>
      </c>
      <c r="AA48" s="10">
        <v>227</v>
      </c>
      <c r="AB48" s="10">
        <v>31.06</v>
      </c>
      <c r="AC48" s="10">
        <v>91</v>
      </c>
      <c r="AD48" s="125">
        <f t="shared" si="5"/>
        <v>6.181402855991089</v>
      </c>
      <c r="AE48" s="80">
        <f t="shared" si="17"/>
        <v>4.5999999999999996</v>
      </c>
      <c r="AF48" s="81">
        <f t="shared" si="6"/>
        <v>12.660931293293126</v>
      </c>
      <c r="AG48" s="81">
        <f t="shared" si="1"/>
        <v>4.5999999999999996</v>
      </c>
      <c r="AH48" s="80">
        <f t="shared" si="7"/>
        <v>10.623782778563147</v>
      </c>
      <c r="AI48" s="80">
        <f t="shared" si="8"/>
        <v>78.262316855869088</v>
      </c>
      <c r="AJ48" s="80"/>
      <c r="AK48" s="80">
        <f t="shared" si="9"/>
        <v>65.669881208839186</v>
      </c>
      <c r="AL48" s="80"/>
      <c r="AM48" s="80"/>
      <c r="AO48" s="1">
        <f t="shared" si="12"/>
        <v>4.5999999999999996</v>
      </c>
      <c r="AP48" s="1">
        <f t="shared" si="18"/>
        <v>19.791351788137508</v>
      </c>
      <c r="AQ48" s="1">
        <f t="shared" si="13"/>
        <v>5.0378898551728781</v>
      </c>
      <c r="AR48" s="1">
        <f t="shared" si="14"/>
        <v>4.7526682970252061</v>
      </c>
      <c r="AS48" s="1">
        <f t="shared" si="15"/>
        <v>8.9329756130595488</v>
      </c>
      <c r="AT48" s="63">
        <f>AVERAGE(AS$2:$AS48)</f>
        <v>12.062318413861897</v>
      </c>
      <c r="AU48" s="66"/>
      <c r="AV48" s="1"/>
      <c r="AZ48" s="1"/>
      <c r="BB48" s="1"/>
    </row>
    <row r="49" spans="1:54" ht="17" thickBot="1" x14ac:dyDescent="0.25">
      <c r="A49" s="16" t="s">
        <v>12</v>
      </c>
      <c r="B49" s="17">
        <f>AF32</f>
        <v>12.33985600049725</v>
      </c>
      <c r="C49" s="17">
        <f>AH32</f>
        <v>14.706067720687813</v>
      </c>
      <c r="D49" s="18"/>
      <c r="E49" s="18"/>
      <c r="F49" s="18"/>
      <c r="G49" s="19"/>
      <c r="H49" s="57">
        <f>IMARGUMENT(COMPLEX(B45-E45,C45-F45))*180/PI()+360</f>
        <v>244.44612745921987</v>
      </c>
      <c r="I49" s="13"/>
      <c r="J49" s="13"/>
      <c r="K49" s="13"/>
      <c r="L49" s="11"/>
      <c r="M49" s="13"/>
      <c r="N49" s="13"/>
      <c r="O49" s="13"/>
      <c r="P49" s="70"/>
      <c r="Q49" s="69"/>
      <c r="R49" s="117">
        <f t="shared" si="16"/>
        <v>6.665</v>
      </c>
      <c r="S49" s="73">
        <f t="shared" si="2"/>
        <v>11.290357004642857</v>
      </c>
      <c r="T49" s="78">
        <f t="shared" si="3"/>
        <v>6.665</v>
      </c>
      <c r="U49" s="78">
        <f t="shared" si="4"/>
        <v>11.290357004642857</v>
      </c>
      <c r="V49" s="84">
        <f t="shared" si="0"/>
        <v>6.665</v>
      </c>
      <c r="W49" s="9">
        <v>365.12</v>
      </c>
      <c r="X49" s="10">
        <v>8178</v>
      </c>
      <c r="Y49" s="10">
        <v>-24.18</v>
      </c>
      <c r="Z49" s="10">
        <v>-33.96</v>
      </c>
      <c r="AA49" s="10">
        <v>225</v>
      </c>
      <c r="AB49" s="10">
        <v>31.04</v>
      </c>
      <c r="AC49" s="10">
        <v>90</v>
      </c>
      <c r="AD49" s="125">
        <f t="shared" si="5"/>
        <v>6.181402855991089</v>
      </c>
      <c r="AE49" s="80">
        <f t="shared" si="17"/>
        <v>4.6999999999999993</v>
      </c>
      <c r="AF49" s="81">
        <f t="shared" si="6"/>
        <v>12.660931293293126</v>
      </c>
      <c r="AG49" s="81">
        <f t="shared" si="1"/>
        <v>4.6999999999999993</v>
      </c>
      <c r="AH49" s="80">
        <f t="shared" si="7"/>
        <v>10.623782778563147</v>
      </c>
      <c r="AI49" s="80">
        <f t="shared" si="8"/>
        <v>78.262316855869088</v>
      </c>
      <c r="AJ49" s="80"/>
      <c r="AK49" s="80">
        <f t="shared" si="9"/>
        <v>65.669881208839186</v>
      </c>
      <c r="AL49" s="80"/>
      <c r="AM49" s="80"/>
      <c r="AO49" s="1">
        <f t="shared" si="12"/>
        <v>4.6999999999999993</v>
      </c>
      <c r="AP49" s="1">
        <f t="shared" si="18"/>
        <v>19.791351788137508</v>
      </c>
      <c r="AQ49" s="1">
        <f t="shared" si="13"/>
        <v>5.0378898551728781</v>
      </c>
      <c r="AR49" s="1">
        <f t="shared" si="14"/>
        <v>4.7526682970252061</v>
      </c>
      <c r="AS49" s="1">
        <f t="shared" si="15"/>
        <v>8.9329756130595488</v>
      </c>
      <c r="AT49" s="63">
        <f>AVERAGE(AS$2:$AS49)</f>
        <v>11.997123772178513</v>
      </c>
      <c r="AU49" s="66"/>
      <c r="AV49" s="1"/>
      <c r="AZ49" s="1"/>
      <c r="BB49" s="1"/>
    </row>
    <row r="50" spans="1:54" ht="17" thickBot="1" x14ac:dyDescent="0.25">
      <c r="A50" s="16" t="s">
        <v>13</v>
      </c>
      <c r="B50" s="17">
        <f>AF62</f>
        <v>12.27475909698353</v>
      </c>
      <c r="C50" s="17">
        <f>AH62</f>
        <v>10.299745831068844</v>
      </c>
      <c r="D50" s="3"/>
      <c r="E50" s="3"/>
      <c r="F50" s="3"/>
      <c r="G50" s="20"/>
      <c r="H50" s="57">
        <f>(H48*SIN(RADIANS(H49-180)))</f>
        <v>21.261488656312167</v>
      </c>
      <c r="I50" s="13"/>
      <c r="J50" s="13"/>
      <c r="K50" s="13"/>
      <c r="L50" s="13"/>
      <c r="M50" s="13"/>
      <c r="N50" s="13"/>
      <c r="O50" s="13"/>
      <c r="P50" s="70"/>
      <c r="Q50" s="69"/>
      <c r="R50" s="117">
        <f t="shared" si="16"/>
        <v>6.931</v>
      </c>
      <c r="S50" s="73">
        <f t="shared" si="2"/>
        <v>11.054336826672865</v>
      </c>
      <c r="T50" s="78">
        <f t="shared" si="3"/>
        <v>6.931</v>
      </c>
      <c r="U50" s="78">
        <f t="shared" si="4"/>
        <v>11.85432492299752</v>
      </c>
      <c r="V50" s="84">
        <f t="shared" si="0"/>
        <v>6.931</v>
      </c>
      <c r="W50" s="9">
        <v>351.97</v>
      </c>
      <c r="X50" s="10">
        <v>8444</v>
      </c>
      <c r="Y50" s="10">
        <v>-26.25</v>
      </c>
      <c r="Z50" s="10">
        <v>-35.65</v>
      </c>
      <c r="AA50" s="10">
        <v>223</v>
      </c>
      <c r="AB50" s="10">
        <v>31.51</v>
      </c>
      <c r="AC50" s="10">
        <v>89</v>
      </c>
      <c r="AD50" s="125">
        <f t="shared" si="5"/>
        <v>6.181402855991089</v>
      </c>
      <c r="AE50" s="80">
        <f t="shared" si="17"/>
        <v>4.7999999999999989</v>
      </c>
      <c r="AF50" s="81">
        <f t="shared" si="6"/>
        <v>12.660931293293126</v>
      </c>
      <c r="AG50" s="81">
        <f t="shared" si="1"/>
        <v>4.7999999999999989</v>
      </c>
      <c r="AH50" s="80">
        <f t="shared" si="7"/>
        <v>10.623782778563147</v>
      </c>
      <c r="AI50" s="80">
        <f t="shared" si="8"/>
        <v>78.262316855869088</v>
      </c>
      <c r="AJ50" s="80"/>
      <c r="AK50" s="80">
        <f t="shared" si="9"/>
        <v>65.669881208839186</v>
      </c>
      <c r="AL50" s="80"/>
      <c r="AM50" s="80"/>
      <c r="AO50" s="1">
        <f t="shared" si="12"/>
        <v>4.7999999999999989</v>
      </c>
      <c r="AP50" s="1">
        <f t="shared" si="18"/>
        <v>19.791351788137508</v>
      </c>
      <c r="AQ50" s="1">
        <f t="shared" si="13"/>
        <v>5.0378898551728781</v>
      </c>
      <c r="AR50" s="1">
        <f t="shared" si="14"/>
        <v>4.7526682970252061</v>
      </c>
      <c r="AS50" s="1">
        <f t="shared" si="15"/>
        <v>8.9329756130595488</v>
      </c>
      <c r="AT50" s="63">
        <f>AVERAGE(AS$2:$AS50)</f>
        <v>11.934590136278127</v>
      </c>
      <c r="AU50" s="66"/>
      <c r="AV50" s="1"/>
      <c r="AZ50" s="1"/>
      <c r="BB50" s="1"/>
    </row>
    <row r="51" spans="1:54" ht="17" thickBot="1" x14ac:dyDescent="0.25">
      <c r="A51" s="16" t="s">
        <v>14</v>
      </c>
      <c r="B51" s="17">
        <f>AF102</f>
        <v>10.743551837645159</v>
      </c>
      <c r="C51" s="17">
        <f>AH102</f>
        <v>19.381880576345921</v>
      </c>
      <c r="D51" s="3"/>
      <c r="E51" s="3"/>
      <c r="F51" s="3"/>
      <c r="G51" s="20"/>
      <c r="H51" s="58">
        <f>(H48*COS(RADIANS(H49-180)))</f>
        <v>10.165760185589152</v>
      </c>
      <c r="I51" s="13"/>
      <c r="J51" s="13"/>
      <c r="K51" s="13"/>
      <c r="L51" s="13"/>
      <c r="M51" s="13"/>
      <c r="N51" s="13"/>
      <c r="O51" s="13"/>
      <c r="P51" s="70"/>
      <c r="Q51" s="69"/>
      <c r="R51" s="117">
        <f t="shared" si="16"/>
        <v>7.1970000000000001</v>
      </c>
      <c r="S51" s="73">
        <f t="shared" si="2"/>
        <v>10.897124726115628</v>
      </c>
      <c r="T51" s="78">
        <f t="shared" si="3"/>
        <v>7.1970000000000001</v>
      </c>
      <c r="U51" s="78">
        <f t="shared" si="4"/>
        <v>12.535708014470318</v>
      </c>
      <c r="V51" s="84">
        <f t="shared" si="0"/>
        <v>7.1970000000000001</v>
      </c>
      <c r="W51" s="9">
        <v>339.18</v>
      </c>
      <c r="X51" s="10">
        <v>8710</v>
      </c>
      <c r="Y51" s="10">
        <v>-28.27</v>
      </c>
      <c r="Z51" s="10">
        <v>-37.36</v>
      </c>
      <c r="AA51" s="10">
        <v>221</v>
      </c>
      <c r="AB51" s="10">
        <v>32.29</v>
      </c>
      <c r="AC51" s="10">
        <v>88</v>
      </c>
      <c r="AD51" s="125">
        <f t="shared" si="5"/>
        <v>6.1477415361652472</v>
      </c>
      <c r="AE51" s="80">
        <f t="shared" si="17"/>
        <v>4.8999999999999986</v>
      </c>
      <c r="AF51" s="81">
        <f t="shared" si="6"/>
        <v>12.647005227645291</v>
      </c>
      <c r="AG51" s="81">
        <f t="shared" si="1"/>
        <v>4.8999999999999986</v>
      </c>
      <c r="AH51" s="80">
        <f t="shared" si="7"/>
        <v>9.8809234027145809</v>
      </c>
      <c r="AI51" s="80">
        <f t="shared" si="8"/>
        <v>77.750519346093981</v>
      </c>
      <c r="AJ51" s="80"/>
      <c r="AK51" s="80">
        <f t="shared" si="9"/>
        <v>60.74536321853568</v>
      </c>
      <c r="AL51" s="80"/>
      <c r="AM51" s="80"/>
      <c r="AO51" s="1">
        <f t="shared" si="12"/>
        <v>4.8999999999999986</v>
      </c>
      <c r="AP51" s="1">
        <f t="shared" si="18"/>
        <v>19.286558779010662</v>
      </c>
      <c r="AQ51" s="1">
        <f t="shared" si="13"/>
        <v>5.0239637895250429</v>
      </c>
      <c r="AR51" s="1">
        <f t="shared" si="14"/>
        <v>4.0098089211766403</v>
      </c>
      <c r="AS51" s="1">
        <f t="shared" si="15"/>
        <v>8.2313390910461699</v>
      </c>
      <c r="AT51" s="63">
        <f>AVERAGE(AS$2:$AS51)</f>
        <v>11.860525115373486</v>
      </c>
      <c r="AU51" s="66"/>
      <c r="AV51" s="1"/>
      <c r="AZ51" s="1"/>
      <c r="BB51" s="1"/>
    </row>
    <row r="52" spans="1:54" ht="17" thickBot="1" x14ac:dyDescent="0.25">
      <c r="A52" s="16" t="s">
        <v>15</v>
      </c>
      <c r="B52" s="18">
        <f>Q24</f>
        <v>9.6819716396126374</v>
      </c>
      <c r="C52" s="18">
        <f>Q25</f>
        <v>2.2021527293826191</v>
      </c>
      <c r="D52" s="3"/>
      <c r="E52" s="3"/>
      <c r="F52" s="3"/>
      <c r="G52" s="20"/>
      <c r="H52" s="59"/>
      <c r="I52" s="13"/>
      <c r="J52" s="13"/>
      <c r="K52" s="13"/>
      <c r="L52" s="13"/>
      <c r="M52" s="13"/>
      <c r="N52" s="13"/>
      <c r="O52" s="13"/>
      <c r="P52" s="70"/>
      <c r="Q52" s="69"/>
      <c r="R52" s="117">
        <f t="shared" si="16"/>
        <v>7.4640000000000004</v>
      </c>
      <c r="S52" s="73">
        <f t="shared" si="2"/>
        <v>10.779956224896015</v>
      </c>
      <c r="T52" s="78">
        <f t="shared" si="3"/>
        <v>7.4640000000000004</v>
      </c>
      <c r="U52" s="78">
        <f t="shared" si="4"/>
        <v>13.312137289696411</v>
      </c>
      <c r="V52" s="84">
        <f t="shared" si="0"/>
        <v>7.4640000000000004</v>
      </c>
      <c r="W52" s="9">
        <v>326.73</v>
      </c>
      <c r="X52" s="10">
        <v>8977</v>
      </c>
      <c r="Y52" s="10">
        <v>-30.23</v>
      </c>
      <c r="Z52" s="10">
        <v>-39.54</v>
      </c>
      <c r="AA52" s="10">
        <v>219</v>
      </c>
      <c r="AB52" s="10">
        <v>33.299999999999997</v>
      </c>
      <c r="AC52" s="10">
        <v>87</v>
      </c>
      <c r="AD52" s="125">
        <f t="shared" si="5"/>
        <v>6.1477415361652472</v>
      </c>
      <c r="AE52" s="80">
        <f t="shared" si="17"/>
        <v>4.9999999999999982</v>
      </c>
      <c r="AF52" s="81">
        <f t="shared" si="6"/>
        <v>12.647005227645291</v>
      </c>
      <c r="AG52" s="81">
        <f t="shared" si="1"/>
        <v>4.9999999999999982</v>
      </c>
      <c r="AH52" s="80">
        <f t="shared" si="7"/>
        <v>9.8809234027145809</v>
      </c>
      <c r="AI52" s="80">
        <f t="shared" si="8"/>
        <v>77.750519346093981</v>
      </c>
      <c r="AJ52" s="149">
        <f>AVERAGE(AF2:AF52)</f>
        <v>6.6402831107551661</v>
      </c>
      <c r="AK52" s="80">
        <f t="shared" si="9"/>
        <v>60.74536321853568</v>
      </c>
      <c r="AL52" s="149">
        <f>AVERAGE(AH2:AH52)</f>
        <v>9.2531530247178324</v>
      </c>
      <c r="AM52" s="80"/>
      <c r="AO52" s="1">
        <f t="shared" si="12"/>
        <v>4.9999999999999982</v>
      </c>
      <c r="AP52" s="1">
        <f t="shared" si="18"/>
        <v>19.286558779010662</v>
      </c>
      <c r="AQ52" s="1">
        <f t="shared" si="13"/>
        <v>5.0239637895250429</v>
      </c>
      <c r="AR52" s="1">
        <f t="shared" si="14"/>
        <v>4.0098089211766403</v>
      </c>
      <c r="AS52" s="1">
        <f t="shared" si="15"/>
        <v>8.2313390910461699</v>
      </c>
      <c r="AT52" s="63">
        <f>AVERAGE(AS$2:$AS52)</f>
        <v>11.789364605092558</v>
      </c>
      <c r="AU52" s="66"/>
      <c r="AV52" s="1"/>
      <c r="AZ52" s="1"/>
      <c r="BB52" s="1"/>
    </row>
    <row r="53" spans="1:54" ht="17" thickBot="1" x14ac:dyDescent="0.25">
      <c r="A53" s="4" t="s">
        <v>50</v>
      </c>
      <c r="B53" s="23" t="s">
        <v>55</v>
      </c>
      <c r="C53" s="22" t="s">
        <v>45</v>
      </c>
      <c r="D53" s="25" t="s">
        <v>50</v>
      </c>
      <c r="E53" s="25" t="s">
        <v>56</v>
      </c>
      <c r="F53" s="27" t="s">
        <v>47</v>
      </c>
      <c r="G53" s="27" t="s">
        <v>48</v>
      </c>
      <c r="H53" s="5" t="s">
        <v>49</v>
      </c>
      <c r="I53" s="100" t="s">
        <v>50</v>
      </c>
      <c r="J53" s="130" t="s">
        <v>53</v>
      </c>
      <c r="K53" s="177">
        <f>VLOOKUP($Q$2,I54:J96,2)</f>
        <v>6.9290370928655406E-3</v>
      </c>
      <c r="L53" s="178"/>
      <c r="M53" s="132" t="s">
        <v>51</v>
      </c>
      <c r="N53" s="25" t="s">
        <v>50</v>
      </c>
      <c r="O53" s="150" t="s">
        <v>54</v>
      </c>
      <c r="P53" s="153" t="s">
        <v>100</v>
      </c>
      <c r="Q53" s="154">
        <f>6.11*10^((7.5*Q57)/(237.3+Q57))</f>
        <v>6.11</v>
      </c>
      <c r="R53" s="152">
        <f t="shared" si="16"/>
        <v>7.7320000000000002</v>
      </c>
      <c r="S53" s="73">
        <f t="shared" si="2"/>
        <v>10.671003643437485</v>
      </c>
      <c r="T53" s="78">
        <f t="shared" si="3"/>
        <v>7.7320000000000002</v>
      </c>
      <c r="U53" s="78">
        <f t="shared" si="4"/>
        <v>14.160900126516244</v>
      </c>
      <c r="V53" s="84">
        <f t="shared" si="0"/>
        <v>7.7320000000000002</v>
      </c>
      <c r="W53" s="9">
        <v>314.62</v>
      </c>
      <c r="X53" s="10">
        <v>9245</v>
      </c>
      <c r="Y53" s="10">
        <v>-32.19</v>
      </c>
      <c r="Z53" s="10">
        <v>-41.91</v>
      </c>
      <c r="AA53" s="10">
        <v>217</v>
      </c>
      <c r="AB53" s="10">
        <v>34.47</v>
      </c>
      <c r="AC53" s="10">
        <v>86</v>
      </c>
      <c r="AD53" s="125">
        <f t="shared" si="5"/>
        <v>6.1134609164172335</v>
      </c>
      <c r="AE53" s="80">
        <f t="shared" si="17"/>
        <v>5.0999999999999979</v>
      </c>
      <c r="AF53" s="81">
        <f t="shared" si="6"/>
        <v>12.603899503380283</v>
      </c>
      <c r="AG53" s="81">
        <f t="shared" si="1"/>
        <v>5.0999999999999979</v>
      </c>
      <c r="AH53" s="80">
        <f t="shared" si="7"/>
        <v>9.4977195178608103</v>
      </c>
      <c r="AI53" s="80">
        <f t="shared" si="8"/>
        <v>77.053447008365936</v>
      </c>
      <c r="AJ53" s="80"/>
      <c r="AK53" s="80">
        <f t="shared" si="9"/>
        <v>58.063937067535193</v>
      </c>
      <c r="AL53" s="80"/>
      <c r="AM53" s="80"/>
      <c r="AO53" s="1">
        <f t="shared" si="12"/>
        <v>5.0999999999999979</v>
      </c>
      <c r="AP53" s="1">
        <f t="shared" si="18"/>
        <v>19.004788977657864</v>
      </c>
      <c r="AQ53" s="1">
        <f t="shared" si="13"/>
        <v>4.9808580652600352</v>
      </c>
      <c r="AR53" s="1">
        <f t="shared" si="14"/>
        <v>3.6266050363228697</v>
      </c>
      <c r="AS53" s="1">
        <f t="shared" si="15"/>
        <v>7.8589412267943413</v>
      </c>
      <c r="AT53" s="63">
        <f>AVERAGE(AS$2:$AS53)</f>
        <v>11.713779540125284</v>
      </c>
      <c r="AU53" s="66"/>
      <c r="AV53" s="1"/>
      <c r="AZ53" s="1"/>
      <c r="BB53" s="1"/>
    </row>
    <row r="54" spans="1:54" ht="17" thickBot="1" x14ac:dyDescent="0.25">
      <c r="A54" s="101">
        <v>0</v>
      </c>
      <c r="B54" s="30">
        <f>(AF3-$Q$24)*(AH2-$Q$25)-(AF2-$Q$24)*(AH3-$Q$25)</f>
        <v>-9.8226312334760806</v>
      </c>
      <c r="C54" s="33">
        <f>SUM(B54:$B$54)</f>
        <v>-9.8226312334760806</v>
      </c>
      <c r="D54" s="29">
        <v>0</v>
      </c>
      <c r="E54" s="32">
        <f>AT2</f>
        <v>12.621395132132076</v>
      </c>
      <c r="F54" s="28">
        <f>ATAN2((AH2-$Q$25),(AF2-$Q$24))</f>
        <v>-1.9741283694668113</v>
      </c>
      <c r="G54" s="28">
        <f>SQRT((AF2-$Q$24)^2+(AH2-$Q$25)^2)</f>
        <v>12.621395132132076</v>
      </c>
      <c r="H54" s="6">
        <f>SQRT(((-1*((AF2-$Q$24)/G54)*G54*((F55-F54)/100))^2)+(-1*((AH2-$Q$25)/G54)*G54*((F55-F54)/100))^2)</f>
        <v>7.2307151958998428E-3</v>
      </c>
      <c r="I54" s="37">
        <v>100</v>
      </c>
      <c r="J54" s="131">
        <f>AVERAGE(H54:$H$54)</f>
        <v>7.2307151958998428E-3</v>
      </c>
      <c r="K54" s="179"/>
      <c r="L54" s="180"/>
      <c r="M54" s="133">
        <f>(SQRT((AF3-AF2)^2+(AH3-AH2)^2))/100</f>
        <v>1.2267880954448919E-2</v>
      </c>
      <c r="N54" s="29">
        <v>100</v>
      </c>
      <c r="O54" s="151">
        <f>AVERAGE(M54:$M$54)</f>
        <v>1.2267880954448919E-2</v>
      </c>
      <c r="P54" s="155" t="s">
        <v>101</v>
      </c>
      <c r="Q54" s="154">
        <f>621.97*(Q53/(W2-Q53))</f>
        <v>4.5632044908741598</v>
      </c>
      <c r="R54" s="152">
        <f t="shared" si="16"/>
        <v>8</v>
      </c>
      <c r="S54" s="73">
        <f t="shared" si="2"/>
        <v>10.375493281700853</v>
      </c>
      <c r="T54" s="78">
        <f t="shared" si="3"/>
        <v>8</v>
      </c>
      <c r="U54" s="78">
        <f t="shared" si="4"/>
        <v>15.382301368515845</v>
      </c>
      <c r="V54" s="84">
        <f t="shared" si="0"/>
        <v>8</v>
      </c>
      <c r="W54" s="9">
        <v>302.83999999999997</v>
      </c>
      <c r="X54" s="10">
        <v>9513</v>
      </c>
      <c r="Y54" s="10">
        <v>-34.090000000000003</v>
      </c>
      <c r="Z54" s="10">
        <v>-44.55</v>
      </c>
      <c r="AA54" s="10">
        <v>214</v>
      </c>
      <c r="AB54" s="10">
        <v>36.07</v>
      </c>
      <c r="AC54" s="10">
        <v>85</v>
      </c>
      <c r="AD54" s="125">
        <f t="shared" si="5"/>
        <v>6.1134609164172335</v>
      </c>
      <c r="AE54" s="80">
        <f t="shared" si="17"/>
        <v>5.1999999999999975</v>
      </c>
      <c r="AF54" s="81">
        <f t="shared" si="6"/>
        <v>12.603899503380283</v>
      </c>
      <c r="AG54" s="81">
        <f t="shared" si="1"/>
        <v>5.1999999999999975</v>
      </c>
      <c r="AH54" s="80">
        <f t="shared" si="7"/>
        <v>9.4977195178608103</v>
      </c>
      <c r="AI54" s="80">
        <f t="shared" si="8"/>
        <v>77.053447008365936</v>
      </c>
      <c r="AJ54" s="80"/>
      <c r="AK54" s="80">
        <f t="shared" si="9"/>
        <v>58.063937067535193</v>
      </c>
      <c r="AL54" s="80"/>
      <c r="AM54" s="80"/>
      <c r="AO54" s="1">
        <f t="shared" si="12"/>
        <v>5.1999999999999975</v>
      </c>
      <c r="AP54" s="1">
        <f t="shared" si="18"/>
        <v>19.004788977657864</v>
      </c>
      <c r="AQ54" s="1">
        <f t="shared" si="13"/>
        <v>4.9808580652600352</v>
      </c>
      <c r="AR54" s="1">
        <f t="shared" si="14"/>
        <v>3.6266050363228697</v>
      </c>
      <c r="AS54" s="1">
        <f t="shared" si="15"/>
        <v>7.8589412267943413</v>
      </c>
      <c r="AT54" s="63">
        <f>AVERAGE(AS$2:$AS54)</f>
        <v>11.641046741760547</v>
      </c>
      <c r="AU54" s="66"/>
      <c r="AV54" s="1"/>
      <c r="AZ54" s="1"/>
      <c r="BB54" s="1"/>
    </row>
    <row r="55" spans="1:54" ht="17" thickBot="1" x14ac:dyDescent="0.25">
      <c r="A55" s="101">
        <f>A54+100</f>
        <v>100</v>
      </c>
      <c r="B55" s="30">
        <f t="shared" ref="B55:B96" si="19">(AF4-$Q$24)*(AH3-$Q$25)-(AF3-$Q$24)*(AH4-$Q$25)</f>
        <v>7.5913139162437915E-2</v>
      </c>
      <c r="C55" s="33">
        <f>SUM(B$54:$B55)</f>
        <v>-9.7467180943136427</v>
      </c>
      <c r="D55" s="29">
        <f>D54+100</f>
        <v>100</v>
      </c>
      <c r="E55" s="32">
        <f t="shared" ref="E55:E96" si="20">AT3</f>
        <v>13.10671021387024</v>
      </c>
      <c r="F55" s="28">
        <f t="shared" ref="F55:F96" si="21">ATAN2((AH3-$Q$25),(AF3-$Q$24))</f>
        <v>-2.0314177191797569</v>
      </c>
      <c r="G55" s="28">
        <f t="shared" ref="G55:G96" si="22">SQRT((AF3-$Q$24)^2+(AH3-$Q$25)^2)</f>
        <v>13.592025295608405</v>
      </c>
      <c r="H55" s="6">
        <f t="shared" ref="H55:H95" si="23">SQRT(((-1*((AF3-$Q$24)/G55)*G55*((F56-F55)/100))^2)+(-1*((AH3-$Q$25)/G55)*G55*((F56-F55)/100))^2)</f>
        <v>5.5233994878639064E-5</v>
      </c>
      <c r="I55" s="37">
        <f>I54+100</f>
        <v>200</v>
      </c>
      <c r="J55" s="131">
        <f>AVERAGE(H$54:$H55)</f>
        <v>3.6429745953892407E-3</v>
      </c>
      <c r="K55" s="181">
        <f>VLOOKUP($Q$2,D54:E96,2)</f>
        <v>13.061668993995223</v>
      </c>
      <c r="L55" s="168"/>
      <c r="M55" s="31">
        <f t="shared" ref="M55:M96" si="24">(SQRT((AF4-AF3)^2+(AH4-AH3)^2))/100</f>
        <v>1.5199270059189295E-3</v>
      </c>
      <c r="N55" s="29">
        <f>N54+100</f>
        <v>200</v>
      </c>
      <c r="O55" s="151">
        <f>AVERAGE(M$54:$M55)</f>
        <v>6.8939039801839243E-3</v>
      </c>
      <c r="P55" s="153" t="s">
        <v>102</v>
      </c>
      <c r="Q55" s="154">
        <f>$Q$62*((1+($Q$54/0.622))/(1+$Q$54))</f>
        <v>28.942260675107672</v>
      </c>
      <c r="R55" s="152">
        <f t="shared" si="16"/>
        <v>8.2690000000000001</v>
      </c>
      <c r="S55" s="73">
        <f t="shared" si="2"/>
        <v>10.006617073163056</v>
      </c>
      <c r="T55" s="78">
        <f t="shared" si="3"/>
        <v>8.2690000000000001</v>
      </c>
      <c r="U55" s="78">
        <f t="shared" si="4"/>
        <v>16.653807482603664</v>
      </c>
      <c r="V55" s="84">
        <f t="shared" si="0"/>
        <v>8.2690000000000001</v>
      </c>
      <c r="W55" s="9">
        <v>291.38</v>
      </c>
      <c r="X55" s="10">
        <v>9782</v>
      </c>
      <c r="Y55" s="10">
        <v>-36.049999999999997</v>
      </c>
      <c r="Z55" s="10">
        <v>-47.1</v>
      </c>
      <c r="AA55" s="10">
        <v>211</v>
      </c>
      <c r="AB55" s="10">
        <v>37.770000000000003</v>
      </c>
      <c r="AC55" s="10">
        <v>84</v>
      </c>
      <c r="AD55" s="125">
        <f t="shared" si="5"/>
        <v>6.1134609164172335</v>
      </c>
      <c r="AE55" s="80">
        <f t="shared" si="17"/>
        <v>5.2999999999999972</v>
      </c>
      <c r="AF55" s="81">
        <f t="shared" si="6"/>
        <v>12.603899503380283</v>
      </c>
      <c r="AG55" s="81">
        <f t="shared" si="1"/>
        <v>5.2999999999999972</v>
      </c>
      <c r="AH55" s="80">
        <f t="shared" si="7"/>
        <v>9.4977195178608103</v>
      </c>
      <c r="AI55" s="80">
        <f t="shared" si="8"/>
        <v>77.053447008365936</v>
      </c>
      <c r="AJ55" s="80"/>
      <c r="AK55" s="80">
        <f t="shared" si="9"/>
        <v>58.063937067535193</v>
      </c>
      <c r="AL55" s="80"/>
      <c r="AM55" s="80"/>
      <c r="AO55" s="1">
        <f t="shared" si="12"/>
        <v>5.2999999999999972</v>
      </c>
      <c r="AP55" s="1">
        <f t="shared" si="18"/>
        <v>19.004788977657864</v>
      </c>
      <c r="AQ55" s="1">
        <f t="shared" si="13"/>
        <v>4.9808580652600352</v>
      </c>
      <c r="AR55" s="1">
        <f t="shared" si="14"/>
        <v>3.6266050363228697</v>
      </c>
      <c r="AS55" s="1">
        <f t="shared" si="15"/>
        <v>7.8589412267943413</v>
      </c>
      <c r="AT55" s="63">
        <f>AVERAGE(AS$2:$AS55)</f>
        <v>11.571007750742654</v>
      </c>
      <c r="AU55" s="66"/>
      <c r="AV55" s="1"/>
      <c r="AZ55" s="1"/>
      <c r="BB55" s="1"/>
    </row>
    <row r="56" spans="1:54" ht="17" thickBot="1" x14ac:dyDescent="0.25">
      <c r="A56" s="101">
        <f t="shared" ref="A56:A96" si="25">A55+100</f>
        <v>200</v>
      </c>
      <c r="B56" s="30">
        <f t="shared" si="19"/>
        <v>8.0649158317335718</v>
      </c>
      <c r="C56" s="33">
        <f>SUM(B$54:$B56)</f>
        <v>-1.6818022625800708</v>
      </c>
      <c r="D56" s="29">
        <f t="shared" ref="D56:D96" si="26">D55+100</f>
        <v>200</v>
      </c>
      <c r="E56" s="32">
        <f t="shared" si="20"/>
        <v>13.319112302875247</v>
      </c>
      <c r="F56" s="28">
        <f t="shared" si="21"/>
        <v>-2.0310113485787804</v>
      </c>
      <c r="G56" s="28">
        <f t="shared" si="22"/>
        <v>13.743916480885263</v>
      </c>
      <c r="H56" s="6">
        <f t="shared" si="23"/>
        <v>5.9133127341926932E-3</v>
      </c>
      <c r="I56" s="37">
        <f t="shared" ref="I56:I96" si="27">I55+100</f>
        <v>300</v>
      </c>
      <c r="J56" s="131">
        <f>AVERAGE(H$54:$H56)</f>
        <v>4.3997539749903915E-3</v>
      </c>
      <c r="K56" s="57"/>
      <c r="L56" s="170"/>
      <c r="M56" s="31">
        <f t="shared" si="24"/>
        <v>5.9772399417285871E-3</v>
      </c>
      <c r="N56" s="29">
        <f t="shared" ref="N56:N96" si="28">N55+100</f>
        <v>300</v>
      </c>
      <c r="O56" s="151">
        <f>AVERAGE(M$54:$M56)</f>
        <v>6.5883493006988125E-3</v>
      </c>
      <c r="P56" s="153" t="s">
        <v>103</v>
      </c>
      <c r="Q56" s="156">
        <f>0.48*(125*($Q$55-$Q$67))</f>
        <v>855.25706907788867</v>
      </c>
      <c r="R56" s="152">
        <f t="shared" si="16"/>
        <v>8.5380000000000003</v>
      </c>
      <c r="S56" s="73">
        <f t="shared" si="2"/>
        <v>9.8507497118612761</v>
      </c>
      <c r="T56" s="78">
        <f t="shared" si="3"/>
        <v>8.5380000000000003</v>
      </c>
      <c r="U56" s="78">
        <f t="shared" si="4"/>
        <v>17.771222905423951</v>
      </c>
      <c r="V56" s="84">
        <f t="shared" si="0"/>
        <v>8.5380000000000003</v>
      </c>
      <c r="W56" s="9">
        <v>280.24</v>
      </c>
      <c r="X56" s="10">
        <v>10051</v>
      </c>
      <c r="Y56" s="10">
        <v>-38.04</v>
      </c>
      <c r="Z56" s="10">
        <v>-49.49</v>
      </c>
      <c r="AA56" s="10">
        <v>209</v>
      </c>
      <c r="AB56" s="10">
        <v>39.5</v>
      </c>
      <c r="AC56" s="10">
        <v>83</v>
      </c>
      <c r="AD56" s="125">
        <f t="shared" si="5"/>
        <v>6.0787196443954068</v>
      </c>
      <c r="AE56" s="80">
        <f t="shared" si="17"/>
        <v>5.3999999999999968</v>
      </c>
      <c r="AF56" s="81">
        <f t="shared" si="6"/>
        <v>12.5258440631703</v>
      </c>
      <c r="AG56" s="81">
        <f t="shared" si="1"/>
        <v>5.3999999999999968</v>
      </c>
      <c r="AH56" s="80">
        <f t="shared" si="7"/>
        <v>9.4389005247580204</v>
      </c>
      <c r="AI56" s="80">
        <f t="shared" si="8"/>
        <v>76.141094369426881</v>
      </c>
      <c r="AJ56" s="80"/>
      <c r="AK56" s="80">
        <f t="shared" si="9"/>
        <v>57.37643004134069</v>
      </c>
      <c r="AL56" s="80"/>
      <c r="AM56" s="80"/>
      <c r="AO56" s="1">
        <f t="shared" si="12"/>
        <v>5.3999999999999968</v>
      </c>
      <c r="AP56" s="1">
        <f t="shared" si="18"/>
        <v>18.90719961792631</v>
      </c>
      <c r="AQ56" s="1">
        <f t="shared" si="13"/>
        <v>4.902802625050052</v>
      </c>
      <c r="AR56" s="1">
        <f t="shared" si="14"/>
        <v>3.5677860432200799</v>
      </c>
      <c r="AS56" s="1">
        <f t="shared" si="15"/>
        <v>7.7754825583588358</v>
      </c>
      <c r="AT56" s="63">
        <f>AVERAGE(AS$2:$AS56)</f>
        <v>11.50199820179022</v>
      </c>
      <c r="AU56" s="66"/>
      <c r="AV56" s="1"/>
      <c r="AZ56" s="1"/>
      <c r="BB56" s="1"/>
    </row>
    <row r="57" spans="1:54" ht="17" thickBot="1" x14ac:dyDescent="0.25">
      <c r="A57" s="101">
        <f t="shared" si="25"/>
        <v>300</v>
      </c>
      <c r="B57" s="30">
        <f t="shared" si="19"/>
        <v>11.282708921183875</v>
      </c>
      <c r="C57" s="33">
        <f>SUM(B$54:$B57)</f>
        <v>9.6009066586038045</v>
      </c>
      <c r="D57" s="29">
        <f t="shared" si="26"/>
        <v>300</v>
      </c>
      <c r="E57" s="32">
        <f t="shared" si="20"/>
        <v>13.400030124141219</v>
      </c>
      <c r="F57" s="28">
        <f t="shared" si="21"/>
        <v>-1.9879864019238964</v>
      </c>
      <c r="G57" s="28">
        <f t="shared" si="22"/>
        <v>13.642783587939133</v>
      </c>
      <c r="H57" s="6">
        <f t="shared" si="23"/>
        <v>8.4951375006228035E-3</v>
      </c>
      <c r="I57" s="37">
        <f t="shared" si="27"/>
        <v>400</v>
      </c>
      <c r="J57" s="131">
        <f>AVERAGE(H$54:$H57)</f>
        <v>5.423599856398495E-3</v>
      </c>
      <c r="K57" s="182">
        <f>VLOOKUP($Q$2,A98:B140,2)</f>
        <v>62.566892769123925</v>
      </c>
      <c r="L57" s="172"/>
      <c r="M57" s="31">
        <f t="shared" si="24"/>
        <v>9.0954255414726851E-3</v>
      </c>
      <c r="N57" s="29">
        <f t="shared" si="28"/>
        <v>400</v>
      </c>
      <c r="O57" s="6">
        <f>AVERAGE(M$54:$M57)</f>
        <v>7.2151183608922809E-3</v>
      </c>
      <c r="P57" s="70"/>
      <c r="Q57" s="69"/>
      <c r="R57" s="117">
        <f t="shared" si="16"/>
        <v>8.8089999999999993</v>
      </c>
      <c r="S57" s="73">
        <f t="shared" si="2"/>
        <v>9.8578737368380853</v>
      </c>
      <c r="T57" s="78">
        <f t="shared" si="3"/>
        <v>8.8089999999999993</v>
      </c>
      <c r="U57" s="78">
        <f t="shared" si="4"/>
        <v>18.539964028913918</v>
      </c>
      <c r="V57" s="84">
        <f t="shared" si="0"/>
        <v>8.8089999999999993</v>
      </c>
      <c r="W57" s="9">
        <v>269.41000000000003</v>
      </c>
      <c r="X57" s="10">
        <v>10322</v>
      </c>
      <c r="Y57" s="10">
        <v>-40.090000000000003</v>
      </c>
      <c r="Z57" s="10">
        <v>-51.87</v>
      </c>
      <c r="AA57" s="10">
        <v>208</v>
      </c>
      <c r="AB57" s="10">
        <v>40.82</v>
      </c>
      <c r="AC57" s="10">
        <v>82</v>
      </c>
      <c r="AD57" s="125">
        <f t="shared" si="5"/>
        <v>6.0787196443954068</v>
      </c>
      <c r="AE57" s="80">
        <f t="shared" si="17"/>
        <v>5.4999999999999964</v>
      </c>
      <c r="AF57" s="81">
        <f t="shared" si="6"/>
        <v>12.5258440631703</v>
      </c>
      <c r="AG57" s="81">
        <f t="shared" si="1"/>
        <v>5.4999999999999964</v>
      </c>
      <c r="AH57" s="80">
        <f t="shared" si="7"/>
        <v>9.4389005247580204</v>
      </c>
      <c r="AI57" s="80">
        <f t="shared" si="8"/>
        <v>76.141094369426881</v>
      </c>
      <c r="AJ57" s="80"/>
      <c r="AK57" s="80">
        <f t="shared" si="9"/>
        <v>57.37643004134069</v>
      </c>
      <c r="AL57" s="80"/>
      <c r="AM57" s="80"/>
      <c r="AO57" s="1">
        <f t="shared" si="12"/>
        <v>5.4999999999999964</v>
      </c>
      <c r="AP57" s="1">
        <f t="shared" si="18"/>
        <v>18.90719961792631</v>
      </c>
      <c r="AQ57" s="1">
        <f t="shared" si="13"/>
        <v>4.902802625050052</v>
      </c>
      <c r="AR57" s="1">
        <f t="shared" si="14"/>
        <v>3.5677860432200799</v>
      </c>
      <c r="AS57" s="1">
        <f t="shared" si="15"/>
        <v>7.7754825583588358</v>
      </c>
      <c r="AT57" s="63">
        <f>AVERAGE(AS$2:$AS57)</f>
        <v>11.435453279586088</v>
      </c>
      <c r="AU57" s="66"/>
      <c r="AV57" s="1"/>
      <c r="AZ57" s="1"/>
      <c r="BB57" s="1"/>
    </row>
    <row r="58" spans="1:54" ht="17" thickBot="1" x14ac:dyDescent="0.25">
      <c r="A58" s="101">
        <f t="shared" si="25"/>
        <v>400</v>
      </c>
      <c r="B58" s="30">
        <f t="shared" si="19"/>
        <v>9.3919180209994693</v>
      </c>
      <c r="C58" s="33">
        <f>SUM(B$54:$B58)</f>
        <v>18.992824679603274</v>
      </c>
      <c r="D58" s="29">
        <f t="shared" si="26"/>
        <v>400</v>
      </c>
      <c r="E58" s="32">
        <f t="shared" si="20"/>
        <v>13.378016011932806</v>
      </c>
      <c r="F58" s="28">
        <f t="shared" si="21"/>
        <v>-1.9257180426417562</v>
      </c>
      <c r="G58" s="28">
        <f t="shared" si="22"/>
        <v>13.289959563099151</v>
      </c>
      <c r="H58" s="6">
        <f t="shared" si="23"/>
        <v>7.22123225096048E-3</v>
      </c>
      <c r="I58" s="37">
        <f t="shared" si="27"/>
        <v>500</v>
      </c>
      <c r="J58" s="128">
        <f>AVERAGE(H$54:$H58)</f>
        <v>5.7831263353108914E-3</v>
      </c>
      <c r="K58" s="169"/>
      <c r="L58" s="170"/>
      <c r="M58" s="31">
        <f t="shared" si="24"/>
        <v>7.6648276315541483E-3</v>
      </c>
      <c r="N58" s="29">
        <f t="shared" si="28"/>
        <v>500</v>
      </c>
      <c r="O58" s="151">
        <f>AVERAGE(M$54:$M58)</f>
        <v>7.3050602150246547E-3</v>
      </c>
      <c r="P58" s="157" t="s">
        <v>104</v>
      </c>
      <c r="Q58" s="74">
        <f>AVERAGE(Y2:Y26)</f>
        <v>18.7364</v>
      </c>
      <c r="R58" s="152">
        <f t="shared" si="16"/>
        <v>9.0790000000000006</v>
      </c>
      <c r="S58" s="73">
        <f t="shared" si="2"/>
        <v>10.121104564205883</v>
      </c>
      <c r="T58" s="78">
        <f t="shared" si="3"/>
        <v>9.0790000000000006</v>
      </c>
      <c r="U58" s="78">
        <f t="shared" si="4"/>
        <v>19.035029212439543</v>
      </c>
      <c r="V58" s="84">
        <f t="shared" si="0"/>
        <v>9.0790000000000006</v>
      </c>
      <c r="W58" s="9">
        <v>258.88</v>
      </c>
      <c r="X58" s="10">
        <v>10592</v>
      </c>
      <c r="Y58" s="10">
        <v>-42.12</v>
      </c>
      <c r="Z58" s="10">
        <v>-54.71</v>
      </c>
      <c r="AA58" s="10">
        <v>208</v>
      </c>
      <c r="AB58" s="10">
        <v>41.91</v>
      </c>
      <c r="AC58" s="10">
        <v>81</v>
      </c>
      <c r="AD58" s="125">
        <f t="shared" si="5"/>
        <v>6.0787196443954068</v>
      </c>
      <c r="AE58" s="80">
        <f t="shared" si="17"/>
        <v>5.5999999999999961</v>
      </c>
      <c r="AF58" s="81">
        <f t="shared" si="6"/>
        <v>12.5258440631703</v>
      </c>
      <c r="AG58" s="81">
        <f t="shared" si="1"/>
        <v>5.5999999999999961</v>
      </c>
      <c r="AH58" s="80">
        <f t="shared" si="7"/>
        <v>9.4389005247580204</v>
      </c>
      <c r="AI58" s="80">
        <f t="shared" si="8"/>
        <v>76.141094369426881</v>
      </c>
      <c r="AJ58" s="80"/>
      <c r="AK58" s="80">
        <f t="shared" si="9"/>
        <v>57.37643004134069</v>
      </c>
      <c r="AL58" s="80"/>
      <c r="AM58" s="80"/>
      <c r="AO58" s="1">
        <f t="shared" si="12"/>
        <v>5.5999999999999961</v>
      </c>
      <c r="AP58" s="1">
        <f t="shared" si="18"/>
        <v>18.90719961792631</v>
      </c>
      <c r="AQ58" s="1">
        <f t="shared" si="13"/>
        <v>4.902802625050052</v>
      </c>
      <c r="AR58" s="1">
        <f t="shared" si="14"/>
        <v>3.5677860432200799</v>
      </c>
      <c r="AS58" s="1">
        <f t="shared" si="15"/>
        <v>7.7754825583588358</v>
      </c>
      <c r="AT58" s="63">
        <f>AVERAGE(AS$2:$AS58)</f>
        <v>11.371243266932979</v>
      </c>
      <c r="AU58" s="66"/>
      <c r="AV58" s="1"/>
      <c r="AZ58" s="1"/>
      <c r="BB58" s="1"/>
    </row>
    <row r="59" spans="1:54" ht="17" thickBot="1" x14ac:dyDescent="0.25">
      <c r="A59" s="101">
        <f t="shared" si="25"/>
        <v>500</v>
      </c>
      <c r="B59" s="30">
        <f t="shared" si="19"/>
        <v>5.4206435151986909</v>
      </c>
      <c r="C59" s="33">
        <f>SUM(B$54:$B59)</f>
        <v>24.413468194801965</v>
      </c>
      <c r="D59" s="29">
        <f t="shared" si="26"/>
        <v>500</v>
      </c>
      <c r="E59" s="32">
        <f t="shared" si="20"/>
        <v>13.317076504094748</v>
      </c>
      <c r="F59" s="28">
        <f t="shared" si="21"/>
        <v>-1.8713820439754327</v>
      </c>
      <c r="G59" s="28">
        <f t="shared" si="22"/>
        <v>13.01237896490445</v>
      </c>
      <c r="H59" s="6">
        <f t="shared" si="23"/>
        <v>4.2279131359601423E-3</v>
      </c>
      <c r="I59" s="37">
        <f t="shared" si="27"/>
        <v>600</v>
      </c>
      <c r="J59" s="128">
        <f>AVERAGE(H$54:$H59)</f>
        <v>5.5239241354190999E-3</v>
      </c>
      <c r="K59" s="173"/>
      <c r="L59" s="174"/>
      <c r="M59" s="31">
        <f t="shared" si="24"/>
        <v>4.602991834729675E-3</v>
      </c>
      <c r="N59" s="29">
        <f t="shared" si="28"/>
        <v>600</v>
      </c>
      <c r="O59" s="151">
        <f>AVERAGE(M$54:$M59)</f>
        <v>6.8547154849754911E-3</v>
      </c>
      <c r="P59" s="85" t="s">
        <v>105</v>
      </c>
      <c r="Q59" s="84">
        <f>AVERAGE(Y2:Y21)</f>
        <v>19.472000000000001</v>
      </c>
      <c r="R59" s="152">
        <f t="shared" si="16"/>
        <v>9.3510000000000009</v>
      </c>
      <c r="S59" s="73">
        <f t="shared" si="2"/>
        <v>10.319131425161473</v>
      </c>
      <c r="T59" s="78">
        <f t="shared" si="3"/>
        <v>9.3510000000000009</v>
      </c>
      <c r="U59" s="78">
        <f t="shared" si="4"/>
        <v>19.407463570688183</v>
      </c>
      <c r="V59" s="84">
        <f t="shared" si="0"/>
        <v>9.3510000000000009</v>
      </c>
      <c r="W59" s="9">
        <v>248.65</v>
      </c>
      <c r="X59" s="10">
        <v>10864</v>
      </c>
      <c r="Y59" s="10">
        <v>-44</v>
      </c>
      <c r="Z59" s="10">
        <v>-58.02</v>
      </c>
      <c r="AA59" s="10">
        <v>208</v>
      </c>
      <c r="AB59" s="10">
        <v>42.73</v>
      </c>
      <c r="AC59" s="10">
        <v>80</v>
      </c>
      <c r="AD59" s="125">
        <f t="shared" si="5"/>
        <v>6.0436299610886612</v>
      </c>
      <c r="AE59" s="80">
        <f t="shared" si="17"/>
        <v>5.6999999999999957</v>
      </c>
      <c r="AF59" s="81">
        <f t="shared" si="6"/>
        <v>12.264755917353932</v>
      </c>
      <c r="AG59" s="81">
        <f t="shared" si="1"/>
        <v>5.6999999999999957</v>
      </c>
      <c r="AH59" s="80">
        <f t="shared" si="7"/>
        <v>9.9318035129071962</v>
      </c>
      <c r="AI59" s="80">
        <f t="shared" si="8"/>
        <v>74.123646327559669</v>
      </c>
      <c r="AJ59" s="80"/>
      <c r="AK59" s="80">
        <f t="shared" si="9"/>
        <v>60.024145278251545</v>
      </c>
      <c r="AL59" s="80"/>
      <c r="AM59" s="80"/>
      <c r="AO59" s="1">
        <f t="shared" si="12"/>
        <v>5.6999999999999957</v>
      </c>
      <c r="AP59" s="1">
        <f t="shared" si="18"/>
        <v>19.033233796486545</v>
      </c>
      <c r="AQ59" s="1">
        <f t="shared" si="13"/>
        <v>4.6417144792336842</v>
      </c>
      <c r="AR59" s="1">
        <f t="shared" si="14"/>
        <v>4.0606890313692556</v>
      </c>
      <c r="AS59" s="1">
        <f t="shared" si="15"/>
        <v>8.1497408462226417</v>
      </c>
      <c r="AT59" s="63">
        <f>AVERAGE(AS$2:$AS59)</f>
        <v>11.315700121748318</v>
      </c>
      <c r="AU59" s="66"/>
      <c r="AV59" s="1"/>
      <c r="AZ59" s="1"/>
      <c r="BB59" s="1"/>
    </row>
    <row r="60" spans="1:54" ht="17" thickBot="1" x14ac:dyDescent="0.25">
      <c r="A60" s="101">
        <f t="shared" si="25"/>
        <v>600</v>
      </c>
      <c r="B60" s="30">
        <f t="shared" si="19"/>
        <v>18.055387133283983</v>
      </c>
      <c r="C60" s="33">
        <f>SUM(B$54:$B60)</f>
        <v>42.468855328085951</v>
      </c>
      <c r="D60" s="29">
        <f t="shared" si="26"/>
        <v>600</v>
      </c>
      <c r="E60" s="32">
        <f t="shared" si="20"/>
        <v>13.246542929866413</v>
      </c>
      <c r="F60" s="28">
        <f t="shared" si="21"/>
        <v>-1.8388905745265087</v>
      </c>
      <c r="G60" s="28">
        <f t="shared" si="22"/>
        <v>12.823341484496407</v>
      </c>
      <c r="H60" s="6">
        <f t="shared" si="23"/>
        <v>1.4508656838826383E-2</v>
      </c>
      <c r="I60" s="37">
        <f t="shared" si="27"/>
        <v>700</v>
      </c>
      <c r="J60" s="128">
        <f>AVERAGE(H$54:$H60)</f>
        <v>6.8074573787629978E-3</v>
      </c>
      <c r="K60" s="175"/>
      <c r="L60" s="176"/>
      <c r="M60" s="31">
        <f t="shared" si="24"/>
        <v>1.4727702151162836E-2</v>
      </c>
      <c r="N60" s="29">
        <f t="shared" si="28"/>
        <v>700</v>
      </c>
      <c r="O60" s="151">
        <f>AVERAGE(M$54:$M60)</f>
        <v>7.9794278658593971E-3</v>
      </c>
      <c r="P60" s="85" t="s">
        <v>106</v>
      </c>
      <c r="Q60" s="158">
        <f>AVERAGE(Y2:Y16)</f>
        <v>19.699333333333335</v>
      </c>
      <c r="R60" s="152">
        <f t="shared" si="16"/>
        <v>9.6240000000000006</v>
      </c>
      <c r="S60" s="73">
        <f t="shared" si="2"/>
        <v>10.756021141077895</v>
      </c>
      <c r="T60" s="78">
        <f t="shared" si="3"/>
        <v>9.6240000000000006</v>
      </c>
      <c r="U60" s="78">
        <f t="shared" si="4"/>
        <v>19.40437579521355</v>
      </c>
      <c r="V60" s="84">
        <f t="shared" si="0"/>
        <v>9.6240000000000006</v>
      </c>
      <c r="W60" s="9">
        <v>238.7</v>
      </c>
      <c r="X60" s="10">
        <v>11137</v>
      </c>
      <c r="Y60" s="10">
        <v>-46.05</v>
      </c>
      <c r="Z60" s="10">
        <v>-61.57</v>
      </c>
      <c r="AA60" s="10">
        <v>209</v>
      </c>
      <c r="AB60" s="10">
        <v>43.13</v>
      </c>
      <c r="AC60" s="10">
        <v>79</v>
      </c>
      <c r="AD60" s="125">
        <f t="shared" si="5"/>
        <v>6.0436299610886612</v>
      </c>
      <c r="AE60" s="80">
        <f t="shared" si="17"/>
        <v>5.7999999999999954</v>
      </c>
      <c r="AF60" s="81">
        <f t="shared" si="6"/>
        <v>12.264755917353932</v>
      </c>
      <c r="AG60" s="81">
        <f t="shared" si="1"/>
        <v>5.7999999999999954</v>
      </c>
      <c r="AH60" s="80">
        <f t="shared" si="7"/>
        <v>9.9318035129071962</v>
      </c>
      <c r="AI60" s="80">
        <f t="shared" si="8"/>
        <v>74.123646327559669</v>
      </c>
      <c r="AJ60" s="80"/>
      <c r="AK60" s="80">
        <f t="shared" si="9"/>
        <v>60.024145278251545</v>
      </c>
      <c r="AL60" s="80"/>
      <c r="AM60" s="80"/>
      <c r="AO60" s="1">
        <f t="shared" si="12"/>
        <v>5.7999999999999954</v>
      </c>
      <c r="AP60" s="1">
        <f t="shared" si="18"/>
        <v>19.033233796486545</v>
      </c>
      <c r="AQ60" s="1">
        <f t="shared" si="13"/>
        <v>4.6417144792336842</v>
      </c>
      <c r="AR60" s="1">
        <f t="shared" si="14"/>
        <v>4.0606890313692556</v>
      </c>
      <c r="AS60" s="1">
        <f t="shared" si="15"/>
        <v>8.1497408462226417</v>
      </c>
      <c r="AT60" s="63">
        <f>AVERAGE(AS$2:$AS60)</f>
        <v>11.26203979504449</v>
      </c>
      <c r="AU60" s="66"/>
      <c r="AV60" s="1"/>
      <c r="AZ60" s="1"/>
      <c r="BB60" s="1"/>
    </row>
    <row r="61" spans="1:54" ht="17" thickBot="1" x14ac:dyDescent="0.25">
      <c r="A61" s="101">
        <f t="shared" si="25"/>
        <v>700</v>
      </c>
      <c r="B61" s="30">
        <f t="shared" si="19"/>
        <v>9.6084593895660824</v>
      </c>
      <c r="C61" s="33">
        <f>SUM(B$54:$B61)</f>
        <v>52.07731471765203</v>
      </c>
      <c r="D61" s="29">
        <f t="shared" si="26"/>
        <v>700</v>
      </c>
      <c r="E61" s="32">
        <f t="shared" si="20"/>
        <v>13.149619076959462</v>
      </c>
      <c r="F61" s="28">
        <f t="shared" si="21"/>
        <v>-1.7257480144818624</v>
      </c>
      <c r="G61" s="28">
        <f t="shared" si="22"/>
        <v>12.471152106610797</v>
      </c>
      <c r="H61" s="6">
        <f t="shared" si="23"/>
        <v>7.7800950915833415E-3</v>
      </c>
      <c r="I61" s="37">
        <f t="shared" si="27"/>
        <v>800</v>
      </c>
      <c r="J61" s="128">
        <f>AVERAGE(H$54:$H61)</f>
        <v>6.9290370928655406E-3</v>
      </c>
      <c r="K61" s="173"/>
      <c r="L61" s="174"/>
      <c r="M61" s="31">
        <f t="shared" si="24"/>
        <v>7.8256220592355062E-3</v>
      </c>
      <c r="N61" s="29">
        <f t="shared" si="28"/>
        <v>800</v>
      </c>
      <c r="O61" s="151">
        <f>AVERAGE(M$54:$M61)</f>
        <v>7.9602021400314114E-3</v>
      </c>
      <c r="P61" s="85" t="s">
        <v>107</v>
      </c>
      <c r="Q61" s="84">
        <f>AVERAGE(Y2:Y8)</f>
        <v>19.349999999999998</v>
      </c>
      <c r="R61" s="152">
        <f t="shared" si="16"/>
        <v>9.8970000000000002</v>
      </c>
      <c r="S61" s="73">
        <f t="shared" si="2"/>
        <v>10.743551837645159</v>
      </c>
      <c r="T61" s="78">
        <f t="shared" si="3"/>
        <v>9.8970000000000002</v>
      </c>
      <c r="U61" s="78">
        <f t="shared" si="4"/>
        <v>19.381880576345921</v>
      </c>
      <c r="V61" s="84">
        <f t="shared" si="0"/>
        <v>9.8970000000000002</v>
      </c>
      <c r="W61" s="9">
        <v>229.04</v>
      </c>
      <c r="X61" s="10">
        <v>11410</v>
      </c>
      <c r="Y61" s="10">
        <v>-47.94</v>
      </c>
      <c r="Z61" s="10">
        <v>-64.62</v>
      </c>
      <c r="AA61" s="10">
        <v>209</v>
      </c>
      <c r="AB61" s="10">
        <v>43.08</v>
      </c>
      <c r="AC61" s="10">
        <v>78</v>
      </c>
      <c r="AD61" s="125">
        <f t="shared" si="5"/>
        <v>6.0082479151423271</v>
      </c>
      <c r="AE61" s="80">
        <f t="shared" si="17"/>
        <v>5.899999999999995</v>
      </c>
      <c r="AF61" s="81">
        <f t="shared" si="6"/>
        <v>12.27475909698353</v>
      </c>
      <c r="AG61" s="81">
        <f t="shared" si="1"/>
        <v>5.899999999999995</v>
      </c>
      <c r="AH61" s="80">
        <f t="shared" si="7"/>
        <v>10.299745831068844</v>
      </c>
      <c r="AI61" s="80">
        <f t="shared" si="8"/>
        <v>73.749795753325614</v>
      </c>
      <c r="AJ61" s="80"/>
      <c r="AK61" s="80">
        <f t="shared" si="9"/>
        <v>61.883426416015254</v>
      </c>
      <c r="AL61" s="80"/>
      <c r="AO61" s="1">
        <f t="shared" si="12"/>
        <v>5.899999999999995</v>
      </c>
      <c r="AP61" s="1">
        <f t="shared" si="18"/>
        <v>19.287739105054456</v>
      </c>
      <c r="AQ61" s="1">
        <f t="shared" si="13"/>
        <v>4.6517176588632818</v>
      </c>
      <c r="AR61" s="1">
        <f t="shared" si="14"/>
        <v>4.4286313495309031</v>
      </c>
      <c r="AS61" s="1">
        <f t="shared" si="15"/>
        <v>8.502562016214652</v>
      </c>
      <c r="AT61" s="63">
        <f>AVERAGE(AS$2:$AS61)</f>
        <v>11.216048498730659</v>
      </c>
      <c r="AU61" s="66"/>
      <c r="AZ61" s="1"/>
      <c r="BB61" s="1"/>
    </row>
    <row r="62" spans="1:54" ht="17" thickBot="1" x14ac:dyDescent="0.25">
      <c r="A62" s="101">
        <f t="shared" si="25"/>
        <v>800</v>
      </c>
      <c r="B62" s="30">
        <f t="shared" si="19"/>
        <v>10.489578051471891</v>
      </c>
      <c r="C62" s="33">
        <f>SUM(B$54:$B62)</f>
        <v>62.566892769123925</v>
      </c>
      <c r="D62" s="29">
        <f t="shared" si="26"/>
        <v>800</v>
      </c>
      <c r="E62" s="32">
        <f t="shared" si="20"/>
        <v>13.061668993995223</v>
      </c>
      <c r="F62" s="28">
        <f t="shared" si="21"/>
        <v>-1.6633632802963239</v>
      </c>
      <c r="G62" s="28">
        <f t="shared" si="22"/>
        <v>12.358068330281313</v>
      </c>
      <c r="H62" s="6">
        <f t="shared" si="23"/>
        <v>8.5821986495835181E-3</v>
      </c>
      <c r="I62" s="37">
        <f t="shared" si="27"/>
        <v>900</v>
      </c>
      <c r="J62" s="128">
        <f>AVERAGE(H$54:$H62)</f>
        <v>7.1127217102786482E-3</v>
      </c>
      <c r="K62" s="175"/>
      <c r="L62" s="176"/>
      <c r="M62" s="31">
        <f t="shared" si="24"/>
        <v>8.6288336872284033E-3</v>
      </c>
      <c r="N62" s="29">
        <f t="shared" si="28"/>
        <v>900</v>
      </c>
      <c r="O62" s="151">
        <f>AVERAGE(M$54:$M62)</f>
        <v>8.0344945341644103E-3</v>
      </c>
      <c r="P62" s="85" t="s">
        <v>108</v>
      </c>
      <c r="Q62" s="159">
        <f>AVERAGE(Q58,Q59,Q60,Q61)</f>
        <v>19.314433333333334</v>
      </c>
      <c r="R62" s="152">
        <f t="shared" si="16"/>
        <v>10.172000000000001</v>
      </c>
      <c r="S62" s="73">
        <f t="shared" si="2"/>
        <v>11.108749109815381</v>
      </c>
      <c r="T62" s="78">
        <f t="shared" si="3"/>
        <v>10.172000000000001</v>
      </c>
      <c r="U62" s="78">
        <f t="shared" si="4"/>
        <v>18.488063218045312</v>
      </c>
      <c r="V62" s="84">
        <f t="shared" si="0"/>
        <v>10.172000000000001</v>
      </c>
      <c r="W62" s="9">
        <v>219.65</v>
      </c>
      <c r="X62" s="10">
        <v>11685</v>
      </c>
      <c r="Y62" s="10">
        <v>-49.85</v>
      </c>
      <c r="Z62" s="10">
        <v>-66.650000000000006</v>
      </c>
      <c r="AA62" s="10">
        <v>211</v>
      </c>
      <c r="AB62" s="10">
        <v>41.93</v>
      </c>
      <c r="AC62" s="10">
        <v>77</v>
      </c>
      <c r="AD62" s="125">
        <f t="shared" si="5"/>
        <v>6.0082479151423271</v>
      </c>
      <c r="AE62" s="80">
        <f t="shared" si="17"/>
        <v>5.9999999999999947</v>
      </c>
      <c r="AF62" s="81">
        <f t="shared" si="6"/>
        <v>12.27475909698353</v>
      </c>
      <c r="AG62" s="81">
        <f t="shared" si="1"/>
        <v>5.9999999999999947</v>
      </c>
      <c r="AH62" s="80">
        <f t="shared" si="7"/>
        <v>10.299745831068844</v>
      </c>
      <c r="AI62" s="80">
        <f t="shared" si="8"/>
        <v>73.749795753325614</v>
      </c>
      <c r="AJ62" s="149">
        <f>(SUM(AI2:AI62))/(SUM(AD2:AD62))</f>
        <v>7.4043114768824072</v>
      </c>
      <c r="AK62" s="80">
        <f t="shared" si="9"/>
        <v>61.883426416015254</v>
      </c>
      <c r="AL62" s="149">
        <f>(SUM(AK2:AK62))/(SUM(AD2:AD62))</f>
        <v>9.2266474871785995</v>
      </c>
      <c r="AO62" s="1">
        <f t="shared" si="12"/>
        <v>5.9999999999999947</v>
      </c>
      <c r="AP62" s="1">
        <f t="shared" si="18"/>
        <v>19.287739105054456</v>
      </c>
      <c r="AQ62" s="1">
        <f t="shared" si="13"/>
        <v>4.6517176588632818</v>
      </c>
      <c r="AR62" s="1">
        <f t="shared" si="14"/>
        <v>4.4286313495309031</v>
      </c>
      <c r="AS62" s="1">
        <f t="shared" si="15"/>
        <v>8.502562016214652</v>
      </c>
      <c r="AT62" s="63">
        <f>AVERAGE(AS$2:$AS62)</f>
        <v>11.171565113771379</v>
      </c>
      <c r="AU62" s="66"/>
      <c r="AZ62" s="1"/>
      <c r="BB62" s="1"/>
    </row>
    <row r="63" spans="1:54" ht="17" thickBot="1" x14ac:dyDescent="0.25">
      <c r="A63" s="101">
        <f t="shared" si="25"/>
        <v>900</v>
      </c>
      <c r="B63" s="30">
        <f t="shared" si="19"/>
        <v>11.471833912731158</v>
      </c>
      <c r="C63" s="33">
        <f>SUM(B$54:$B63)</f>
        <v>74.038726681855081</v>
      </c>
      <c r="D63" s="29">
        <f t="shared" si="26"/>
        <v>900</v>
      </c>
      <c r="E63" s="32">
        <f t="shared" si="20"/>
        <v>12.978733423197045</v>
      </c>
      <c r="F63" s="28">
        <f t="shared" si="21"/>
        <v>-1.5939171628270239</v>
      </c>
      <c r="G63" s="28">
        <f t="shared" si="22"/>
        <v>12.232313286013429</v>
      </c>
      <c r="H63" s="6">
        <f t="shared" si="23"/>
        <v>9.4900341395994844E-3</v>
      </c>
      <c r="I63" s="37">
        <f t="shared" si="27"/>
        <v>1000</v>
      </c>
      <c r="J63" s="128">
        <f>AVERAGE(H$54:$H63)</f>
        <v>7.3504529532107312E-3</v>
      </c>
      <c r="K63" s="13"/>
      <c r="L63" s="13"/>
      <c r="M63" s="31">
        <f t="shared" si="24"/>
        <v>9.5280840101111264E-3</v>
      </c>
      <c r="N63" s="29">
        <f t="shared" si="28"/>
        <v>1000</v>
      </c>
      <c r="O63" s="151">
        <f>AVERAGE(M$54:$M63)</f>
        <v>8.1838534817590819E-3</v>
      </c>
      <c r="P63" s="85" t="s">
        <v>109</v>
      </c>
      <c r="Q63" s="159">
        <f>AVERAGE(Z2:Z26)</f>
        <v>13.744000000000003</v>
      </c>
      <c r="R63" s="152">
        <f t="shared" si="16"/>
        <v>10.448</v>
      </c>
      <c r="S63" s="73">
        <f t="shared" si="2"/>
        <v>10.710079547502117</v>
      </c>
      <c r="T63" s="78">
        <f t="shared" si="3"/>
        <v>10.448</v>
      </c>
      <c r="U63" s="78">
        <f t="shared" si="4"/>
        <v>17.139710108643985</v>
      </c>
      <c r="V63" s="84">
        <f t="shared" si="0"/>
        <v>10.448</v>
      </c>
      <c r="W63" s="9">
        <v>210.53</v>
      </c>
      <c r="X63" s="10">
        <v>11961</v>
      </c>
      <c r="Y63" s="10">
        <v>-51.59</v>
      </c>
      <c r="Z63" s="10">
        <v>-67.73</v>
      </c>
      <c r="AA63" s="10">
        <v>212</v>
      </c>
      <c r="AB63" s="10">
        <v>39.29</v>
      </c>
      <c r="AC63" s="10">
        <v>76</v>
      </c>
      <c r="AD63" s="125">
        <f t="shared" si="5"/>
        <v>6.0082479151423271</v>
      </c>
      <c r="AE63" s="80">
        <f t="shared" si="17"/>
        <v>6.0999999999999943</v>
      </c>
      <c r="AF63" s="81">
        <f t="shared" si="6"/>
        <v>12.27475909698353</v>
      </c>
      <c r="AG63" s="81">
        <f t="shared" si="1"/>
        <v>6.0999999999999943</v>
      </c>
      <c r="AH63" s="80">
        <f t="shared" si="7"/>
        <v>10.299745831068844</v>
      </c>
      <c r="AI63" s="80">
        <f t="shared" si="8"/>
        <v>73.749795753325614</v>
      </c>
      <c r="AJ63" s="80"/>
      <c r="AK63" s="80">
        <f t="shared" si="9"/>
        <v>61.883426416015254</v>
      </c>
      <c r="AL63" s="80"/>
      <c r="AO63" s="1">
        <f t="shared" si="12"/>
        <v>6.0999999999999943</v>
      </c>
      <c r="AP63" s="1">
        <f t="shared" si="18"/>
        <v>19.287739105054456</v>
      </c>
      <c r="AQ63" s="1">
        <f t="shared" si="13"/>
        <v>4.6517176588632818</v>
      </c>
      <c r="AR63" s="1">
        <f t="shared" si="14"/>
        <v>4.4286313495309031</v>
      </c>
      <c r="AS63" s="1">
        <f t="shared" si="15"/>
        <v>8.502562016214652</v>
      </c>
      <c r="AT63" s="63">
        <f>AVERAGE(AS$2:$AS63)</f>
        <v>11.128516676714012</v>
      </c>
      <c r="AU63" s="66"/>
      <c r="AZ63" s="1"/>
      <c r="BB63" s="1"/>
    </row>
    <row r="64" spans="1:54" ht="17" thickBot="1" x14ac:dyDescent="0.25">
      <c r="A64" s="101">
        <f t="shared" si="25"/>
        <v>1000</v>
      </c>
      <c r="B64" s="30">
        <f t="shared" si="19"/>
        <v>13.694290647306772</v>
      </c>
      <c r="C64" s="33">
        <f>SUM(B$54:$B64)</f>
        <v>87.733017329161854</v>
      </c>
      <c r="D64" s="29">
        <f t="shared" si="26"/>
        <v>1000</v>
      </c>
      <c r="E64" s="32">
        <f t="shared" si="20"/>
        <v>12.898887716967302</v>
      </c>
      <c r="F64" s="28">
        <f t="shared" si="21"/>
        <v>-1.5163354829132949</v>
      </c>
      <c r="G64" s="28">
        <f t="shared" si="22"/>
        <v>12.10043065466987</v>
      </c>
      <c r="H64" s="6">
        <f t="shared" si="23"/>
        <v>1.1495682776369838E-2</v>
      </c>
      <c r="I64" s="37">
        <f t="shared" si="27"/>
        <v>1100</v>
      </c>
      <c r="J64" s="128">
        <f>AVERAGE(H$54:$H64)</f>
        <v>7.7272920280433777E-3</v>
      </c>
      <c r="K64" s="13"/>
      <c r="L64" s="13"/>
      <c r="M64" s="31">
        <f t="shared" si="24"/>
        <v>1.1536238933744083E-2</v>
      </c>
      <c r="N64" s="29">
        <f t="shared" si="28"/>
        <v>1100</v>
      </c>
      <c r="O64" s="151">
        <f>AVERAGE(M$54:$M64)</f>
        <v>8.4886157955759E-3</v>
      </c>
      <c r="P64" s="85" t="s">
        <v>110</v>
      </c>
      <c r="Q64" s="159">
        <f>AVERAGE(Z2:Z21)</f>
        <v>14.472000000000003</v>
      </c>
      <c r="R64" s="152">
        <f t="shared" si="16"/>
        <v>10.726000000000001</v>
      </c>
      <c r="S64" s="73">
        <f t="shared" si="2"/>
        <v>9.8393006647639503</v>
      </c>
      <c r="T64" s="78">
        <f t="shared" si="3"/>
        <v>10.726000000000001</v>
      </c>
      <c r="U64" s="78">
        <f t="shared" si="4"/>
        <v>15.151194362107548</v>
      </c>
      <c r="V64" s="84">
        <f t="shared" si="0"/>
        <v>10.726000000000001</v>
      </c>
      <c r="W64" s="9">
        <v>201.68</v>
      </c>
      <c r="X64" s="10">
        <v>12239</v>
      </c>
      <c r="Y64" s="10">
        <v>-53.3</v>
      </c>
      <c r="Z64" s="10">
        <v>-67.11</v>
      </c>
      <c r="AA64" s="10">
        <v>213</v>
      </c>
      <c r="AB64" s="10">
        <v>35.119999999999997</v>
      </c>
      <c r="AC64" s="10">
        <v>75</v>
      </c>
      <c r="AD64" s="125">
        <f t="shared" si="5"/>
        <v>5.9725620146049181</v>
      </c>
      <c r="AE64" s="80">
        <f t="shared" si="17"/>
        <v>6.199999999999994</v>
      </c>
      <c r="AF64" s="81">
        <f t="shared" si="6"/>
        <v>11.953698543513623</v>
      </c>
      <c r="AG64" s="81">
        <f t="shared" si="1"/>
        <v>6.199999999999994</v>
      </c>
      <c r="AH64" s="80">
        <f t="shared" si="7"/>
        <v>10.763158512896865</v>
      </c>
      <c r="AI64" s="80">
        <f t="shared" si="8"/>
        <v>71.394205855027593</v>
      </c>
      <c r="AJ64" s="80"/>
      <c r="AK64" s="80">
        <f t="shared" si="9"/>
        <v>64.283631691299377</v>
      </c>
      <c r="AL64" s="80"/>
      <c r="AO64" s="1">
        <f t="shared" si="12"/>
        <v>6.199999999999994</v>
      </c>
      <c r="AP64" s="1">
        <f t="shared" si="18"/>
        <v>19.372969786555394</v>
      </c>
      <c r="AQ64" s="1">
        <f t="shared" si="13"/>
        <v>4.3306571053933745</v>
      </c>
      <c r="AR64" s="1">
        <f t="shared" si="14"/>
        <v>4.8920440313589246</v>
      </c>
      <c r="AS64" s="1">
        <f t="shared" si="15"/>
        <v>8.8572887020392379</v>
      </c>
      <c r="AT64" s="63">
        <f>AVERAGE(AS$2:$AS64)</f>
        <v>11.092465439020762</v>
      </c>
      <c r="AU64" s="66"/>
      <c r="AZ64" s="1"/>
      <c r="BB64" s="1"/>
    </row>
    <row r="65" spans="1:54" ht="17" thickBot="1" x14ac:dyDescent="0.25">
      <c r="A65" s="101">
        <f t="shared" si="25"/>
        <v>1100</v>
      </c>
      <c r="B65" s="30">
        <f t="shared" si="19"/>
        <v>15.032859962407915</v>
      </c>
      <c r="C65" s="33">
        <f>SUM(B$54:$B65)</f>
        <v>102.76587729156977</v>
      </c>
      <c r="D65" s="29">
        <f t="shared" si="26"/>
        <v>1100</v>
      </c>
      <c r="E65" s="32">
        <f t="shared" si="20"/>
        <v>12.818187834302137</v>
      </c>
      <c r="F65" s="28">
        <f t="shared" si="21"/>
        <v>-1.4213332213868974</v>
      </c>
      <c r="G65" s="28">
        <f t="shared" si="22"/>
        <v>11.930489124985314</v>
      </c>
      <c r="H65" s="6">
        <f t="shared" si="23"/>
        <v>1.2699061055798393E-2</v>
      </c>
      <c r="I65" s="37">
        <f t="shared" si="27"/>
        <v>1200</v>
      </c>
      <c r="J65" s="128">
        <f>AVERAGE(H$54:$H65)</f>
        <v>8.141606113689628E-3</v>
      </c>
      <c r="K65" s="13"/>
      <c r="L65" s="13"/>
      <c r="M65" s="31">
        <f t="shared" si="24"/>
        <v>1.2675125929176341E-2</v>
      </c>
      <c r="N65" s="29">
        <f t="shared" si="28"/>
        <v>1200</v>
      </c>
      <c r="O65" s="151">
        <f>AVERAGE(M$54:$M65)</f>
        <v>8.8374916400426034E-3</v>
      </c>
      <c r="P65" s="85" t="s">
        <v>111</v>
      </c>
      <c r="Q65" s="159">
        <f>AVERAGE(Z2:Z16)</f>
        <v>14.927333333333333</v>
      </c>
      <c r="R65" s="152">
        <f t="shared" si="16"/>
        <v>11.005000000000001</v>
      </c>
      <c r="S65" s="73">
        <f t="shared" si="2"/>
        <v>8.169536371561172</v>
      </c>
      <c r="T65" s="78">
        <f t="shared" si="3"/>
        <v>11.005000000000001</v>
      </c>
      <c r="U65" s="78">
        <f t="shared" si="4"/>
        <v>13.073991141666077</v>
      </c>
      <c r="V65" s="84">
        <f t="shared" si="0"/>
        <v>11.005000000000001</v>
      </c>
      <c r="W65" s="9">
        <v>193.09</v>
      </c>
      <c r="X65" s="10">
        <v>12518</v>
      </c>
      <c r="Y65" s="10">
        <v>-54.95</v>
      </c>
      <c r="Z65" s="10">
        <v>-65.77</v>
      </c>
      <c r="AA65" s="10">
        <v>212</v>
      </c>
      <c r="AB65" s="10">
        <v>29.97</v>
      </c>
      <c r="AC65" s="10">
        <v>74</v>
      </c>
      <c r="AD65" s="125">
        <f t="shared" si="5"/>
        <v>5.9725620146049181</v>
      </c>
      <c r="AE65" s="80">
        <f t="shared" si="17"/>
        <v>6.2999999999999936</v>
      </c>
      <c r="AF65" s="81">
        <f t="shared" si="6"/>
        <v>11.953698543513623</v>
      </c>
      <c r="AG65" s="81">
        <f t="shared" si="1"/>
        <v>6.2999999999999936</v>
      </c>
      <c r="AH65" s="80">
        <f t="shared" si="7"/>
        <v>10.763158512896865</v>
      </c>
      <c r="AI65" s="80">
        <f t="shared" si="8"/>
        <v>71.394205855027593</v>
      </c>
      <c r="AJ65" s="80"/>
      <c r="AK65" s="80">
        <f t="shared" si="9"/>
        <v>64.283631691299377</v>
      </c>
      <c r="AL65" s="80"/>
      <c r="AO65" s="1">
        <f t="shared" si="12"/>
        <v>6.2999999999999936</v>
      </c>
      <c r="AP65" s="1">
        <f t="shared" si="18"/>
        <v>19.372969786555394</v>
      </c>
      <c r="AQ65" s="1">
        <f t="shared" si="13"/>
        <v>4.3306571053933745</v>
      </c>
      <c r="AR65" s="1">
        <f t="shared" si="14"/>
        <v>4.8920440313589246</v>
      </c>
      <c r="AS65" s="1">
        <f t="shared" si="15"/>
        <v>8.8572887020392379</v>
      </c>
      <c r="AT65" s="63">
        <f>AVERAGE(AS$2:$AS65)</f>
        <v>11.057540802505425</v>
      </c>
      <c r="AU65" s="66"/>
      <c r="AZ65" s="1"/>
      <c r="BB65" s="1"/>
    </row>
    <row r="66" spans="1:54" ht="17" thickBot="1" x14ac:dyDescent="0.25">
      <c r="A66" s="101">
        <f t="shared" si="25"/>
        <v>1200</v>
      </c>
      <c r="B66" s="30">
        <f t="shared" si="19"/>
        <v>17.688092966843818</v>
      </c>
      <c r="C66" s="33">
        <f>SUM(B$54:$B66)</f>
        <v>120.45397025841359</v>
      </c>
      <c r="D66" s="29">
        <f t="shared" si="26"/>
        <v>1200</v>
      </c>
      <c r="E66" s="32">
        <f t="shared" si="20"/>
        <v>12.74449306900299</v>
      </c>
      <c r="F66" s="28">
        <f t="shared" si="21"/>
        <v>-1.3148911390651969</v>
      </c>
      <c r="G66" s="28">
        <f t="shared" si="22"/>
        <v>11.860155885413249</v>
      </c>
      <c r="H66" s="6">
        <f t="shared" si="23"/>
        <v>1.5168425549604781E-2</v>
      </c>
      <c r="I66" s="37">
        <f t="shared" si="27"/>
        <v>1300</v>
      </c>
      <c r="J66" s="128">
        <f>AVERAGE(H$54:$H66)</f>
        <v>8.682130685683102E-3</v>
      </c>
      <c r="K66" s="13"/>
      <c r="L66" s="13"/>
      <c r="M66" s="31">
        <f t="shared" si="24"/>
        <v>1.5143440594748486E-2</v>
      </c>
      <c r="N66" s="29">
        <f t="shared" si="28"/>
        <v>1300</v>
      </c>
      <c r="O66" s="151">
        <f>AVERAGE(M$54:$M66)</f>
        <v>9.3225646365584398E-3</v>
      </c>
      <c r="P66" s="85" t="s">
        <v>112</v>
      </c>
      <c r="Q66" s="159">
        <f>AVERAGE(Z2:Z8)</f>
        <v>15.608571428571429</v>
      </c>
      <c r="R66" s="152">
        <f t="shared" si="16"/>
        <v>11.285</v>
      </c>
      <c r="S66" s="73">
        <f t="shared" si="2"/>
        <v>6.1146830724336194</v>
      </c>
      <c r="T66" s="78">
        <f t="shared" si="3"/>
        <v>11.285</v>
      </c>
      <c r="U66" s="78">
        <f t="shared" si="4"/>
        <v>11.500046281531123</v>
      </c>
      <c r="V66" s="84">
        <f t="shared" ref="V66:V94" si="29">T66</f>
        <v>11.285</v>
      </c>
      <c r="W66" s="9">
        <v>184.76</v>
      </c>
      <c r="X66" s="10">
        <v>12798</v>
      </c>
      <c r="Y66" s="10">
        <v>-56.67</v>
      </c>
      <c r="Z66" s="10">
        <v>-65.88</v>
      </c>
      <c r="AA66" s="10">
        <v>208</v>
      </c>
      <c r="AB66" s="10">
        <v>25.32</v>
      </c>
      <c r="AC66" s="10">
        <v>73</v>
      </c>
      <c r="AD66" s="125">
        <f t="shared" si="5"/>
        <v>5.9365594749386492</v>
      </c>
      <c r="AE66" s="80">
        <f t="shared" si="17"/>
        <v>6.3999999999999932</v>
      </c>
      <c r="AF66" s="81">
        <f t="shared" si="6"/>
        <v>11.685031168146715</v>
      </c>
      <c r="AG66" s="81">
        <f t="shared" ref="AG66:AG129" si="30">AE66</f>
        <v>6.3999999999999932</v>
      </c>
      <c r="AH66" s="80">
        <f t="shared" si="7"/>
        <v>10.896467846285594</v>
      </c>
      <c r="AI66" s="80">
        <f t="shared" si="8"/>
        <v>69.368882496214809</v>
      </c>
      <c r="AJ66" s="80"/>
      <c r="AK66" s="80">
        <f t="shared" si="9"/>
        <v>64.687529436231074</v>
      </c>
      <c r="AL66" s="80"/>
      <c r="AO66" s="1">
        <f t="shared" si="12"/>
        <v>6.3999999999999932</v>
      </c>
      <c r="AP66" s="1">
        <f t="shared" si="18"/>
        <v>19.275548959951458</v>
      </c>
      <c r="AQ66" s="1">
        <f t="shared" si="13"/>
        <v>4.0619897300264665</v>
      </c>
      <c r="AR66" s="1">
        <f t="shared" si="14"/>
        <v>5.0253533647476534</v>
      </c>
      <c r="AS66" s="1">
        <f t="shared" si="15"/>
        <v>8.9220716667632036</v>
      </c>
      <c r="AT66" s="63">
        <f>AVERAGE(AS$2:$AS66)</f>
        <v>11.024687431186315</v>
      </c>
      <c r="AU66" s="66"/>
      <c r="AZ66" s="1"/>
      <c r="BB66" s="1"/>
    </row>
    <row r="67" spans="1:54" ht="17" thickBot="1" x14ac:dyDescent="0.25">
      <c r="A67" s="101">
        <f t="shared" si="25"/>
        <v>1300</v>
      </c>
      <c r="B67" s="30">
        <f t="shared" si="19"/>
        <v>18.398033694001732</v>
      </c>
      <c r="C67" s="33">
        <f>SUM(B$54:$B67)</f>
        <v>138.85200395241532</v>
      </c>
      <c r="D67" s="29">
        <f t="shared" si="26"/>
        <v>1300</v>
      </c>
      <c r="E67" s="32">
        <f t="shared" si="20"/>
        <v>12.669384794580688</v>
      </c>
      <c r="F67" s="28">
        <f t="shared" si="21"/>
        <v>-1.1869971577705636</v>
      </c>
      <c r="G67" s="28">
        <f t="shared" si="22"/>
        <v>11.692977227090759</v>
      </c>
      <c r="H67" s="6">
        <f t="shared" si="23"/>
        <v>1.5861565043612923E-2</v>
      </c>
      <c r="I67" s="37">
        <f t="shared" si="27"/>
        <v>1400</v>
      </c>
      <c r="J67" s="128">
        <f>AVERAGE(H$54:$H67)</f>
        <v>9.1949474255352305E-3</v>
      </c>
      <c r="K67" s="13"/>
      <c r="L67" s="13"/>
      <c r="M67" s="31">
        <f t="shared" si="24"/>
        <v>1.5820622444974123E-2</v>
      </c>
      <c r="N67" s="29">
        <f t="shared" si="28"/>
        <v>1400</v>
      </c>
      <c r="O67" s="151">
        <f>AVERAGE(M$54:$M67)</f>
        <v>9.786711622873848E-3</v>
      </c>
      <c r="P67" s="86" t="s">
        <v>113</v>
      </c>
      <c r="Q67" s="160">
        <f>AVERAGE(Q63,Q64,Q65,Q66)</f>
        <v>14.687976190476194</v>
      </c>
      <c r="R67" s="152">
        <f t="shared" si="16"/>
        <v>11.567</v>
      </c>
      <c r="S67" s="73">
        <f t="shared" ref="S67:S94" si="31">SIN((360-AA67)*PI()/180)*AB67*0.5144</f>
        <v>5.770593339861426</v>
      </c>
      <c r="T67" s="78">
        <f t="shared" ref="T67:T94" si="32">R67</f>
        <v>11.567</v>
      </c>
      <c r="U67" s="78">
        <f t="shared" ref="U67:U94" si="33">(COS((180-AA67)*PI()/180)*AB67*0.5144)</f>
        <v>11.325427111810088</v>
      </c>
      <c r="V67" s="84">
        <f t="shared" si="29"/>
        <v>11.567</v>
      </c>
      <c r="W67" s="9">
        <v>176.68</v>
      </c>
      <c r="X67" s="10">
        <v>13080</v>
      </c>
      <c r="Y67" s="10">
        <v>-58.38</v>
      </c>
      <c r="Z67" s="10">
        <v>-67.2</v>
      </c>
      <c r="AA67" s="10">
        <v>207</v>
      </c>
      <c r="AB67" s="10">
        <v>24.71</v>
      </c>
      <c r="AC67" s="10">
        <v>72</v>
      </c>
      <c r="AD67" s="125">
        <f t="shared" ref="AD67:AD130" si="34">LN(VLOOKUP(AE67,$V$2:$W$94,2))</f>
        <v>5.9365594749386492</v>
      </c>
      <c r="AE67" s="80">
        <f t="shared" si="17"/>
        <v>6.4999999999999929</v>
      </c>
      <c r="AF67" s="81">
        <f t="shared" ref="AF67:AF130" si="35">VLOOKUP(AE67,$R$2:$S$94,2)</f>
        <v>11.685031168146715</v>
      </c>
      <c r="AG67" s="81">
        <f t="shared" si="30"/>
        <v>6.4999999999999929</v>
      </c>
      <c r="AH67" s="80">
        <f t="shared" ref="AH67:AH130" si="36">VLOOKUP(AE67,$T$2:$U$94,2)</f>
        <v>10.896467846285594</v>
      </c>
      <c r="AI67" s="80">
        <f t="shared" ref="AI67:AI102" si="37">AF67*AD67</f>
        <v>69.368882496214809</v>
      </c>
      <c r="AJ67" s="80"/>
      <c r="AK67" s="80">
        <f t="shared" ref="AK67:AK102" si="38">AH67*AD67</f>
        <v>64.687529436231074</v>
      </c>
      <c r="AL67" s="80"/>
      <c r="AO67" s="1">
        <f t="shared" ref="AO67:AO130" si="39">AE67</f>
        <v>6.4999999999999929</v>
      </c>
      <c r="AP67" s="1">
        <f t="shared" si="18"/>
        <v>19.275548959951458</v>
      </c>
      <c r="AQ67" s="1">
        <f t="shared" ref="AQ67:AQ102" si="40">AF67-(AVERAGE($AF$2:$AF$102)*COS($Q$4))</f>
        <v>4.0619897300264665</v>
      </c>
      <c r="AR67" s="1">
        <f t="shared" ref="AR67:AR102" si="41">AH67-(AVERAGE($AH$2:$AH$102)*SIN($Q$4))</f>
        <v>5.0253533647476534</v>
      </c>
      <c r="AS67" s="1">
        <f t="shared" ref="AS67:AS102" si="42">SQRT((AF67-$Q$24)^2+(AH67-$Q$25)^2)</f>
        <v>8.9220716667632036</v>
      </c>
      <c r="AT67" s="63">
        <f>AVERAGE(AS$2:$AS67)</f>
        <v>10.992829616573845</v>
      </c>
      <c r="AU67" s="66"/>
      <c r="AZ67" s="1"/>
      <c r="BB67" s="1"/>
    </row>
    <row r="68" spans="1:54" ht="17" thickBot="1" x14ac:dyDescent="0.25">
      <c r="A68" s="101">
        <f t="shared" si="25"/>
        <v>1400</v>
      </c>
      <c r="B68" s="30">
        <f t="shared" si="19"/>
        <v>0</v>
      </c>
      <c r="C68" s="33">
        <f>SUM(B$54:$B68)</f>
        <v>138.85200395241532</v>
      </c>
      <c r="D68" s="29">
        <f t="shared" si="26"/>
        <v>1400</v>
      </c>
      <c r="E68" s="32">
        <f t="shared" si="20"/>
        <v>12.600411009024596</v>
      </c>
      <c r="F68" s="28">
        <f t="shared" si="21"/>
        <v>-1.0513468034120157</v>
      </c>
      <c r="G68" s="28">
        <f t="shared" si="22"/>
        <v>11.634778011239307</v>
      </c>
      <c r="H68" s="6">
        <f t="shared" si="23"/>
        <v>0</v>
      </c>
      <c r="I68" s="37">
        <f t="shared" si="27"/>
        <v>1500</v>
      </c>
      <c r="J68" s="128">
        <f>AVERAGE(H$54:$H68)</f>
        <v>8.5819509304995486E-3</v>
      </c>
      <c r="K68" s="13"/>
      <c r="L68" s="13"/>
      <c r="M68" s="31">
        <f t="shared" si="24"/>
        <v>0</v>
      </c>
      <c r="N68" s="29">
        <f t="shared" si="28"/>
        <v>1500</v>
      </c>
      <c r="O68" s="6">
        <f>AVERAGE(M$54:$M68)</f>
        <v>9.1342641813489233E-3</v>
      </c>
      <c r="P68" s="13"/>
      <c r="Q68" s="11"/>
      <c r="R68" s="117">
        <f t="shared" ref="R68:R94" si="43">(X68-$X$2)/1000</f>
        <v>11.852</v>
      </c>
      <c r="S68" s="73">
        <f t="shared" si="31"/>
        <v>6.9902915043916849</v>
      </c>
      <c r="T68" s="78">
        <f t="shared" si="32"/>
        <v>11.852</v>
      </c>
      <c r="U68" s="78">
        <f t="shared" si="33"/>
        <v>12.61081969719072</v>
      </c>
      <c r="V68" s="84">
        <f t="shared" si="29"/>
        <v>11.852</v>
      </c>
      <c r="W68" s="9">
        <v>168.85</v>
      </c>
      <c r="X68" s="10">
        <v>13365</v>
      </c>
      <c r="Y68" s="10">
        <v>-59.56</v>
      </c>
      <c r="Z68" s="10">
        <v>-69.63</v>
      </c>
      <c r="AA68" s="10">
        <v>209</v>
      </c>
      <c r="AB68" s="10">
        <v>28.03</v>
      </c>
      <c r="AC68" s="10">
        <v>71</v>
      </c>
      <c r="AD68" s="125">
        <f t="shared" si="34"/>
        <v>5.9365594749386492</v>
      </c>
      <c r="AE68" s="80">
        <f t="shared" ref="AE68:AE131" si="44">AE67+0.1</f>
        <v>6.5999999999999925</v>
      </c>
      <c r="AF68" s="81">
        <f t="shared" si="35"/>
        <v>11.685031168146715</v>
      </c>
      <c r="AG68" s="81">
        <f t="shared" si="30"/>
        <v>6.5999999999999925</v>
      </c>
      <c r="AH68" s="80">
        <f t="shared" si="36"/>
        <v>10.896467846285594</v>
      </c>
      <c r="AI68" s="80">
        <f t="shared" si="37"/>
        <v>69.368882496214809</v>
      </c>
      <c r="AJ68" s="80"/>
      <c r="AK68" s="80">
        <f t="shared" si="38"/>
        <v>64.687529436231074</v>
      </c>
      <c r="AL68" s="80"/>
      <c r="AO68" s="1">
        <f t="shared" si="39"/>
        <v>6.5999999999999925</v>
      </c>
      <c r="AP68" s="1">
        <f t="shared" ref="AP68:AP102" si="45">SQRT((AF68-$AF$2)^2+(AH68-$AH$2)^2)</f>
        <v>19.275548959951458</v>
      </c>
      <c r="AQ68" s="1">
        <f t="shared" si="40"/>
        <v>4.0619897300264665</v>
      </c>
      <c r="AR68" s="1">
        <f t="shared" si="41"/>
        <v>5.0253533647476534</v>
      </c>
      <c r="AS68" s="1">
        <f t="shared" si="42"/>
        <v>8.9220716667632036</v>
      </c>
      <c r="AT68" s="63">
        <f>AVERAGE(AS$2:$AS68)</f>
        <v>10.961922781502045</v>
      </c>
      <c r="AU68" s="66"/>
      <c r="AZ68" s="1"/>
      <c r="BB68" s="1"/>
    </row>
    <row r="69" spans="1:54" ht="17" thickBot="1" x14ac:dyDescent="0.25">
      <c r="A69" s="101">
        <f t="shared" si="25"/>
        <v>1500</v>
      </c>
      <c r="B69" s="30">
        <f t="shared" si="19"/>
        <v>20.908871719967543</v>
      </c>
      <c r="C69" s="33">
        <f>SUM(B$54:$B69)</f>
        <v>159.76087567238287</v>
      </c>
      <c r="D69" s="29">
        <f t="shared" si="26"/>
        <v>1500</v>
      </c>
      <c r="E69" s="32">
        <f t="shared" si="20"/>
        <v>12.540058946663017</v>
      </c>
      <c r="F69" s="28">
        <f t="shared" si="21"/>
        <v>-1.0513468034120157</v>
      </c>
      <c r="G69" s="28">
        <f t="shared" si="22"/>
        <v>11.634778011239307</v>
      </c>
      <c r="H69" s="6">
        <f t="shared" si="23"/>
        <v>1.8158420140639505E-2</v>
      </c>
      <c r="I69" s="37">
        <f t="shared" si="27"/>
        <v>1600</v>
      </c>
      <c r="J69" s="128">
        <f>AVERAGE(H$54:$H69)</f>
        <v>9.1804802561332964E-3</v>
      </c>
      <c r="K69" s="13"/>
      <c r="L69" s="13"/>
      <c r="M69" s="31">
        <f t="shared" si="24"/>
        <v>1.8097651929622368E-2</v>
      </c>
      <c r="N69" s="29">
        <f t="shared" si="28"/>
        <v>1600</v>
      </c>
      <c r="O69" s="6">
        <f>AVERAGE(M$54:$M69)</f>
        <v>9.6944759156160146E-3</v>
      </c>
      <c r="P69" s="13"/>
      <c r="Q69" s="11"/>
      <c r="R69" s="117">
        <f t="shared" si="43"/>
        <v>12.138</v>
      </c>
      <c r="S69" s="73">
        <f t="shared" si="31"/>
        <v>9.0464413002627566</v>
      </c>
      <c r="T69" s="78">
        <f t="shared" si="32"/>
        <v>12.138</v>
      </c>
      <c r="U69" s="78">
        <f t="shared" si="33"/>
        <v>13.930298005479862</v>
      </c>
      <c r="V69" s="84">
        <f t="shared" si="29"/>
        <v>12.138</v>
      </c>
      <c r="W69" s="9">
        <v>161.27000000000001</v>
      </c>
      <c r="X69" s="10">
        <v>13651</v>
      </c>
      <c r="Y69" s="10">
        <v>-60.85</v>
      </c>
      <c r="Z69" s="10">
        <v>-72.73</v>
      </c>
      <c r="AA69" s="10">
        <v>213</v>
      </c>
      <c r="AB69" s="10">
        <v>32.29</v>
      </c>
      <c r="AC69" s="10">
        <v>70</v>
      </c>
      <c r="AD69" s="125">
        <f t="shared" si="34"/>
        <v>5.900226066673711</v>
      </c>
      <c r="AE69" s="80">
        <f t="shared" si="44"/>
        <v>6.6999999999999922</v>
      </c>
      <c r="AF69" s="81">
        <f t="shared" si="35"/>
        <v>11.290357004642857</v>
      </c>
      <c r="AG69" s="81">
        <f t="shared" si="30"/>
        <v>6.6999999999999922</v>
      </c>
      <c r="AH69" s="80">
        <f t="shared" si="36"/>
        <v>11.290357004642857</v>
      </c>
      <c r="AI69" s="80">
        <f t="shared" si="37"/>
        <v>66.615658700845898</v>
      </c>
      <c r="AJ69" s="80"/>
      <c r="AK69" s="80">
        <f t="shared" si="38"/>
        <v>66.615658700845898</v>
      </c>
      <c r="AL69" s="80"/>
      <c r="AO69" s="1">
        <f t="shared" si="39"/>
        <v>6.6999999999999922</v>
      </c>
      <c r="AP69" s="1">
        <f t="shared" si="45"/>
        <v>19.283800349686491</v>
      </c>
      <c r="AQ69" s="1">
        <f t="shared" si="40"/>
        <v>3.6673155665226087</v>
      </c>
      <c r="AR69" s="1">
        <f t="shared" si="41"/>
        <v>5.4192425231049164</v>
      </c>
      <c r="AS69" s="1">
        <f t="shared" si="42"/>
        <v>9.2294290414576494</v>
      </c>
      <c r="AT69" s="63">
        <f>AVERAGE(AS$2:$AS69)</f>
        <v>10.936444932383745</v>
      </c>
      <c r="AU69" s="66"/>
      <c r="AZ69" s="1"/>
      <c r="BB69" s="1"/>
    </row>
    <row r="70" spans="1:54" ht="17" thickBot="1" x14ac:dyDescent="0.25">
      <c r="A70" s="101">
        <f t="shared" si="25"/>
        <v>1600</v>
      </c>
      <c r="B70" s="30">
        <f t="shared" si="19"/>
        <v>23.816896858425601</v>
      </c>
      <c r="C70" s="33">
        <f>SUM(B$54:$B70)</f>
        <v>183.57777253080846</v>
      </c>
      <c r="D70" s="29">
        <f t="shared" si="26"/>
        <v>1600</v>
      </c>
      <c r="E70" s="32">
        <f t="shared" si="20"/>
        <v>12.482501152933153</v>
      </c>
      <c r="F70" s="28">
        <f t="shared" si="21"/>
        <v>-0.89527661347716436</v>
      </c>
      <c r="G70" s="28">
        <f t="shared" si="22"/>
        <v>11.561576453255327</v>
      </c>
      <c r="H70" s="6">
        <f t="shared" si="23"/>
        <v>2.0772641969777333E-2</v>
      </c>
      <c r="I70" s="37">
        <f t="shared" si="27"/>
        <v>1700</v>
      </c>
      <c r="J70" s="128">
        <f>AVERAGE(H$54:$H70)</f>
        <v>9.862372121641769E-3</v>
      </c>
      <c r="K70" s="13"/>
      <c r="L70" s="13"/>
      <c r="M70" s="31">
        <f t="shared" si="24"/>
        <v>2.0716871560004617E-2</v>
      </c>
      <c r="N70" s="29">
        <f t="shared" si="28"/>
        <v>1700</v>
      </c>
      <c r="O70" s="6">
        <f>AVERAGE(M$54:$M70)</f>
        <v>1.0342852129991816E-2</v>
      </c>
      <c r="P70" s="13"/>
      <c r="Q70" s="11"/>
      <c r="R70" s="117">
        <f t="shared" si="43"/>
        <v>12.427</v>
      </c>
      <c r="S70" s="73">
        <f t="shared" si="31"/>
        <v>11.70903953917384</v>
      </c>
      <c r="T70" s="78">
        <f t="shared" si="32"/>
        <v>12.427</v>
      </c>
      <c r="U70" s="78">
        <f t="shared" si="33"/>
        <v>14.459459632682259</v>
      </c>
      <c r="V70" s="84">
        <f t="shared" si="29"/>
        <v>12.427</v>
      </c>
      <c r="W70" s="9">
        <v>153.91999999999999</v>
      </c>
      <c r="X70" s="10">
        <v>13940</v>
      </c>
      <c r="Y70" s="10">
        <v>-61.95</v>
      </c>
      <c r="Z70" s="10">
        <v>-74.92</v>
      </c>
      <c r="AA70" s="10">
        <v>219</v>
      </c>
      <c r="AB70" s="10">
        <v>36.17</v>
      </c>
      <c r="AC70" s="10">
        <v>69</v>
      </c>
      <c r="AD70" s="125">
        <f t="shared" si="34"/>
        <v>5.900226066673711</v>
      </c>
      <c r="AE70" s="80">
        <f t="shared" si="44"/>
        <v>6.7999999999999918</v>
      </c>
      <c r="AF70" s="81">
        <f t="shared" si="35"/>
        <v>11.290357004642857</v>
      </c>
      <c r="AG70" s="81">
        <f t="shared" si="30"/>
        <v>6.7999999999999918</v>
      </c>
      <c r="AH70" s="80">
        <f t="shared" si="36"/>
        <v>11.290357004642857</v>
      </c>
      <c r="AI70" s="80">
        <f t="shared" si="37"/>
        <v>66.615658700845898</v>
      </c>
      <c r="AJ70" s="80"/>
      <c r="AK70" s="80">
        <f t="shared" si="38"/>
        <v>66.615658700845898</v>
      </c>
      <c r="AL70" s="80"/>
      <c r="AO70" s="1">
        <f t="shared" si="39"/>
        <v>6.7999999999999918</v>
      </c>
      <c r="AP70" s="1">
        <f t="shared" si="45"/>
        <v>19.283800349686491</v>
      </c>
      <c r="AQ70" s="1">
        <f t="shared" si="40"/>
        <v>3.6673155665226087</v>
      </c>
      <c r="AR70" s="1">
        <f t="shared" si="41"/>
        <v>5.4192425231049164</v>
      </c>
      <c r="AS70" s="1">
        <f t="shared" si="42"/>
        <v>9.2294290414576494</v>
      </c>
      <c r="AT70" s="63">
        <f>AVERAGE(AS$2:$AS70)</f>
        <v>10.911705571645687</v>
      </c>
      <c r="AU70" s="66"/>
      <c r="AZ70" s="1"/>
      <c r="BB70" s="1"/>
    </row>
    <row r="71" spans="1:54" ht="17" thickBot="1" x14ac:dyDescent="0.25">
      <c r="A71" s="101">
        <f t="shared" si="25"/>
        <v>1700</v>
      </c>
      <c r="B71" s="30">
        <f t="shared" si="19"/>
        <v>0</v>
      </c>
      <c r="C71" s="33">
        <f>SUM(B$54:$B71)</f>
        <v>183.57777253080846</v>
      </c>
      <c r="D71" s="29">
        <f t="shared" si="26"/>
        <v>1700</v>
      </c>
      <c r="E71" s="32">
        <f t="shared" si="20"/>
        <v>12.429441726080135</v>
      </c>
      <c r="F71" s="28">
        <f t="shared" si="21"/>
        <v>-0.71560698058788397</v>
      </c>
      <c r="G71" s="28">
        <f t="shared" si="22"/>
        <v>11.527431469578843</v>
      </c>
      <c r="H71" s="6">
        <f t="shared" si="23"/>
        <v>0</v>
      </c>
      <c r="I71" s="37">
        <f t="shared" si="27"/>
        <v>1800</v>
      </c>
      <c r="J71" s="128">
        <f>AVERAGE(H$54:$H71)</f>
        <v>9.3144625593283362E-3</v>
      </c>
      <c r="K71" s="13"/>
      <c r="L71" s="13"/>
      <c r="M71" s="31">
        <f t="shared" si="24"/>
        <v>0</v>
      </c>
      <c r="N71" s="29">
        <f t="shared" si="28"/>
        <v>1800</v>
      </c>
      <c r="O71" s="6">
        <f>AVERAGE(M$54:$M71)</f>
        <v>9.7682492338811589E-3</v>
      </c>
      <c r="P71" s="13"/>
      <c r="Q71" s="11"/>
      <c r="R71" s="117">
        <f t="shared" si="43"/>
        <v>12.718</v>
      </c>
      <c r="S71" s="73">
        <f t="shared" si="31"/>
        <v>14.651275133602264</v>
      </c>
      <c r="T71" s="78">
        <f t="shared" si="32"/>
        <v>12.718</v>
      </c>
      <c r="U71" s="78">
        <f t="shared" si="33"/>
        <v>14.651275133602264</v>
      </c>
      <c r="V71" s="84">
        <f t="shared" si="29"/>
        <v>12.718</v>
      </c>
      <c r="W71" s="9">
        <v>146.82</v>
      </c>
      <c r="X71" s="10">
        <v>14231</v>
      </c>
      <c r="Y71" s="10">
        <v>-63</v>
      </c>
      <c r="Z71" s="10">
        <v>-76.19</v>
      </c>
      <c r="AA71" s="10">
        <v>225</v>
      </c>
      <c r="AB71" s="10">
        <v>40.28</v>
      </c>
      <c r="AC71" s="10">
        <v>68</v>
      </c>
      <c r="AD71" s="125">
        <f t="shared" si="34"/>
        <v>5.900226066673711</v>
      </c>
      <c r="AE71" s="80">
        <f t="shared" si="44"/>
        <v>6.8999999999999915</v>
      </c>
      <c r="AF71" s="81">
        <f t="shared" si="35"/>
        <v>11.290357004642857</v>
      </c>
      <c r="AG71" s="81">
        <f t="shared" si="30"/>
        <v>6.8999999999999915</v>
      </c>
      <c r="AH71" s="80">
        <f t="shared" si="36"/>
        <v>11.290357004642857</v>
      </c>
      <c r="AI71" s="80">
        <f t="shared" si="37"/>
        <v>66.615658700845898</v>
      </c>
      <c r="AJ71" s="80"/>
      <c r="AK71" s="80">
        <f t="shared" si="38"/>
        <v>66.615658700845898</v>
      </c>
      <c r="AL71" s="80"/>
      <c r="AO71" s="1">
        <f t="shared" si="39"/>
        <v>6.8999999999999915</v>
      </c>
      <c r="AP71" s="1">
        <f t="shared" si="45"/>
        <v>19.283800349686491</v>
      </c>
      <c r="AQ71" s="1">
        <f t="shared" si="40"/>
        <v>3.6673155665226087</v>
      </c>
      <c r="AR71" s="1">
        <f t="shared" si="41"/>
        <v>5.4192425231049164</v>
      </c>
      <c r="AS71" s="1">
        <f t="shared" si="42"/>
        <v>9.2294290414576494</v>
      </c>
      <c r="AT71" s="63">
        <f>AVERAGE(AS$2:$AS71)</f>
        <v>10.887673049785858</v>
      </c>
      <c r="AU71" s="66"/>
      <c r="AZ71" s="1"/>
      <c r="BB71" s="1"/>
    </row>
    <row r="72" spans="1:54" ht="17" thickBot="1" x14ac:dyDescent="0.25">
      <c r="A72" s="101">
        <f t="shared" si="25"/>
        <v>1800</v>
      </c>
      <c r="B72" s="30">
        <f t="shared" si="19"/>
        <v>24.683058250662064</v>
      </c>
      <c r="C72" s="33">
        <f>SUM(B$54:$B72)</f>
        <v>208.26083078147053</v>
      </c>
      <c r="D72" s="29">
        <f t="shared" si="26"/>
        <v>1800</v>
      </c>
      <c r="E72" s="32">
        <f t="shared" si="20"/>
        <v>12.381967502053753</v>
      </c>
      <c r="F72" s="28">
        <f t="shared" si="21"/>
        <v>-0.71560698058788397</v>
      </c>
      <c r="G72" s="28">
        <f t="shared" si="22"/>
        <v>11.527431469578843</v>
      </c>
      <c r="H72" s="6">
        <f t="shared" si="23"/>
        <v>2.1226849051645437E-2</v>
      </c>
      <c r="I72" s="37">
        <f t="shared" si="27"/>
        <v>1900</v>
      </c>
      <c r="J72" s="128">
        <f>AVERAGE(H$54:$H72)</f>
        <v>9.9414302694502896E-3</v>
      </c>
      <c r="K72" s="13"/>
      <c r="L72" s="13"/>
      <c r="M72" s="31">
        <f t="shared" si="24"/>
        <v>2.1414687380414257E-2</v>
      </c>
      <c r="N72" s="29">
        <f t="shared" si="28"/>
        <v>1900</v>
      </c>
      <c r="O72" s="6">
        <f>AVERAGE(M$54:$M72)</f>
        <v>1.0381219662646058E-2</v>
      </c>
      <c r="P72" s="13"/>
      <c r="Q72" s="11"/>
      <c r="R72" s="117">
        <f t="shared" si="43"/>
        <v>13.013</v>
      </c>
      <c r="S72" s="73">
        <f t="shared" si="31"/>
        <v>17.606299725625171</v>
      </c>
      <c r="T72" s="78">
        <f t="shared" si="32"/>
        <v>13.013</v>
      </c>
      <c r="U72" s="78">
        <f t="shared" si="33"/>
        <v>14.773439606168729</v>
      </c>
      <c r="V72" s="84">
        <f t="shared" si="29"/>
        <v>13.013</v>
      </c>
      <c r="W72" s="9">
        <v>139.96</v>
      </c>
      <c r="X72" s="10">
        <v>14526</v>
      </c>
      <c r="Y72" s="10">
        <v>-63.3</v>
      </c>
      <c r="Z72" s="10">
        <v>-76.97</v>
      </c>
      <c r="AA72" s="10">
        <v>230</v>
      </c>
      <c r="AB72" s="10">
        <v>44.68</v>
      </c>
      <c r="AC72" s="10">
        <v>67</v>
      </c>
      <c r="AD72" s="125">
        <f t="shared" si="34"/>
        <v>5.8635459446933194</v>
      </c>
      <c r="AE72" s="80">
        <f t="shared" si="44"/>
        <v>6.9999999999999911</v>
      </c>
      <c r="AF72" s="81">
        <f t="shared" si="35"/>
        <v>11.054336826672865</v>
      </c>
      <c r="AG72" s="81">
        <f t="shared" si="30"/>
        <v>6.9999999999999911</v>
      </c>
      <c r="AH72" s="80">
        <f t="shared" si="36"/>
        <v>11.85432492299752</v>
      </c>
      <c r="AI72" s="80">
        <f t="shared" si="37"/>
        <v>64.817611871311698</v>
      </c>
      <c r="AJ72" s="80"/>
      <c r="AK72" s="80">
        <f t="shared" si="38"/>
        <v>69.508378829319057</v>
      </c>
      <c r="AL72" s="80"/>
      <c r="AO72" s="1">
        <f t="shared" si="39"/>
        <v>6.9999999999999911</v>
      </c>
      <c r="AP72" s="1">
        <f t="shared" si="45"/>
        <v>19.540678958668355</v>
      </c>
      <c r="AQ72" s="1">
        <f t="shared" si="40"/>
        <v>3.4312953885526163</v>
      </c>
      <c r="AR72" s="1">
        <f t="shared" si="41"/>
        <v>5.9832104414595797</v>
      </c>
      <c r="AS72" s="1">
        <f t="shared" si="42"/>
        <v>9.7492468561344552</v>
      </c>
      <c r="AT72" s="63">
        <f>AVERAGE(AS$2:$AS72)</f>
        <v>10.871638878044291</v>
      </c>
      <c r="AU72" s="66"/>
      <c r="AZ72" s="1"/>
      <c r="BB72" s="1"/>
    </row>
    <row r="73" spans="1:54" ht="17" thickBot="1" x14ac:dyDescent="0.25">
      <c r="A73" s="101">
        <f t="shared" si="25"/>
        <v>1900</v>
      </c>
      <c r="B73" s="30">
        <f t="shared" si="19"/>
        <v>26.538355896143152</v>
      </c>
      <c r="C73" s="33">
        <f>SUM(B$54:$B73)</f>
        <v>234.79918667761368</v>
      </c>
      <c r="D73" s="29">
        <f t="shared" si="26"/>
        <v>1900</v>
      </c>
      <c r="E73" s="32">
        <f t="shared" si="20"/>
        <v>12.347579212959454</v>
      </c>
      <c r="F73" s="28">
        <f t="shared" si="21"/>
        <v>-0.53146492684708679</v>
      </c>
      <c r="G73" s="28">
        <f t="shared" si="22"/>
        <v>11.694201720167761</v>
      </c>
      <c r="H73" s="6">
        <f t="shared" si="23"/>
        <v>2.2394500817571269E-2</v>
      </c>
      <c r="I73" s="37">
        <f t="shared" si="27"/>
        <v>2000</v>
      </c>
      <c r="J73" s="128">
        <f>AVERAGE(H$54:$H73)</f>
        <v>1.0564083796856338E-2</v>
      </c>
      <c r="K73" s="13"/>
      <c r="L73" s="13"/>
      <c r="M73" s="31">
        <f t="shared" si="24"/>
        <v>2.2693867137026768E-2</v>
      </c>
      <c r="N73" s="29">
        <f t="shared" si="28"/>
        <v>2000</v>
      </c>
      <c r="O73" s="6">
        <f>AVERAGE(M$54:$M73)</f>
        <v>1.0996852036365093E-2</v>
      </c>
      <c r="P73" s="13"/>
      <c r="Q73" s="11"/>
      <c r="R73" s="117">
        <f t="shared" si="43"/>
        <v>13.311</v>
      </c>
      <c r="S73" s="73">
        <f t="shared" si="31"/>
        <v>20.021377829120414</v>
      </c>
      <c r="T73" s="78">
        <f t="shared" si="32"/>
        <v>13.311</v>
      </c>
      <c r="U73" s="78">
        <f t="shared" si="33"/>
        <v>14.546382462119629</v>
      </c>
      <c r="V73" s="84">
        <f t="shared" si="29"/>
        <v>13.311</v>
      </c>
      <c r="W73" s="9">
        <v>133.33000000000001</v>
      </c>
      <c r="X73" s="10">
        <v>14824</v>
      </c>
      <c r="Y73" s="10">
        <v>-63.17</v>
      </c>
      <c r="Z73" s="10">
        <v>-78.010000000000005</v>
      </c>
      <c r="AA73" s="10">
        <v>234</v>
      </c>
      <c r="AB73" s="10">
        <v>48.11</v>
      </c>
      <c r="AC73" s="10">
        <v>66</v>
      </c>
      <c r="AD73" s="125">
        <f t="shared" si="34"/>
        <v>5.8635459446933194</v>
      </c>
      <c r="AE73" s="80">
        <f t="shared" si="44"/>
        <v>7.0999999999999908</v>
      </c>
      <c r="AF73" s="81">
        <f t="shared" si="35"/>
        <v>11.054336826672865</v>
      </c>
      <c r="AG73" s="81">
        <f t="shared" si="30"/>
        <v>7.0999999999999908</v>
      </c>
      <c r="AH73" s="80">
        <f t="shared" si="36"/>
        <v>11.85432492299752</v>
      </c>
      <c r="AI73" s="80">
        <f t="shared" si="37"/>
        <v>64.817611871311698</v>
      </c>
      <c r="AJ73" s="80"/>
      <c r="AK73" s="80">
        <f t="shared" si="38"/>
        <v>69.508378829319057</v>
      </c>
      <c r="AL73" s="80"/>
      <c r="AO73" s="1">
        <f t="shared" si="39"/>
        <v>7.0999999999999908</v>
      </c>
      <c r="AP73" s="1">
        <f t="shared" si="45"/>
        <v>19.540678958668355</v>
      </c>
      <c r="AQ73" s="1">
        <f t="shared" si="40"/>
        <v>3.4312953885526163</v>
      </c>
      <c r="AR73" s="1">
        <f t="shared" si="41"/>
        <v>5.9832104414595797</v>
      </c>
      <c r="AS73" s="1">
        <f t="shared" si="42"/>
        <v>9.7492468561344552</v>
      </c>
      <c r="AT73" s="63">
        <f>AVERAGE(AS$2:$AS73)</f>
        <v>10.856050099962211</v>
      </c>
      <c r="AU73" s="66"/>
      <c r="AZ73" s="1"/>
      <c r="BB73" s="1"/>
    </row>
    <row r="74" spans="1:54" ht="17" thickBot="1" x14ac:dyDescent="0.25">
      <c r="A74" s="101">
        <f t="shared" si="25"/>
        <v>2000</v>
      </c>
      <c r="B74" s="30">
        <f t="shared" si="19"/>
        <v>0</v>
      </c>
      <c r="C74" s="33">
        <f>SUM(B$54:$B74)</f>
        <v>234.79918667761368</v>
      </c>
      <c r="D74" s="29">
        <f t="shared" si="26"/>
        <v>2000</v>
      </c>
      <c r="E74" s="32">
        <f t="shared" si="20"/>
        <v>12.327367413229338</v>
      </c>
      <c r="F74" s="28">
        <f t="shared" si="21"/>
        <v>-0.33996403304131445</v>
      </c>
      <c r="G74" s="28">
        <f t="shared" si="22"/>
        <v>11.923131418627023</v>
      </c>
      <c r="H74" s="6">
        <f t="shared" si="23"/>
        <v>0</v>
      </c>
      <c r="I74" s="37">
        <f t="shared" si="27"/>
        <v>2100</v>
      </c>
      <c r="J74" s="128">
        <f>AVERAGE(H$54:$H74)</f>
        <v>1.0061032187482227E-2</v>
      </c>
      <c r="K74" s="169"/>
      <c r="L74" s="169"/>
      <c r="M74" s="31">
        <f t="shared" si="24"/>
        <v>0</v>
      </c>
      <c r="N74" s="29">
        <f t="shared" si="28"/>
        <v>2100</v>
      </c>
      <c r="O74" s="6">
        <f>AVERAGE(M$54:$M74)</f>
        <v>1.0473192415585803E-2</v>
      </c>
      <c r="P74" s="13"/>
      <c r="Q74" s="11"/>
      <c r="R74" s="117">
        <f t="shared" si="43"/>
        <v>13.613</v>
      </c>
      <c r="S74" s="73">
        <f t="shared" si="31"/>
        <v>20.836836082742636</v>
      </c>
      <c r="T74" s="78">
        <f t="shared" si="32"/>
        <v>13.613</v>
      </c>
      <c r="U74" s="78">
        <f t="shared" si="33"/>
        <v>14.590109697576466</v>
      </c>
      <c r="V74" s="84">
        <f t="shared" si="29"/>
        <v>13.613</v>
      </c>
      <c r="W74" s="9">
        <v>126.93</v>
      </c>
      <c r="X74" s="10">
        <v>15126</v>
      </c>
      <c r="Y74" s="10">
        <v>-63.13</v>
      </c>
      <c r="Z74" s="10">
        <v>-78.86</v>
      </c>
      <c r="AA74" s="10">
        <v>235</v>
      </c>
      <c r="AB74" s="10">
        <v>49.45</v>
      </c>
      <c r="AC74" s="10">
        <v>65</v>
      </c>
      <c r="AD74" s="125">
        <f t="shared" si="34"/>
        <v>5.8265309399152541</v>
      </c>
      <c r="AE74" s="80">
        <f t="shared" si="44"/>
        <v>7.1999999999999904</v>
      </c>
      <c r="AF74" s="81">
        <f t="shared" si="35"/>
        <v>10.897124726115628</v>
      </c>
      <c r="AG74" s="81">
        <f t="shared" si="30"/>
        <v>7.1999999999999904</v>
      </c>
      <c r="AH74" s="80">
        <f t="shared" si="36"/>
        <v>12.535708014470318</v>
      </c>
      <c r="AI74" s="80">
        <f t="shared" si="37"/>
        <v>63.492434372828242</v>
      </c>
      <c r="AJ74" s="80"/>
      <c r="AK74" s="80">
        <f t="shared" si="38"/>
        <v>73.039690600054925</v>
      </c>
      <c r="AL74" s="80"/>
      <c r="AO74" s="1">
        <f t="shared" si="39"/>
        <v>7.1999999999999904</v>
      </c>
      <c r="AP74" s="1">
        <f t="shared" si="45"/>
        <v>19.953696296425882</v>
      </c>
      <c r="AQ74" s="1">
        <f t="shared" si="40"/>
        <v>3.2740832879953796</v>
      </c>
      <c r="AR74" s="1">
        <f t="shared" si="41"/>
        <v>6.6645935329323773</v>
      </c>
      <c r="AS74" s="1">
        <f t="shared" si="42"/>
        <v>10.404756693628238</v>
      </c>
      <c r="AT74" s="63">
        <f>AVERAGE(AS$2:$AS74)</f>
        <v>10.84986799850558</v>
      </c>
      <c r="AU74" s="66"/>
      <c r="AZ74" s="1"/>
      <c r="BB74" s="1"/>
    </row>
    <row r="75" spans="1:54" ht="17" thickBot="1" x14ac:dyDescent="0.25">
      <c r="A75" s="101">
        <f t="shared" si="25"/>
        <v>2100</v>
      </c>
      <c r="B75" s="30">
        <f t="shared" si="19"/>
        <v>24.667892600316836</v>
      </c>
      <c r="C75" s="33">
        <f>SUM(B$54:$B75)</f>
        <v>259.46707927793051</v>
      </c>
      <c r="D75" s="29">
        <f t="shared" si="26"/>
        <v>2100</v>
      </c>
      <c r="E75" s="32">
        <f t="shared" si="20"/>
        <v>12.308993049838323</v>
      </c>
      <c r="F75" s="28">
        <f t="shared" si="21"/>
        <v>-0.33996403304131445</v>
      </c>
      <c r="G75" s="28">
        <f t="shared" si="22"/>
        <v>11.923131418627023</v>
      </c>
      <c r="H75" s="6">
        <f t="shared" si="23"/>
        <v>2.0202218104024089E-2</v>
      </c>
      <c r="I75" s="37">
        <f t="shared" si="27"/>
        <v>2200</v>
      </c>
      <c r="J75" s="128">
        <f>AVERAGE(H$54:$H75)</f>
        <v>1.0521995183688675E-2</v>
      </c>
      <c r="K75" s="13"/>
      <c r="L75" s="13"/>
      <c r="M75" s="31">
        <f t="shared" si="24"/>
        <v>2.0759062362974944E-2</v>
      </c>
      <c r="N75" s="29">
        <f t="shared" si="28"/>
        <v>2200</v>
      </c>
      <c r="O75" s="6">
        <f>AVERAGE(M$54:$M75)</f>
        <v>1.0940731958648945E-2</v>
      </c>
      <c r="P75" s="13"/>
      <c r="Q75" s="11"/>
      <c r="R75" s="117">
        <f t="shared" si="43"/>
        <v>13.919</v>
      </c>
      <c r="S75" s="73">
        <f t="shared" si="31"/>
        <v>20.408405087093435</v>
      </c>
      <c r="T75" s="78">
        <f t="shared" si="32"/>
        <v>13.919</v>
      </c>
      <c r="U75" s="78">
        <f t="shared" si="33"/>
        <v>14.827574224534329</v>
      </c>
      <c r="V75" s="84">
        <f t="shared" si="29"/>
        <v>13.919</v>
      </c>
      <c r="W75" s="9">
        <v>120.76</v>
      </c>
      <c r="X75" s="10">
        <v>15432</v>
      </c>
      <c r="Y75" s="10">
        <v>-63.41</v>
      </c>
      <c r="Z75" s="10">
        <v>-79.81</v>
      </c>
      <c r="AA75" s="10">
        <v>234</v>
      </c>
      <c r="AB75" s="10">
        <v>49.04</v>
      </c>
      <c r="AC75" s="10">
        <v>64</v>
      </c>
      <c r="AD75" s="125">
        <f t="shared" si="34"/>
        <v>5.8265309399152541</v>
      </c>
      <c r="AE75" s="80">
        <f t="shared" si="44"/>
        <v>7.2999999999999901</v>
      </c>
      <c r="AF75" s="81">
        <f t="shared" si="35"/>
        <v>10.897124726115628</v>
      </c>
      <c r="AG75" s="81">
        <f t="shared" si="30"/>
        <v>7.2999999999999901</v>
      </c>
      <c r="AH75" s="80">
        <f t="shared" si="36"/>
        <v>12.535708014470318</v>
      </c>
      <c r="AI75" s="80">
        <f t="shared" si="37"/>
        <v>63.492434372828242</v>
      </c>
      <c r="AJ75" s="80"/>
      <c r="AK75" s="80">
        <f t="shared" si="38"/>
        <v>73.039690600054925</v>
      </c>
      <c r="AL75" s="80"/>
      <c r="AO75" s="1">
        <f t="shared" si="39"/>
        <v>7.2999999999999901</v>
      </c>
      <c r="AP75" s="1">
        <f t="shared" si="45"/>
        <v>19.953696296425882</v>
      </c>
      <c r="AQ75" s="1">
        <f t="shared" si="40"/>
        <v>3.2740832879953796</v>
      </c>
      <c r="AR75" s="1">
        <f t="shared" si="41"/>
        <v>6.6645935329323773</v>
      </c>
      <c r="AS75" s="1">
        <f t="shared" si="42"/>
        <v>10.404756693628238</v>
      </c>
      <c r="AT75" s="63">
        <f>AVERAGE(AS$2:$AS75)</f>
        <v>10.843852980872102</v>
      </c>
      <c r="AU75" s="66"/>
      <c r="AZ75" s="1"/>
      <c r="BB75" s="1"/>
    </row>
    <row r="76" spans="1:54" ht="17" thickBot="1" x14ac:dyDescent="0.25">
      <c r="A76" s="101">
        <f t="shared" si="25"/>
        <v>2200</v>
      </c>
      <c r="B76" s="30">
        <f t="shared" si="19"/>
        <v>0</v>
      </c>
      <c r="C76" s="33">
        <f>SUM(B$54:$B76)</f>
        <v>259.46707927793051</v>
      </c>
      <c r="D76" s="29">
        <f t="shared" si="26"/>
        <v>2200</v>
      </c>
      <c r="E76" s="32">
        <f t="shared" si="20"/>
        <v>12.307258941870293</v>
      </c>
      <c r="F76" s="28">
        <f t="shared" si="21"/>
        <v>-0.17052684917816432</v>
      </c>
      <c r="G76" s="28">
        <f t="shared" si="22"/>
        <v>12.269108566573657</v>
      </c>
      <c r="H76" s="6">
        <f t="shared" si="23"/>
        <v>0</v>
      </c>
      <c r="I76" s="37">
        <f t="shared" si="27"/>
        <v>2300</v>
      </c>
      <c r="J76" s="128">
        <f>AVERAGE(H$54:$H76)</f>
        <v>1.0064517132223951E-2</v>
      </c>
      <c r="K76" s="13"/>
      <c r="L76" s="13"/>
      <c r="M76" s="31">
        <f t="shared" si="24"/>
        <v>0</v>
      </c>
      <c r="N76" s="29">
        <f t="shared" si="28"/>
        <v>2300</v>
      </c>
      <c r="O76" s="6">
        <f>AVERAGE(M$54:$M76)</f>
        <v>1.0465047960446817E-2</v>
      </c>
      <c r="P76" s="13"/>
      <c r="Q76" s="11"/>
      <c r="R76" s="117">
        <f t="shared" si="43"/>
        <v>14.228</v>
      </c>
      <c r="S76" s="73">
        <f t="shared" si="31"/>
        <v>19.096720670534467</v>
      </c>
      <c r="T76" s="78">
        <f t="shared" si="32"/>
        <v>14.228</v>
      </c>
      <c r="U76" s="78">
        <f t="shared" si="33"/>
        <v>15.464219485383859</v>
      </c>
      <c r="V76" s="84">
        <f t="shared" si="29"/>
        <v>14.228</v>
      </c>
      <c r="W76" s="9">
        <v>114.83</v>
      </c>
      <c r="X76" s="10">
        <v>15741</v>
      </c>
      <c r="Y76" s="10">
        <v>-64.099999999999994</v>
      </c>
      <c r="Z76" s="10">
        <v>-80.91</v>
      </c>
      <c r="AA76" s="10">
        <v>231</v>
      </c>
      <c r="AB76" s="10">
        <v>47.77</v>
      </c>
      <c r="AC76" s="10">
        <v>63</v>
      </c>
      <c r="AD76" s="125">
        <f t="shared" si="34"/>
        <v>5.8265309399152541</v>
      </c>
      <c r="AE76" s="80">
        <f t="shared" si="44"/>
        <v>7.3999999999999897</v>
      </c>
      <c r="AF76" s="81">
        <f t="shared" si="35"/>
        <v>10.897124726115628</v>
      </c>
      <c r="AG76" s="81">
        <f t="shared" si="30"/>
        <v>7.3999999999999897</v>
      </c>
      <c r="AH76" s="80">
        <f t="shared" si="36"/>
        <v>12.535708014470318</v>
      </c>
      <c r="AI76" s="80">
        <f t="shared" si="37"/>
        <v>63.492434372828242</v>
      </c>
      <c r="AJ76" s="80"/>
      <c r="AK76" s="80">
        <f t="shared" si="38"/>
        <v>73.039690600054925</v>
      </c>
      <c r="AL76" s="80"/>
      <c r="AO76" s="1">
        <f t="shared" si="39"/>
        <v>7.3999999999999897</v>
      </c>
      <c r="AP76" s="1">
        <f t="shared" si="45"/>
        <v>19.953696296425882</v>
      </c>
      <c r="AQ76" s="1">
        <f t="shared" si="40"/>
        <v>3.2740832879953796</v>
      </c>
      <c r="AR76" s="1">
        <f t="shared" si="41"/>
        <v>6.6645935329323773</v>
      </c>
      <c r="AS76" s="1">
        <f t="shared" si="42"/>
        <v>10.404756693628238</v>
      </c>
      <c r="AT76" s="63">
        <f>AVERAGE(AS$2:$AS76)</f>
        <v>10.83799836370885</v>
      </c>
      <c r="AU76" s="66"/>
      <c r="AZ76" s="1"/>
      <c r="BB76" s="1"/>
    </row>
    <row r="77" spans="1:54" ht="17" thickBot="1" x14ac:dyDescent="0.25">
      <c r="A77" s="101">
        <f t="shared" si="25"/>
        <v>2300</v>
      </c>
      <c r="B77" s="30">
        <f t="shared" si="19"/>
        <v>21.880602694016783</v>
      </c>
      <c r="C77" s="33">
        <f>SUM(B$54:$B77)</f>
        <v>281.34768197194728</v>
      </c>
      <c r="D77" s="29">
        <f t="shared" si="26"/>
        <v>2300</v>
      </c>
      <c r="E77" s="32">
        <f t="shared" si="20"/>
        <v>12.3056693428996</v>
      </c>
      <c r="F77" s="28">
        <f t="shared" si="21"/>
        <v>-0.17052684917816432</v>
      </c>
      <c r="G77" s="28">
        <f t="shared" si="22"/>
        <v>12.269108566573657</v>
      </c>
      <c r="H77" s="6">
        <f t="shared" si="23"/>
        <v>1.7290744669626931E-2</v>
      </c>
      <c r="I77" s="37">
        <f t="shared" si="27"/>
        <v>2400</v>
      </c>
      <c r="J77" s="128">
        <f>AVERAGE(H$54:$H77)</f>
        <v>1.0365609946282408E-2</v>
      </c>
      <c r="K77" s="13"/>
      <c r="L77" s="13"/>
      <c r="M77" s="31">
        <f t="shared" si="24"/>
        <v>1.8086994257728178E-2</v>
      </c>
      <c r="N77" s="29">
        <f t="shared" si="28"/>
        <v>2400</v>
      </c>
      <c r="O77" s="6">
        <f>AVERAGE(M$54:$M77)</f>
        <v>1.0782629056166873E-2</v>
      </c>
      <c r="P77" s="13"/>
      <c r="Q77" s="11"/>
      <c r="R77" s="117">
        <f t="shared" si="43"/>
        <v>14.54</v>
      </c>
      <c r="S77" s="73">
        <f t="shared" si="31"/>
        <v>18.557039429060286</v>
      </c>
      <c r="T77" s="78">
        <f t="shared" si="32"/>
        <v>14.54</v>
      </c>
      <c r="U77" s="78">
        <f t="shared" si="33"/>
        <v>15.027194233023209</v>
      </c>
      <c r="V77" s="84">
        <f t="shared" si="29"/>
        <v>14.54</v>
      </c>
      <c r="W77" s="9">
        <v>109.12</v>
      </c>
      <c r="X77" s="10">
        <v>16053</v>
      </c>
      <c r="Y77" s="10">
        <v>-65.02</v>
      </c>
      <c r="Z77" s="10">
        <v>-81.709999999999994</v>
      </c>
      <c r="AA77" s="10">
        <v>231</v>
      </c>
      <c r="AB77" s="10">
        <v>46.42</v>
      </c>
      <c r="AC77" s="10">
        <v>62</v>
      </c>
      <c r="AD77" s="125">
        <f t="shared" si="34"/>
        <v>5.7891341417557047</v>
      </c>
      <c r="AE77" s="80">
        <f t="shared" si="44"/>
        <v>7.4999999999999893</v>
      </c>
      <c r="AF77" s="81">
        <f t="shared" si="35"/>
        <v>10.779956224896015</v>
      </c>
      <c r="AG77" s="81">
        <f t="shared" si="30"/>
        <v>7.4999999999999893</v>
      </c>
      <c r="AH77" s="80">
        <f t="shared" si="36"/>
        <v>13.312137289696411</v>
      </c>
      <c r="AI77" s="80">
        <f t="shared" si="37"/>
        <v>62.406612628177456</v>
      </c>
      <c r="AJ77" s="80"/>
      <c r="AK77" s="80">
        <f t="shared" si="38"/>
        <v>77.06574848352075</v>
      </c>
      <c r="AL77" s="80"/>
      <c r="AO77" s="1">
        <f t="shared" si="39"/>
        <v>7.4999999999999893</v>
      </c>
      <c r="AP77" s="1">
        <f t="shared" si="45"/>
        <v>20.481709907937052</v>
      </c>
      <c r="AQ77" s="1">
        <f t="shared" si="40"/>
        <v>3.1569147867757668</v>
      </c>
      <c r="AR77" s="1">
        <f t="shared" si="41"/>
        <v>7.4410228081584702</v>
      </c>
      <c r="AS77" s="1">
        <f t="shared" si="42"/>
        <v>11.16410887979559</v>
      </c>
      <c r="AT77" s="63">
        <f>AVERAGE(AS$2:$AS77)</f>
        <v>10.842289291552095</v>
      </c>
      <c r="AU77" s="66"/>
      <c r="AZ77" s="1"/>
      <c r="BB77" s="1"/>
    </row>
    <row r="78" spans="1:54" ht="17" thickBot="1" x14ac:dyDescent="0.25">
      <c r="A78" s="101">
        <f t="shared" si="25"/>
        <v>2400</v>
      </c>
      <c r="B78" s="30">
        <f t="shared" si="19"/>
        <v>17.18875826836852</v>
      </c>
      <c r="C78" s="33">
        <f>SUM(B$54:$B78)</f>
        <v>298.53644024031581</v>
      </c>
      <c r="D78" s="29">
        <f t="shared" si="26"/>
        <v>2400</v>
      </c>
      <c r="E78" s="32">
        <f t="shared" si="20"/>
        <v>12.321302693819915</v>
      </c>
      <c r="F78" s="28">
        <f t="shared" si="21"/>
        <v>-2.9597746009785982E-2</v>
      </c>
      <c r="G78" s="28">
        <f t="shared" si="22"/>
        <v>12.69650311590742</v>
      </c>
      <c r="H78" s="6">
        <f t="shared" si="23"/>
        <v>1.3199845984778968E-2</v>
      </c>
      <c r="I78" s="37">
        <f t="shared" si="27"/>
        <v>2500</v>
      </c>
      <c r="J78" s="128">
        <f>AVERAGE(H$54:$H78)</f>
        <v>1.0478979387822268E-2</v>
      </c>
      <c r="K78" s="13"/>
      <c r="L78" s="13"/>
      <c r="M78" s="31">
        <f t="shared" si="24"/>
        <v>1.3821642509045893E-2</v>
      </c>
      <c r="N78" s="29">
        <f t="shared" si="28"/>
        <v>2500</v>
      </c>
      <c r="O78" s="6">
        <f>AVERAGE(M$54:$M78)</f>
        <v>1.0904189594282035E-2</v>
      </c>
      <c r="P78" s="13"/>
      <c r="Q78" s="11"/>
      <c r="R78" s="117">
        <f t="shared" si="43"/>
        <v>14.853</v>
      </c>
      <c r="S78" s="73">
        <f t="shared" si="31"/>
        <v>18.115372623188769</v>
      </c>
      <c r="T78" s="78">
        <f t="shared" si="32"/>
        <v>14.853</v>
      </c>
      <c r="U78" s="78">
        <f t="shared" si="33"/>
        <v>13.161588621410674</v>
      </c>
      <c r="V78" s="84">
        <f t="shared" si="29"/>
        <v>14.853</v>
      </c>
      <c r="W78" s="9">
        <v>103.63</v>
      </c>
      <c r="X78" s="10">
        <v>16366</v>
      </c>
      <c r="Y78" s="10">
        <v>-65.69</v>
      </c>
      <c r="Z78" s="10">
        <v>-82.5</v>
      </c>
      <c r="AA78" s="10">
        <v>234</v>
      </c>
      <c r="AB78" s="10">
        <v>43.53</v>
      </c>
      <c r="AC78" s="10">
        <v>61</v>
      </c>
      <c r="AD78" s="125">
        <f t="shared" si="34"/>
        <v>5.7891341417557047</v>
      </c>
      <c r="AE78" s="80">
        <f t="shared" si="44"/>
        <v>7.599999999999989</v>
      </c>
      <c r="AF78" s="81">
        <f t="shared" si="35"/>
        <v>10.779956224896015</v>
      </c>
      <c r="AG78" s="81">
        <f t="shared" si="30"/>
        <v>7.599999999999989</v>
      </c>
      <c r="AH78" s="80">
        <f t="shared" si="36"/>
        <v>13.312137289696411</v>
      </c>
      <c r="AI78" s="80">
        <f t="shared" si="37"/>
        <v>62.406612628177456</v>
      </c>
      <c r="AJ78" s="80"/>
      <c r="AK78" s="80">
        <f t="shared" si="38"/>
        <v>77.06574848352075</v>
      </c>
      <c r="AL78" s="80"/>
      <c r="AO78" s="1">
        <f t="shared" si="39"/>
        <v>7.599999999999989</v>
      </c>
      <c r="AP78" s="1">
        <f t="shared" si="45"/>
        <v>20.481709907937052</v>
      </c>
      <c r="AQ78" s="1">
        <f t="shared" si="40"/>
        <v>3.1569147867757668</v>
      </c>
      <c r="AR78" s="1">
        <f t="shared" si="41"/>
        <v>7.4410228081584702</v>
      </c>
      <c r="AS78" s="1">
        <f t="shared" si="42"/>
        <v>11.16410887979559</v>
      </c>
      <c r="AT78" s="63">
        <f>AVERAGE(AS$2:$AS78)</f>
        <v>10.846468766724088</v>
      </c>
      <c r="AU78" s="66"/>
      <c r="AZ78" s="1"/>
      <c r="BB78" s="1"/>
    </row>
    <row r="79" spans="1:54" ht="17" thickBot="1" x14ac:dyDescent="0.25">
      <c r="A79" s="101">
        <f t="shared" si="25"/>
        <v>2500</v>
      </c>
      <c r="B79" s="30">
        <f t="shared" si="19"/>
        <v>0</v>
      </c>
      <c r="C79" s="33">
        <f>SUM(B$54:$B79)</f>
        <v>298.53644024031581</v>
      </c>
      <c r="D79" s="29">
        <f t="shared" si="26"/>
        <v>2500</v>
      </c>
      <c r="E79" s="32">
        <f t="shared" si="20"/>
        <v>12.349153600794418</v>
      </c>
      <c r="F79" s="28">
        <f t="shared" si="21"/>
        <v>7.436667525074922E-2</v>
      </c>
      <c r="G79" s="28">
        <f t="shared" si="22"/>
        <v>13.045426275156988</v>
      </c>
      <c r="H79" s="6">
        <f t="shared" si="23"/>
        <v>0</v>
      </c>
      <c r="I79" s="37">
        <f t="shared" si="27"/>
        <v>2600</v>
      </c>
      <c r="J79" s="128">
        <f>AVERAGE(H$54:$H79)</f>
        <v>1.0075941719059874E-2</v>
      </c>
      <c r="K79" s="13"/>
      <c r="L79" s="13"/>
      <c r="M79" s="31">
        <f t="shared" si="24"/>
        <v>0</v>
      </c>
      <c r="N79" s="29">
        <f t="shared" si="28"/>
        <v>2600</v>
      </c>
      <c r="O79" s="6">
        <f>AVERAGE(M$54:$M79)</f>
        <v>1.0484797686809648E-2</v>
      </c>
      <c r="P79" s="13"/>
      <c r="Q79" s="11"/>
      <c r="R79" s="117">
        <f t="shared" si="43"/>
        <v>15.17</v>
      </c>
      <c r="S79" s="73">
        <f t="shared" si="31"/>
        <v>16.891055622466155</v>
      </c>
      <c r="T79" s="78">
        <f t="shared" si="32"/>
        <v>15.17</v>
      </c>
      <c r="U79" s="78">
        <f t="shared" si="33"/>
        <v>10.554702979874826</v>
      </c>
      <c r="V79" s="84">
        <f t="shared" si="29"/>
        <v>15.17</v>
      </c>
      <c r="W79" s="9">
        <v>98.37</v>
      </c>
      <c r="X79" s="10">
        <v>16683</v>
      </c>
      <c r="Y79" s="10">
        <v>-65.98</v>
      </c>
      <c r="Z79" s="10">
        <v>-83.28</v>
      </c>
      <c r="AA79" s="10">
        <v>238</v>
      </c>
      <c r="AB79" s="10">
        <v>38.72</v>
      </c>
      <c r="AC79" s="10">
        <v>60</v>
      </c>
      <c r="AD79" s="125">
        <f t="shared" si="34"/>
        <v>5.7891341417557047</v>
      </c>
      <c r="AE79" s="80">
        <f t="shared" si="44"/>
        <v>7.6999999999999886</v>
      </c>
      <c r="AF79" s="81">
        <f t="shared" si="35"/>
        <v>10.779956224896015</v>
      </c>
      <c r="AG79" s="81">
        <f t="shared" si="30"/>
        <v>7.6999999999999886</v>
      </c>
      <c r="AH79" s="80">
        <f t="shared" si="36"/>
        <v>13.312137289696411</v>
      </c>
      <c r="AI79" s="80">
        <f t="shared" si="37"/>
        <v>62.406612628177456</v>
      </c>
      <c r="AJ79" s="80"/>
      <c r="AK79" s="80">
        <f t="shared" si="38"/>
        <v>77.06574848352075</v>
      </c>
      <c r="AL79" s="80"/>
      <c r="AO79" s="1">
        <f t="shared" si="39"/>
        <v>7.6999999999999886</v>
      </c>
      <c r="AP79" s="1">
        <f t="shared" si="45"/>
        <v>20.481709907937052</v>
      </c>
      <c r="AQ79" s="1">
        <f t="shared" si="40"/>
        <v>3.1569147867757668</v>
      </c>
      <c r="AR79" s="1">
        <f t="shared" si="41"/>
        <v>7.4410228081584702</v>
      </c>
      <c r="AS79" s="1">
        <f t="shared" si="42"/>
        <v>11.16410887979559</v>
      </c>
      <c r="AT79" s="63">
        <f>AVERAGE(AS$2:$AS79)</f>
        <v>10.85054107586603</v>
      </c>
      <c r="AU79" s="66"/>
      <c r="AZ79" s="1"/>
      <c r="BB79" s="1"/>
    </row>
    <row r="80" spans="1:54" ht="17" thickBot="1" x14ac:dyDescent="0.25">
      <c r="A80" s="101">
        <f t="shared" si="25"/>
        <v>2600</v>
      </c>
      <c r="B80" s="30">
        <f t="shared" si="19"/>
        <v>14.26826492586693</v>
      </c>
      <c r="C80" s="33">
        <f>SUM(B$54:$B80)</f>
        <v>312.80470516618277</v>
      </c>
      <c r="D80" s="29">
        <f t="shared" si="26"/>
        <v>2600</v>
      </c>
      <c r="E80" s="32">
        <f t="shared" si="20"/>
        <v>12.374941477622663</v>
      </c>
      <c r="F80" s="28">
        <f t="shared" si="21"/>
        <v>7.436667525074922E-2</v>
      </c>
      <c r="G80" s="28">
        <f t="shared" si="22"/>
        <v>13.045426275156988</v>
      </c>
      <c r="H80" s="6">
        <f t="shared" si="23"/>
        <v>1.1006110707785474E-2</v>
      </c>
      <c r="I80" s="37">
        <f t="shared" si="27"/>
        <v>2700</v>
      </c>
      <c r="J80" s="128">
        <f>AVERAGE(H$54:$H80)</f>
        <v>1.0110392422346006E-2</v>
      </c>
      <c r="K80" s="13"/>
      <c r="L80" s="13"/>
      <c r="M80" s="31">
        <f t="shared" si="24"/>
        <v>1.0994821069533069E-2</v>
      </c>
      <c r="N80" s="29">
        <f t="shared" si="28"/>
        <v>2700</v>
      </c>
      <c r="O80" s="6">
        <f>AVERAGE(M$54:$M80)</f>
        <v>1.0503687441725331E-2</v>
      </c>
      <c r="P80" s="13"/>
      <c r="Q80" s="11"/>
      <c r="R80" s="117">
        <f t="shared" si="43"/>
        <v>15.489000000000001</v>
      </c>
      <c r="S80" s="73">
        <f t="shared" si="31"/>
        <v>15.161777516779425</v>
      </c>
      <c r="T80" s="78">
        <f t="shared" si="32"/>
        <v>15.489000000000001</v>
      </c>
      <c r="U80" s="78">
        <f t="shared" si="33"/>
        <v>8.4043105136639227</v>
      </c>
      <c r="V80" s="84">
        <f t="shared" si="29"/>
        <v>15.489000000000001</v>
      </c>
      <c r="W80" s="9">
        <v>93.33</v>
      </c>
      <c r="X80" s="10">
        <v>17002</v>
      </c>
      <c r="Y80" s="10">
        <v>-66.12</v>
      </c>
      <c r="Z80" s="10">
        <v>-84.08</v>
      </c>
      <c r="AA80" s="10">
        <v>241</v>
      </c>
      <c r="AB80" s="10">
        <v>33.700000000000003</v>
      </c>
      <c r="AC80" s="10">
        <v>59</v>
      </c>
      <c r="AD80" s="125">
        <f t="shared" si="34"/>
        <v>5.7513655613943584</v>
      </c>
      <c r="AE80" s="80">
        <f t="shared" si="44"/>
        <v>7.7999999999999883</v>
      </c>
      <c r="AF80" s="81">
        <f t="shared" si="35"/>
        <v>10.671003643437485</v>
      </c>
      <c r="AG80" s="81">
        <f t="shared" si="30"/>
        <v>7.7999999999999883</v>
      </c>
      <c r="AH80" s="80">
        <f t="shared" si="36"/>
        <v>14.160900126516244</v>
      </c>
      <c r="AI80" s="80">
        <f t="shared" si="37"/>
        <v>61.372842860380075</v>
      </c>
      <c r="AJ80" s="80"/>
      <c r="AK80" s="80">
        <f t="shared" si="38"/>
        <v>81.44451330599054</v>
      </c>
      <c r="AL80" s="80"/>
      <c r="AO80" s="1">
        <f t="shared" si="39"/>
        <v>7.7999999999999883</v>
      </c>
      <c r="AP80" s="1">
        <f t="shared" si="45"/>
        <v>21.088679598097883</v>
      </c>
      <c r="AQ80" s="1">
        <f t="shared" si="40"/>
        <v>3.047962205317237</v>
      </c>
      <c r="AR80" s="1">
        <f t="shared" si="41"/>
        <v>8.2897856449783038</v>
      </c>
      <c r="AS80" s="1">
        <f t="shared" si="42"/>
        <v>11.999575976385167</v>
      </c>
      <c r="AT80" s="63">
        <f>AVERAGE(AS$2:$AS80)</f>
        <v>10.865085821442221</v>
      </c>
      <c r="AU80" s="66"/>
      <c r="AZ80" s="1"/>
      <c r="BB80" s="1"/>
    </row>
    <row r="81" spans="1:54" ht="17" thickBot="1" x14ac:dyDescent="0.25">
      <c r="A81" s="101">
        <f t="shared" si="25"/>
        <v>2700</v>
      </c>
      <c r="B81" s="30">
        <f t="shared" si="19"/>
        <v>0</v>
      </c>
      <c r="C81" s="33">
        <f>SUM(B$54:$B81)</f>
        <v>312.80470516618277</v>
      </c>
      <c r="D81" s="29">
        <f t="shared" si="26"/>
        <v>2700</v>
      </c>
      <c r="E81" s="32">
        <f t="shared" si="20"/>
        <v>12.39652715053659</v>
      </c>
      <c r="F81" s="28">
        <f t="shared" si="21"/>
        <v>0.15873425723421358</v>
      </c>
      <c r="G81" s="28">
        <f t="shared" si="22"/>
        <v>12.979340319212657</v>
      </c>
      <c r="H81" s="6">
        <f t="shared" si="23"/>
        <v>0</v>
      </c>
      <c r="I81" s="37">
        <f t="shared" si="27"/>
        <v>2800</v>
      </c>
      <c r="J81" s="128">
        <f>AVERAGE(H$54:$H81)</f>
        <v>9.7493069786907926E-3</v>
      </c>
      <c r="K81" s="13"/>
      <c r="L81" s="13"/>
      <c r="M81" s="31">
        <f t="shared" si="24"/>
        <v>0</v>
      </c>
      <c r="N81" s="29">
        <f t="shared" si="28"/>
        <v>2800</v>
      </c>
      <c r="O81" s="6">
        <f>AVERAGE(M$54:$M81)</f>
        <v>1.0128555747377999E-2</v>
      </c>
      <c r="P81" s="13"/>
      <c r="Q81" s="11"/>
      <c r="R81" s="117">
        <f t="shared" si="43"/>
        <v>15.811</v>
      </c>
      <c r="S81" s="73">
        <f t="shared" si="31"/>
        <v>13.257754777167991</v>
      </c>
      <c r="T81" s="78">
        <f t="shared" si="32"/>
        <v>15.811</v>
      </c>
      <c r="U81" s="78">
        <f t="shared" si="33"/>
        <v>7.0492732576752468</v>
      </c>
      <c r="V81" s="84">
        <f t="shared" si="29"/>
        <v>15.811</v>
      </c>
      <c r="W81" s="9">
        <v>88.5</v>
      </c>
      <c r="X81" s="10">
        <v>17324</v>
      </c>
      <c r="Y81" s="10">
        <v>-66.150000000000006</v>
      </c>
      <c r="Z81" s="10">
        <v>-84.31</v>
      </c>
      <c r="AA81" s="10">
        <v>242</v>
      </c>
      <c r="AB81" s="10">
        <v>29.19</v>
      </c>
      <c r="AC81" s="10">
        <v>58</v>
      </c>
      <c r="AD81" s="125">
        <f t="shared" si="34"/>
        <v>5.7513655613943584</v>
      </c>
      <c r="AE81" s="80">
        <f t="shared" si="44"/>
        <v>7.8999999999999879</v>
      </c>
      <c r="AF81" s="81">
        <f t="shared" si="35"/>
        <v>10.671003643437485</v>
      </c>
      <c r="AG81" s="81">
        <f t="shared" si="30"/>
        <v>7.8999999999999879</v>
      </c>
      <c r="AH81" s="80">
        <f t="shared" si="36"/>
        <v>14.160900126516244</v>
      </c>
      <c r="AI81" s="80">
        <f t="shared" si="37"/>
        <v>61.372842860380075</v>
      </c>
      <c r="AJ81" s="80"/>
      <c r="AK81" s="80">
        <f t="shared" si="38"/>
        <v>81.44451330599054</v>
      </c>
      <c r="AL81" s="80"/>
      <c r="AO81" s="1">
        <f t="shared" si="39"/>
        <v>7.8999999999999879</v>
      </c>
      <c r="AP81" s="1">
        <f t="shared" si="45"/>
        <v>21.088679598097883</v>
      </c>
      <c r="AQ81" s="1">
        <f t="shared" si="40"/>
        <v>3.047962205317237</v>
      </c>
      <c r="AR81" s="1">
        <f t="shared" si="41"/>
        <v>8.2897856449783038</v>
      </c>
      <c r="AS81" s="1">
        <f t="shared" si="42"/>
        <v>11.999575976385167</v>
      </c>
      <c r="AT81" s="63">
        <f>AVERAGE(AS$2:$AS81)</f>
        <v>10.879266948379009</v>
      </c>
      <c r="AU81" s="66"/>
      <c r="AZ81" s="1"/>
      <c r="BB81" s="1"/>
    </row>
    <row r="82" spans="1:54" ht="17" thickBot="1" x14ac:dyDescent="0.25">
      <c r="A82" s="101">
        <f t="shared" si="25"/>
        <v>2800</v>
      </c>
      <c r="B82" s="30">
        <f t="shared" si="19"/>
        <v>8.4105437630775342</v>
      </c>
      <c r="C82" s="33">
        <f>SUM(B$54:$B82)</f>
        <v>321.21524892926033</v>
      </c>
      <c r="D82" s="29">
        <f t="shared" si="26"/>
        <v>2800</v>
      </c>
      <c r="E82" s="32">
        <f t="shared" si="20"/>
        <v>12.416624156353008</v>
      </c>
      <c r="F82" s="28">
        <f t="shared" si="21"/>
        <v>0.15873425723421358</v>
      </c>
      <c r="G82" s="28">
        <f t="shared" si="22"/>
        <v>12.979340319212657</v>
      </c>
      <c r="H82" s="6">
        <f t="shared" si="23"/>
        <v>6.5821526561362443E-3</v>
      </c>
      <c r="I82" s="37">
        <f t="shared" si="27"/>
        <v>2900</v>
      </c>
      <c r="J82" s="128">
        <f>AVERAGE(H$54:$H82)</f>
        <v>9.6400947606716698E-3</v>
      </c>
      <c r="K82" s="13"/>
      <c r="L82" s="13"/>
      <c r="M82" s="31">
        <f t="shared" si="24"/>
        <v>6.8194663393522977E-3</v>
      </c>
      <c r="N82" s="29">
        <f t="shared" si="28"/>
        <v>2900</v>
      </c>
      <c r="O82" s="6">
        <f>AVERAGE(M$54:$M82)</f>
        <v>1.0014449216066769E-2</v>
      </c>
      <c r="P82" s="13"/>
      <c r="Q82" s="11"/>
      <c r="R82" s="117">
        <f t="shared" si="43"/>
        <v>16.135999999999999</v>
      </c>
      <c r="S82" s="73">
        <f t="shared" si="31"/>
        <v>10.255570499090553</v>
      </c>
      <c r="T82" s="78">
        <f t="shared" si="32"/>
        <v>16.135999999999999</v>
      </c>
      <c r="U82" s="78">
        <f t="shared" si="33"/>
        <v>5.4529835614356648</v>
      </c>
      <c r="V82" s="84">
        <f t="shared" si="29"/>
        <v>16.135999999999999</v>
      </c>
      <c r="W82" s="9">
        <v>83.87</v>
      </c>
      <c r="X82" s="10">
        <v>17649</v>
      </c>
      <c r="Y82" s="10">
        <v>-65.77</v>
      </c>
      <c r="Z82" s="10">
        <v>-84.48</v>
      </c>
      <c r="AA82" s="10">
        <v>242</v>
      </c>
      <c r="AB82" s="10">
        <v>22.58</v>
      </c>
      <c r="AC82" s="10">
        <v>57</v>
      </c>
      <c r="AD82" s="125">
        <f t="shared" si="34"/>
        <v>5.7513655613943584</v>
      </c>
      <c r="AE82" s="80">
        <f t="shared" si="44"/>
        <v>7.9999999999999876</v>
      </c>
      <c r="AF82" s="81">
        <f t="shared" si="35"/>
        <v>10.671003643437485</v>
      </c>
      <c r="AG82" s="81">
        <f t="shared" si="30"/>
        <v>7.9999999999999876</v>
      </c>
      <c r="AH82" s="80">
        <f t="shared" si="36"/>
        <v>14.160900126516244</v>
      </c>
      <c r="AI82" s="80">
        <f t="shared" si="37"/>
        <v>61.372842860380075</v>
      </c>
      <c r="AJ82" s="80"/>
      <c r="AK82" s="80">
        <f t="shared" si="38"/>
        <v>81.44451330599054</v>
      </c>
      <c r="AL82" s="80"/>
      <c r="AO82" s="1">
        <f t="shared" si="39"/>
        <v>7.9999999999999876</v>
      </c>
      <c r="AP82" s="1">
        <f t="shared" si="45"/>
        <v>21.088679598097883</v>
      </c>
      <c r="AQ82" s="1">
        <f t="shared" si="40"/>
        <v>3.047962205317237</v>
      </c>
      <c r="AR82" s="1">
        <f t="shared" si="41"/>
        <v>8.2897856449783038</v>
      </c>
      <c r="AS82" s="1">
        <f t="shared" si="42"/>
        <v>11.999575976385167</v>
      </c>
      <c r="AT82" s="63">
        <f>AVERAGE(AS$2:$AS82)</f>
        <v>10.893097924033404</v>
      </c>
      <c r="AU82" s="66"/>
      <c r="AZ82" s="1"/>
      <c r="BB82" s="1"/>
    </row>
    <row r="83" spans="1:54" ht="17" thickBot="1" x14ac:dyDescent="0.25">
      <c r="A83" s="101">
        <f t="shared" si="25"/>
        <v>2900</v>
      </c>
      <c r="B83" s="30">
        <f t="shared" si="19"/>
        <v>0</v>
      </c>
      <c r="C83" s="33">
        <f>SUM(B$54:$B83)</f>
        <v>321.21524892926033</v>
      </c>
      <c r="D83" s="29">
        <f t="shared" si="26"/>
        <v>2900</v>
      </c>
      <c r="E83" s="32">
        <f t="shared" si="20"/>
        <v>12.42884600715235</v>
      </c>
      <c r="F83" s="28">
        <f t="shared" si="21"/>
        <v>0.2094467934206099</v>
      </c>
      <c r="G83" s="28">
        <f t="shared" si="22"/>
        <v>12.783279680333283</v>
      </c>
      <c r="H83" s="6">
        <f t="shared" si="23"/>
        <v>0</v>
      </c>
      <c r="I83" s="37">
        <f t="shared" si="27"/>
        <v>3000</v>
      </c>
      <c r="J83" s="128">
        <f>AVERAGE(H$54:$H83)</f>
        <v>9.3187582686492815E-3</v>
      </c>
      <c r="K83" s="13"/>
      <c r="L83" s="13"/>
      <c r="M83" s="31">
        <f t="shared" si="24"/>
        <v>0</v>
      </c>
      <c r="N83" s="29">
        <f t="shared" si="28"/>
        <v>3000</v>
      </c>
      <c r="O83" s="6">
        <f>AVERAGE(M$54:$M83)</f>
        <v>9.6806342421978751E-3</v>
      </c>
      <c r="P83" s="13"/>
      <c r="Q83" s="11"/>
      <c r="R83" s="117">
        <f t="shared" si="43"/>
        <v>16.466000000000001</v>
      </c>
      <c r="S83" s="73">
        <f t="shared" si="31"/>
        <v>6.843184859147704</v>
      </c>
      <c r="T83" s="78">
        <f t="shared" si="32"/>
        <v>16.466000000000001</v>
      </c>
      <c r="U83" s="78">
        <f t="shared" si="33"/>
        <v>4.1118002905875191</v>
      </c>
      <c r="V83" s="84">
        <f t="shared" si="29"/>
        <v>16.466000000000001</v>
      </c>
      <c r="W83" s="9">
        <v>79.45</v>
      </c>
      <c r="X83" s="10">
        <v>17979</v>
      </c>
      <c r="Y83" s="10">
        <v>-65.23</v>
      </c>
      <c r="Z83" s="10">
        <v>-84.64</v>
      </c>
      <c r="AA83" s="10">
        <v>239</v>
      </c>
      <c r="AB83" s="10">
        <v>15.52</v>
      </c>
      <c r="AC83" s="10">
        <v>56</v>
      </c>
      <c r="AD83" s="125">
        <f t="shared" si="34"/>
        <v>5.7132046132351055</v>
      </c>
      <c r="AE83" s="80">
        <f t="shared" si="44"/>
        <v>8.0999999999999872</v>
      </c>
      <c r="AF83" s="81">
        <f t="shared" si="35"/>
        <v>10.375493281700853</v>
      </c>
      <c r="AG83" s="81">
        <f t="shared" si="30"/>
        <v>8.0999999999999872</v>
      </c>
      <c r="AH83" s="80">
        <f t="shared" si="36"/>
        <v>15.382301368515845</v>
      </c>
      <c r="AI83" s="80">
        <f t="shared" si="37"/>
        <v>59.277316081603161</v>
      </c>
      <c r="AJ83" s="80"/>
      <c r="AK83" s="80">
        <f t="shared" si="38"/>
        <v>87.882235140777411</v>
      </c>
      <c r="AL83" s="80"/>
      <c r="AO83" s="1">
        <f t="shared" si="39"/>
        <v>8.0999999999999872</v>
      </c>
      <c r="AP83" s="1">
        <f t="shared" si="45"/>
        <v>21.91300681970575</v>
      </c>
      <c r="AQ83" s="1">
        <f t="shared" si="40"/>
        <v>2.7524518435806051</v>
      </c>
      <c r="AR83" s="1">
        <f t="shared" si="41"/>
        <v>9.5111868869779048</v>
      </c>
      <c r="AS83" s="1">
        <f t="shared" si="42"/>
        <v>13.198382113641435</v>
      </c>
      <c r="AT83" s="63">
        <f>AVERAGE(AS$2:$AS83)</f>
        <v>10.921211145857892</v>
      </c>
      <c r="AU83" s="66"/>
      <c r="AZ83" s="1"/>
      <c r="BB83" s="1"/>
    </row>
    <row r="84" spans="1:54" ht="17" thickBot="1" x14ac:dyDescent="0.25">
      <c r="A84" s="101">
        <f t="shared" si="25"/>
        <v>3000</v>
      </c>
      <c r="B84" s="30">
        <f t="shared" si="19"/>
        <v>0</v>
      </c>
      <c r="C84" s="33">
        <f>SUM(B$54:$B84)</f>
        <v>321.21524892926033</v>
      </c>
      <c r="D84" s="29">
        <f t="shared" si="26"/>
        <v>3000</v>
      </c>
      <c r="E84" s="32">
        <f t="shared" si="20"/>
        <v>12.44027935144851</v>
      </c>
      <c r="F84" s="28">
        <f t="shared" si="21"/>
        <v>0.2094467934206099</v>
      </c>
      <c r="G84" s="28">
        <f t="shared" si="22"/>
        <v>12.783279680333283</v>
      </c>
      <c r="H84" s="6">
        <f t="shared" si="23"/>
        <v>0</v>
      </c>
      <c r="I84" s="37">
        <f t="shared" si="27"/>
        <v>3100</v>
      </c>
      <c r="J84" s="128">
        <f>AVERAGE(H$54:$H84)</f>
        <v>9.018153163208982E-3</v>
      </c>
      <c r="K84" s="13"/>
      <c r="L84" s="13"/>
      <c r="M84" s="31">
        <f t="shared" si="24"/>
        <v>0</v>
      </c>
      <c r="N84" s="29">
        <f t="shared" si="28"/>
        <v>3100</v>
      </c>
      <c r="O84" s="6">
        <f>AVERAGE(M$54:$M84)</f>
        <v>9.3683557182560086E-3</v>
      </c>
      <c r="P84" s="13"/>
      <c r="Q84" s="11"/>
      <c r="R84" s="117">
        <f t="shared" si="43"/>
        <v>16.800999999999998</v>
      </c>
      <c r="S84" s="73">
        <f t="shared" si="31"/>
        <v>4.6745064806925294</v>
      </c>
      <c r="T84" s="78">
        <f t="shared" si="32"/>
        <v>16.800999999999998</v>
      </c>
      <c r="U84" s="78">
        <f t="shared" si="33"/>
        <v>2.5911212533224974</v>
      </c>
      <c r="V84" s="84">
        <f t="shared" si="29"/>
        <v>16.800999999999998</v>
      </c>
      <c r="W84" s="9">
        <v>75.2</v>
      </c>
      <c r="X84" s="10">
        <v>18314</v>
      </c>
      <c r="Y84" s="10">
        <v>-63.88</v>
      </c>
      <c r="Z84" s="10">
        <v>-84.68</v>
      </c>
      <c r="AA84" s="10">
        <v>241</v>
      </c>
      <c r="AB84" s="10">
        <v>10.39</v>
      </c>
      <c r="AC84" s="10">
        <v>55</v>
      </c>
      <c r="AD84" s="125">
        <f t="shared" si="34"/>
        <v>5.7132046132351055</v>
      </c>
      <c r="AE84" s="80">
        <f t="shared" si="44"/>
        <v>8.1999999999999869</v>
      </c>
      <c r="AF84" s="81">
        <f t="shared" si="35"/>
        <v>10.375493281700853</v>
      </c>
      <c r="AG84" s="81">
        <f t="shared" si="30"/>
        <v>8.1999999999999869</v>
      </c>
      <c r="AH84" s="80">
        <f t="shared" si="36"/>
        <v>15.382301368515845</v>
      </c>
      <c r="AI84" s="80">
        <f t="shared" si="37"/>
        <v>59.277316081603161</v>
      </c>
      <c r="AJ84" s="80"/>
      <c r="AK84" s="80">
        <f t="shared" si="38"/>
        <v>87.882235140777411</v>
      </c>
      <c r="AL84" s="80"/>
      <c r="AO84" s="1">
        <f t="shared" si="39"/>
        <v>8.1999999999999869</v>
      </c>
      <c r="AP84" s="1">
        <f t="shared" si="45"/>
        <v>21.91300681970575</v>
      </c>
      <c r="AQ84" s="1">
        <f t="shared" si="40"/>
        <v>2.7524518435806051</v>
      </c>
      <c r="AR84" s="1">
        <f t="shared" si="41"/>
        <v>9.5111868869779048</v>
      </c>
      <c r="AS84" s="1">
        <f t="shared" si="42"/>
        <v>13.198382113641435</v>
      </c>
      <c r="AT84" s="63">
        <f>AVERAGE(AS$2:$AS84)</f>
        <v>10.948646940650464</v>
      </c>
      <c r="AU84" s="66"/>
      <c r="AZ84" s="1"/>
      <c r="BB84" s="1"/>
    </row>
    <row r="85" spans="1:54" ht="17" thickBot="1" x14ac:dyDescent="0.25">
      <c r="A85" s="101">
        <f t="shared" si="25"/>
        <v>3100</v>
      </c>
      <c r="B85" s="30">
        <f t="shared" si="19"/>
        <v>8.1165723205565286</v>
      </c>
      <c r="C85" s="33">
        <f>SUM(B$54:$B85)</f>
        <v>329.33182124981687</v>
      </c>
      <c r="D85" s="29">
        <f t="shared" si="26"/>
        <v>3100</v>
      </c>
      <c r="E85" s="32">
        <f t="shared" si="20"/>
        <v>12.450998111726159</v>
      </c>
      <c r="F85" s="28">
        <f t="shared" si="21"/>
        <v>0.2094467934206099</v>
      </c>
      <c r="G85" s="28">
        <f t="shared" si="22"/>
        <v>12.783279680333283</v>
      </c>
      <c r="H85" s="6">
        <f t="shared" si="23"/>
        <v>6.4654459415493448E-3</v>
      </c>
      <c r="I85" s="37">
        <f t="shared" si="27"/>
        <v>3200</v>
      </c>
      <c r="J85" s="128">
        <f>AVERAGE(H$54:$H85)</f>
        <v>8.9383810625321188E-3</v>
      </c>
      <c r="K85" s="13"/>
      <c r="L85" s="13"/>
      <c r="M85" s="31">
        <f t="shared" si="24"/>
        <v>6.7885792285398497E-3</v>
      </c>
      <c r="N85" s="29">
        <f t="shared" si="28"/>
        <v>3200</v>
      </c>
      <c r="O85" s="6">
        <f>AVERAGE(M$54:$M85)</f>
        <v>9.2877377029523794E-3</v>
      </c>
      <c r="P85" s="13"/>
      <c r="Q85" s="11"/>
      <c r="R85" s="117">
        <f t="shared" si="43"/>
        <v>17.145</v>
      </c>
      <c r="S85" s="73">
        <f t="shared" si="31"/>
        <v>1.8550420407681858</v>
      </c>
      <c r="T85" s="78">
        <f t="shared" si="32"/>
        <v>17.145</v>
      </c>
      <c r="U85" s="78">
        <f t="shared" si="33"/>
        <v>0.16229514893121114</v>
      </c>
      <c r="V85" s="84">
        <f t="shared" si="29"/>
        <v>17.145</v>
      </c>
      <c r="W85" s="9">
        <v>71.12</v>
      </c>
      <c r="X85" s="10">
        <v>18658</v>
      </c>
      <c r="Y85" s="10">
        <v>-61.96</v>
      </c>
      <c r="Z85" s="10">
        <v>-84.66</v>
      </c>
      <c r="AA85" s="10">
        <v>265</v>
      </c>
      <c r="AB85" s="10">
        <v>3.62</v>
      </c>
      <c r="AC85" s="10">
        <v>54</v>
      </c>
      <c r="AD85" s="125">
        <f t="shared" si="34"/>
        <v>5.6746282572258497</v>
      </c>
      <c r="AE85" s="80">
        <f t="shared" si="44"/>
        <v>8.2999999999999865</v>
      </c>
      <c r="AF85" s="81">
        <f t="shared" si="35"/>
        <v>10.006617073163056</v>
      </c>
      <c r="AG85" s="81">
        <f t="shared" si="30"/>
        <v>8.2999999999999865</v>
      </c>
      <c r="AH85" s="80">
        <f t="shared" si="36"/>
        <v>16.653807482603664</v>
      </c>
      <c r="AI85" s="80">
        <f t="shared" si="37"/>
        <v>56.783832002609707</v>
      </c>
      <c r="AJ85" s="80"/>
      <c r="AK85" s="80">
        <f t="shared" si="38"/>
        <v>94.504166531182051</v>
      </c>
      <c r="AL85" s="80"/>
      <c r="AO85" s="1">
        <f t="shared" si="39"/>
        <v>8.2999999999999865</v>
      </c>
      <c r="AP85" s="1">
        <f t="shared" si="45"/>
        <v>22.780942622569228</v>
      </c>
      <c r="AQ85" s="1">
        <f t="shared" si="40"/>
        <v>2.3835756350428081</v>
      </c>
      <c r="AR85" s="1">
        <f t="shared" si="41"/>
        <v>10.782693001065724</v>
      </c>
      <c r="AS85" s="1">
        <f t="shared" si="42"/>
        <v>14.455300749684236</v>
      </c>
      <c r="AT85" s="63">
        <f>AVERAGE(AS$2:$AS85)</f>
        <v>10.990392819329438</v>
      </c>
      <c r="AU85" s="66"/>
      <c r="AZ85" s="1"/>
      <c r="BB85" s="1"/>
    </row>
    <row r="86" spans="1:54" ht="17" thickBot="1" x14ac:dyDescent="0.25">
      <c r="A86" s="101">
        <f t="shared" si="25"/>
        <v>3200</v>
      </c>
      <c r="B86" s="30">
        <f t="shared" si="19"/>
        <v>0</v>
      </c>
      <c r="C86" s="33">
        <f>SUM(B$54:$B86)</f>
        <v>329.33182124981687</v>
      </c>
      <c r="D86" s="29">
        <f t="shared" si="26"/>
        <v>3200</v>
      </c>
      <c r="E86" s="32">
        <f t="shared" si="20"/>
        <v>12.454274657722461</v>
      </c>
      <c r="F86" s="28">
        <f t="shared" si="21"/>
        <v>0.2600241577842814</v>
      </c>
      <c r="G86" s="28">
        <f t="shared" si="22"/>
        <v>12.559124129604136</v>
      </c>
      <c r="H86" s="6">
        <f t="shared" si="23"/>
        <v>0</v>
      </c>
      <c r="I86" s="37">
        <f t="shared" si="27"/>
        <v>3300</v>
      </c>
      <c r="J86" s="128">
        <f>AVERAGE(H$54:$H86)</f>
        <v>8.6675210303341754E-3</v>
      </c>
      <c r="K86" s="13"/>
      <c r="L86" s="13"/>
      <c r="M86" s="31">
        <f t="shared" si="24"/>
        <v>0</v>
      </c>
      <c r="N86" s="29">
        <f t="shared" si="28"/>
        <v>3300</v>
      </c>
      <c r="O86" s="6">
        <f>AVERAGE(M$54:$M86)</f>
        <v>9.0062911058932157E-3</v>
      </c>
      <c r="P86" s="13"/>
      <c r="Q86" s="11"/>
      <c r="R86" s="117">
        <f t="shared" si="43"/>
        <v>17.497</v>
      </c>
      <c r="S86" s="73">
        <f t="shared" si="31"/>
        <v>-1.60716679154032</v>
      </c>
      <c r="T86" s="78">
        <f t="shared" si="32"/>
        <v>17.497</v>
      </c>
      <c r="U86" s="78">
        <f t="shared" si="33"/>
        <v>-0.40071168637063054</v>
      </c>
      <c r="V86" s="84">
        <f t="shared" si="29"/>
        <v>17.497</v>
      </c>
      <c r="W86" s="9">
        <v>67.19</v>
      </c>
      <c r="X86" s="10">
        <v>19010</v>
      </c>
      <c r="Y86" s="10">
        <v>-60.61</v>
      </c>
      <c r="Z86" s="10">
        <v>-84.73</v>
      </c>
      <c r="AA86" s="10">
        <v>76</v>
      </c>
      <c r="AB86" s="10">
        <v>3.22</v>
      </c>
      <c r="AC86" s="10">
        <v>53</v>
      </c>
      <c r="AD86" s="125">
        <f t="shared" si="34"/>
        <v>5.6746282572258497</v>
      </c>
      <c r="AE86" s="80">
        <f t="shared" si="44"/>
        <v>8.3999999999999861</v>
      </c>
      <c r="AF86" s="81">
        <f t="shared" si="35"/>
        <v>10.006617073163056</v>
      </c>
      <c r="AG86" s="81">
        <f t="shared" si="30"/>
        <v>8.3999999999999861</v>
      </c>
      <c r="AH86" s="80">
        <f t="shared" si="36"/>
        <v>16.653807482603664</v>
      </c>
      <c r="AI86" s="80">
        <f t="shared" si="37"/>
        <v>56.783832002609707</v>
      </c>
      <c r="AJ86" s="80"/>
      <c r="AK86" s="80">
        <f t="shared" si="38"/>
        <v>94.504166531182051</v>
      </c>
      <c r="AL86" s="80"/>
      <c r="AO86" s="1">
        <f t="shared" si="39"/>
        <v>8.3999999999999861</v>
      </c>
      <c r="AP86" s="1">
        <f t="shared" si="45"/>
        <v>22.780942622569228</v>
      </c>
      <c r="AQ86" s="1">
        <f t="shared" si="40"/>
        <v>2.3835756350428081</v>
      </c>
      <c r="AR86" s="1">
        <f t="shared" si="41"/>
        <v>10.782693001065724</v>
      </c>
      <c r="AS86" s="1">
        <f t="shared" si="42"/>
        <v>14.455300749684236</v>
      </c>
      <c r="AT86" s="63">
        <f>AVERAGE(AS$2:$AS86)</f>
        <v>11.031156442039496</v>
      </c>
      <c r="AU86" s="66"/>
      <c r="AZ86" s="1"/>
      <c r="BB86" s="1"/>
    </row>
    <row r="87" spans="1:54" ht="17" thickBot="1" x14ac:dyDescent="0.25">
      <c r="A87" s="101">
        <f t="shared" si="25"/>
        <v>3300</v>
      </c>
      <c r="B87" s="30">
        <f t="shared" si="19"/>
        <v>7.2728137971793601</v>
      </c>
      <c r="C87" s="33">
        <f>SUM(B$54:$B87)</f>
        <v>336.60463504699624</v>
      </c>
      <c r="D87" s="29">
        <f t="shared" si="26"/>
        <v>3300</v>
      </c>
      <c r="E87" s="32">
        <f t="shared" si="20"/>
        <v>12.457358465718981</v>
      </c>
      <c r="F87" s="28">
        <f t="shared" si="21"/>
        <v>0.2600241577842814</v>
      </c>
      <c r="G87" s="28">
        <f t="shared" si="22"/>
        <v>12.559124129604136</v>
      </c>
      <c r="H87" s="6">
        <f t="shared" si="23"/>
        <v>5.9495889433720337E-3</v>
      </c>
      <c r="I87" s="37">
        <f t="shared" si="27"/>
        <v>3400</v>
      </c>
      <c r="J87" s="128">
        <f>AVERAGE(H$54:$H87)</f>
        <v>8.5875818513058786E-3</v>
      </c>
      <c r="K87" s="13"/>
      <c r="L87" s="13"/>
      <c r="M87" s="31">
        <f t="shared" si="24"/>
        <v>6.7366191665326992E-3</v>
      </c>
      <c r="N87" s="29">
        <f t="shared" si="28"/>
        <v>3400</v>
      </c>
      <c r="O87" s="6">
        <f>AVERAGE(M$54:$M87)</f>
        <v>8.9395360488532007E-3</v>
      </c>
      <c r="P87" s="13"/>
      <c r="Q87" s="11"/>
      <c r="R87" s="117">
        <f t="shared" si="43"/>
        <v>17.858000000000001</v>
      </c>
      <c r="S87" s="73">
        <f t="shared" si="31"/>
        <v>-4.5244280999746422</v>
      </c>
      <c r="T87" s="78">
        <f t="shared" si="32"/>
        <v>17.858000000000001</v>
      </c>
      <c r="U87" s="78">
        <f t="shared" si="33"/>
        <v>1.2973588808652188</v>
      </c>
      <c r="V87" s="84">
        <f t="shared" si="29"/>
        <v>17.858000000000001</v>
      </c>
      <c r="W87" s="9">
        <v>63.42</v>
      </c>
      <c r="X87" s="10">
        <v>19371</v>
      </c>
      <c r="Y87" s="10">
        <v>-59.62</v>
      </c>
      <c r="Z87" s="10">
        <v>-84.85</v>
      </c>
      <c r="AA87" s="10">
        <v>106</v>
      </c>
      <c r="AB87" s="10">
        <v>9.15</v>
      </c>
      <c r="AC87" s="10">
        <v>52</v>
      </c>
      <c r="AD87" s="125">
        <f t="shared" si="34"/>
        <v>5.6746282572258497</v>
      </c>
      <c r="AE87" s="80">
        <f t="shared" si="44"/>
        <v>8.4999999999999858</v>
      </c>
      <c r="AF87" s="81">
        <f t="shared" si="35"/>
        <v>10.006617073163056</v>
      </c>
      <c r="AG87" s="81">
        <f t="shared" si="30"/>
        <v>8.4999999999999858</v>
      </c>
      <c r="AH87" s="80">
        <f t="shared" si="36"/>
        <v>16.653807482603664</v>
      </c>
      <c r="AI87" s="80">
        <f t="shared" si="37"/>
        <v>56.783832002609707</v>
      </c>
      <c r="AJ87" s="80"/>
      <c r="AK87" s="80">
        <f t="shared" si="38"/>
        <v>94.504166531182051</v>
      </c>
      <c r="AL87" s="80"/>
      <c r="AO87" s="1">
        <f t="shared" si="39"/>
        <v>8.4999999999999858</v>
      </c>
      <c r="AP87" s="1">
        <f t="shared" si="45"/>
        <v>22.780942622569228</v>
      </c>
      <c r="AQ87" s="1">
        <f t="shared" si="40"/>
        <v>2.3835756350428081</v>
      </c>
      <c r="AR87" s="1">
        <f t="shared" si="41"/>
        <v>10.782693001065724</v>
      </c>
      <c r="AS87" s="1">
        <f t="shared" si="42"/>
        <v>14.455300749684236</v>
      </c>
      <c r="AT87" s="63">
        <f>AVERAGE(AS$2:$AS87)</f>
        <v>11.070972073523738</v>
      </c>
      <c r="AU87" s="66"/>
      <c r="AZ87" s="1"/>
      <c r="BB87" s="1"/>
    </row>
    <row r="88" spans="1:54" ht="17" thickBot="1" x14ac:dyDescent="0.25">
      <c r="A88" s="101">
        <f t="shared" si="25"/>
        <v>3400</v>
      </c>
      <c r="B88" s="30">
        <f t="shared" si="19"/>
        <v>0</v>
      </c>
      <c r="C88" s="33">
        <f>SUM(B$54:$B88)</f>
        <v>336.60463504699624</v>
      </c>
      <c r="D88" s="29">
        <f t="shared" si="26"/>
        <v>3400</v>
      </c>
      <c r="E88" s="32">
        <f t="shared" si="20"/>
        <v>12.450823489663462</v>
      </c>
      <c r="F88" s="28">
        <f t="shared" si="21"/>
        <v>0.30739680003206182</v>
      </c>
      <c r="G88" s="28">
        <f t="shared" si="22"/>
        <v>12.228634303775753</v>
      </c>
      <c r="H88" s="6">
        <f t="shared" si="23"/>
        <v>0</v>
      </c>
      <c r="I88" s="37">
        <f t="shared" si="27"/>
        <v>3500</v>
      </c>
      <c r="J88" s="128">
        <f>AVERAGE(H$54:$H88)</f>
        <v>8.3422223698399953E-3</v>
      </c>
      <c r="K88" s="13"/>
      <c r="L88" s="13"/>
      <c r="M88" s="31">
        <f t="shared" si="24"/>
        <v>0</v>
      </c>
      <c r="N88" s="29">
        <f t="shared" si="28"/>
        <v>3500</v>
      </c>
      <c r="O88" s="6">
        <f>AVERAGE(M$54:$M88)</f>
        <v>8.6841207331716797E-3</v>
      </c>
      <c r="P88" s="13"/>
      <c r="Q88" s="11"/>
      <c r="R88" s="117">
        <f t="shared" si="43"/>
        <v>18.228000000000002</v>
      </c>
      <c r="S88" s="73">
        <f t="shared" si="31"/>
        <v>-6.279777654527761</v>
      </c>
      <c r="T88" s="78">
        <f t="shared" si="32"/>
        <v>18.228000000000002</v>
      </c>
      <c r="U88" s="78">
        <f t="shared" si="33"/>
        <v>2.9283084118169307</v>
      </c>
      <c r="V88" s="84">
        <f t="shared" si="29"/>
        <v>18.228000000000002</v>
      </c>
      <c r="W88" s="9">
        <v>59.77</v>
      </c>
      <c r="X88" s="10">
        <v>19741</v>
      </c>
      <c r="Y88" s="10">
        <v>-59.12</v>
      </c>
      <c r="Z88" s="10">
        <v>-85.04</v>
      </c>
      <c r="AA88" s="10">
        <v>115</v>
      </c>
      <c r="AB88" s="10">
        <v>13.47</v>
      </c>
      <c r="AC88" s="10">
        <v>51</v>
      </c>
      <c r="AD88" s="125">
        <f t="shared" si="34"/>
        <v>5.6356463788892315</v>
      </c>
      <c r="AE88" s="80">
        <f t="shared" si="44"/>
        <v>8.5999999999999854</v>
      </c>
      <c r="AF88" s="81">
        <f t="shared" si="35"/>
        <v>9.8507497118612761</v>
      </c>
      <c r="AG88" s="81">
        <f t="shared" si="30"/>
        <v>8.5999999999999854</v>
      </c>
      <c r="AH88" s="80">
        <f t="shared" si="36"/>
        <v>17.771222905423951</v>
      </c>
      <c r="AI88" s="80">
        <f t="shared" si="37"/>
        <v>55.515341942995143</v>
      </c>
      <c r="AJ88" s="80"/>
      <c r="AK88" s="80">
        <f t="shared" si="38"/>
        <v>100.15232801538586</v>
      </c>
      <c r="AL88" s="80"/>
      <c r="AO88" s="1">
        <f t="shared" si="39"/>
        <v>8.5999999999999854</v>
      </c>
      <c r="AP88" s="1">
        <f t="shared" si="45"/>
        <v>23.662036060116119</v>
      </c>
      <c r="AQ88" s="1">
        <f t="shared" si="40"/>
        <v>2.2277082737410279</v>
      </c>
      <c r="AR88" s="1">
        <f t="shared" si="41"/>
        <v>11.90010842388601</v>
      </c>
      <c r="AS88" s="1">
        <f t="shared" si="42"/>
        <v>15.56998497700533</v>
      </c>
      <c r="AT88" s="63">
        <f>AVERAGE(AS$2:$AS88)</f>
        <v>11.122684865517778</v>
      </c>
      <c r="AU88" s="66"/>
      <c r="AZ88" s="1"/>
      <c r="BB88" s="1"/>
    </row>
    <row r="89" spans="1:54" ht="17" thickBot="1" x14ac:dyDescent="0.25">
      <c r="A89" s="101">
        <f t="shared" si="25"/>
        <v>3500</v>
      </c>
      <c r="B89" s="30">
        <f t="shared" si="19"/>
        <v>2.9725825121209226</v>
      </c>
      <c r="C89" s="33">
        <f>SUM(B$54:$B89)</f>
        <v>339.57721755911717</v>
      </c>
      <c r="D89" s="29">
        <f t="shared" si="26"/>
        <v>3500</v>
      </c>
      <c r="E89" s="32">
        <f t="shared" si="20"/>
        <v>12.444651567833247</v>
      </c>
      <c r="F89" s="28">
        <f t="shared" si="21"/>
        <v>0.30739680003206182</v>
      </c>
      <c r="G89" s="28">
        <f t="shared" si="22"/>
        <v>12.228634303775753</v>
      </c>
      <c r="H89" s="6">
        <f t="shared" si="23"/>
        <v>2.4836490895210873E-3</v>
      </c>
      <c r="I89" s="37">
        <f t="shared" si="27"/>
        <v>3600</v>
      </c>
      <c r="J89" s="128">
        <f>AVERAGE(H$54:$H89)</f>
        <v>8.1794842231644703E-3</v>
      </c>
      <c r="K89" s="13"/>
      <c r="L89" s="13"/>
      <c r="M89" s="31">
        <f t="shared" si="24"/>
        <v>3.5715737584711815E-3</v>
      </c>
      <c r="N89" s="29">
        <f t="shared" si="28"/>
        <v>3600</v>
      </c>
      <c r="O89" s="6">
        <f>AVERAGE(M$54:$M89)</f>
        <v>8.5421055394300002E-3</v>
      </c>
      <c r="P89" s="13"/>
      <c r="Q89" s="11"/>
      <c r="R89" s="117">
        <f t="shared" si="43"/>
        <v>18.608000000000001</v>
      </c>
      <c r="S89" s="73">
        <f t="shared" si="31"/>
        <v>-6.8925278624732753</v>
      </c>
      <c r="T89" s="78">
        <f t="shared" si="32"/>
        <v>18.608000000000001</v>
      </c>
      <c r="U89" s="78">
        <f t="shared" si="33"/>
        <v>4.3069294184406566</v>
      </c>
      <c r="V89" s="84">
        <f t="shared" si="29"/>
        <v>18.608000000000001</v>
      </c>
      <c r="W89" s="9">
        <v>56.26</v>
      </c>
      <c r="X89" s="10">
        <v>20121</v>
      </c>
      <c r="Y89" s="10">
        <v>-59.01</v>
      </c>
      <c r="Z89" s="10">
        <v>-85.27</v>
      </c>
      <c r="AA89" s="10">
        <v>122</v>
      </c>
      <c r="AB89" s="10">
        <v>15.8</v>
      </c>
      <c r="AC89" s="10">
        <v>50</v>
      </c>
      <c r="AD89" s="125">
        <f t="shared" si="34"/>
        <v>5.6356463788892315</v>
      </c>
      <c r="AE89" s="80">
        <f t="shared" si="44"/>
        <v>8.6999999999999851</v>
      </c>
      <c r="AF89" s="81">
        <f t="shared" si="35"/>
        <v>9.8507497118612761</v>
      </c>
      <c r="AG89" s="81">
        <f t="shared" si="30"/>
        <v>8.6999999999999851</v>
      </c>
      <c r="AH89" s="80">
        <f t="shared" si="36"/>
        <v>17.771222905423951</v>
      </c>
      <c r="AI89" s="80">
        <f t="shared" si="37"/>
        <v>55.515341942995143</v>
      </c>
      <c r="AJ89" s="80"/>
      <c r="AK89" s="80">
        <f t="shared" si="38"/>
        <v>100.15232801538586</v>
      </c>
      <c r="AL89" s="80"/>
      <c r="AO89" s="1">
        <f t="shared" si="39"/>
        <v>8.6999999999999851</v>
      </c>
      <c r="AP89" s="1">
        <f t="shared" si="45"/>
        <v>23.662036060116119</v>
      </c>
      <c r="AQ89" s="1">
        <f t="shared" si="40"/>
        <v>2.2277082737410279</v>
      </c>
      <c r="AR89" s="1">
        <f t="shared" si="41"/>
        <v>11.90010842388601</v>
      </c>
      <c r="AS89" s="1">
        <f t="shared" si="42"/>
        <v>15.56998497700533</v>
      </c>
      <c r="AT89" s="63">
        <f>AVERAGE(AS$2:$AS89)</f>
        <v>11.173222366784684</v>
      </c>
      <c r="AU89" s="66"/>
      <c r="AZ89" s="1"/>
      <c r="BB89" s="1"/>
    </row>
    <row r="90" spans="1:54" ht="17" thickBot="1" x14ac:dyDescent="0.25">
      <c r="A90" s="101">
        <f t="shared" si="25"/>
        <v>3600</v>
      </c>
      <c r="B90" s="30">
        <f t="shared" si="19"/>
        <v>0</v>
      </c>
      <c r="C90" s="33">
        <f>SUM(B$54:$B90)</f>
        <v>339.57721755911717</v>
      </c>
      <c r="D90" s="29">
        <f t="shared" si="26"/>
        <v>3600</v>
      </c>
      <c r="E90" s="32">
        <f t="shared" si="20"/>
        <v>12.431807795555427</v>
      </c>
      <c r="F90" s="28">
        <f t="shared" si="21"/>
        <v>0.32770691012141356</v>
      </c>
      <c r="G90" s="28">
        <f t="shared" si="22"/>
        <v>11.969431993553901</v>
      </c>
      <c r="H90" s="6">
        <f t="shared" si="23"/>
        <v>0</v>
      </c>
      <c r="I90" s="37">
        <f t="shared" si="27"/>
        <v>3700</v>
      </c>
      <c r="J90" s="128">
        <f>AVERAGE(H$54:$H90)</f>
        <v>7.958417081997864E-3</v>
      </c>
      <c r="K90" s="13"/>
      <c r="L90" s="13"/>
      <c r="M90" s="31">
        <f t="shared" si="24"/>
        <v>0</v>
      </c>
      <c r="N90" s="29">
        <f t="shared" si="28"/>
        <v>3700</v>
      </c>
      <c r="O90" s="6">
        <f>AVERAGE(M$54:$M90)</f>
        <v>8.3112378221481074E-3</v>
      </c>
      <c r="P90" s="13"/>
      <c r="Q90" s="11"/>
      <c r="R90" s="117">
        <f t="shared" si="43"/>
        <v>18.998000000000001</v>
      </c>
      <c r="S90" s="73">
        <f t="shared" si="31"/>
        <v>-4.9468059040960961</v>
      </c>
      <c r="T90" s="78">
        <f t="shared" si="32"/>
        <v>18.998000000000001</v>
      </c>
      <c r="U90" s="78">
        <f t="shared" si="33"/>
        <v>4.946805904096097</v>
      </c>
      <c r="V90" s="84">
        <f t="shared" si="29"/>
        <v>18.998000000000001</v>
      </c>
      <c r="W90" s="9">
        <v>52.86</v>
      </c>
      <c r="X90" s="10">
        <v>20511</v>
      </c>
      <c r="Y90" s="10">
        <v>-58.76</v>
      </c>
      <c r="Z90" s="10">
        <v>-85.5</v>
      </c>
      <c r="AA90" s="10">
        <v>135</v>
      </c>
      <c r="AB90" s="10">
        <v>13.6</v>
      </c>
      <c r="AC90" s="10">
        <v>49</v>
      </c>
      <c r="AD90" s="125">
        <f t="shared" si="34"/>
        <v>5.6356463788892315</v>
      </c>
      <c r="AE90" s="80">
        <f t="shared" si="44"/>
        <v>8.7999999999999847</v>
      </c>
      <c r="AF90" s="81">
        <f t="shared" si="35"/>
        <v>9.8507497118612761</v>
      </c>
      <c r="AG90" s="81">
        <f t="shared" si="30"/>
        <v>8.7999999999999847</v>
      </c>
      <c r="AH90" s="80">
        <f t="shared" si="36"/>
        <v>17.771222905423951</v>
      </c>
      <c r="AI90" s="80">
        <f t="shared" si="37"/>
        <v>55.515341942995143</v>
      </c>
      <c r="AJ90" s="80"/>
      <c r="AK90" s="80">
        <f t="shared" si="38"/>
        <v>100.15232801538586</v>
      </c>
      <c r="AL90" s="80"/>
      <c r="AO90" s="1">
        <f t="shared" si="39"/>
        <v>8.7999999999999847</v>
      </c>
      <c r="AP90" s="1">
        <f t="shared" si="45"/>
        <v>23.662036060116119</v>
      </c>
      <c r="AQ90" s="1">
        <f t="shared" si="40"/>
        <v>2.2277082737410279</v>
      </c>
      <c r="AR90" s="1">
        <f t="shared" si="41"/>
        <v>11.90010842388601</v>
      </c>
      <c r="AS90" s="1">
        <f t="shared" si="42"/>
        <v>15.56998497700533</v>
      </c>
      <c r="AT90" s="63">
        <f>AVERAGE(AS$2:$AS90)</f>
        <v>11.222624193865814</v>
      </c>
      <c r="AU90" s="66"/>
      <c r="AZ90" s="1"/>
      <c r="BB90" s="1"/>
    </row>
    <row r="91" spans="1:54" ht="17" thickBot="1" x14ac:dyDescent="0.25">
      <c r="A91" s="101">
        <f t="shared" si="25"/>
        <v>3700</v>
      </c>
      <c r="B91" s="30">
        <f t="shared" si="19"/>
        <v>1.0928131790085303</v>
      </c>
      <c r="C91" s="33">
        <f>SUM(B$54:$B91)</f>
        <v>340.67003073812572</v>
      </c>
      <c r="D91" s="29">
        <f t="shared" si="26"/>
        <v>3700</v>
      </c>
      <c r="E91" s="32">
        <f t="shared" si="20"/>
        <v>12.419640011292229</v>
      </c>
      <c r="F91" s="28">
        <f t="shared" si="21"/>
        <v>0.32770691012141356</v>
      </c>
      <c r="G91" s="28">
        <f t="shared" si="22"/>
        <v>11.969431993553901</v>
      </c>
      <c r="H91" s="6">
        <f t="shared" si="23"/>
        <v>9.5718727757627476E-4</v>
      </c>
      <c r="I91" s="37">
        <f t="shared" si="27"/>
        <v>3800</v>
      </c>
      <c r="J91" s="128">
        <f>AVERAGE(H$54:$H91)</f>
        <v>7.7741741924078215E-3</v>
      </c>
      <c r="K91" s="13"/>
      <c r="L91" s="13"/>
      <c r="M91" s="31">
        <f t="shared" si="24"/>
        <v>5.6024355752775116E-3</v>
      </c>
      <c r="N91" s="29">
        <f t="shared" si="28"/>
        <v>3800</v>
      </c>
      <c r="O91" s="6">
        <f>AVERAGE(M$54:$M91)</f>
        <v>8.2399535524936181E-3</v>
      </c>
      <c r="P91" s="13"/>
      <c r="Q91" s="11"/>
      <c r="R91" s="117">
        <f t="shared" si="43"/>
        <v>19.399999999999999</v>
      </c>
      <c r="S91" s="73">
        <f t="shared" si="31"/>
        <v>-3.3526826068589486</v>
      </c>
      <c r="T91" s="78">
        <f t="shared" si="32"/>
        <v>19.399999999999999</v>
      </c>
      <c r="U91" s="78">
        <f t="shared" si="33"/>
        <v>4.4491600919689862</v>
      </c>
      <c r="V91" s="84">
        <f t="shared" si="29"/>
        <v>19.399999999999999</v>
      </c>
      <c r="W91" s="9">
        <v>49.6</v>
      </c>
      <c r="X91" s="10">
        <v>20913</v>
      </c>
      <c r="Y91" s="10">
        <v>-57.25</v>
      </c>
      <c r="Z91" s="10">
        <v>-85.58</v>
      </c>
      <c r="AA91" s="10">
        <v>143</v>
      </c>
      <c r="AB91" s="10">
        <v>10.83</v>
      </c>
      <c r="AC91" s="10">
        <v>48</v>
      </c>
      <c r="AD91" s="125">
        <f t="shared" si="34"/>
        <v>5.596234382812221</v>
      </c>
      <c r="AE91" s="80">
        <f t="shared" si="44"/>
        <v>8.8999999999999844</v>
      </c>
      <c r="AF91" s="81">
        <f t="shared" si="35"/>
        <v>9.8578737368380853</v>
      </c>
      <c r="AG91" s="81">
        <f t="shared" si="30"/>
        <v>8.8999999999999844</v>
      </c>
      <c r="AH91" s="80">
        <f t="shared" si="36"/>
        <v>18.539964028913918</v>
      </c>
      <c r="AI91" s="80">
        <f t="shared" si="37"/>
        <v>55.166971947514888</v>
      </c>
      <c r="AJ91" s="80"/>
      <c r="AK91" s="80">
        <f t="shared" si="38"/>
        <v>103.75398415470985</v>
      </c>
      <c r="AL91" s="80"/>
      <c r="AO91" s="1">
        <f t="shared" si="39"/>
        <v>8.8999999999999844</v>
      </c>
      <c r="AP91" s="1">
        <f t="shared" si="45"/>
        <v>24.335245643186457</v>
      </c>
      <c r="AQ91" s="1">
        <f t="shared" si="40"/>
        <v>2.2348322987178371</v>
      </c>
      <c r="AR91" s="1">
        <f t="shared" si="41"/>
        <v>12.668849547375977</v>
      </c>
      <c r="AS91" s="1">
        <f t="shared" si="42"/>
        <v>16.338758202718495</v>
      </c>
      <c r="AT91" s="63">
        <f>AVERAGE(AS$2:$AS91)</f>
        <v>11.279470127297511</v>
      </c>
      <c r="AU91" s="66"/>
      <c r="AZ91" s="1"/>
      <c r="BB91" s="1"/>
    </row>
    <row r="92" spans="1:54" ht="17" thickBot="1" x14ac:dyDescent="0.25">
      <c r="A92" s="101">
        <f t="shared" si="25"/>
        <v>3800</v>
      </c>
      <c r="B92" s="30">
        <f t="shared" si="19"/>
        <v>0</v>
      </c>
      <c r="C92" s="33">
        <f>SUM(B$54:$B92)</f>
        <v>340.67003073812572</v>
      </c>
      <c r="D92" s="29">
        <f t="shared" si="26"/>
        <v>3800</v>
      </c>
      <c r="E92" s="32">
        <f t="shared" si="20"/>
        <v>12.393932394577305</v>
      </c>
      <c r="F92" s="28">
        <f t="shared" si="21"/>
        <v>0.335703841622355</v>
      </c>
      <c r="G92" s="28">
        <f t="shared" si="22"/>
        <v>11.417042959410272</v>
      </c>
      <c r="H92" s="6">
        <f t="shared" si="23"/>
        <v>0</v>
      </c>
      <c r="I92" s="37">
        <f t="shared" si="27"/>
        <v>3900</v>
      </c>
      <c r="J92" s="128">
        <f>AVERAGE(H$54:$H92)</f>
        <v>7.5748363926024928E-3</v>
      </c>
      <c r="K92" s="13"/>
      <c r="L92" s="13"/>
      <c r="M92" s="31">
        <f t="shared" si="24"/>
        <v>0</v>
      </c>
      <c r="N92" s="29">
        <f t="shared" si="28"/>
        <v>3900</v>
      </c>
      <c r="O92" s="6">
        <f>AVERAGE(M$54:$M92)</f>
        <v>8.0286726921732689E-3</v>
      </c>
      <c r="P92" s="13"/>
      <c r="Q92" s="11"/>
      <c r="R92" s="117">
        <f t="shared" si="43"/>
        <v>19.815999999999999</v>
      </c>
      <c r="S92" s="73">
        <f t="shared" si="31"/>
        <v>-3.6657383486521145</v>
      </c>
      <c r="T92" s="78">
        <f t="shared" si="32"/>
        <v>19.815999999999999</v>
      </c>
      <c r="U92" s="78">
        <f t="shared" si="33"/>
        <v>4.0712148861023376</v>
      </c>
      <c r="V92" s="84">
        <f t="shared" si="29"/>
        <v>19.815999999999999</v>
      </c>
      <c r="W92" s="9">
        <v>46.45</v>
      </c>
      <c r="X92" s="10">
        <v>21329</v>
      </c>
      <c r="Y92" s="10">
        <v>-55.72</v>
      </c>
      <c r="Z92" s="10">
        <v>-85.17</v>
      </c>
      <c r="AA92" s="10">
        <v>138</v>
      </c>
      <c r="AB92" s="10">
        <v>10.65</v>
      </c>
      <c r="AC92" s="10">
        <v>47</v>
      </c>
      <c r="AD92" s="125">
        <f t="shared" si="34"/>
        <v>5.596234382812221</v>
      </c>
      <c r="AE92" s="80">
        <f t="shared" si="44"/>
        <v>8.999999999999984</v>
      </c>
      <c r="AF92" s="81">
        <f t="shared" si="35"/>
        <v>9.8578737368380853</v>
      </c>
      <c r="AG92" s="81">
        <f t="shared" si="30"/>
        <v>8.999999999999984</v>
      </c>
      <c r="AH92" s="80">
        <f t="shared" si="36"/>
        <v>18.539964028913918</v>
      </c>
      <c r="AI92" s="80">
        <f t="shared" si="37"/>
        <v>55.166971947514888</v>
      </c>
      <c r="AJ92" s="80"/>
      <c r="AK92" s="80">
        <f t="shared" si="38"/>
        <v>103.75398415470985</v>
      </c>
      <c r="AL92" s="80"/>
      <c r="AO92" s="1">
        <f t="shared" si="39"/>
        <v>8.999999999999984</v>
      </c>
      <c r="AP92" s="1">
        <f t="shared" si="45"/>
        <v>24.335245643186457</v>
      </c>
      <c r="AQ92" s="1">
        <f t="shared" si="40"/>
        <v>2.2348322987178371</v>
      </c>
      <c r="AR92" s="1">
        <f t="shared" si="41"/>
        <v>12.668849547375977</v>
      </c>
      <c r="AS92" s="1">
        <f t="shared" si="42"/>
        <v>16.338758202718495</v>
      </c>
      <c r="AT92" s="63">
        <f>AVERAGE(AS$2:$AS92)</f>
        <v>11.335066699554883</v>
      </c>
      <c r="AU92" s="66"/>
      <c r="AZ92" s="1"/>
      <c r="BB92" s="1"/>
    </row>
    <row r="93" spans="1:54" ht="17" thickBot="1" x14ac:dyDescent="0.25">
      <c r="A93" s="101">
        <f t="shared" si="25"/>
        <v>3900</v>
      </c>
      <c r="B93" s="30">
        <f t="shared" si="19"/>
        <v>0</v>
      </c>
      <c r="C93" s="33">
        <f>SUM(B$54:$B93)</f>
        <v>340.67003073812572</v>
      </c>
      <c r="D93" s="29">
        <f t="shared" si="26"/>
        <v>3900</v>
      </c>
      <c r="E93" s="32">
        <f t="shared" si="20"/>
        <v>12.36951015869813</v>
      </c>
      <c r="F93" s="28">
        <f t="shared" si="21"/>
        <v>0.335703841622355</v>
      </c>
      <c r="G93" s="28">
        <f t="shared" si="22"/>
        <v>11.417042959410272</v>
      </c>
      <c r="H93" s="6">
        <f t="shared" si="23"/>
        <v>0</v>
      </c>
      <c r="I93" s="37">
        <f t="shared" si="27"/>
        <v>4000</v>
      </c>
      <c r="J93" s="128">
        <f>AVERAGE(H$54:$H93)</f>
        <v>7.3854654827874306E-3</v>
      </c>
      <c r="K93" s="13"/>
      <c r="L93" s="13"/>
      <c r="M93" s="31">
        <f t="shared" si="24"/>
        <v>0</v>
      </c>
      <c r="N93" s="29">
        <f t="shared" si="28"/>
        <v>4000</v>
      </c>
      <c r="O93" s="6">
        <f>AVERAGE(M$54:$M93)</f>
        <v>7.827955874868937E-3</v>
      </c>
      <c r="P93" s="13"/>
      <c r="Q93" s="11"/>
      <c r="R93" s="117">
        <f t="shared" si="43"/>
        <v>20.244</v>
      </c>
      <c r="S93" s="73">
        <f t="shared" si="31"/>
        <v>-4.1897197325522635</v>
      </c>
      <c r="T93" s="78">
        <f t="shared" si="32"/>
        <v>20.244</v>
      </c>
      <c r="U93" s="78">
        <f t="shared" si="33"/>
        <v>3.7724405916645236</v>
      </c>
      <c r="V93" s="84">
        <f t="shared" si="29"/>
        <v>20.244</v>
      </c>
      <c r="W93" s="9">
        <v>43.43</v>
      </c>
      <c r="X93" s="10">
        <v>21757</v>
      </c>
      <c r="Y93" s="10">
        <v>-55.01</v>
      </c>
      <c r="Z93" s="10">
        <v>-85.37</v>
      </c>
      <c r="AA93" s="10">
        <v>132</v>
      </c>
      <c r="AB93" s="10">
        <v>10.96</v>
      </c>
      <c r="AC93" s="10">
        <v>46</v>
      </c>
      <c r="AD93" s="125">
        <f t="shared" si="34"/>
        <v>5.5563646338701265</v>
      </c>
      <c r="AE93" s="80">
        <f t="shared" si="44"/>
        <v>9.0999999999999837</v>
      </c>
      <c r="AF93" s="81">
        <f t="shared" si="35"/>
        <v>10.121104564205883</v>
      </c>
      <c r="AG93" s="81">
        <f t="shared" si="30"/>
        <v>9.0999999999999837</v>
      </c>
      <c r="AH93" s="80">
        <f t="shared" si="36"/>
        <v>19.035029212439543</v>
      </c>
      <c r="AI93" s="80">
        <f t="shared" si="37"/>
        <v>56.236547456255089</v>
      </c>
      <c r="AJ93" s="80"/>
      <c r="AK93" s="80">
        <f t="shared" si="38"/>
        <v>105.76556312068381</v>
      </c>
      <c r="AL93" s="80"/>
      <c r="AO93" s="1">
        <f t="shared" si="39"/>
        <v>9.0999999999999837</v>
      </c>
      <c r="AP93" s="1">
        <f t="shared" si="45"/>
        <v>24.895864093187097</v>
      </c>
      <c r="AQ93" s="1">
        <f t="shared" si="40"/>
        <v>2.4980631260856345</v>
      </c>
      <c r="AR93" s="1">
        <f t="shared" si="41"/>
        <v>13.163914730901602</v>
      </c>
      <c r="AS93" s="1">
        <f t="shared" si="42"/>
        <v>16.838603517492555</v>
      </c>
      <c r="AT93" s="63">
        <f>AVERAGE(AS$2:$AS93)</f>
        <v>11.394887751923772</v>
      </c>
      <c r="AU93" s="66"/>
      <c r="AZ93" s="1"/>
      <c r="BB93" s="1"/>
    </row>
    <row r="94" spans="1:54" ht="17" thickBot="1" x14ac:dyDescent="0.25">
      <c r="A94" s="101">
        <f t="shared" si="25"/>
        <v>4000</v>
      </c>
      <c r="B94" s="30">
        <f t="shared" si="19"/>
        <v>-6.7857894555213107</v>
      </c>
      <c r="C94" s="33">
        <f>SUM(B$54:$B94)</f>
        <v>333.88424128260442</v>
      </c>
      <c r="D94" s="29">
        <f t="shared" si="26"/>
        <v>4000</v>
      </c>
      <c r="E94" s="32">
        <f t="shared" si="20"/>
        <v>12.346279251398425</v>
      </c>
      <c r="F94" s="28">
        <f t="shared" si="21"/>
        <v>0.335703841622355</v>
      </c>
      <c r="G94" s="28">
        <f t="shared" si="22"/>
        <v>11.417042959410272</v>
      </c>
      <c r="H94" s="6">
        <f t="shared" si="23"/>
        <v>6.1989123053974339E-3</v>
      </c>
      <c r="I94" s="37">
        <f t="shared" si="27"/>
        <v>4100</v>
      </c>
      <c r="J94" s="128">
        <f>AVERAGE(H$54:$H94)</f>
        <v>7.3565251613876741E-3</v>
      </c>
      <c r="K94" s="13"/>
      <c r="L94" s="13"/>
      <c r="M94" s="31">
        <f t="shared" si="24"/>
        <v>7.6464225427172383E-3</v>
      </c>
      <c r="N94" s="29">
        <f t="shared" si="28"/>
        <v>4100</v>
      </c>
      <c r="O94" s="6">
        <f>AVERAGE(M$54:$M94)</f>
        <v>7.8235282326213351E-3</v>
      </c>
      <c r="P94" s="13"/>
      <c r="Q94" s="11"/>
      <c r="R94" s="118">
        <f t="shared" si="43"/>
        <v>20.686</v>
      </c>
      <c r="S94" s="119">
        <f t="shared" si="31"/>
        <v>-3.758321357687882</v>
      </c>
      <c r="T94" s="77">
        <f t="shared" si="32"/>
        <v>20.686</v>
      </c>
      <c r="U94" s="77">
        <f t="shared" si="33"/>
        <v>3.5046913645973303</v>
      </c>
      <c r="V94" s="87">
        <f t="shared" si="29"/>
        <v>20.686</v>
      </c>
      <c r="W94" s="9">
        <v>40.53</v>
      </c>
      <c r="X94" s="10">
        <v>22199</v>
      </c>
      <c r="Y94" s="10">
        <v>-54.33</v>
      </c>
      <c r="Z94" s="10">
        <v>-85.57</v>
      </c>
      <c r="AA94" s="10">
        <v>133</v>
      </c>
      <c r="AB94" s="10">
        <v>9.99</v>
      </c>
      <c r="AC94" s="10">
        <v>45</v>
      </c>
      <c r="AD94" s="125">
        <f t="shared" si="34"/>
        <v>5.5563646338701265</v>
      </c>
      <c r="AE94" s="80">
        <f t="shared" si="44"/>
        <v>9.1999999999999833</v>
      </c>
      <c r="AF94" s="81">
        <f t="shared" si="35"/>
        <v>10.121104564205883</v>
      </c>
      <c r="AG94" s="81">
        <f t="shared" si="30"/>
        <v>9.1999999999999833</v>
      </c>
      <c r="AH94" s="80">
        <f t="shared" si="36"/>
        <v>19.035029212439543</v>
      </c>
      <c r="AI94" s="80">
        <f t="shared" si="37"/>
        <v>56.236547456255089</v>
      </c>
      <c r="AJ94" s="80"/>
      <c r="AK94" s="80">
        <f t="shared" si="38"/>
        <v>105.76556312068381</v>
      </c>
      <c r="AL94" s="80"/>
      <c r="AO94" s="1">
        <f t="shared" si="39"/>
        <v>9.1999999999999833</v>
      </c>
      <c r="AP94" s="1">
        <f t="shared" si="45"/>
        <v>24.895864093187097</v>
      </c>
      <c r="AQ94" s="1">
        <f t="shared" si="40"/>
        <v>2.4980631260856345</v>
      </c>
      <c r="AR94" s="1">
        <f t="shared" si="41"/>
        <v>13.163914730901602</v>
      </c>
      <c r="AS94" s="1">
        <f t="shared" si="42"/>
        <v>16.838603517492555</v>
      </c>
      <c r="AT94" s="63">
        <f>AVERAGE(AS$2:$AS94)</f>
        <v>11.453422330048168</v>
      </c>
      <c r="AU94" s="66"/>
      <c r="AZ94" s="1"/>
      <c r="BB94" s="1"/>
    </row>
    <row r="95" spans="1:54" x14ac:dyDescent="0.2">
      <c r="A95" s="101">
        <f t="shared" si="25"/>
        <v>4100</v>
      </c>
      <c r="B95" s="30">
        <f t="shared" si="19"/>
        <v>0</v>
      </c>
      <c r="C95" s="33">
        <f>SUM(B$54:$B95)</f>
        <v>333.88424128260442</v>
      </c>
      <c r="D95" s="29">
        <f t="shared" si="26"/>
        <v>4100</v>
      </c>
      <c r="E95" s="32">
        <f t="shared" si="20"/>
        <v>12.31308504167465</v>
      </c>
      <c r="F95" s="28">
        <f t="shared" si="21"/>
        <v>0.28140858910000111</v>
      </c>
      <c r="G95" s="28">
        <f t="shared" si="22"/>
        <v>10.952122442999858</v>
      </c>
      <c r="H95" s="6">
        <f t="shared" si="23"/>
        <v>0</v>
      </c>
      <c r="I95" s="37">
        <f t="shared" si="27"/>
        <v>4200</v>
      </c>
      <c r="J95" s="128">
        <f>AVERAGE(H$54:$H95)</f>
        <v>7.1813698004022531E-3</v>
      </c>
      <c r="K95" s="13"/>
      <c r="L95" s="13"/>
      <c r="M95" s="31">
        <f t="shared" si="24"/>
        <v>0</v>
      </c>
      <c r="N95" s="29">
        <f t="shared" si="28"/>
        <v>4200</v>
      </c>
      <c r="O95" s="6">
        <f>AVERAGE(M$54:$M95)</f>
        <v>7.6372537508922556E-3</v>
      </c>
      <c r="Q95" s="1"/>
      <c r="S95" s="68"/>
      <c r="V95" s="116"/>
      <c r="W95"/>
      <c r="X95"/>
      <c r="Y95"/>
      <c r="Z95"/>
      <c r="AA95"/>
      <c r="AB95"/>
      <c r="AC95"/>
      <c r="AD95" s="125">
        <f t="shared" si="34"/>
        <v>5.5563646338701265</v>
      </c>
      <c r="AE95" s="80">
        <f t="shared" si="44"/>
        <v>9.2999999999999829</v>
      </c>
      <c r="AF95" s="81">
        <f t="shared" si="35"/>
        <v>10.121104564205883</v>
      </c>
      <c r="AG95" s="81">
        <f t="shared" si="30"/>
        <v>9.2999999999999829</v>
      </c>
      <c r="AH95" s="80">
        <f t="shared" si="36"/>
        <v>19.035029212439543</v>
      </c>
      <c r="AI95" s="80">
        <f t="shared" si="37"/>
        <v>56.236547456255089</v>
      </c>
      <c r="AJ95" s="80"/>
      <c r="AK95" s="80">
        <f t="shared" si="38"/>
        <v>105.76556312068381</v>
      </c>
      <c r="AL95" s="80"/>
      <c r="AO95" s="1">
        <f t="shared" si="39"/>
        <v>9.2999999999999829</v>
      </c>
      <c r="AP95" s="1">
        <f t="shared" si="45"/>
        <v>24.895864093187097</v>
      </c>
      <c r="AQ95" s="1">
        <f t="shared" si="40"/>
        <v>2.4980631260856345</v>
      </c>
      <c r="AR95" s="1">
        <f t="shared" si="41"/>
        <v>13.163914730901602</v>
      </c>
      <c r="AS95" s="1">
        <f t="shared" si="42"/>
        <v>16.838603517492555</v>
      </c>
      <c r="AT95" s="63">
        <f>AVERAGE(AS$2:$AS95)</f>
        <v>11.510711491616725</v>
      </c>
      <c r="AU95" s="66"/>
      <c r="AZ95" s="1"/>
      <c r="BB95" s="1"/>
    </row>
    <row r="96" spans="1:54" ht="17" thickBot="1" x14ac:dyDescent="0.25">
      <c r="A96" s="127">
        <f t="shared" si="25"/>
        <v>4200</v>
      </c>
      <c r="B96" s="30">
        <f t="shared" si="19"/>
        <v>1.5409831267031926</v>
      </c>
      <c r="C96" s="103">
        <f>SUM(B$54:$B96)</f>
        <v>335.42522440930759</v>
      </c>
      <c r="D96" s="104">
        <f t="shared" si="26"/>
        <v>4200</v>
      </c>
      <c r="E96" s="105">
        <f t="shared" si="20"/>
        <v>12.281434748682214</v>
      </c>
      <c r="F96" s="28">
        <f t="shared" si="21"/>
        <v>0.28140858910000111</v>
      </c>
      <c r="G96" s="28">
        <f t="shared" si="22"/>
        <v>10.952122442999858</v>
      </c>
      <c r="H96" s="106"/>
      <c r="I96" s="107">
        <f t="shared" si="27"/>
        <v>4300</v>
      </c>
      <c r="J96" s="129">
        <f>AVERAGE(H$54:$H96)</f>
        <v>7.1813698004022531E-3</v>
      </c>
      <c r="K96" s="13"/>
      <c r="L96" s="13"/>
      <c r="M96" s="108">
        <f t="shared" si="24"/>
        <v>9.9831555784799138E-3</v>
      </c>
      <c r="N96" s="104">
        <f t="shared" si="28"/>
        <v>4300</v>
      </c>
      <c r="O96" s="106">
        <f>AVERAGE(M$54:$M96)</f>
        <v>7.6918096073477823E-3</v>
      </c>
      <c r="Q96" s="1"/>
      <c r="S96" s="68"/>
      <c r="AD96" s="125">
        <f t="shared" si="34"/>
        <v>5.5160462851607477</v>
      </c>
      <c r="AE96" s="80">
        <f t="shared" si="44"/>
        <v>9.3999999999999826</v>
      </c>
      <c r="AF96" s="81">
        <f t="shared" si="35"/>
        <v>10.319131425161473</v>
      </c>
      <c r="AG96" s="81">
        <f t="shared" si="30"/>
        <v>9.3999999999999826</v>
      </c>
      <c r="AH96" s="80">
        <f t="shared" si="36"/>
        <v>19.407463570688183</v>
      </c>
      <c r="AI96" s="80">
        <f t="shared" si="37"/>
        <v>56.920806563847471</v>
      </c>
      <c r="AJ96" s="80"/>
      <c r="AK96" s="80">
        <f t="shared" si="38"/>
        <v>107.05246733348709</v>
      </c>
      <c r="AL96" s="80"/>
      <c r="AO96" s="1">
        <f t="shared" si="39"/>
        <v>9.3999999999999826</v>
      </c>
      <c r="AP96" s="1">
        <f t="shared" si="45"/>
        <v>25.317616016686294</v>
      </c>
      <c r="AQ96" s="1">
        <f t="shared" si="40"/>
        <v>2.6960899870412245</v>
      </c>
      <c r="AR96" s="1">
        <f t="shared" si="41"/>
        <v>13.536349089150242</v>
      </c>
      <c r="AS96" s="1">
        <f t="shared" si="42"/>
        <v>17.217104685116702</v>
      </c>
      <c r="AT96" s="63">
        <f>AVERAGE(AS$2:$AS96)</f>
        <v>11.57077878839041</v>
      </c>
      <c r="AU96" s="66"/>
      <c r="AZ96" s="1"/>
      <c r="BB96" s="1"/>
    </row>
    <row r="97" spans="1:54" x14ac:dyDescent="0.2">
      <c r="A97" s="135" t="str">
        <f>A53</f>
        <v>z</v>
      </c>
      <c r="B97" s="136" t="str">
        <f>C53</f>
        <v>SRH SUM</v>
      </c>
      <c r="D97" s="26"/>
      <c r="E97" s="2"/>
      <c r="F97" s="2"/>
      <c r="G97" s="2"/>
      <c r="H97" s="2"/>
      <c r="I97" s="7"/>
      <c r="J97" s="2"/>
      <c r="Q97" s="1"/>
      <c r="S97" s="68"/>
      <c r="AD97" s="125">
        <f t="shared" si="34"/>
        <v>5.5160462851607477</v>
      </c>
      <c r="AE97" s="80">
        <f t="shared" si="44"/>
        <v>9.4999999999999822</v>
      </c>
      <c r="AF97" s="81">
        <f t="shared" si="35"/>
        <v>10.319131425161473</v>
      </c>
      <c r="AG97" s="81">
        <f t="shared" si="30"/>
        <v>9.4999999999999822</v>
      </c>
      <c r="AH97" s="80">
        <f t="shared" si="36"/>
        <v>19.407463570688183</v>
      </c>
      <c r="AI97" s="80">
        <f t="shared" si="37"/>
        <v>56.920806563847471</v>
      </c>
      <c r="AJ97" s="80"/>
      <c r="AK97" s="80">
        <f t="shared" si="38"/>
        <v>107.05246733348709</v>
      </c>
      <c r="AL97" s="80"/>
      <c r="AO97" s="1">
        <f t="shared" si="39"/>
        <v>9.4999999999999822</v>
      </c>
      <c r="AP97" s="1">
        <f t="shared" si="45"/>
        <v>25.317616016686294</v>
      </c>
      <c r="AQ97" s="1">
        <f t="shared" si="40"/>
        <v>2.6960899870412245</v>
      </c>
      <c r="AR97" s="1">
        <f t="shared" si="41"/>
        <v>13.536349089150242</v>
      </c>
      <c r="AS97" s="1">
        <f t="shared" si="42"/>
        <v>17.217104685116702</v>
      </c>
      <c r="AT97" s="63">
        <f>AVERAGE(AS$2:$AS97)</f>
        <v>11.629594683147976</v>
      </c>
      <c r="AU97" s="66"/>
      <c r="AZ97" s="1"/>
      <c r="BB97" s="1"/>
    </row>
    <row r="98" spans="1:54" x14ac:dyDescent="0.2">
      <c r="A98" s="101">
        <f t="shared" ref="A98:A140" si="46">A54</f>
        <v>0</v>
      </c>
      <c r="B98" s="137">
        <f t="shared" ref="B98:B140" si="47">C54</f>
        <v>-9.8226312334760806</v>
      </c>
      <c r="D98" s="2"/>
      <c r="F98" s="2"/>
      <c r="H98" s="2"/>
      <c r="I98" s="7"/>
      <c r="J98" s="2"/>
      <c r="Q98" s="1"/>
      <c r="S98" s="68"/>
      <c r="AD98" s="125">
        <f t="shared" si="34"/>
        <v>5.5160462851607477</v>
      </c>
      <c r="AE98" s="80">
        <f t="shared" si="44"/>
        <v>9.5999999999999819</v>
      </c>
      <c r="AF98" s="81">
        <f t="shared" si="35"/>
        <v>10.319131425161473</v>
      </c>
      <c r="AG98" s="81">
        <f t="shared" si="30"/>
        <v>9.5999999999999819</v>
      </c>
      <c r="AH98" s="80">
        <f t="shared" si="36"/>
        <v>19.407463570688183</v>
      </c>
      <c r="AI98" s="80">
        <f t="shared" si="37"/>
        <v>56.920806563847471</v>
      </c>
      <c r="AJ98" s="80"/>
      <c r="AK98" s="80">
        <f t="shared" si="38"/>
        <v>107.05246733348709</v>
      </c>
      <c r="AL98" s="80"/>
      <c r="AO98" s="1">
        <f t="shared" si="39"/>
        <v>9.5999999999999819</v>
      </c>
      <c r="AP98" s="1">
        <f t="shared" si="45"/>
        <v>25.317616016686294</v>
      </c>
      <c r="AQ98" s="1">
        <f t="shared" si="40"/>
        <v>2.6960899870412245</v>
      </c>
      <c r="AR98" s="1">
        <f t="shared" si="41"/>
        <v>13.536349089150242</v>
      </c>
      <c r="AS98" s="1">
        <f t="shared" si="42"/>
        <v>17.217104685116702</v>
      </c>
      <c r="AT98" s="63">
        <f>AVERAGE(AS$2:$AS98)</f>
        <v>11.687197879044561</v>
      </c>
      <c r="AU98" s="66"/>
      <c r="AZ98" s="1"/>
      <c r="BB98" s="1"/>
    </row>
    <row r="99" spans="1:54" x14ac:dyDescent="0.2">
      <c r="A99" s="101">
        <f t="shared" si="46"/>
        <v>100</v>
      </c>
      <c r="B99" s="137">
        <f t="shared" si="47"/>
        <v>-9.7467180943136427</v>
      </c>
      <c r="D99" s="26"/>
      <c r="F99" s="2"/>
      <c r="H99" s="2"/>
      <c r="I99" s="7"/>
      <c r="J99" s="2"/>
      <c r="Q99" s="1"/>
      <c r="S99" s="68"/>
      <c r="AD99" s="125">
        <f t="shared" si="34"/>
        <v>5.4752075333447845</v>
      </c>
      <c r="AE99" s="80">
        <f t="shared" si="44"/>
        <v>9.6999999999999815</v>
      </c>
      <c r="AF99" s="81">
        <f t="shared" si="35"/>
        <v>10.756021141077895</v>
      </c>
      <c r="AG99" s="81">
        <f t="shared" si="30"/>
        <v>9.6999999999999815</v>
      </c>
      <c r="AH99" s="80">
        <f t="shared" si="36"/>
        <v>19.40437579521355</v>
      </c>
      <c r="AI99" s="80">
        <f t="shared" si="37"/>
        <v>58.891447980445456</v>
      </c>
      <c r="AJ99" s="80"/>
      <c r="AK99" s="80">
        <f t="shared" si="38"/>
        <v>106.24298453380642</v>
      </c>
      <c r="AL99" s="80"/>
      <c r="AO99" s="1">
        <f t="shared" si="39"/>
        <v>9.6999999999999815</v>
      </c>
      <c r="AP99" s="1">
        <f t="shared" si="45"/>
        <v>25.52911750993038</v>
      </c>
      <c r="AQ99" s="1">
        <f t="shared" si="40"/>
        <v>3.1329797029576465</v>
      </c>
      <c r="AR99" s="1">
        <f t="shared" si="41"/>
        <v>13.533261313675609</v>
      </c>
      <c r="AS99" s="1">
        <f t="shared" si="42"/>
        <v>17.235720487934454</v>
      </c>
      <c r="AT99" s="63">
        <f>AVERAGE(AS$2:$AS99)</f>
        <v>11.743815456686296</v>
      </c>
      <c r="AU99" s="66"/>
      <c r="AZ99" s="1"/>
      <c r="BB99" s="1"/>
    </row>
    <row r="100" spans="1:54" x14ac:dyDescent="0.2">
      <c r="A100" s="101">
        <f t="shared" si="46"/>
        <v>200</v>
      </c>
      <c r="B100" s="137">
        <f t="shared" si="47"/>
        <v>-1.6818022625800708</v>
      </c>
      <c r="C100" s="26"/>
      <c r="D100" s="26"/>
      <c r="F100" s="2"/>
      <c r="H100" s="2"/>
      <c r="I100" s="7"/>
      <c r="J100" s="2"/>
      <c r="Q100" s="1"/>
      <c r="S100" s="68"/>
      <c r="AD100" s="125">
        <f t="shared" si="34"/>
        <v>5.4752075333447845</v>
      </c>
      <c r="AE100" s="80">
        <f t="shared" si="44"/>
        <v>9.7999999999999812</v>
      </c>
      <c r="AF100" s="81">
        <f t="shared" si="35"/>
        <v>10.756021141077895</v>
      </c>
      <c r="AG100" s="81">
        <f t="shared" si="30"/>
        <v>9.7999999999999812</v>
      </c>
      <c r="AH100" s="80">
        <f t="shared" si="36"/>
        <v>19.40437579521355</v>
      </c>
      <c r="AI100" s="80">
        <f t="shared" si="37"/>
        <v>58.891447980445456</v>
      </c>
      <c r="AJ100" s="80"/>
      <c r="AK100" s="80">
        <f t="shared" si="38"/>
        <v>106.24298453380642</v>
      </c>
      <c r="AL100" s="80"/>
      <c r="AO100" s="1">
        <f t="shared" si="39"/>
        <v>9.7999999999999812</v>
      </c>
      <c r="AP100" s="1">
        <f t="shared" si="45"/>
        <v>25.52911750993038</v>
      </c>
      <c r="AQ100" s="1">
        <f t="shared" si="40"/>
        <v>3.1329797029576465</v>
      </c>
      <c r="AR100" s="1">
        <f t="shared" si="41"/>
        <v>13.533261313675609</v>
      </c>
      <c r="AS100" s="1">
        <f t="shared" si="42"/>
        <v>17.235720487934454</v>
      </c>
      <c r="AT100" s="63">
        <f>AVERAGE(AS$2:$AS100)</f>
        <v>11.799289244880722</v>
      </c>
      <c r="AU100" s="66"/>
      <c r="AZ100" s="1"/>
      <c r="BB100" s="1"/>
    </row>
    <row r="101" spans="1:54" x14ac:dyDescent="0.2">
      <c r="A101" s="101">
        <f t="shared" si="46"/>
        <v>300</v>
      </c>
      <c r="B101" s="137">
        <f t="shared" si="47"/>
        <v>9.6009066586038045</v>
      </c>
      <c r="C101" s="26"/>
      <c r="D101" s="26"/>
      <c r="F101" s="2"/>
      <c r="H101" s="2"/>
      <c r="I101" s="7"/>
      <c r="J101" s="2"/>
      <c r="S101" s="68"/>
      <c r="AD101" s="125">
        <f t="shared" si="34"/>
        <v>5.43389666078986</v>
      </c>
      <c r="AE101" s="80">
        <f t="shared" si="44"/>
        <v>9.8999999999999808</v>
      </c>
      <c r="AF101" s="81">
        <f t="shared" si="35"/>
        <v>10.743551837645159</v>
      </c>
      <c r="AG101" s="81">
        <f t="shared" si="30"/>
        <v>9.8999999999999808</v>
      </c>
      <c r="AH101" s="80">
        <f t="shared" si="36"/>
        <v>19.381880576345921</v>
      </c>
      <c r="AI101" s="80">
        <f t="shared" si="37"/>
        <v>58.37935045560279</v>
      </c>
      <c r="AJ101" s="80"/>
      <c r="AK101" s="80">
        <f t="shared" si="38"/>
        <v>105.31913614363394</v>
      </c>
      <c r="AL101" s="80"/>
      <c r="AO101" s="1">
        <f t="shared" si="39"/>
        <v>9.8999999999999808</v>
      </c>
      <c r="AP101" s="1">
        <f t="shared" si="45"/>
        <v>25.503399945076676</v>
      </c>
      <c r="AQ101" s="1">
        <f t="shared" si="40"/>
        <v>3.1205103995249104</v>
      </c>
      <c r="AR101" s="1">
        <f t="shared" si="41"/>
        <v>13.51076609480798</v>
      </c>
      <c r="AS101" s="1">
        <f t="shared" si="42"/>
        <v>17.212495502180417</v>
      </c>
      <c r="AT101" s="63">
        <f>AVERAGE(AS$2:$AS101)</f>
        <v>11.853421307453718</v>
      </c>
      <c r="AU101" s="66"/>
      <c r="AZ101" s="1"/>
      <c r="BB101" s="1"/>
    </row>
    <row r="102" spans="1:54" ht="17" thickBot="1" x14ac:dyDescent="0.25">
      <c r="A102" s="101">
        <f t="shared" si="46"/>
        <v>400</v>
      </c>
      <c r="B102" s="137">
        <f t="shared" si="47"/>
        <v>18.992824679603274</v>
      </c>
      <c r="C102" s="26"/>
      <c r="D102" s="26"/>
      <c r="F102" s="2"/>
      <c r="H102" s="2"/>
      <c r="I102" s="7"/>
      <c r="J102" s="2"/>
      <c r="S102" s="68"/>
      <c r="AD102" s="125">
        <f t="shared" si="34"/>
        <v>5.43389666078986</v>
      </c>
      <c r="AE102" s="80">
        <f t="shared" si="44"/>
        <v>9.9999999999999805</v>
      </c>
      <c r="AF102" s="81">
        <f t="shared" si="35"/>
        <v>10.743551837645159</v>
      </c>
      <c r="AG102" s="81">
        <f t="shared" si="30"/>
        <v>9.9999999999999805</v>
      </c>
      <c r="AH102" s="80">
        <f t="shared" si="36"/>
        <v>19.381880576345921</v>
      </c>
      <c r="AI102" s="80">
        <f t="shared" si="37"/>
        <v>58.37935045560279</v>
      </c>
      <c r="AJ102" s="80"/>
      <c r="AK102" s="80">
        <f t="shared" si="38"/>
        <v>105.31913614363394</v>
      </c>
      <c r="AL102" s="80"/>
      <c r="AO102" s="1">
        <f t="shared" si="39"/>
        <v>9.9999999999999805</v>
      </c>
      <c r="AP102" s="1">
        <f t="shared" si="45"/>
        <v>25.503399945076676</v>
      </c>
      <c r="AQ102" s="1">
        <f t="shared" si="40"/>
        <v>3.1205103995249104</v>
      </c>
      <c r="AR102" s="1">
        <f t="shared" si="41"/>
        <v>13.51076609480798</v>
      </c>
      <c r="AS102" s="1">
        <f t="shared" si="42"/>
        <v>17.212495502180417</v>
      </c>
      <c r="AT102" s="63">
        <f>AVERAGE(AS$2:$AS102)</f>
        <v>11.906481447995567</v>
      </c>
      <c r="AU102" s="66"/>
      <c r="AZ102" s="1"/>
      <c r="BB102" s="1"/>
    </row>
    <row r="103" spans="1:54" ht="17" thickBot="1" x14ac:dyDescent="0.25">
      <c r="A103" s="101">
        <f t="shared" si="46"/>
        <v>500</v>
      </c>
      <c r="B103" s="137">
        <f t="shared" si="47"/>
        <v>24.413468194801965</v>
      </c>
      <c r="C103" s="26"/>
      <c r="D103" s="26"/>
      <c r="F103" s="2"/>
      <c r="H103" s="2"/>
      <c r="I103" s="7"/>
      <c r="J103" s="2"/>
      <c r="S103" s="68"/>
      <c r="AD103" s="125">
        <f t="shared" si="34"/>
        <v>5.43389666078986</v>
      </c>
      <c r="AE103" s="80">
        <f t="shared" si="44"/>
        <v>10.09999999999998</v>
      </c>
      <c r="AF103" s="81">
        <f t="shared" si="35"/>
        <v>10.743551837645159</v>
      </c>
      <c r="AG103" s="81">
        <f t="shared" si="30"/>
        <v>10.09999999999998</v>
      </c>
      <c r="AH103" s="80">
        <f t="shared" si="36"/>
        <v>19.381880576345921</v>
      </c>
      <c r="AI103" s="94">
        <f>(SUM(AI2:AI72))/(SUM(AD2:AD72))</f>
        <v>7.9615649767764261</v>
      </c>
      <c r="AJ103" s="65"/>
      <c r="AK103" s="94">
        <f>(SUM(AK2:AK72))/(SUM(AD2:AD72))</f>
        <v>9.4639555232120429</v>
      </c>
      <c r="AO103" s="1">
        <f t="shared" si="39"/>
        <v>10.09999999999998</v>
      </c>
      <c r="AP103" s="1">
        <f>$AP$102</f>
        <v>25.503399945076676</v>
      </c>
      <c r="AT103" s="8"/>
      <c r="AU103" s="66"/>
      <c r="AZ103" s="1"/>
      <c r="BB103" s="1"/>
    </row>
    <row r="104" spans="1:54" x14ac:dyDescent="0.2">
      <c r="A104" s="101">
        <f t="shared" si="46"/>
        <v>600</v>
      </c>
      <c r="B104" s="137">
        <f t="shared" si="47"/>
        <v>42.468855328085951</v>
      </c>
      <c r="C104" s="26"/>
      <c r="D104" s="26"/>
      <c r="F104" s="2"/>
      <c r="H104" s="2"/>
      <c r="I104" s="7"/>
      <c r="J104" s="2"/>
      <c r="S104" s="68"/>
      <c r="AD104" s="125">
        <f t="shared" si="34"/>
        <v>5.3920353704217883</v>
      </c>
      <c r="AE104" s="80">
        <f t="shared" si="44"/>
        <v>10.19999999999998</v>
      </c>
      <c r="AF104" s="81">
        <f t="shared" si="35"/>
        <v>11.108749109815381</v>
      </c>
      <c r="AG104" s="81">
        <f t="shared" si="30"/>
        <v>10.19999999999998</v>
      </c>
      <c r="AH104" s="80">
        <f t="shared" si="36"/>
        <v>18.488063218045312</v>
      </c>
      <c r="AI104" s="99"/>
      <c r="AK104" s="63"/>
      <c r="AO104" s="1">
        <f t="shared" si="39"/>
        <v>10.19999999999998</v>
      </c>
      <c r="AP104" s="1">
        <f t="shared" ref="AP104:AP167" si="48">$AP$102</f>
        <v>25.503399945076676</v>
      </c>
      <c r="AT104" s="8"/>
      <c r="AU104" s="66"/>
      <c r="AZ104" s="1"/>
      <c r="BB104" s="1"/>
    </row>
    <row r="105" spans="1:54" ht="17" thickBot="1" x14ac:dyDescent="0.25">
      <c r="A105" s="101">
        <f t="shared" si="46"/>
        <v>700</v>
      </c>
      <c r="B105" s="137">
        <f t="shared" si="47"/>
        <v>52.07731471765203</v>
      </c>
      <c r="C105" s="26"/>
      <c r="D105" s="26"/>
      <c r="F105" s="2"/>
      <c r="H105" s="2"/>
      <c r="I105" s="7"/>
      <c r="J105" s="2"/>
      <c r="S105" s="68"/>
      <c r="AD105" s="125">
        <f t="shared" si="34"/>
        <v>5.3920353704217883</v>
      </c>
      <c r="AE105" s="80">
        <f t="shared" si="44"/>
        <v>10.299999999999979</v>
      </c>
      <c r="AF105" s="81">
        <f t="shared" si="35"/>
        <v>11.108749109815381</v>
      </c>
      <c r="AG105" s="81">
        <f t="shared" si="30"/>
        <v>10.299999999999979</v>
      </c>
      <c r="AH105" s="80">
        <f t="shared" si="36"/>
        <v>18.488063218045312</v>
      </c>
      <c r="AI105" s="92"/>
      <c r="AJ105" s="97"/>
      <c r="AK105" s="64"/>
      <c r="AO105" s="1">
        <f t="shared" si="39"/>
        <v>10.299999999999979</v>
      </c>
      <c r="AP105" s="1">
        <f t="shared" si="48"/>
        <v>25.503399945076676</v>
      </c>
      <c r="AT105" s="8"/>
      <c r="AU105" s="66"/>
      <c r="AZ105" s="1"/>
      <c r="BB105" s="1"/>
    </row>
    <row r="106" spans="1:54" x14ac:dyDescent="0.2">
      <c r="A106" s="101">
        <f t="shared" si="46"/>
        <v>800</v>
      </c>
      <c r="B106" s="137">
        <f t="shared" si="47"/>
        <v>62.566892769123925</v>
      </c>
      <c r="C106" s="26"/>
      <c r="D106" s="26"/>
      <c r="F106" s="2"/>
      <c r="H106" s="2"/>
      <c r="I106" s="7"/>
      <c r="J106" s="2"/>
      <c r="S106" s="68"/>
      <c r="AD106" s="125">
        <f t="shared" si="34"/>
        <v>5.3920353704217883</v>
      </c>
      <c r="AE106" s="80">
        <f t="shared" si="44"/>
        <v>10.399999999999979</v>
      </c>
      <c r="AF106" s="81">
        <f t="shared" si="35"/>
        <v>11.108749109815381</v>
      </c>
      <c r="AG106" s="81">
        <f t="shared" si="30"/>
        <v>10.399999999999979</v>
      </c>
      <c r="AH106" s="80">
        <f t="shared" si="36"/>
        <v>18.488063218045312</v>
      </c>
      <c r="AO106" s="1">
        <f t="shared" si="39"/>
        <v>10.399999999999979</v>
      </c>
      <c r="AP106" s="1">
        <f t="shared" si="48"/>
        <v>25.503399945076676</v>
      </c>
      <c r="AT106" s="8"/>
      <c r="AU106" s="66"/>
      <c r="AZ106" s="1"/>
      <c r="BB106" s="1"/>
    </row>
    <row r="107" spans="1:54" x14ac:dyDescent="0.2">
      <c r="A107" s="101">
        <f t="shared" si="46"/>
        <v>900</v>
      </c>
      <c r="B107" s="137">
        <f t="shared" si="47"/>
        <v>74.038726681855081</v>
      </c>
      <c r="D107" s="26"/>
      <c r="F107" s="2"/>
      <c r="H107" s="2"/>
      <c r="I107" s="7"/>
      <c r="J107" s="2"/>
      <c r="S107" s="68"/>
      <c r="AD107" s="125">
        <f t="shared" si="34"/>
        <v>5.3496281607824638</v>
      </c>
      <c r="AE107" s="80">
        <f t="shared" si="44"/>
        <v>10.499999999999979</v>
      </c>
      <c r="AF107" s="81">
        <f t="shared" si="35"/>
        <v>10.710079547502117</v>
      </c>
      <c r="AG107" s="81">
        <f t="shared" si="30"/>
        <v>10.499999999999979</v>
      </c>
      <c r="AH107" s="80">
        <f t="shared" si="36"/>
        <v>17.139710108643985</v>
      </c>
      <c r="AO107" s="1">
        <f t="shared" si="39"/>
        <v>10.499999999999979</v>
      </c>
      <c r="AP107" s="1">
        <f t="shared" si="48"/>
        <v>25.503399945076676</v>
      </c>
      <c r="AT107" s="8"/>
      <c r="AU107" s="66"/>
      <c r="AZ107" s="1"/>
      <c r="BB107" s="1"/>
    </row>
    <row r="108" spans="1:54" x14ac:dyDescent="0.2">
      <c r="A108" s="101">
        <f t="shared" si="46"/>
        <v>1000</v>
      </c>
      <c r="B108" s="137">
        <f t="shared" si="47"/>
        <v>87.733017329161854</v>
      </c>
      <c r="C108" s="26"/>
      <c r="D108" s="26"/>
      <c r="F108" s="2"/>
      <c r="H108" s="2"/>
      <c r="I108" s="7"/>
      <c r="J108" s="2"/>
      <c r="S108" s="68"/>
      <c r="AD108" s="125">
        <f t="shared" si="34"/>
        <v>5.3496281607824638</v>
      </c>
      <c r="AE108" s="80">
        <f t="shared" si="44"/>
        <v>10.599999999999978</v>
      </c>
      <c r="AF108" s="81">
        <f t="shared" si="35"/>
        <v>10.710079547502117</v>
      </c>
      <c r="AG108" s="81">
        <f t="shared" si="30"/>
        <v>10.599999999999978</v>
      </c>
      <c r="AH108" s="80">
        <f t="shared" si="36"/>
        <v>17.139710108643985</v>
      </c>
      <c r="AO108" s="1">
        <f t="shared" si="39"/>
        <v>10.599999999999978</v>
      </c>
      <c r="AP108" s="1">
        <f t="shared" si="48"/>
        <v>25.503399945076676</v>
      </c>
      <c r="AT108" s="8"/>
      <c r="AU108" s="66"/>
      <c r="AZ108" s="1"/>
      <c r="BB108" s="1"/>
    </row>
    <row r="109" spans="1:54" x14ac:dyDescent="0.2">
      <c r="A109" s="101">
        <f t="shared" si="46"/>
        <v>1100</v>
      </c>
      <c r="B109" s="137">
        <f t="shared" si="47"/>
        <v>102.76587729156977</v>
      </c>
      <c r="F109" s="2"/>
      <c r="H109" s="2"/>
      <c r="I109" s="7"/>
      <c r="J109" s="2"/>
      <c r="S109" s="68"/>
      <c r="AD109" s="125">
        <f t="shared" si="34"/>
        <v>5.3496281607824638</v>
      </c>
      <c r="AE109" s="80">
        <f t="shared" si="44"/>
        <v>10.699999999999978</v>
      </c>
      <c r="AF109" s="81">
        <f t="shared" si="35"/>
        <v>10.710079547502117</v>
      </c>
      <c r="AG109" s="81">
        <f t="shared" si="30"/>
        <v>10.699999999999978</v>
      </c>
      <c r="AH109" s="80">
        <f t="shared" si="36"/>
        <v>17.139710108643985</v>
      </c>
      <c r="AO109" s="1">
        <f t="shared" si="39"/>
        <v>10.699999999999978</v>
      </c>
      <c r="AP109" s="1">
        <f t="shared" si="48"/>
        <v>25.503399945076676</v>
      </c>
      <c r="AT109" s="8"/>
      <c r="AU109" s="66"/>
      <c r="AZ109" s="1"/>
      <c r="BB109" s="1"/>
    </row>
    <row r="110" spans="1:54" x14ac:dyDescent="0.2">
      <c r="A110" s="101">
        <f t="shared" si="46"/>
        <v>1200</v>
      </c>
      <c r="B110" s="137">
        <f t="shared" si="47"/>
        <v>120.45397025841359</v>
      </c>
      <c r="F110" s="2"/>
      <c r="H110" s="2"/>
      <c r="I110" s="7"/>
      <c r="J110" s="2"/>
      <c r="AD110" s="125">
        <f t="shared" si="34"/>
        <v>5.306682282879664</v>
      </c>
      <c r="AE110" s="80">
        <f t="shared" si="44"/>
        <v>10.799999999999978</v>
      </c>
      <c r="AF110" s="81">
        <f t="shared" si="35"/>
        <v>9.8393006647639503</v>
      </c>
      <c r="AG110" s="81">
        <f t="shared" si="30"/>
        <v>10.799999999999978</v>
      </c>
      <c r="AH110" s="80">
        <f t="shared" si="36"/>
        <v>15.151194362107548</v>
      </c>
      <c r="AO110" s="1">
        <f t="shared" si="39"/>
        <v>10.799999999999978</v>
      </c>
      <c r="AP110" s="1">
        <f t="shared" si="48"/>
        <v>25.503399945076676</v>
      </c>
      <c r="AT110" s="8"/>
      <c r="AU110" s="66"/>
      <c r="AZ110" s="1"/>
      <c r="BB110" s="1"/>
    </row>
    <row r="111" spans="1:54" x14ac:dyDescent="0.2">
      <c r="A111" s="101">
        <f t="shared" si="46"/>
        <v>1300</v>
      </c>
      <c r="B111" s="137">
        <f t="shared" si="47"/>
        <v>138.85200395241532</v>
      </c>
      <c r="F111" s="2"/>
      <c r="H111" s="2"/>
      <c r="I111" s="7"/>
      <c r="J111" s="2"/>
      <c r="AD111" s="125">
        <f t="shared" si="34"/>
        <v>5.306682282879664</v>
      </c>
      <c r="AE111" s="80">
        <f t="shared" si="44"/>
        <v>10.899999999999977</v>
      </c>
      <c r="AF111" s="81">
        <f t="shared" si="35"/>
        <v>9.8393006647639503</v>
      </c>
      <c r="AG111" s="81">
        <f t="shared" si="30"/>
        <v>10.899999999999977</v>
      </c>
      <c r="AH111" s="80">
        <f t="shared" si="36"/>
        <v>15.151194362107548</v>
      </c>
      <c r="AO111" s="1">
        <f t="shared" si="39"/>
        <v>10.899999999999977</v>
      </c>
      <c r="AP111" s="1">
        <f t="shared" si="48"/>
        <v>25.503399945076676</v>
      </c>
      <c r="AT111" s="8"/>
      <c r="AU111" s="66"/>
      <c r="AZ111" s="1"/>
      <c r="BB111" s="1"/>
    </row>
    <row r="112" spans="1:54" x14ac:dyDescent="0.2">
      <c r="A112" s="101">
        <f t="shared" si="46"/>
        <v>1400</v>
      </c>
      <c r="B112" s="137">
        <f t="shared" si="47"/>
        <v>138.85200395241532</v>
      </c>
      <c r="F112" s="2"/>
      <c r="H112" s="2"/>
      <c r="I112" s="7"/>
      <c r="J112" s="2"/>
      <c r="AD112" s="125">
        <f t="shared" si="34"/>
        <v>5.306682282879664</v>
      </c>
      <c r="AE112" s="80">
        <f t="shared" si="44"/>
        <v>10.999999999999977</v>
      </c>
      <c r="AF112" s="81">
        <f t="shared" si="35"/>
        <v>9.8393006647639503</v>
      </c>
      <c r="AG112" s="81">
        <f t="shared" si="30"/>
        <v>10.999999999999977</v>
      </c>
      <c r="AH112" s="80">
        <f t="shared" si="36"/>
        <v>15.151194362107548</v>
      </c>
      <c r="AO112" s="1">
        <f t="shared" si="39"/>
        <v>10.999999999999977</v>
      </c>
      <c r="AP112" s="1">
        <f t="shared" si="48"/>
        <v>25.503399945076676</v>
      </c>
      <c r="AT112" s="8"/>
      <c r="AU112" s="66"/>
      <c r="AZ112" s="1"/>
      <c r="BB112" s="1"/>
    </row>
    <row r="113" spans="1:54" x14ac:dyDescent="0.2">
      <c r="A113" s="101">
        <f t="shared" si="46"/>
        <v>1500</v>
      </c>
      <c r="B113" s="137">
        <f t="shared" si="47"/>
        <v>159.76087567238287</v>
      </c>
      <c r="F113" s="2"/>
      <c r="H113" s="2"/>
      <c r="I113" s="7"/>
      <c r="J113" s="2"/>
      <c r="AD113" s="125">
        <f t="shared" si="34"/>
        <v>5.263156401454447</v>
      </c>
      <c r="AE113" s="80">
        <f t="shared" si="44"/>
        <v>11.099999999999977</v>
      </c>
      <c r="AF113" s="81">
        <f t="shared" si="35"/>
        <v>8.169536371561172</v>
      </c>
      <c r="AG113" s="81">
        <f t="shared" si="30"/>
        <v>11.099999999999977</v>
      </c>
      <c r="AH113" s="80">
        <f t="shared" si="36"/>
        <v>13.073991141666077</v>
      </c>
      <c r="AO113" s="1">
        <f t="shared" si="39"/>
        <v>11.099999999999977</v>
      </c>
      <c r="AP113" s="1">
        <f t="shared" si="48"/>
        <v>25.503399945076676</v>
      </c>
      <c r="AT113" s="8"/>
      <c r="AU113" s="66"/>
      <c r="AZ113" s="1"/>
      <c r="BB113" s="1"/>
    </row>
    <row r="114" spans="1:54" x14ac:dyDescent="0.2">
      <c r="A114" s="101">
        <f t="shared" si="46"/>
        <v>1600</v>
      </c>
      <c r="B114" s="137">
        <f t="shared" si="47"/>
        <v>183.57777253080846</v>
      </c>
      <c r="F114" s="2"/>
      <c r="H114" s="2"/>
      <c r="I114" s="7"/>
      <c r="J114" s="2"/>
      <c r="AD114" s="125">
        <f t="shared" si="34"/>
        <v>5.263156401454447</v>
      </c>
      <c r="AE114" s="80">
        <f t="shared" si="44"/>
        <v>11.199999999999976</v>
      </c>
      <c r="AF114" s="81">
        <f t="shared" si="35"/>
        <v>8.169536371561172</v>
      </c>
      <c r="AG114" s="81">
        <f t="shared" si="30"/>
        <v>11.199999999999976</v>
      </c>
      <c r="AH114" s="80">
        <f t="shared" si="36"/>
        <v>13.073991141666077</v>
      </c>
      <c r="AO114" s="1">
        <f t="shared" si="39"/>
        <v>11.199999999999976</v>
      </c>
      <c r="AP114" s="1">
        <f t="shared" si="48"/>
        <v>25.503399945076676</v>
      </c>
      <c r="AT114" s="8"/>
      <c r="AU114" s="66"/>
      <c r="AZ114" s="1"/>
      <c r="BB114" s="1"/>
    </row>
    <row r="115" spans="1:54" x14ac:dyDescent="0.2">
      <c r="A115" s="101">
        <f t="shared" si="46"/>
        <v>1700</v>
      </c>
      <c r="B115" s="137">
        <f t="shared" si="47"/>
        <v>183.57777253080846</v>
      </c>
      <c r="F115" s="2"/>
      <c r="H115" s="2"/>
      <c r="I115" s="7"/>
      <c r="J115" s="2"/>
      <c r="AD115" s="125">
        <f t="shared" si="34"/>
        <v>5.2190576855624045</v>
      </c>
      <c r="AE115" s="80">
        <f t="shared" si="44"/>
        <v>11.299999999999976</v>
      </c>
      <c r="AF115" s="81">
        <f t="shared" si="35"/>
        <v>6.1146830724336194</v>
      </c>
      <c r="AG115" s="81">
        <f t="shared" si="30"/>
        <v>11.299999999999976</v>
      </c>
      <c r="AH115" s="80">
        <f t="shared" si="36"/>
        <v>11.500046281531123</v>
      </c>
      <c r="AO115" s="1">
        <f t="shared" si="39"/>
        <v>11.299999999999976</v>
      </c>
      <c r="AP115" s="1">
        <f t="shared" si="48"/>
        <v>25.503399945076676</v>
      </c>
      <c r="AT115" s="8"/>
      <c r="AU115" s="66"/>
      <c r="AZ115" s="1"/>
      <c r="BB115" s="1"/>
    </row>
    <row r="116" spans="1:54" x14ac:dyDescent="0.2">
      <c r="A116" s="101">
        <f t="shared" si="46"/>
        <v>1800</v>
      </c>
      <c r="B116" s="137">
        <f t="shared" si="47"/>
        <v>208.26083078147053</v>
      </c>
      <c r="F116" s="2"/>
      <c r="H116" s="2"/>
      <c r="I116" s="7"/>
      <c r="J116" s="2"/>
      <c r="AD116" s="125">
        <f t="shared" si="34"/>
        <v>5.2190576855624045</v>
      </c>
      <c r="AE116" s="80">
        <f t="shared" si="44"/>
        <v>11.399999999999975</v>
      </c>
      <c r="AF116" s="81">
        <f t="shared" si="35"/>
        <v>6.1146830724336194</v>
      </c>
      <c r="AG116" s="81">
        <f t="shared" si="30"/>
        <v>11.399999999999975</v>
      </c>
      <c r="AH116" s="80">
        <f t="shared" si="36"/>
        <v>11.500046281531123</v>
      </c>
      <c r="AO116" s="1">
        <f t="shared" si="39"/>
        <v>11.399999999999975</v>
      </c>
      <c r="AP116" s="1">
        <f t="shared" si="48"/>
        <v>25.503399945076676</v>
      </c>
      <c r="AT116" s="8"/>
      <c r="AU116" s="66"/>
      <c r="AZ116" s="1"/>
      <c r="BB116" s="1"/>
    </row>
    <row r="117" spans="1:54" x14ac:dyDescent="0.2">
      <c r="A117" s="101">
        <f t="shared" si="46"/>
        <v>1900</v>
      </c>
      <c r="B117" s="137">
        <f t="shared" si="47"/>
        <v>234.79918667761368</v>
      </c>
      <c r="F117" s="2"/>
      <c r="H117" s="2"/>
      <c r="I117" s="7"/>
      <c r="J117" s="2"/>
      <c r="AD117" s="125">
        <f t="shared" si="34"/>
        <v>5.2190576855624045</v>
      </c>
      <c r="AE117" s="80">
        <f t="shared" si="44"/>
        <v>11.499999999999975</v>
      </c>
      <c r="AF117" s="81">
        <f t="shared" si="35"/>
        <v>6.1146830724336194</v>
      </c>
      <c r="AG117" s="81">
        <f t="shared" si="30"/>
        <v>11.499999999999975</v>
      </c>
      <c r="AH117" s="80">
        <f t="shared" si="36"/>
        <v>11.500046281531123</v>
      </c>
      <c r="AO117" s="1">
        <f t="shared" si="39"/>
        <v>11.499999999999975</v>
      </c>
      <c r="AP117" s="1">
        <f t="shared" si="48"/>
        <v>25.503399945076676</v>
      </c>
      <c r="AT117" s="8"/>
      <c r="AU117" s="66"/>
      <c r="AZ117" s="1"/>
      <c r="BB117" s="1"/>
    </row>
    <row r="118" spans="1:54" x14ac:dyDescent="0.2">
      <c r="A118" s="101">
        <f t="shared" si="46"/>
        <v>2000</v>
      </c>
      <c r="B118" s="137">
        <f t="shared" si="47"/>
        <v>234.79918667761368</v>
      </c>
      <c r="F118" s="2"/>
      <c r="H118" s="2"/>
      <c r="I118" s="7"/>
      <c r="J118" s="2"/>
      <c r="AD118" s="125">
        <f t="shared" si="34"/>
        <v>5.1743401867283261</v>
      </c>
      <c r="AE118" s="80">
        <f t="shared" si="44"/>
        <v>11.599999999999975</v>
      </c>
      <c r="AF118" s="81">
        <f t="shared" si="35"/>
        <v>5.770593339861426</v>
      </c>
      <c r="AG118" s="81">
        <f t="shared" si="30"/>
        <v>11.599999999999975</v>
      </c>
      <c r="AH118" s="80">
        <f t="shared" si="36"/>
        <v>11.325427111810088</v>
      </c>
      <c r="AO118" s="1">
        <f t="shared" si="39"/>
        <v>11.599999999999975</v>
      </c>
      <c r="AP118" s="1">
        <f t="shared" si="48"/>
        <v>25.503399945076676</v>
      </c>
      <c r="AT118" s="8"/>
      <c r="AU118" s="66"/>
      <c r="AZ118" s="1"/>
      <c r="BB118" s="1"/>
    </row>
    <row r="119" spans="1:54" x14ac:dyDescent="0.2">
      <c r="A119" s="101">
        <f t="shared" si="46"/>
        <v>2100</v>
      </c>
      <c r="B119" s="137">
        <f t="shared" si="47"/>
        <v>259.46707927793051</v>
      </c>
      <c r="I119" s="7"/>
      <c r="J119" s="2"/>
      <c r="AD119" s="125">
        <f t="shared" si="34"/>
        <v>5.1743401867283261</v>
      </c>
      <c r="AE119" s="80">
        <f t="shared" si="44"/>
        <v>11.699999999999974</v>
      </c>
      <c r="AF119" s="81">
        <f t="shared" si="35"/>
        <v>5.770593339861426</v>
      </c>
      <c r="AG119" s="81">
        <f t="shared" si="30"/>
        <v>11.699999999999974</v>
      </c>
      <c r="AH119" s="80">
        <f t="shared" si="36"/>
        <v>11.325427111810088</v>
      </c>
      <c r="AO119" s="1">
        <f t="shared" si="39"/>
        <v>11.699999999999974</v>
      </c>
      <c r="AP119" s="1">
        <f t="shared" si="48"/>
        <v>25.503399945076676</v>
      </c>
      <c r="AT119" s="8"/>
      <c r="AU119" s="66"/>
      <c r="AZ119" s="1"/>
      <c r="BB119" s="1"/>
    </row>
    <row r="120" spans="1:54" x14ac:dyDescent="0.2">
      <c r="A120" s="101">
        <f t="shared" si="46"/>
        <v>2200</v>
      </c>
      <c r="B120" s="137">
        <f t="shared" si="47"/>
        <v>259.46707927793051</v>
      </c>
      <c r="I120" s="7"/>
      <c r="J120" s="2"/>
      <c r="AD120" s="125">
        <f t="shared" si="34"/>
        <v>5.1743401867283261</v>
      </c>
      <c r="AE120" s="80">
        <f t="shared" si="44"/>
        <v>11.799999999999974</v>
      </c>
      <c r="AF120" s="81">
        <f t="shared" si="35"/>
        <v>5.770593339861426</v>
      </c>
      <c r="AG120" s="81">
        <f t="shared" si="30"/>
        <v>11.799999999999974</v>
      </c>
      <c r="AH120" s="80">
        <f t="shared" si="36"/>
        <v>11.325427111810088</v>
      </c>
      <c r="AO120" s="1">
        <f t="shared" si="39"/>
        <v>11.799999999999974</v>
      </c>
      <c r="AP120" s="1">
        <f t="shared" si="48"/>
        <v>25.503399945076676</v>
      </c>
      <c r="AT120" s="8"/>
      <c r="AU120" s="66"/>
      <c r="AZ120" s="1"/>
      <c r="BB120" s="1"/>
    </row>
    <row r="121" spans="1:54" x14ac:dyDescent="0.2">
      <c r="A121" s="101">
        <f t="shared" si="46"/>
        <v>2300</v>
      </c>
      <c r="B121" s="137">
        <f t="shared" si="47"/>
        <v>281.34768197194728</v>
      </c>
      <c r="I121" s="7"/>
      <c r="J121" s="2"/>
      <c r="AD121" s="125">
        <f t="shared" si="34"/>
        <v>5.1290107468315771</v>
      </c>
      <c r="AE121" s="80">
        <f t="shared" si="44"/>
        <v>11.899999999999974</v>
      </c>
      <c r="AF121" s="81">
        <f t="shared" si="35"/>
        <v>6.9902915043916849</v>
      </c>
      <c r="AG121" s="81">
        <f t="shared" si="30"/>
        <v>11.899999999999974</v>
      </c>
      <c r="AH121" s="80">
        <f t="shared" si="36"/>
        <v>12.61081969719072</v>
      </c>
      <c r="AO121" s="1">
        <f t="shared" si="39"/>
        <v>11.899999999999974</v>
      </c>
      <c r="AP121" s="1">
        <f t="shared" si="48"/>
        <v>25.503399945076676</v>
      </c>
      <c r="AT121" s="8"/>
      <c r="AU121" s="66"/>
      <c r="AZ121" s="1"/>
      <c r="BB121" s="1"/>
    </row>
    <row r="122" spans="1:54" x14ac:dyDescent="0.2">
      <c r="A122" s="101">
        <f t="shared" si="46"/>
        <v>2400</v>
      </c>
      <c r="B122" s="137">
        <f t="shared" si="47"/>
        <v>298.53644024031581</v>
      </c>
      <c r="I122" s="7"/>
      <c r="J122" s="2"/>
      <c r="AD122" s="125">
        <f t="shared" si="34"/>
        <v>5.1290107468315771</v>
      </c>
      <c r="AE122" s="80">
        <f t="shared" si="44"/>
        <v>11.999999999999973</v>
      </c>
      <c r="AF122" s="81">
        <f t="shared" si="35"/>
        <v>6.9902915043916849</v>
      </c>
      <c r="AG122" s="81">
        <f t="shared" si="30"/>
        <v>11.999999999999973</v>
      </c>
      <c r="AH122" s="80">
        <f t="shared" si="36"/>
        <v>12.61081969719072</v>
      </c>
      <c r="AO122" s="1">
        <f t="shared" si="39"/>
        <v>11.999999999999973</v>
      </c>
      <c r="AP122" s="1">
        <f t="shared" si="48"/>
        <v>25.503399945076676</v>
      </c>
      <c r="AT122" s="8"/>
      <c r="AU122" s="66"/>
      <c r="AZ122" s="1"/>
      <c r="BB122" s="1"/>
    </row>
    <row r="123" spans="1:54" x14ac:dyDescent="0.2">
      <c r="A123" s="101">
        <f t="shared" si="46"/>
        <v>2500</v>
      </c>
      <c r="B123" s="137">
        <f t="shared" si="47"/>
        <v>298.53644024031581</v>
      </c>
      <c r="I123" s="7"/>
      <c r="J123" s="2"/>
      <c r="AD123" s="125">
        <f t="shared" si="34"/>
        <v>5.1290107468315771</v>
      </c>
      <c r="AE123" s="80">
        <f t="shared" si="44"/>
        <v>12.099999999999973</v>
      </c>
      <c r="AF123" s="81">
        <f t="shared" si="35"/>
        <v>6.9902915043916849</v>
      </c>
      <c r="AG123" s="81">
        <f t="shared" si="30"/>
        <v>12.099999999999973</v>
      </c>
      <c r="AH123" s="80">
        <f t="shared" si="36"/>
        <v>12.61081969719072</v>
      </c>
      <c r="AO123" s="1">
        <f t="shared" si="39"/>
        <v>12.099999999999973</v>
      </c>
      <c r="AP123" s="1">
        <f t="shared" si="48"/>
        <v>25.503399945076676</v>
      </c>
      <c r="AT123" s="8"/>
      <c r="AU123" s="66"/>
      <c r="AZ123" s="1"/>
      <c r="BB123" s="1"/>
    </row>
    <row r="124" spans="1:54" x14ac:dyDescent="0.2">
      <c r="A124" s="101">
        <f t="shared" si="46"/>
        <v>2600</v>
      </c>
      <c r="B124" s="137">
        <f t="shared" si="47"/>
        <v>312.80470516618277</v>
      </c>
      <c r="I124" s="7"/>
      <c r="J124" s="2"/>
      <c r="AD124" s="125">
        <f t="shared" si="34"/>
        <v>5.0830799789924246</v>
      </c>
      <c r="AE124" s="80">
        <f t="shared" si="44"/>
        <v>12.199999999999973</v>
      </c>
      <c r="AF124" s="81">
        <f t="shared" si="35"/>
        <v>9.0464413002627566</v>
      </c>
      <c r="AG124" s="81">
        <f t="shared" si="30"/>
        <v>12.199999999999973</v>
      </c>
      <c r="AH124" s="80">
        <f t="shared" si="36"/>
        <v>13.930298005479862</v>
      </c>
      <c r="AO124" s="1">
        <f t="shared" si="39"/>
        <v>12.199999999999973</v>
      </c>
      <c r="AP124" s="1">
        <f t="shared" si="48"/>
        <v>25.503399945076676</v>
      </c>
      <c r="AT124" s="8"/>
      <c r="AU124" s="66"/>
      <c r="AZ124" s="1"/>
      <c r="BB124" s="1"/>
    </row>
    <row r="125" spans="1:54" x14ac:dyDescent="0.2">
      <c r="A125" s="101">
        <f t="shared" si="46"/>
        <v>2700</v>
      </c>
      <c r="B125" s="137">
        <f t="shared" si="47"/>
        <v>312.80470516618277</v>
      </c>
      <c r="I125" s="7"/>
      <c r="J125" s="2"/>
      <c r="AD125" s="125">
        <f t="shared" si="34"/>
        <v>5.0830799789924246</v>
      </c>
      <c r="AE125" s="80">
        <f t="shared" si="44"/>
        <v>12.299999999999972</v>
      </c>
      <c r="AF125" s="81">
        <f t="shared" si="35"/>
        <v>9.0464413002627566</v>
      </c>
      <c r="AG125" s="81">
        <f t="shared" si="30"/>
        <v>12.299999999999972</v>
      </c>
      <c r="AH125" s="80">
        <f t="shared" si="36"/>
        <v>13.930298005479862</v>
      </c>
      <c r="AO125" s="1">
        <f t="shared" si="39"/>
        <v>12.299999999999972</v>
      </c>
      <c r="AP125" s="1">
        <f t="shared" si="48"/>
        <v>25.503399945076676</v>
      </c>
      <c r="AT125" s="8"/>
      <c r="AU125" s="66"/>
      <c r="AZ125" s="1"/>
      <c r="BB125" s="1"/>
    </row>
    <row r="126" spans="1:54" x14ac:dyDescent="0.2">
      <c r="A126" s="101">
        <f t="shared" si="46"/>
        <v>2800</v>
      </c>
      <c r="B126" s="137">
        <f t="shared" si="47"/>
        <v>321.21524892926033</v>
      </c>
      <c r="I126" s="7"/>
      <c r="J126" s="2"/>
      <c r="AD126" s="125">
        <f t="shared" si="34"/>
        <v>5.0830799789924246</v>
      </c>
      <c r="AE126" s="80">
        <f t="shared" si="44"/>
        <v>12.399999999999972</v>
      </c>
      <c r="AF126" s="81">
        <f t="shared" si="35"/>
        <v>9.0464413002627566</v>
      </c>
      <c r="AG126" s="81">
        <f t="shared" si="30"/>
        <v>12.399999999999972</v>
      </c>
      <c r="AH126" s="80">
        <f t="shared" si="36"/>
        <v>13.930298005479862</v>
      </c>
      <c r="AO126" s="1">
        <f t="shared" si="39"/>
        <v>12.399999999999972</v>
      </c>
      <c r="AP126" s="1">
        <f t="shared" si="48"/>
        <v>25.503399945076676</v>
      </c>
      <c r="AT126" s="8"/>
      <c r="AU126" s="66"/>
      <c r="AZ126" s="1"/>
      <c r="BB126" s="1"/>
    </row>
    <row r="127" spans="1:54" x14ac:dyDescent="0.2">
      <c r="A127" s="101">
        <f t="shared" si="46"/>
        <v>2900</v>
      </c>
      <c r="B127" s="137">
        <f t="shared" si="47"/>
        <v>321.21524892926033</v>
      </c>
      <c r="I127" s="7"/>
      <c r="J127" s="2"/>
      <c r="AD127" s="125">
        <f t="shared" si="34"/>
        <v>5.0364329869173963</v>
      </c>
      <c r="AE127" s="80">
        <f t="shared" si="44"/>
        <v>12.499999999999972</v>
      </c>
      <c r="AF127" s="81">
        <f t="shared" si="35"/>
        <v>11.70903953917384</v>
      </c>
      <c r="AG127" s="81">
        <f t="shared" si="30"/>
        <v>12.499999999999972</v>
      </c>
      <c r="AH127" s="80">
        <f t="shared" si="36"/>
        <v>14.459459632682259</v>
      </c>
      <c r="AO127" s="1">
        <f t="shared" si="39"/>
        <v>12.499999999999972</v>
      </c>
      <c r="AP127" s="1">
        <f t="shared" si="48"/>
        <v>25.503399945076676</v>
      </c>
      <c r="AT127" s="8"/>
      <c r="AU127" s="66"/>
      <c r="AZ127" s="1"/>
      <c r="BB127" s="1"/>
    </row>
    <row r="128" spans="1:54" x14ac:dyDescent="0.2">
      <c r="A128" s="101">
        <f t="shared" si="46"/>
        <v>3000</v>
      </c>
      <c r="B128" s="137">
        <f t="shared" si="47"/>
        <v>321.21524892926033</v>
      </c>
      <c r="I128" s="7"/>
      <c r="J128" s="2"/>
      <c r="AD128" s="125">
        <f t="shared" si="34"/>
        <v>5.0364329869173963</v>
      </c>
      <c r="AE128" s="80">
        <f t="shared" si="44"/>
        <v>12.599999999999971</v>
      </c>
      <c r="AF128" s="81">
        <f t="shared" si="35"/>
        <v>11.70903953917384</v>
      </c>
      <c r="AG128" s="81">
        <f t="shared" si="30"/>
        <v>12.599999999999971</v>
      </c>
      <c r="AH128" s="80">
        <f t="shared" si="36"/>
        <v>14.459459632682259</v>
      </c>
      <c r="AO128" s="1">
        <f t="shared" si="39"/>
        <v>12.599999999999971</v>
      </c>
      <c r="AP128" s="1">
        <f t="shared" si="48"/>
        <v>25.503399945076676</v>
      </c>
      <c r="AT128" s="8"/>
      <c r="AU128" s="66"/>
      <c r="AZ128" s="1"/>
      <c r="BB128" s="1"/>
    </row>
    <row r="129" spans="1:54" x14ac:dyDescent="0.2">
      <c r="A129" s="101">
        <f t="shared" si="46"/>
        <v>3100</v>
      </c>
      <c r="B129" s="137">
        <f t="shared" si="47"/>
        <v>329.33182124981687</v>
      </c>
      <c r="I129" s="7"/>
      <c r="J129" s="2"/>
      <c r="AD129" s="125">
        <f t="shared" si="34"/>
        <v>5.0364329869173963</v>
      </c>
      <c r="AE129" s="80">
        <f t="shared" si="44"/>
        <v>12.699999999999971</v>
      </c>
      <c r="AF129" s="81">
        <f t="shared" si="35"/>
        <v>11.70903953917384</v>
      </c>
      <c r="AG129" s="81">
        <f t="shared" si="30"/>
        <v>12.699999999999971</v>
      </c>
      <c r="AH129" s="80">
        <f t="shared" si="36"/>
        <v>14.459459632682259</v>
      </c>
      <c r="AO129" s="1">
        <f t="shared" si="39"/>
        <v>12.699999999999971</v>
      </c>
      <c r="AP129" s="1">
        <f t="shared" si="48"/>
        <v>25.503399945076676</v>
      </c>
      <c r="AT129" s="8"/>
      <c r="AU129" s="66"/>
      <c r="AZ129" s="1"/>
      <c r="BB129" s="1"/>
    </row>
    <row r="130" spans="1:54" x14ac:dyDescent="0.2">
      <c r="A130" s="101">
        <f t="shared" si="46"/>
        <v>3200</v>
      </c>
      <c r="B130" s="137">
        <f t="shared" si="47"/>
        <v>329.33182124981687</v>
      </c>
      <c r="I130" s="7"/>
      <c r="J130" s="2"/>
      <c r="AD130" s="125">
        <f t="shared" si="34"/>
        <v>4.989207346682635</v>
      </c>
      <c r="AE130" s="80">
        <f t="shared" si="44"/>
        <v>12.799999999999971</v>
      </c>
      <c r="AF130" s="81">
        <f t="shared" si="35"/>
        <v>14.651275133602264</v>
      </c>
      <c r="AG130" s="81">
        <f t="shared" ref="AG130:AG193" si="49">AE130</f>
        <v>12.799999999999971</v>
      </c>
      <c r="AH130" s="80">
        <f t="shared" si="36"/>
        <v>14.651275133602264</v>
      </c>
      <c r="AO130" s="1">
        <f t="shared" si="39"/>
        <v>12.799999999999971</v>
      </c>
      <c r="AP130" s="1">
        <f t="shared" si="48"/>
        <v>25.503399945076676</v>
      </c>
      <c r="AT130" s="8"/>
      <c r="AU130" s="66"/>
      <c r="AZ130" s="1"/>
      <c r="BB130" s="1"/>
    </row>
    <row r="131" spans="1:54" x14ac:dyDescent="0.2">
      <c r="A131" s="101">
        <f t="shared" si="46"/>
        <v>3300</v>
      </c>
      <c r="B131" s="137">
        <f t="shared" si="47"/>
        <v>336.60463504699624</v>
      </c>
      <c r="I131" s="7"/>
      <c r="J131" s="2"/>
      <c r="AD131" s="125">
        <f t="shared" ref="AD131:AD194" si="50">LN(VLOOKUP(AE131,$V$2:$W$94,2))</f>
        <v>4.989207346682635</v>
      </c>
      <c r="AE131" s="80">
        <f t="shared" si="44"/>
        <v>12.89999999999997</v>
      </c>
      <c r="AF131" s="81">
        <f t="shared" ref="AF131:AF194" si="51">VLOOKUP(AE131,$R$2:$S$94,2)</f>
        <v>14.651275133602264</v>
      </c>
      <c r="AG131" s="81">
        <f t="shared" si="49"/>
        <v>12.89999999999997</v>
      </c>
      <c r="AH131" s="80">
        <f t="shared" ref="AH131:AH194" si="52">VLOOKUP(AE131,$T$2:$U$94,2)</f>
        <v>14.651275133602264</v>
      </c>
      <c r="AO131" s="1">
        <f t="shared" ref="AO131:AO194" si="53">AE131</f>
        <v>12.89999999999997</v>
      </c>
      <c r="AP131" s="1">
        <f t="shared" si="48"/>
        <v>25.503399945076676</v>
      </c>
      <c r="AT131" s="8"/>
      <c r="AU131" s="66"/>
      <c r="AZ131" s="1"/>
      <c r="BB131" s="1"/>
    </row>
    <row r="132" spans="1:54" x14ac:dyDescent="0.2">
      <c r="A132" s="101">
        <f t="shared" si="46"/>
        <v>3400</v>
      </c>
      <c r="B132" s="137">
        <f t="shared" si="47"/>
        <v>336.60463504699624</v>
      </c>
      <c r="I132" s="7"/>
      <c r="J132" s="2"/>
      <c r="AD132" s="125">
        <f t="shared" si="50"/>
        <v>4.989207346682635</v>
      </c>
      <c r="AE132" s="80">
        <f t="shared" ref="AE132:AE195" si="54">AE131+0.1</f>
        <v>12.99999999999997</v>
      </c>
      <c r="AF132" s="81">
        <f t="shared" si="51"/>
        <v>14.651275133602264</v>
      </c>
      <c r="AG132" s="81">
        <f t="shared" si="49"/>
        <v>12.99999999999997</v>
      </c>
      <c r="AH132" s="80">
        <f t="shared" si="52"/>
        <v>14.651275133602264</v>
      </c>
      <c r="AO132" s="1">
        <f t="shared" si="53"/>
        <v>12.99999999999997</v>
      </c>
      <c r="AP132" s="1">
        <f t="shared" si="48"/>
        <v>25.503399945076676</v>
      </c>
      <c r="AT132" s="8"/>
      <c r="AU132" s="66"/>
      <c r="AZ132" s="1"/>
      <c r="BB132" s="1"/>
    </row>
    <row r="133" spans="1:54" x14ac:dyDescent="0.2">
      <c r="A133" s="101">
        <f t="shared" si="46"/>
        <v>3500</v>
      </c>
      <c r="B133" s="137">
        <f t="shared" si="47"/>
        <v>339.57721755911717</v>
      </c>
      <c r="I133" s="7"/>
      <c r="J133" s="2"/>
      <c r="AD133" s="125">
        <f t="shared" si="50"/>
        <v>4.9413566674994875</v>
      </c>
      <c r="AE133" s="80">
        <f t="shared" si="54"/>
        <v>13.099999999999969</v>
      </c>
      <c r="AF133" s="81">
        <f t="shared" si="51"/>
        <v>17.606299725625171</v>
      </c>
      <c r="AG133" s="81">
        <f t="shared" si="49"/>
        <v>13.099999999999969</v>
      </c>
      <c r="AH133" s="80">
        <f t="shared" si="52"/>
        <v>14.773439606168729</v>
      </c>
      <c r="AO133" s="1">
        <f t="shared" si="53"/>
        <v>13.099999999999969</v>
      </c>
      <c r="AP133" s="1">
        <f t="shared" si="48"/>
        <v>25.503399945076676</v>
      </c>
      <c r="AT133" s="8"/>
      <c r="AU133" s="66"/>
      <c r="AZ133" s="1"/>
      <c r="BB133" s="1"/>
    </row>
    <row r="134" spans="1:54" x14ac:dyDescent="0.2">
      <c r="A134" s="101">
        <f t="shared" si="46"/>
        <v>3600</v>
      </c>
      <c r="B134" s="137">
        <f t="shared" si="47"/>
        <v>339.57721755911717</v>
      </c>
      <c r="I134" s="7"/>
      <c r="J134" s="2"/>
      <c r="AD134" s="125">
        <f t="shared" si="50"/>
        <v>4.9413566674994875</v>
      </c>
      <c r="AE134" s="80">
        <f t="shared" si="54"/>
        <v>13.199999999999969</v>
      </c>
      <c r="AF134" s="81">
        <f t="shared" si="51"/>
        <v>17.606299725625171</v>
      </c>
      <c r="AG134" s="81">
        <f t="shared" si="49"/>
        <v>13.199999999999969</v>
      </c>
      <c r="AH134" s="80">
        <f t="shared" si="52"/>
        <v>14.773439606168729</v>
      </c>
      <c r="AO134" s="1">
        <f t="shared" si="53"/>
        <v>13.199999999999969</v>
      </c>
      <c r="AP134" s="1">
        <f t="shared" si="48"/>
        <v>25.503399945076676</v>
      </c>
      <c r="AT134" s="8"/>
      <c r="AU134" s="66"/>
      <c r="AZ134" s="1"/>
      <c r="BB134" s="1"/>
    </row>
    <row r="135" spans="1:54" x14ac:dyDescent="0.2">
      <c r="A135" s="101">
        <f t="shared" si="46"/>
        <v>3700</v>
      </c>
      <c r="B135" s="137">
        <f t="shared" si="47"/>
        <v>340.67003073812572</v>
      </c>
      <c r="I135" s="7"/>
      <c r="J135" s="2"/>
      <c r="AD135" s="125">
        <f t="shared" si="50"/>
        <v>4.9413566674994875</v>
      </c>
      <c r="AE135" s="80">
        <f t="shared" si="54"/>
        <v>13.299999999999969</v>
      </c>
      <c r="AF135" s="81">
        <f t="shared" si="51"/>
        <v>17.606299725625171</v>
      </c>
      <c r="AG135" s="81">
        <f t="shared" si="49"/>
        <v>13.299999999999969</v>
      </c>
      <c r="AH135" s="80">
        <f t="shared" si="52"/>
        <v>14.773439606168729</v>
      </c>
      <c r="AO135" s="1">
        <f t="shared" si="53"/>
        <v>13.299999999999969</v>
      </c>
      <c r="AP135" s="1">
        <f t="shared" si="48"/>
        <v>25.503399945076676</v>
      </c>
      <c r="AT135" s="8"/>
      <c r="AU135" s="66"/>
      <c r="AZ135" s="1"/>
      <c r="BB135" s="1"/>
    </row>
    <row r="136" spans="1:54" x14ac:dyDescent="0.2">
      <c r="A136" s="101">
        <f t="shared" si="46"/>
        <v>3800</v>
      </c>
      <c r="B136" s="137">
        <f t="shared" si="47"/>
        <v>340.67003073812572</v>
      </c>
      <c r="I136" s="7"/>
      <c r="J136" s="2"/>
      <c r="AD136" s="125">
        <f t="shared" si="50"/>
        <v>4.8928272581273671</v>
      </c>
      <c r="AE136" s="80">
        <f t="shared" si="54"/>
        <v>13.399999999999968</v>
      </c>
      <c r="AF136" s="81">
        <f t="shared" si="51"/>
        <v>20.021377829120414</v>
      </c>
      <c r="AG136" s="81">
        <f t="shared" si="49"/>
        <v>13.399999999999968</v>
      </c>
      <c r="AH136" s="80">
        <f t="shared" si="52"/>
        <v>14.546382462119629</v>
      </c>
      <c r="AO136" s="1">
        <f t="shared" si="53"/>
        <v>13.399999999999968</v>
      </c>
      <c r="AP136" s="1">
        <f t="shared" si="48"/>
        <v>25.503399945076676</v>
      </c>
      <c r="AT136" s="8"/>
      <c r="AU136" s="66"/>
      <c r="AZ136" s="1"/>
      <c r="BB136" s="1"/>
    </row>
    <row r="137" spans="1:54" x14ac:dyDescent="0.2">
      <c r="A137" s="101">
        <f t="shared" si="46"/>
        <v>3900</v>
      </c>
      <c r="B137" s="137">
        <f t="shared" si="47"/>
        <v>340.67003073812572</v>
      </c>
      <c r="I137" s="7"/>
      <c r="J137" s="2"/>
      <c r="AD137" s="125">
        <f t="shared" si="50"/>
        <v>4.8928272581273671</v>
      </c>
      <c r="AE137" s="80">
        <f t="shared" si="54"/>
        <v>13.499999999999968</v>
      </c>
      <c r="AF137" s="81">
        <f t="shared" si="51"/>
        <v>20.021377829120414</v>
      </c>
      <c r="AG137" s="81">
        <f t="shared" si="49"/>
        <v>13.499999999999968</v>
      </c>
      <c r="AH137" s="80">
        <f t="shared" si="52"/>
        <v>14.546382462119629</v>
      </c>
      <c r="AO137" s="1">
        <f t="shared" si="53"/>
        <v>13.499999999999968</v>
      </c>
      <c r="AP137" s="1">
        <f t="shared" si="48"/>
        <v>25.503399945076676</v>
      </c>
      <c r="AT137" s="8"/>
      <c r="AU137" s="66"/>
      <c r="AZ137" s="1"/>
      <c r="BB137" s="1"/>
    </row>
    <row r="138" spans="1:54" x14ac:dyDescent="0.2">
      <c r="A138" s="101">
        <f t="shared" si="46"/>
        <v>4000</v>
      </c>
      <c r="B138" s="137">
        <f t="shared" si="47"/>
        <v>333.88424128260442</v>
      </c>
      <c r="I138" s="7"/>
      <c r="J138" s="2"/>
      <c r="AD138" s="125">
        <f t="shared" si="50"/>
        <v>4.8928272581273671</v>
      </c>
      <c r="AE138" s="80">
        <f t="shared" si="54"/>
        <v>13.599999999999968</v>
      </c>
      <c r="AF138" s="81">
        <f t="shared" si="51"/>
        <v>20.021377829120414</v>
      </c>
      <c r="AG138" s="81">
        <f t="shared" si="49"/>
        <v>13.599999999999968</v>
      </c>
      <c r="AH138" s="80">
        <f t="shared" si="52"/>
        <v>14.546382462119629</v>
      </c>
      <c r="AO138" s="1">
        <f t="shared" si="53"/>
        <v>13.599999999999968</v>
      </c>
      <c r="AP138" s="1">
        <f t="shared" si="48"/>
        <v>25.503399945076676</v>
      </c>
      <c r="AT138" s="8"/>
      <c r="AU138" s="66"/>
      <c r="AZ138" s="1"/>
      <c r="BB138" s="1"/>
    </row>
    <row r="139" spans="1:54" x14ac:dyDescent="0.2">
      <c r="A139" s="101">
        <f t="shared" si="46"/>
        <v>4100</v>
      </c>
      <c r="B139" s="137">
        <f t="shared" si="47"/>
        <v>333.88424128260442</v>
      </c>
      <c r="I139" s="7"/>
      <c r="J139" s="2"/>
      <c r="AD139" s="125">
        <f t="shared" si="50"/>
        <v>4.8436357534000862</v>
      </c>
      <c r="AE139" s="80">
        <f t="shared" si="54"/>
        <v>13.699999999999967</v>
      </c>
      <c r="AF139" s="81">
        <f t="shared" si="51"/>
        <v>20.836836082742636</v>
      </c>
      <c r="AG139" s="81">
        <f t="shared" si="49"/>
        <v>13.699999999999967</v>
      </c>
      <c r="AH139" s="80">
        <f t="shared" si="52"/>
        <v>14.590109697576466</v>
      </c>
      <c r="AO139" s="1">
        <f t="shared" si="53"/>
        <v>13.699999999999967</v>
      </c>
      <c r="AP139" s="1">
        <f t="shared" si="48"/>
        <v>25.503399945076676</v>
      </c>
      <c r="AT139" s="8"/>
      <c r="AU139" s="66"/>
      <c r="AZ139" s="1"/>
      <c r="BB139" s="1"/>
    </row>
    <row r="140" spans="1:54" ht="17" thickBot="1" x14ac:dyDescent="0.25">
      <c r="A140" s="102">
        <f t="shared" si="46"/>
        <v>4200</v>
      </c>
      <c r="B140" s="138">
        <f t="shared" si="47"/>
        <v>335.42522440930759</v>
      </c>
      <c r="I140" s="7"/>
      <c r="AD140" s="125">
        <f t="shared" si="50"/>
        <v>4.8436357534000862</v>
      </c>
      <c r="AE140" s="80">
        <f t="shared" si="54"/>
        <v>13.799999999999967</v>
      </c>
      <c r="AF140" s="81">
        <f t="shared" si="51"/>
        <v>20.836836082742636</v>
      </c>
      <c r="AG140" s="81">
        <f t="shared" si="49"/>
        <v>13.799999999999967</v>
      </c>
      <c r="AH140" s="80">
        <f t="shared" si="52"/>
        <v>14.590109697576466</v>
      </c>
      <c r="AO140" s="1">
        <f t="shared" si="53"/>
        <v>13.799999999999967</v>
      </c>
      <c r="AP140" s="1">
        <f t="shared" si="48"/>
        <v>25.503399945076676</v>
      </c>
      <c r="AT140" s="8"/>
      <c r="AU140" s="66"/>
      <c r="AZ140" s="1"/>
      <c r="BB140" s="1"/>
    </row>
    <row r="141" spans="1:54" x14ac:dyDescent="0.2">
      <c r="A141" s="134"/>
      <c r="I141" s="7"/>
      <c r="AD141" s="125">
        <f t="shared" si="50"/>
        <v>4.8436357534000862</v>
      </c>
      <c r="AE141" s="80">
        <f t="shared" si="54"/>
        <v>13.899999999999967</v>
      </c>
      <c r="AF141" s="81">
        <f t="shared" si="51"/>
        <v>20.836836082742636</v>
      </c>
      <c r="AG141" s="81">
        <f t="shared" si="49"/>
        <v>13.899999999999967</v>
      </c>
      <c r="AH141" s="80">
        <f t="shared" si="52"/>
        <v>14.590109697576466</v>
      </c>
      <c r="AO141" s="1">
        <f t="shared" si="53"/>
        <v>13.899999999999967</v>
      </c>
      <c r="AP141" s="1">
        <f t="shared" si="48"/>
        <v>25.503399945076676</v>
      </c>
      <c r="AT141" s="8"/>
      <c r="AU141" s="66"/>
      <c r="AZ141" s="1"/>
      <c r="BB141" s="1"/>
    </row>
    <row r="142" spans="1:54" x14ac:dyDescent="0.2">
      <c r="A142" s="134"/>
      <c r="I142" s="7"/>
      <c r="AD142" s="125">
        <f t="shared" si="50"/>
        <v>4.7938051048386381</v>
      </c>
      <c r="AE142" s="80">
        <f t="shared" si="54"/>
        <v>13.999999999999966</v>
      </c>
      <c r="AF142" s="81">
        <f t="shared" si="51"/>
        <v>20.408405087093435</v>
      </c>
      <c r="AG142" s="81">
        <f t="shared" si="49"/>
        <v>13.999999999999966</v>
      </c>
      <c r="AH142" s="80">
        <f t="shared" si="52"/>
        <v>14.827574224534329</v>
      </c>
      <c r="AO142" s="1">
        <f t="shared" si="53"/>
        <v>13.999999999999966</v>
      </c>
      <c r="AP142" s="1">
        <f t="shared" si="48"/>
        <v>25.503399945076676</v>
      </c>
      <c r="AT142" s="8"/>
      <c r="AU142" s="66"/>
      <c r="AZ142" s="1"/>
      <c r="BB142" s="1"/>
    </row>
    <row r="143" spans="1:54" x14ac:dyDescent="0.2">
      <c r="A143" s="134"/>
      <c r="I143" s="7"/>
      <c r="AD143" s="125">
        <f t="shared" si="50"/>
        <v>4.7938051048386381</v>
      </c>
      <c r="AE143" s="80">
        <f t="shared" si="54"/>
        <v>14.099999999999966</v>
      </c>
      <c r="AF143" s="81">
        <f t="shared" si="51"/>
        <v>20.408405087093435</v>
      </c>
      <c r="AG143" s="81">
        <f t="shared" si="49"/>
        <v>14.099999999999966</v>
      </c>
      <c r="AH143" s="80">
        <f t="shared" si="52"/>
        <v>14.827574224534329</v>
      </c>
      <c r="AO143" s="1">
        <f t="shared" si="53"/>
        <v>14.099999999999966</v>
      </c>
      <c r="AP143" s="1">
        <f t="shared" si="48"/>
        <v>25.503399945076676</v>
      </c>
      <c r="AT143" s="8"/>
      <c r="AU143" s="66"/>
      <c r="AZ143" s="1"/>
      <c r="BB143" s="1"/>
    </row>
    <row r="144" spans="1:54" x14ac:dyDescent="0.2">
      <c r="A144" s="134"/>
      <c r="AD144" s="125">
        <f t="shared" si="50"/>
        <v>4.7938051048386381</v>
      </c>
      <c r="AE144" s="80">
        <f t="shared" si="54"/>
        <v>14.199999999999966</v>
      </c>
      <c r="AF144" s="81">
        <f t="shared" si="51"/>
        <v>20.408405087093435</v>
      </c>
      <c r="AG144" s="81">
        <f t="shared" si="49"/>
        <v>14.199999999999966</v>
      </c>
      <c r="AH144" s="80">
        <f t="shared" si="52"/>
        <v>14.827574224534329</v>
      </c>
      <c r="AO144" s="1">
        <f t="shared" si="53"/>
        <v>14.199999999999966</v>
      </c>
      <c r="AP144" s="1">
        <f t="shared" si="48"/>
        <v>25.503399945076676</v>
      </c>
      <c r="AT144" s="8"/>
      <c r="AU144" s="66"/>
      <c r="AZ144" s="1"/>
      <c r="BB144" s="1"/>
    </row>
    <row r="145" spans="1:54" x14ac:dyDescent="0.2">
      <c r="A145" s="134"/>
      <c r="AD145" s="125">
        <f t="shared" si="50"/>
        <v>4.743452773788098</v>
      </c>
      <c r="AE145" s="80">
        <f t="shared" si="54"/>
        <v>14.299999999999965</v>
      </c>
      <c r="AF145" s="81">
        <f t="shared" si="51"/>
        <v>19.096720670534467</v>
      </c>
      <c r="AG145" s="81">
        <f t="shared" si="49"/>
        <v>14.299999999999965</v>
      </c>
      <c r="AH145" s="80">
        <f t="shared" si="52"/>
        <v>15.464219485383859</v>
      </c>
      <c r="AO145" s="1">
        <f t="shared" si="53"/>
        <v>14.299999999999965</v>
      </c>
      <c r="AP145" s="1">
        <f t="shared" si="48"/>
        <v>25.503399945076676</v>
      </c>
      <c r="AT145" s="8"/>
      <c r="AU145" s="66"/>
      <c r="AZ145" s="1"/>
      <c r="BB145" s="1"/>
    </row>
    <row r="146" spans="1:54" x14ac:dyDescent="0.2">
      <c r="A146" s="134"/>
      <c r="AD146" s="125">
        <f t="shared" si="50"/>
        <v>4.743452773788098</v>
      </c>
      <c r="AE146" s="80">
        <f t="shared" si="54"/>
        <v>14.399999999999965</v>
      </c>
      <c r="AF146" s="81">
        <f t="shared" si="51"/>
        <v>19.096720670534467</v>
      </c>
      <c r="AG146" s="81">
        <f t="shared" si="49"/>
        <v>14.399999999999965</v>
      </c>
      <c r="AH146" s="80">
        <f t="shared" si="52"/>
        <v>15.464219485383859</v>
      </c>
      <c r="AO146" s="1">
        <f t="shared" si="53"/>
        <v>14.399999999999965</v>
      </c>
      <c r="AP146" s="1">
        <f t="shared" si="48"/>
        <v>25.503399945076676</v>
      </c>
      <c r="AT146" s="8"/>
      <c r="AU146" s="66"/>
      <c r="AZ146" s="1"/>
      <c r="BB146" s="1"/>
    </row>
    <row r="147" spans="1:54" x14ac:dyDescent="0.2">
      <c r="A147" s="134"/>
      <c r="AD147" s="125">
        <f t="shared" si="50"/>
        <v>4.743452773788098</v>
      </c>
      <c r="AE147" s="80">
        <f t="shared" si="54"/>
        <v>14.499999999999964</v>
      </c>
      <c r="AF147" s="81">
        <f t="shared" si="51"/>
        <v>19.096720670534467</v>
      </c>
      <c r="AG147" s="81">
        <f t="shared" si="49"/>
        <v>14.499999999999964</v>
      </c>
      <c r="AH147" s="80">
        <f t="shared" si="52"/>
        <v>15.464219485383859</v>
      </c>
      <c r="AO147" s="1">
        <f t="shared" si="53"/>
        <v>14.499999999999964</v>
      </c>
      <c r="AP147" s="1">
        <f t="shared" si="48"/>
        <v>25.503399945076676</v>
      </c>
      <c r="AT147" s="8"/>
      <c r="AU147" s="66"/>
      <c r="AZ147" s="1"/>
      <c r="BB147" s="1"/>
    </row>
    <row r="148" spans="1:54" x14ac:dyDescent="0.2">
      <c r="A148" s="134"/>
      <c r="AD148" s="125">
        <f t="shared" si="50"/>
        <v>4.6924481940951521</v>
      </c>
      <c r="AE148" s="80">
        <f t="shared" si="54"/>
        <v>14.599999999999964</v>
      </c>
      <c r="AF148" s="81">
        <f t="shared" si="51"/>
        <v>18.557039429060286</v>
      </c>
      <c r="AG148" s="81">
        <f t="shared" si="49"/>
        <v>14.599999999999964</v>
      </c>
      <c r="AH148" s="80">
        <f t="shared" si="52"/>
        <v>15.027194233023209</v>
      </c>
      <c r="AO148" s="1">
        <f t="shared" si="53"/>
        <v>14.599999999999964</v>
      </c>
      <c r="AP148" s="1">
        <f t="shared" si="48"/>
        <v>25.503399945076676</v>
      </c>
      <c r="AT148" s="8"/>
      <c r="AU148" s="66"/>
      <c r="AZ148" s="1"/>
      <c r="BB148" s="1"/>
    </row>
    <row r="149" spans="1:54" x14ac:dyDescent="0.2">
      <c r="A149" s="134"/>
      <c r="AD149" s="125">
        <f t="shared" si="50"/>
        <v>4.6924481940951521</v>
      </c>
      <c r="AE149" s="80">
        <f t="shared" si="54"/>
        <v>14.699999999999964</v>
      </c>
      <c r="AF149" s="81">
        <f t="shared" si="51"/>
        <v>18.557039429060286</v>
      </c>
      <c r="AG149" s="81">
        <f t="shared" si="49"/>
        <v>14.699999999999964</v>
      </c>
      <c r="AH149" s="80">
        <f t="shared" si="52"/>
        <v>15.027194233023209</v>
      </c>
      <c r="AO149" s="1">
        <f t="shared" si="53"/>
        <v>14.699999999999964</v>
      </c>
      <c r="AP149" s="1">
        <f t="shared" si="48"/>
        <v>25.503399945076676</v>
      </c>
      <c r="AT149" s="8"/>
      <c r="AU149" s="66"/>
      <c r="AZ149" s="1"/>
      <c r="BB149" s="1"/>
    </row>
    <row r="150" spans="1:54" x14ac:dyDescent="0.2">
      <c r="A150" s="134"/>
      <c r="AD150" s="125">
        <f t="shared" si="50"/>
        <v>4.6924481940951521</v>
      </c>
      <c r="AE150" s="80">
        <f t="shared" si="54"/>
        <v>14.799999999999963</v>
      </c>
      <c r="AF150" s="81">
        <f t="shared" si="51"/>
        <v>18.557039429060286</v>
      </c>
      <c r="AG150" s="81">
        <f t="shared" si="49"/>
        <v>14.799999999999963</v>
      </c>
      <c r="AH150" s="80">
        <f t="shared" si="52"/>
        <v>15.027194233023209</v>
      </c>
      <c r="AO150" s="1">
        <f t="shared" si="53"/>
        <v>14.799999999999963</v>
      </c>
      <c r="AP150" s="1">
        <f t="shared" si="48"/>
        <v>25.503399945076676</v>
      </c>
      <c r="AT150" s="8"/>
      <c r="AU150" s="66"/>
      <c r="AZ150" s="1"/>
      <c r="BB150" s="1"/>
    </row>
    <row r="151" spans="1:54" x14ac:dyDescent="0.2">
      <c r="A151" s="134"/>
      <c r="AD151" s="125">
        <f t="shared" si="50"/>
        <v>4.6408268631961258</v>
      </c>
      <c r="AE151" s="80">
        <f t="shared" si="54"/>
        <v>14.899999999999963</v>
      </c>
      <c r="AF151" s="81">
        <f t="shared" si="51"/>
        <v>18.115372623188769</v>
      </c>
      <c r="AG151" s="81">
        <f t="shared" si="49"/>
        <v>14.899999999999963</v>
      </c>
      <c r="AH151" s="80">
        <f t="shared" si="52"/>
        <v>13.161588621410674</v>
      </c>
      <c r="AO151" s="1">
        <f t="shared" si="53"/>
        <v>14.899999999999963</v>
      </c>
      <c r="AP151" s="1">
        <f t="shared" si="48"/>
        <v>25.503399945076676</v>
      </c>
      <c r="AT151" s="8"/>
      <c r="AU151" s="66"/>
      <c r="AZ151" s="1"/>
      <c r="BB151" s="1"/>
    </row>
    <row r="152" spans="1:54" x14ac:dyDescent="0.2">
      <c r="A152" s="134"/>
      <c r="AD152" s="125">
        <f t="shared" si="50"/>
        <v>4.6408268631961258</v>
      </c>
      <c r="AE152" s="80">
        <f t="shared" si="54"/>
        <v>14.999999999999963</v>
      </c>
      <c r="AF152" s="81">
        <f t="shared" si="51"/>
        <v>18.115372623188769</v>
      </c>
      <c r="AG152" s="81">
        <f t="shared" si="49"/>
        <v>14.999999999999963</v>
      </c>
      <c r="AH152" s="80">
        <f t="shared" si="52"/>
        <v>13.161588621410674</v>
      </c>
      <c r="AO152" s="1">
        <f t="shared" si="53"/>
        <v>14.999999999999963</v>
      </c>
      <c r="AP152" s="1">
        <f t="shared" si="48"/>
        <v>25.503399945076676</v>
      </c>
      <c r="AT152" s="8"/>
      <c r="AU152" s="66"/>
      <c r="AZ152" s="1"/>
      <c r="BB152" s="1"/>
    </row>
    <row r="153" spans="1:54" x14ac:dyDescent="0.2">
      <c r="A153" s="134"/>
      <c r="AD153" s="125">
        <f t="shared" si="50"/>
        <v>4.6408268631961258</v>
      </c>
      <c r="AE153" s="80">
        <f t="shared" si="54"/>
        <v>15.099999999999962</v>
      </c>
      <c r="AF153" s="81">
        <f t="shared" si="51"/>
        <v>18.115372623188769</v>
      </c>
      <c r="AG153" s="81">
        <f t="shared" si="49"/>
        <v>15.099999999999962</v>
      </c>
      <c r="AH153" s="80">
        <f t="shared" si="52"/>
        <v>13.161588621410674</v>
      </c>
      <c r="AO153" s="1">
        <f t="shared" si="53"/>
        <v>15.099999999999962</v>
      </c>
      <c r="AP153" s="1">
        <f t="shared" si="48"/>
        <v>25.503399945076676</v>
      </c>
      <c r="AT153" s="8"/>
      <c r="AU153" s="66"/>
      <c r="AZ153" s="1"/>
      <c r="BB153" s="1"/>
    </row>
    <row r="154" spans="1:54" x14ac:dyDescent="0.2">
      <c r="A154" s="134"/>
      <c r="AD154" s="125">
        <f t="shared" si="50"/>
        <v>4.5887358795246662</v>
      </c>
      <c r="AE154" s="80">
        <f t="shared" si="54"/>
        <v>15.199999999999962</v>
      </c>
      <c r="AF154" s="81">
        <f t="shared" si="51"/>
        <v>16.891055622466155</v>
      </c>
      <c r="AG154" s="81">
        <f t="shared" si="49"/>
        <v>15.199999999999962</v>
      </c>
      <c r="AH154" s="80">
        <f t="shared" si="52"/>
        <v>10.554702979874826</v>
      </c>
      <c r="AO154" s="1">
        <f t="shared" si="53"/>
        <v>15.199999999999962</v>
      </c>
      <c r="AP154" s="1">
        <f t="shared" si="48"/>
        <v>25.503399945076676</v>
      </c>
      <c r="AT154" s="8"/>
      <c r="AU154" s="66"/>
      <c r="AZ154" s="1"/>
      <c r="BB154" s="1"/>
    </row>
    <row r="155" spans="1:54" x14ac:dyDescent="0.2">
      <c r="A155" s="134"/>
      <c r="AD155" s="125">
        <f t="shared" si="50"/>
        <v>4.5887358795246662</v>
      </c>
      <c r="AE155" s="80">
        <f t="shared" si="54"/>
        <v>15.299999999999962</v>
      </c>
      <c r="AF155" s="81">
        <f t="shared" si="51"/>
        <v>16.891055622466155</v>
      </c>
      <c r="AG155" s="81">
        <f t="shared" si="49"/>
        <v>15.299999999999962</v>
      </c>
      <c r="AH155" s="80">
        <f t="shared" si="52"/>
        <v>10.554702979874826</v>
      </c>
      <c r="AO155" s="1">
        <f t="shared" si="53"/>
        <v>15.299999999999962</v>
      </c>
      <c r="AP155" s="1">
        <f t="shared" si="48"/>
        <v>25.503399945076676</v>
      </c>
      <c r="AT155" s="8"/>
      <c r="AU155" s="66"/>
      <c r="AZ155" s="1"/>
      <c r="BB155" s="1"/>
    </row>
    <row r="156" spans="1:54" x14ac:dyDescent="0.2">
      <c r="A156" s="134"/>
      <c r="AD156" s="125">
        <f t="shared" si="50"/>
        <v>4.5887358795246662</v>
      </c>
      <c r="AE156" s="80">
        <f t="shared" si="54"/>
        <v>15.399999999999961</v>
      </c>
      <c r="AF156" s="81">
        <f t="shared" si="51"/>
        <v>16.891055622466155</v>
      </c>
      <c r="AG156" s="81">
        <f t="shared" si="49"/>
        <v>15.399999999999961</v>
      </c>
      <c r="AH156" s="80">
        <f t="shared" si="52"/>
        <v>10.554702979874826</v>
      </c>
      <c r="AO156" s="1">
        <f t="shared" si="53"/>
        <v>15.399999999999961</v>
      </c>
      <c r="AP156" s="1">
        <f t="shared" si="48"/>
        <v>25.503399945076676</v>
      </c>
      <c r="AT156" s="8"/>
      <c r="AU156" s="66"/>
      <c r="AZ156" s="1"/>
      <c r="BB156" s="1"/>
    </row>
    <row r="157" spans="1:54" x14ac:dyDescent="0.2">
      <c r="A157" s="134"/>
      <c r="AD157" s="125">
        <f t="shared" si="50"/>
        <v>4.5361415995776557</v>
      </c>
      <c r="AE157" s="80">
        <f t="shared" si="54"/>
        <v>15.499999999999961</v>
      </c>
      <c r="AF157" s="81">
        <f t="shared" si="51"/>
        <v>15.161777516779425</v>
      </c>
      <c r="AG157" s="81">
        <f t="shared" si="49"/>
        <v>15.499999999999961</v>
      </c>
      <c r="AH157" s="80">
        <f t="shared" si="52"/>
        <v>8.4043105136639227</v>
      </c>
      <c r="AO157" s="1">
        <f t="shared" si="53"/>
        <v>15.499999999999961</v>
      </c>
      <c r="AP157" s="1">
        <f t="shared" si="48"/>
        <v>25.503399945076676</v>
      </c>
      <c r="AT157" s="8"/>
      <c r="AU157" s="66"/>
      <c r="AZ157" s="1"/>
      <c r="BB157" s="1"/>
    </row>
    <row r="158" spans="1:54" x14ac:dyDescent="0.2">
      <c r="A158" s="134"/>
      <c r="AD158" s="125">
        <f t="shared" si="50"/>
        <v>4.5361415995776557</v>
      </c>
      <c r="AE158" s="80">
        <f t="shared" si="54"/>
        <v>15.599999999999961</v>
      </c>
      <c r="AF158" s="81">
        <f t="shared" si="51"/>
        <v>15.161777516779425</v>
      </c>
      <c r="AG158" s="81">
        <f t="shared" si="49"/>
        <v>15.599999999999961</v>
      </c>
      <c r="AH158" s="80">
        <f t="shared" si="52"/>
        <v>8.4043105136639227</v>
      </c>
      <c r="AO158" s="1">
        <f t="shared" si="53"/>
        <v>15.599999999999961</v>
      </c>
      <c r="AP158" s="1">
        <f t="shared" si="48"/>
        <v>25.503399945076676</v>
      </c>
      <c r="AT158" s="8"/>
      <c r="AU158" s="66"/>
      <c r="AZ158" s="1"/>
      <c r="BB158" s="1"/>
    </row>
    <row r="159" spans="1:54" x14ac:dyDescent="0.2">
      <c r="A159" s="134"/>
      <c r="AD159" s="125">
        <f t="shared" si="50"/>
        <v>4.5361415995776557</v>
      </c>
      <c r="AE159" s="80">
        <f t="shared" si="54"/>
        <v>15.69999999999996</v>
      </c>
      <c r="AF159" s="81">
        <f t="shared" si="51"/>
        <v>15.161777516779425</v>
      </c>
      <c r="AG159" s="81">
        <f t="shared" si="49"/>
        <v>15.69999999999996</v>
      </c>
      <c r="AH159" s="80">
        <f t="shared" si="52"/>
        <v>8.4043105136639227</v>
      </c>
      <c r="AO159" s="1">
        <f t="shared" si="53"/>
        <v>15.69999999999996</v>
      </c>
      <c r="AP159" s="1">
        <f t="shared" si="48"/>
        <v>25.503399945076676</v>
      </c>
      <c r="AT159" s="8"/>
      <c r="AU159" s="66"/>
      <c r="AZ159" s="1"/>
      <c r="BB159" s="1"/>
    </row>
    <row r="160" spans="1:54" x14ac:dyDescent="0.2">
      <c r="A160" s="134"/>
      <c r="AD160" s="125">
        <f t="shared" si="50"/>
        <v>4.5361415995776557</v>
      </c>
      <c r="AE160" s="80">
        <f t="shared" si="54"/>
        <v>15.79999999999996</v>
      </c>
      <c r="AF160" s="81">
        <f t="shared" si="51"/>
        <v>15.161777516779425</v>
      </c>
      <c r="AG160" s="81">
        <f t="shared" si="49"/>
        <v>15.79999999999996</v>
      </c>
      <c r="AH160" s="80">
        <f t="shared" si="52"/>
        <v>8.4043105136639227</v>
      </c>
      <c r="AO160" s="1">
        <f t="shared" si="53"/>
        <v>15.79999999999996</v>
      </c>
      <c r="AP160" s="1">
        <f t="shared" si="48"/>
        <v>25.503399945076676</v>
      </c>
      <c r="AT160" s="8"/>
      <c r="AU160" s="66"/>
      <c r="AZ160" s="1"/>
      <c r="BB160" s="1"/>
    </row>
    <row r="161" spans="1:54" x14ac:dyDescent="0.2">
      <c r="A161" s="134"/>
      <c r="AD161" s="125">
        <f t="shared" si="50"/>
        <v>4.4830025520138834</v>
      </c>
      <c r="AE161" s="80">
        <f t="shared" si="54"/>
        <v>15.899999999999959</v>
      </c>
      <c r="AF161" s="81">
        <f t="shared" si="51"/>
        <v>13.257754777167991</v>
      </c>
      <c r="AG161" s="81">
        <f t="shared" si="49"/>
        <v>15.899999999999959</v>
      </c>
      <c r="AH161" s="80">
        <f t="shared" si="52"/>
        <v>7.0492732576752468</v>
      </c>
      <c r="AO161" s="1">
        <f t="shared" si="53"/>
        <v>15.899999999999959</v>
      </c>
      <c r="AP161" s="1">
        <f t="shared" si="48"/>
        <v>25.503399945076676</v>
      </c>
      <c r="AT161" s="8"/>
      <c r="AU161" s="66"/>
      <c r="AZ161" s="1"/>
      <c r="BB161" s="1"/>
    </row>
    <row r="162" spans="1:54" x14ac:dyDescent="0.2">
      <c r="A162" s="134"/>
      <c r="AD162" s="125">
        <f t="shared" si="50"/>
        <v>4.4830025520138834</v>
      </c>
      <c r="AE162" s="80">
        <f t="shared" si="54"/>
        <v>15.999999999999959</v>
      </c>
      <c r="AF162" s="81">
        <f t="shared" si="51"/>
        <v>13.257754777167991</v>
      </c>
      <c r="AG162" s="81">
        <f t="shared" si="49"/>
        <v>15.999999999999959</v>
      </c>
      <c r="AH162" s="80">
        <f t="shared" si="52"/>
        <v>7.0492732576752468</v>
      </c>
      <c r="AO162" s="1">
        <f t="shared" si="53"/>
        <v>15.999999999999959</v>
      </c>
      <c r="AP162" s="1">
        <f t="shared" si="48"/>
        <v>25.503399945076676</v>
      </c>
      <c r="AT162" s="8"/>
      <c r="AU162" s="66"/>
      <c r="AZ162" s="1"/>
      <c r="BB162" s="1"/>
    </row>
    <row r="163" spans="1:54" x14ac:dyDescent="0.2">
      <c r="A163" s="134"/>
      <c r="AD163" s="125">
        <f t="shared" si="50"/>
        <v>4.4830025520138834</v>
      </c>
      <c r="AE163" s="80">
        <f t="shared" si="54"/>
        <v>16.099999999999959</v>
      </c>
      <c r="AF163" s="81">
        <f t="shared" si="51"/>
        <v>13.257754777167991</v>
      </c>
      <c r="AG163" s="81">
        <f t="shared" si="49"/>
        <v>16.099999999999959</v>
      </c>
      <c r="AH163" s="80">
        <f t="shared" si="52"/>
        <v>7.0492732576752468</v>
      </c>
      <c r="AO163" s="1">
        <f t="shared" si="53"/>
        <v>16.099999999999959</v>
      </c>
      <c r="AP163" s="1">
        <f t="shared" si="48"/>
        <v>25.503399945076676</v>
      </c>
      <c r="AT163" s="8"/>
      <c r="AU163" s="66"/>
    </row>
    <row r="164" spans="1:54" x14ac:dyDescent="0.2">
      <c r="A164" s="134"/>
      <c r="AD164" s="125">
        <f t="shared" si="50"/>
        <v>4.42926798099632</v>
      </c>
      <c r="AE164" s="80">
        <f t="shared" si="54"/>
        <v>16.19999999999996</v>
      </c>
      <c r="AF164" s="81">
        <f t="shared" si="51"/>
        <v>10.255570499090553</v>
      </c>
      <c r="AG164" s="81">
        <f t="shared" si="49"/>
        <v>16.19999999999996</v>
      </c>
      <c r="AH164" s="80">
        <f t="shared" si="52"/>
        <v>5.4529835614356648</v>
      </c>
      <c r="AO164" s="1">
        <f t="shared" si="53"/>
        <v>16.19999999999996</v>
      </c>
      <c r="AP164" s="1">
        <f t="shared" si="48"/>
        <v>25.503399945076676</v>
      </c>
      <c r="AT164" s="8"/>
      <c r="AU164" s="66"/>
    </row>
    <row r="165" spans="1:54" x14ac:dyDescent="0.2">
      <c r="A165" s="134"/>
      <c r="AD165" s="125">
        <f t="shared" si="50"/>
        <v>4.42926798099632</v>
      </c>
      <c r="AE165" s="80">
        <f t="shared" si="54"/>
        <v>16.299999999999962</v>
      </c>
      <c r="AF165" s="81">
        <f t="shared" si="51"/>
        <v>10.255570499090553</v>
      </c>
      <c r="AG165" s="81">
        <f t="shared" si="49"/>
        <v>16.299999999999962</v>
      </c>
      <c r="AH165" s="80">
        <f t="shared" si="52"/>
        <v>5.4529835614356648</v>
      </c>
      <c r="AO165" s="1">
        <f t="shared" si="53"/>
        <v>16.299999999999962</v>
      </c>
      <c r="AP165" s="1">
        <f t="shared" si="48"/>
        <v>25.503399945076676</v>
      </c>
      <c r="AT165" s="8"/>
      <c r="AU165" s="66"/>
    </row>
    <row r="166" spans="1:54" x14ac:dyDescent="0.2">
      <c r="A166" s="134"/>
      <c r="AD166" s="125">
        <f t="shared" si="50"/>
        <v>4.42926798099632</v>
      </c>
      <c r="AE166" s="80">
        <f t="shared" si="54"/>
        <v>16.399999999999963</v>
      </c>
      <c r="AF166" s="81">
        <f t="shared" si="51"/>
        <v>10.255570499090553</v>
      </c>
      <c r="AG166" s="81">
        <f t="shared" si="49"/>
        <v>16.399999999999963</v>
      </c>
      <c r="AH166" s="80">
        <f t="shared" si="52"/>
        <v>5.4529835614356648</v>
      </c>
      <c r="AO166" s="1">
        <f t="shared" si="53"/>
        <v>16.399999999999963</v>
      </c>
      <c r="AP166" s="1">
        <f t="shared" si="48"/>
        <v>25.503399945076676</v>
      </c>
      <c r="AT166" s="8"/>
      <c r="AU166" s="66"/>
    </row>
    <row r="167" spans="1:54" x14ac:dyDescent="0.2">
      <c r="A167" s="134"/>
      <c r="AD167" s="125">
        <f t="shared" si="50"/>
        <v>4.3751278929827251</v>
      </c>
      <c r="AE167" s="80">
        <f t="shared" si="54"/>
        <v>16.499999999999964</v>
      </c>
      <c r="AF167" s="81">
        <f t="shared" si="51"/>
        <v>6.843184859147704</v>
      </c>
      <c r="AG167" s="81">
        <f t="shared" si="49"/>
        <v>16.499999999999964</v>
      </c>
      <c r="AH167" s="80">
        <f t="shared" si="52"/>
        <v>4.1118002905875191</v>
      </c>
      <c r="AO167" s="1">
        <f t="shared" si="53"/>
        <v>16.499999999999964</v>
      </c>
      <c r="AP167" s="1">
        <f t="shared" si="48"/>
        <v>25.503399945076676</v>
      </c>
      <c r="AT167" s="8"/>
      <c r="AU167" s="66"/>
    </row>
    <row r="168" spans="1:54" x14ac:dyDescent="0.2">
      <c r="A168" s="134"/>
      <c r="AD168" s="125">
        <f t="shared" si="50"/>
        <v>4.3751278929827251</v>
      </c>
      <c r="AE168" s="80">
        <f t="shared" si="54"/>
        <v>16.599999999999966</v>
      </c>
      <c r="AF168" s="81">
        <f t="shared" si="51"/>
        <v>6.843184859147704</v>
      </c>
      <c r="AG168" s="81">
        <f t="shared" si="49"/>
        <v>16.599999999999966</v>
      </c>
      <c r="AH168" s="80">
        <f t="shared" si="52"/>
        <v>4.1118002905875191</v>
      </c>
      <c r="AO168" s="1">
        <f t="shared" si="53"/>
        <v>16.599999999999966</v>
      </c>
      <c r="AP168" s="1">
        <f t="shared" ref="AP168:AP212" si="55">$AP$102</f>
        <v>25.503399945076676</v>
      </c>
      <c r="AT168" s="8"/>
      <c r="AU168" s="66"/>
    </row>
    <row r="169" spans="1:54" x14ac:dyDescent="0.2">
      <c r="A169" s="134"/>
      <c r="AD169" s="125">
        <f t="shared" si="50"/>
        <v>4.3751278929827251</v>
      </c>
      <c r="AE169" s="80">
        <f t="shared" si="54"/>
        <v>16.699999999999967</v>
      </c>
      <c r="AF169" s="81">
        <f t="shared" si="51"/>
        <v>6.843184859147704</v>
      </c>
      <c r="AG169" s="81">
        <f t="shared" si="49"/>
        <v>16.699999999999967</v>
      </c>
      <c r="AH169" s="80">
        <f t="shared" si="52"/>
        <v>4.1118002905875191</v>
      </c>
      <c r="AO169" s="1">
        <f t="shared" si="53"/>
        <v>16.699999999999967</v>
      </c>
      <c r="AP169" s="1">
        <f t="shared" si="55"/>
        <v>25.503399945076676</v>
      </c>
      <c r="AT169" s="8"/>
      <c r="AU169" s="66"/>
    </row>
    <row r="170" spans="1:54" x14ac:dyDescent="0.2">
      <c r="A170" s="134"/>
      <c r="AD170" s="125">
        <f t="shared" si="50"/>
        <v>4.3751278929827251</v>
      </c>
      <c r="AE170" s="80">
        <f t="shared" si="54"/>
        <v>16.799999999999969</v>
      </c>
      <c r="AF170" s="81">
        <f t="shared" si="51"/>
        <v>6.843184859147704</v>
      </c>
      <c r="AG170" s="81">
        <f t="shared" si="49"/>
        <v>16.799999999999969</v>
      </c>
      <c r="AH170" s="80">
        <f t="shared" si="52"/>
        <v>4.1118002905875191</v>
      </c>
      <c r="AO170" s="1">
        <f t="shared" si="53"/>
        <v>16.799999999999969</v>
      </c>
      <c r="AP170" s="1">
        <f t="shared" si="55"/>
        <v>25.503399945076676</v>
      </c>
      <c r="AT170" s="8"/>
      <c r="AU170" s="66"/>
    </row>
    <row r="171" spans="1:54" x14ac:dyDescent="0.2">
      <c r="A171" s="134"/>
      <c r="AD171" s="125">
        <f t="shared" si="50"/>
        <v>4.3201512309557941</v>
      </c>
      <c r="AE171" s="80">
        <f t="shared" si="54"/>
        <v>16.89999999999997</v>
      </c>
      <c r="AF171" s="81">
        <f t="shared" si="51"/>
        <v>4.6745064806925294</v>
      </c>
      <c r="AG171" s="81">
        <f t="shared" si="49"/>
        <v>16.89999999999997</v>
      </c>
      <c r="AH171" s="80">
        <f t="shared" si="52"/>
        <v>2.5911212533224974</v>
      </c>
      <c r="AO171" s="1">
        <f t="shared" si="53"/>
        <v>16.89999999999997</v>
      </c>
      <c r="AP171" s="1">
        <f t="shared" si="55"/>
        <v>25.503399945076676</v>
      </c>
      <c r="AT171" s="8"/>
      <c r="AU171" s="66"/>
    </row>
    <row r="172" spans="1:54" x14ac:dyDescent="0.2">
      <c r="A172" s="134"/>
      <c r="AD172" s="125">
        <f t="shared" si="50"/>
        <v>4.3201512309557941</v>
      </c>
      <c r="AE172" s="80">
        <f t="shared" si="54"/>
        <v>16.999999999999972</v>
      </c>
      <c r="AF172" s="81">
        <f t="shared" si="51"/>
        <v>4.6745064806925294</v>
      </c>
      <c r="AG172" s="81">
        <f t="shared" si="49"/>
        <v>16.999999999999972</v>
      </c>
      <c r="AH172" s="80">
        <f t="shared" si="52"/>
        <v>2.5911212533224974</v>
      </c>
      <c r="AO172" s="1">
        <f t="shared" si="53"/>
        <v>16.999999999999972</v>
      </c>
      <c r="AP172" s="1">
        <f t="shared" si="55"/>
        <v>25.503399945076676</v>
      </c>
      <c r="AT172" s="8"/>
      <c r="AU172" s="66"/>
    </row>
    <row r="173" spans="1:54" x14ac:dyDescent="0.2">
      <c r="A173" s="134"/>
      <c r="AD173" s="125">
        <f t="shared" si="50"/>
        <v>4.3201512309557941</v>
      </c>
      <c r="AE173" s="80">
        <f t="shared" si="54"/>
        <v>17.099999999999973</v>
      </c>
      <c r="AF173" s="81">
        <f t="shared" si="51"/>
        <v>4.6745064806925294</v>
      </c>
      <c r="AG173" s="81">
        <f t="shared" si="49"/>
        <v>17.099999999999973</v>
      </c>
      <c r="AH173" s="80">
        <f t="shared" si="52"/>
        <v>2.5911212533224974</v>
      </c>
      <c r="AO173" s="1">
        <f t="shared" si="53"/>
        <v>17.099999999999973</v>
      </c>
      <c r="AP173" s="1">
        <f t="shared" si="55"/>
        <v>25.503399945076676</v>
      </c>
      <c r="AT173" s="8"/>
      <c r="AU173" s="66"/>
    </row>
    <row r="174" spans="1:54" x14ac:dyDescent="0.2">
      <c r="A174" s="134"/>
      <c r="AD174" s="125">
        <f t="shared" si="50"/>
        <v>4.264368591205649</v>
      </c>
      <c r="AE174" s="80">
        <f t="shared" si="54"/>
        <v>17.199999999999974</v>
      </c>
      <c r="AF174" s="81">
        <f t="shared" si="51"/>
        <v>1.8550420407681858</v>
      </c>
      <c r="AG174" s="81">
        <f t="shared" si="49"/>
        <v>17.199999999999974</v>
      </c>
      <c r="AH174" s="80">
        <f t="shared" si="52"/>
        <v>0.16229514893121114</v>
      </c>
      <c r="AO174" s="1">
        <f t="shared" si="53"/>
        <v>17.199999999999974</v>
      </c>
      <c r="AP174" s="1">
        <f t="shared" si="55"/>
        <v>25.503399945076676</v>
      </c>
      <c r="AT174" s="8"/>
      <c r="AU174" s="66"/>
    </row>
    <row r="175" spans="1:54" x14ac:dyDescent="0.2">
      <c r="A175" s="134"/>
      <c r="AD175" s="125">
        <f t="shared" si="50"/>
        <v>4.264368591205649</v>
      </c>
      <c r="AE175" s="80">
        <f t="shared" si="54"/>
        <v>17.299999999999976</v>
      </c>
      <c r="AF175" s="81">
        <f t="shared" si="51"/>
        <v>1.8550420407681858</v>
      </c>
      <c r="AG175" s="81">
        <f t="shared" si="49"/>
        <v>17.299999999999976</v>
      </c>
      <c r="AH175" s="80">
        <f t="shared" si="52"/>
        <v>0.16229514893121114</v>
      </c>
      <c r="AO175" s="1">
        <f t="shared" si="53"/>
        <v>17.299999999999976</v>
      </c>
      <c r="AP175" s="1">
        <f t="shared" si="55"/>
        <v>25.503399945076676</v>
      </c>
      <c r="AT175" s="8"/>
      <c r="AU175" s="66"/>
    </row>
    <row r="176" spans="1:54" x14ac:dyDescent="0.2">
      <c r="A176" s="134"/>
      <c r="AD176" s="125">
        <f t="shared" si="50"/>
        <v>4.264368591205649</v>
      </c>
      <c r="AE176" s="80">
        <f t="shared" si="54"/>
        <v>17.399999999999977</v>
      </c>
      <c r="AF176" s="81">
        <f t="shared" si="51"/>
        <v>1.8550420407681858</v>
      </c>
      <c r="AG176" s="81">
        <f t="shared" si="49"/>
        <v>17.399999999999977</v>
      </c>
      <c r="AH176" s="80">
        <f t="shared" si="52"/>
        <v>0.16229514893121114</v>
      </c>
      <c r="AO176" s="1">
        <f t="shared" si="53"/>
        <v>17.399999999999977</v>
      </c>
      <c r="AP176" s="1">
        <f t="shared" si="55"/>
        <v>25.503399945076676</v>
      </c>
      <c r="AT176" s="8"/>
      <c r="AU176" s="66"/>
    </row>
    <row r="177" spans="1:47" x14ac:dyDescent="0.2">
      <c r="A177" s="134"/>
      <c r="AD177" s="125">
        <f t="shared" si="50"/>
        <v>4.2075244269320589</v>
      </c>
      <c r="AE177" s="80">
        <f t="shared" si="54"/>
        <v>17.499999999999979</v>
      </c>
      <c r="AF177" s="81">
        <f t="shared" si="51"/>
        <v>-1.60716679154032</v>
      </c>
      <c r="AG177" s="81">
        <f t="shared" si="49"/>
        <v>17.499999999999979</v>
      </c>
      <c r="AH177" s="80">
        <f t="shared" si="52"/>
        <v>-0.40071168637063054</v>
      </c>
      <c r="AO177" s="1">
        <f t="shared" si="53"/>
        <v>17.499999999999979</v>
      </c>
      <c r="AP177" s="1">
        <f t="shared" si="55"/>
        <v>25.503399945076676</v>
      </c>
      <c r="AT177" s="8"/>
      <c r="AU177" s="66"/>
    </row>
    <row r="178" spans="1:47" x14ac:dyDescent="0.2">
      <c r="A178" s="134"/>
      <c r="AD178" s="125">
        <f t="shared" si="50"/>
        <v>4.2075244269320589</v>
      </c>
      <c r="AE178" s="80">
        <f t="shared" si="54"/>
        <v>17.59999999999998</v>
      </c>
      <c r="AF178" s="81">
        <f t="shared" si="51"/>
        <v>-1.60716679154032</v>
      </c>
      <c r="AG178" s="81">
        <f t="shared" si="49"/>
        <v>17.59999999999998</v>
      </c>
      <c r="AH178" s="80">
        <f t="shared" si="52"/>
        <v>-0.40071168637063054</v>
      </c>
      <c r="AO178" s="1">
        <f t="shared" si="53"/>
        <v>17.59999999999998</v>
      </c>
      <c r="AP178" s="1">
        <f t="shared" si="55"/>
        <v>25.503399945076676</v>
      </c>
      <c r="AT178" s="8"/>
      <c r="AU178" s="66"/>
    </row>
    <row r="179" spans="1:47" x14ac:dyDescent="0.2">
      <c r="A179" s="134"/>
      <c r="AD179" s="125">
        <f t="shared" si="50"/>
        <v>4.2075244269320589</v>
      </c>
      <c r="AE179" s="80">
        <f t="shared" si="54"/>
        <v>17.699999999999982</v>
      </c>
      <c r="AF179" s="81">
        <f t="shared" si="51"/>
        <v>-1.60716679154032</v>
      </c>
      <c r="AG179" s="81">
        <f t="shared" si="49"/>
        <v>17.699999999999982</v>
      </c>
      <c r="AH179" s="80">
        <f t="shared" si="52"/>
        <v>-0.40071168637063054</v>
      </c>
      <c r="AO179" s="1">
        <f t="shared" si="53"/>
        <v>17.699999999999982</v>
      </c>
      <c r="AP179" s="1">
        <f t="shared" si="55"/>
        <v>25.503399945076676</v>
      </c>
      <c r="AT179" s="8"/>
      <c r="AU179" s="66"/>
    </row>
    <row r="180" spans="1:47" x14ac:dyDescent="0.2">
      <c r="A180" s="134"/>
      <c r="AD180" s="125">
        <f t="shared" si="50"/>
        <v>4.2075244269320589</v>
      </c>
      <c r="AE180" s="80">
        <f t="shared" si="54"/>
        <v>17.799999999999983</v>
      </c>
      <c r="AF180" s="81">
        <f t="shared" si="51"/>
        <v>-1.60716679154032</v>
      </c>
      <c r="AG180" s="81">
        <f t="shared" si="49"/>
        <v>17.799999999999983</v>
      </c>
      <c r="AH180" s="80">
        <f t="shared" si="52"/>
        <v>-0.40071168637063054</v>
      </c>
      <c r="AO180" s="1">
        <f t="shared" si="53"/>
        <v>17.799999999999983</v>
      </c>
      <c r="AP180" s="1">
        <f t="shared" si="55"/>
        <v>25.503399945076676</v>
      </c>
      <c r="AT180" s="8"/>
      <c r="AU180" s="66"/>
    </row>
    <row r="181" spans="1:47" x14ac:dyDescent="0.2">
      <c r="A181" s="134"/>
      <c r="AD181" s="125">
        <f t="shared" si="50"/>
        <v>4.1497792691102013</v>
      </c>
      <c r="AE181" s="80">
        <f t="shared" si="54"/>
        <v>17.899999999999984</v>
      </c>
      <c r="AF181" s="81">
        <f t="shared" si="51"/>
        <v>-4.5244280999746422</v>
      </c>
      <c r="AG181" s="81">
        <f t="shared" si="49"/>
        <v>17.899999999999984</v>
      </c>
      <c r="AH181" s="80">
        <f t="shared" si="52"/>
        <v>1.2973588808652188</v>
      </c>
      <c r="AO181" s="1">
        <f t="shared" si="53"/>
        <v>17.899999999999984</v>
      </c>
      <c r="AP181" s="1">
        <f t="shared" si="55"/>
        <v>25.503399945076676</v>
      </c>
      <c r="AT181" s="8"/>
      <c r="AU181" s="66"/>
    </row>
    <row r="182" spans="1:47" x14ac:dyDescent="0.2">
      <c r="A182" s="134"/>
      <c r="AD182" s="125">
        <f t="shared" si="50"/>
        <v>4.1497792691102013</v>
      </c>
      <c r="AE182" s="80">
        <f t="shared" si="54"/>
        <v>17.999999999999986</v>
      </c>
      <c r="AF182" s="81">
        <f t="shared" si="51"/>
        <v>-4.5244280999746422</v>
      </c>
      <c r="AG182" s="81">
        <f t="shared" si="49"/>
        <v>17.999999999999986</v>
      </c>
      <c r="AH182" s="80">
        <f t="shared" si="52"/>
        <v>1.2973588808652188</v>
      </c>
      <c r="AO182" s="1">
        <f t="shared" si="53"/>
        <v>17.999999999999986</v>
      </c>
      <c r="AP182" s="1">
        <f t="shared" si="55"/>
        <v>25.503399945076676</v>
      </c>
      <c r="AT182" s="8"/>
      <c r="AU182" s="66"/>
    </row>
    <row r="183" spans="1:47" x14ac:dyDescent="0.2">
      <c r="A183" s="134"/>
      <c r="AD183" s="125">
        <f t="shared" si="50"/>
        <v>4.1497792691102013</v>
      </c>
      <c r="AE183" s="80">
        <f t="shared" si="54"/>
        <v>18.099999999999987</v>
      </c>
      <c r="AF183" s="81">
        <f t="shared" si="51"/>
        <v>-4.5244280999746422</v>
      </c>
      <c r="AG183" s="81">
        <f t="shared" si="49"/>
        <v>18.099999999999987</v>
      </c>
      <c r="AH183" s="80">
        <f t="shared" si="52"/>
        <v>1.2973588808652188</v>
      </c>
      <c r="AO183" s="1">
        <f t="shared" si="53"/>
        <v>18.099999999999987</v>
      </c>
      <c r="AP183" s="1">
        <f t="shared" si="55"/>
        <v>25.503399945076676</v>
      </c>
      <c r="AT183" s="8"/>
      <c r="AU183" s="66"/>
    </row>
    <row r="184" spans="1:47" x14ac:dyDescent="0.2">
      <c r="A184" s="134"/>
      <c r="AD184" s="125">
        <f t="shared" si="50"/>
        <v>4.1497792691102013</v>
      </c>
      <c r="AE184" s="80">
        <f t="shared" si="54"/>
        <v>18.199999999999989</v>
      </c>
      <c r="AF184" s="81">
        <f t="shared" si="51"/>
        <v>-4.5244280999746422</v>
      </c>
      <c r="AG184" s="81">
        <f t="shared" si="49"/>
        <v>18.199999999999989</v>
      </c>
      <c r="AH184" s="80">
        <f t="shared" si="52"/>
        <v>1.2973588808652188</v>
      </c>
      <c r="AO184" s="1">
        <f t="shared" si="53"/>
        <v>18.199999999999989</v>
      </c>
      <c r="AP184" s="1">
        <f t="shared" si="55"/>
        <v>25.503399945076676</v>
      </c>
      <c r="AT184" s="8"/>
      <c r="AU184" s="66"/>
    </row>
    <row r="185" spans="1:47" x14ac:dyDescent="0.2">
      <c r="A185" s="134"/>
      <c r="AD185" s="125">
        <f t="shared" si="50"/>
        <v>4.0905038628361625</v>
      </c>
      <c r="AE185" s="80">
        <f t="shared" si="54"/>
        <v>18.29999999999999</v>
      </c>
      <c r="AF185" s="81">
        <f t="shared" si="51"/>
        <v>-6.279777654527761</v>
      </c>
      <c r="AG185" s="81">
        <f t="shared" si="49"/>
        <v>18.29999999999999</v>
      </c>
      <c r="AH185" s="80">
        <f t="shared" si="52"/>
        <v>2.9283084118169307</v>
      </c>
      <c r="AO185" s="1">
        <f t="shared" si="53"/>
        <v>18.29999999999999</v>
      </c>
      <c r="AP185" s="1">
        <f t="shared" si="55"/>
        <v>25.503399945076676</v>
      </c>
      <c r="AT185" s="8"/>
      <c r="AU185" s="66"/>
    </row>
    <row r="186" spans="1:47" x14ac:dyDescent="0.2">
      <c r="A186" s="134"/>
      <c r="AD186" s="125">
        <f t="shared" si="50"/>
        <v>4.0905038628361625</v>
      </c>
      <c r="AE186" s="80">
        <f t="shared" si="54"/>
        <v>18.399999999999991</v>
      </c>
      <c r="AF186" s="81">
        <f t="shared" si="51"/>
        <v>-6.279777654527761</v>
      </c>
      <c r="AG186" s="81">
        <f t="shared" si="49"/>
        <v>18.399999999999991</v>
      </c>
      <c r="AH186" s="80">
        <f t="shared" si="52"/>
        <v>2.9283084118169307</v>
      </c>
      <c r="AO186" s="1">
        <f t="shared" si="53"/>
        <v>18.399999999999991</v>
      </c>
      <c r="AP186" s="1">
        <f t="shared" si="55"/>
        <v>25.503399945076676</v>
      </c>
      <c r="AT186" s="8"/>
      <c r="AU186" s="66"/>
    </row>
    <row r="187" spans="1:47" x14ac:dyDescent="0.2">
      <c r="A187" s="134"/>
      <c r="AD187" s="125">
        <f t="shared" si="50"/>
        <v>4.0905038628361625</v>
      </c>
      <c r="AE187" s="80">
        <f t="shared" si="54"/>
        <v>18.499999999999993</v>
      </c>
      <c r="AF187" s="81">
        <f t="shared" si="51"/>
        <v>-6.279777654527761</v>
      </c>
      <c r="AG187" s="81">
        <f t="shared" si="49"/>
        <v>18.499999999999993</v>
      </c>
      <c r="AH187" s="80">
        <f t="shared" si="52"/>
        <v>2.9283084118169307</v>
      </c>
      <c r="AO187" s="1">
        <f t="shared" si="53"/>
        <v>18.499999999999993</v>
      </c>
      <c r="AP187" s="1">
        <f t="shared" si="55"/>
        <v>25.503399945076676</v>
      </c>
      <c r="AT187" s="8"/>
      <c r="AU187" s="66"/>
    </row>
    <row r="188" spans="1:47" x14ac:dyDescent="0.2">
      <c r="A188" s="134"/>
      <c r="AD188" s="125">
        <f t="shared" si="50"/>
        <v>4.0905038628361625</v>
      </c>
      <c r="AE188" s="80">
        <f t="shared" si="54"/>
        <v>18.599999999999994</v>
      </c>
      <c r="AF188" s="81">
        <f t="shared" si="51"/>
        <v>-6.279777654527761</v>
      </c>
      <c r="AG188" s="81">
        <f t="shared" si="49"/>
        <v>18.599999999999994</v>
      </c>
      <c r="AH188" s="80">
        <f t="shared" si="52"/>
        <v>2.9283084118169307</v>
      </c>
      <c r="AO188" s="1">
        <f t="shared" si="53"/>
        <v>18.599999999999994</v>
      </c>
      <c r="AP188" s="1">
        <f t="shared" si="55"/>
        <v>25.503399945076676</v>
      </c>
      <c r="AT188" s="8"/>
      <c r="AU188" s="66"/>
    </row>
    <row r="189" spans="1:47" x14ac:dyDescent="0.2">
      <c r="A189" s="134"/>
      <c r="AD189" s="125">
        <f t="shared" si="50"/>
        <v>4.029983803061711</v>
      </c>
      <c r="AE189" s="80">
        <f t="shared" si="54"/>
        <v>18.699999999999996</v>
      </c>
      <c r="AF189" s="81">
        <f t="shared" si="51"/>
        <v>-6.8925278624732753</v>
      </c>
      <c r="AG189" s="81">
        <f t="shared" si="49"/>
        <v>18.699999999999996</v>
      </c>
      <c r="AH189" s="80">
        <f t="shared" si="52"/>
        <v>4.3069294184406566</v>
      </c>
      <c r="AO189" s="1">
        <f t="shared" si="53"/>
        <v>18.699999999999996</v>
      </c>
      <c r="AP189" s="1">
        <f t="shared" si="55"/>
        <v>25.503399945076676</v>
      </c>
      <c r="AT189" s="8"/>
      <c r="AU189" s="66"/>
    </row>
    <row r="190" spans="1:47" x14ac:dyDescent="0.2">
      <c r="A190" s="134"/>
      <c r="AD190" s="125">
        <f t="shared" si="50"/>
        <v>4.029983803061711</v>
      </c>
      <c r="AE190" s="80">
        <f t="shared" si="54"/>
        <v>18.799999999999997</v>
      </c>
      <c r="AF190" s="81">
        <f t="shared" si="51"/>
        <v>-6.8925278624732753</v>
      </c>
      <c r="AG190" s="81">
        <f t="shared" si="49"/>
        <v>18.799999999999997</v>
      </c>
      <c r="AH190" s="80">
        <f t="shared" si="52"/>
        <v>4.3069294184406566</v>
      </c>
      <c r="AO190" s="1">
        <f t="shared" si="53"/>
        <v>18.799999999999997</v>
      </c>
      <c r="AP190" s="1">
        <f t="shared" si="55"/>
        <v>25.503399945076676</v>
      </c>
      <c r="AT190" s="8"/>
      <c r="AU190" s="66"/>
    </row>
    <row r="191" spans="1:47" x14ac:dyDescent="0.2">
      <c r="AD191" s="125">
        <f t="shared" si="50"/>
        <v>4.029983803061711</v>
      </c>
      <c r="AE191" s="80">
        <f t="shared" si="54"/>
        <v>18.899999999999999</v>
      </c>
      <c r="AF191" s="81">
        <f t="shared" si="51"/>
        <v>-6.8925278624732753</v>
      </c>
      <c r="AG191" s="81">
        <f t="shared" si="49"/>
        <v>18.899999999999999</v>
      </c>
      <c r="AH191" s="80">
        <f t="shared" si="52"/>
        <v>4.3069294184406566</v>
      </c>
      <c r="AO191" s="1">
        <f t="shared" si="53"/>
        <v>18.899999999999999</v>
      </c>
      <c r="AP191" s="1">
        <f t="shared" si="55"/>
        <v>25.503399945076676</v>
      </c>
      <c r="AT191" s="8"/>
      <c r="AU191" s="66"/>
    </row>
    <row r="192" spans="1:47" x14ac:dyDescent="0.2">
      <c r="AD192" s="125">
        <f t="shared" si="50"/>
        <v>3.967646909176143</v>
      </c>
      <c r="AE192" s="80">
        <f t="shared" si="54"/>
        <v>19</v>
      </c>
      <c r="AF192" s="81">
        <f t="shared" si="51"/>
        <v>-4.9468059040960961</v>
      </c>
      <c r="AG192" s="81">
        <f t="shared" si="49"/>
        <v>19</v>
      </c>
      <c r="AH192" s="80">
        <f t="shared" si="52"/>
        <v>4.946805904096097</v>
      </c>
      <c r="AO192" s="1">
        <f t="shared" si="53"/>
        <v>19</v>
      </c>
      <c r="AP192" s="1">
        <f t="shared" si="55"/>
        <v>25.503399945076676</v>
      </c>
      <c r="AT192" s="8"/>
      <c r="AU192" s="66"/>
    </row>
    <row r="193" spans="30:47" x14ac:dyDescent="0.2">
      <c r="AD193" s="125">
        <f t="shared" si="50"/>
        <v>3.967646909176143</v>
      </c>
      <c r="AE193" s="80">
        <f t="shared" si="54"/>
        <v>19.100000000000001</v>
      </c>
      <c r="AF193" s="81">
        <f t="shared" si="51"/>
        <v>-4.9468059040960961</v>
      </c>
      <c r="AG193" s="81">
        <f t="shared" si="49"/>
        <v>19.100000000000001</v>
      </c>
      <c r="AH193" s="80">
        <f t="shared" si="52"/>
        <v>4.946805904096097</v>
      </c>
      <c r="AO193" s="1">
        <f t="shared" si="53"/>
        <v>19.100000000000001</v>
      </c>
      <c r="AP193" s="1">
        <f t="shared" si="55"/>
        <v>25.503399945076676</v>
      </c>
      <c r="AT193" s="8"/>
      <c r="AU193" s="66"/>
    </row>
    <row r="194" spans="30:47" x14ac:dyDescent="0.2">
      <c r="AD194" s="125">
        <f t="shared" si="50"/>
        <v>3.967646909176143</v>
      </c>
      <c r="AE194" s="80">
        <f t="shared" si="54"/>
        <v>19.200000000000003</v>
      </c>
      <c r="AF194" s="81">
        <f t="shared" si="51"/>
        <v>-4.9468059040960961</v>
      </c>
      <c r="AG194" s="81">
        <f t="shared" ref="AG194:AG212" si="56">AE194</f>
        <v>19.200000000000003</v>
      </c>
      <c r="AH194" s="80">
        <f t="shared" si="52"/>
        <v>4.946805904096097</v>
      </c>
      <c r="AO194" s="1">
        <f t="shared" si="53"/>
        <v>19.200000000000003</v>
      </c>
      <c r="AP194" s="1">
        <f t="shared" si="55"/>
        <v>25.503399945076676</v>
      </c>
      <c r="AT194" s="8"/>
      <c r="AU194" s="66"/>
    </row>
    <row r="195" spans="30:47" x14ac:dyDescent="0.2">
      <c r="AD195" s="125">
        <f t="shared" ref="AD195:AD212" si="57">LN(VLOOKUP(AE195,$V$2:$W$94,2))</f>
        <v>3.967646909176143</v>
      </c>
      <c r="AE195" s="80">
        <f t="shared" si="54"/>
        <v>19.300000000000004</v>
      </c>
      <c r="AF195" s="81">
        <f t="shared" ref="AF195:AF212" si="58">VLOOKUP(AE195,$R$2:$S$94,2)</f>
        <v>-4.9468059040960961</v>
      </c>
      <c r="AG195" s="81">
        <f t="shared" si="56"/>
        <v>19.300000000000004</v>
      </c>
      <c r="AH195" s="80">
        <f t="shared" ref="AH195:AH212" si="59">VLOOKUP(AE195,$T$2:$U$94,2)</f>
        <v>4.946805904096097</v>
      </c>
      <c r="AO195" s="1">
        <f t="shared" ref="AO195:AO212" si="60">AE195</f>
        <v>19.300000000000004</v>
      </c>
      <c r="AP195" s="1">
        <f t="shared" si="55"/>
        <v>25.503399945076676</v>
      </c>
      <c r="AT195" s="8"/>
      <c r="AU195" s="66"/>
    </row>
    <row r="196" spans="30:47" x14ac:dyDescent="0.2">
      <c r="AD196" s="125">
        <f t="shared" si="57"/>
        <v>3.903990833730882</v>
      </c>
      <c r="AE196" s="80">
        <f t="shared" ref="AE196:AE212" si="61">AE195+0.1</f>
        <v>19.400000000000006</v>
      </c>
      <c r="AF196" s="81">
        <f t="shared" si="58"/>
        <v>-3.3526826068589486</v>
      </c>
      <c r="AG196" s="81">
        <f t="shared" si="56"/>
        <v>19.400000000000006</v>
      </c>
      <c r="AH196" s="80">
        <f t="shared" si="59"/>
        <v>4.4491600919689862</v>
      </c>
      <c r="AO196" s="1">
        <f t="shared" si="60"/>
        <v>19.400000000000006</v>
      </c>
      <c r="AP196" s="1">
        <f t="shared" si="55"/>
        <v>25.503399945076676</v>
      </c>
      <c r="AT196" s="8"/>
      <c r="AU196" s="66"/>
    </row>
    <row r="197" spans="30:47" x14ac:dyDescent="0.2">
      <c r="AD197" s="125">
        <f t="shared" si="57"/>
        <v>3.903990833730882</v>
      </c>
      <c r="AE197" s="80">
        <f t="shared" si="61"/>
        <v>19.500000000000007</v>
      </c>
      <c r="AF197" s="81">
        <f t="shared" si="58"/>
        <v>-3.3526826068589486</v>
      </c>
      <c r="AG197" s="81">
        <f t="shared" si="56"/>
        <v>19.500000000000007</v>
      </c>
      <c r="AH197" s="80">
        <f t="shared" si="59"/>
        <v>4.4491600919689862</v>
      </c>
      <c r="AO197" s="1">
        <f t="shared" si="60"/>
        <v>19.500000000000007</v>
      </c>
      <c r="AP197" s="1">
        <f t="shared" si="55"/>
        <v>25.503399945076676</v>
      </c>
      <c r="AT197" s="8"/>
      <c r="AU197" s="66"/>
    </row>
    <row r="198" spans="30:47" x14ac:dyDescent="0.2">
      <c r="AD198" s="125">
        <f t="shared" si="57"/>
        <v>3.903990833730882</v>
      </c>
      <c r="AE198" s="80">
        <f t="shared" si="61"/>
        <v>19.600000000000009</v>
      </c>
      <c r="AF198" s="81">
        <f t="shared" si="58"/>
        <v>-3.3526826068589486</v>
      </c>
      <c r="AG198" s="81">
        <f t="shared" si="56"/>
        <v>19.600000000000009</v>
      </c>
      <c r="AH198" s="80">
        <f t="shared" si="59"/>
        <v>4.4491600919689862</v>
      </c>
      <c r="AO198" s="1">
        <f t="shared" si="60"/>
        <v>19.600000000000009</v>
      </c>
      <c r="AP198" s="1">
        <f t="shared" si="55"/>
        <v>25.503399945076676</v>
      </c>
      <c r="AT198" s="8"/>
      <c r="AU198" s="66"/>
    </row>
    <row r="199" spans="30:47" x14ac:dyDescent="0.2">
      <c r="AD199" s="125">
        <f t="shared" si="57"/>
        <v>3.903990833730882</v>
      </c>
      <c r="AE199" s="80">
        <f t="shared" si="61"/>
        <v>19.70000000000001</v>
      </c>
      <c r="AF199" s="81">
        <f t="shared" si="58"/>
        <v>-3.3526826068589486</v>
      </c>
      <c r="AG199" s="81">
        <f t="shared" si="56"/>
        <v>19.70000000000001</v>
      </c>
      <c r="AH199" s="80">
        <f t="shared" si="59"/>
        <v>4.4491600919689862</v>
      </c>
      <c r="AO199" s="1">
        <f t="shared" si="60"/>
        <v>19.70000000000001</v>
      </c>
      <c r="AP199" s="1">
        <f t="shared" si="55"/>
        <v>25.503399945076676</v>
      </c>
      <c r="AT199" s="8"/>
      <c r="AU199" s="66"/>
    </row>
    <row r="200" spans="30:47" x14ac:dyDescent="0.2">
      <c r="AD200" s="125">
        <f t="shared" si="57"/>
        <v>3.903990833730882</v>
      </c>
      <c r="AE200" s="80">
        <f t="shared" si="61"/>
        <v>19.800000000000011</v>
      </c>
      <c r="AF200" s="81">
        <f t="shared" si="58"/>
        <v>-3.3526826068589486</v>
      </c>
      <c r="AG200" s="81">
        <f t="shared" si="56"/>
        <v>19.800000000000011</v>
      </c>
      <c r="AH200" s="80">
        <f t="shared" si="59"/>
        <v>4.4491600919689862</v>
      </c>
      <c r="AO200" s="1">
        <f t="shared" si="60"/>
        <v>19.800000000000011</v>
      </c>
      <c r="AP200" s="1">
        <f t="shared" si="55"/>
        <v>25.503399945076676</v>
      </c>
      <c r="AT200" s="8"/>
      <c r="AU200" s="66"/>
    </row>
    <row r="201" spans="30:47" x14ac:dyDescent="0.2">
      <c r="AD201" s="125">
        <f t="shared" si="57"/>
        <v>3.8383764652598478</v>
      </c>
      <c r="AE201" s="80">
        <f t="shared" si="61"/>
        <v>19.900000000000013</v>
      </c>
      <c r="AF201" s="81">
        <f t="shared" si="58"/>
        <v>-3.6657383486521145</v>
      </c>
      <c r="AG201" s="81">
        <f t="shared" si="56"/>
        <v>19.900000000000013</v>
      </c>
      <c r="AH201" s="80">
        <f t="shared" si="59"/>
        <v>4.0712148861023376</v>
      </c>
      <c r="AO201" s="1">
        <f t="shared" si="60"/>
        <v>19.900000000000013</v>
      </c>
      <c r="AP201" s="1">
        <f t="shared" si="55"/>
        <v>25.503399945076676</v>
      </c>
      <c r="AT201" s="8"/>
      <c r="AU201" s="66"/>
    </row>
    <row r="202" spans="30:47" x14ac:dyDescent="0.2">
      <c r="AD202" s="125">
        <f t="shared" si="57"/>
        <v>3.8383764652598478</v>
      </c>
      <c r="AE202" s="80">
        <f t="shared" si="61"/>
        <v>20.000000000000014</v>
      </c>
      <c r="AF202" s="81">
        <f t="shared" si="58"/>
        <v>-3.6657383486521145</v>
      </c>
      <c r="AG202" s="81">
        <f t="shared" si="56"/>
        <v>20.000000000000014</v>
      </c>
      <c r="AH202" s="80">
        <f t="shared" si="59"/>
        <v>4.0712148861023376</v>
      </c>
      <c r="AO202" s="1">
        <f t="shared" si="60"/>
        <v>20.000000000000014</v>
      </c>
      <c r="AP202" s="1">
        <f t="shared" si="55"/>
        <v>25.503399945076676</v>
      </c>
      <c r="AT202" s="8"/>
      <c r="AU202" s="66"/>
    </row>
    <row r="203" spans="30:47" x14ac:dyDescent="0.2">
      <c r="AD203" s="125">
        <f t="shared" si="57"/>
        <v>3.8383764652598478</v>
      </c>
      <c r="AE203" s="80">
        <f t="shared" si="61"/>
        <v>20.100000000000016</v>
      </c>
      <c r="AF203" s="81">
        <f t="shared" si="58"/>
        <v>-3.6657383486521145</v>
      </c>
      <c r="AG203" s="81">
        <f t="shared" si="56"/>
        <v>20.100000000000016</v>
      </c>
      <c r="AH203" s="80">
        <f t="shared" si="59"/>
        <v>4.0712148861023376</v>
      </c>
      <c r="AO203" s="1">
        <f t="shared" si="60"/>
        <v>20.100000000000016</v>
      </c>
      <c r="AP203" s="1">
        <f t="shared" si="55"/>
        <v>25.503399945076676</v>
      </c>
      <c r="AT203" s="8"/>
      <c r="AU203" s="66"/>
    </row>
    <row r="204" spans="30:47" x14ac:dyDescent="0.2">
      <c r="AD204" s="125">
        <f t="shared" si="57"/>
        <v>3.8383764652598478</v>
      </c>
      <c r="AE204" s="80">
        <f t="shared" si="61"/>
        <v>20.200000000000017</v>
      </c>
      <c r="AF204" s="81">
        <f t="shared" si="58"/>
        <v>-3.6657383486521145</v>
      </c>
      <c r="AG204" s="81">
        <f t="shared" si="56"/>
        <v>20.200000000000017</v>
      </c>
      <c r="AH204" s="80">
        <f t="shared" si="59"/>
        <v>4.0712148861023376</v>
      </c>
      <c r="AO204" s="1">
        <f t="shared" si="60"/>
        <v>20.200000000000017</v>
      </c>
      <c r="AP204" s="1">
        <f t="shared" si="55"/>
        <v>25.503399945076676</v>
      </c>
      <c r="AT204" s="8"/>
      <c r="AU204" s="66"/>
    </row>
    <row r="205" spans="30:47" x14ac:dyDescent="0.2">
      <c r="AD205" s="125">
        <f t="shared" si="57"/>
        <v>3.7711504465467307</v>
      </c>
      <c r="AE205" s="80">
        <f t="shared" si="61"/>
        <v>20.300000000000018</v>
      </c>
      <c r="AF205" s="81">
        <f t="shared" si="58"/>
        <v>-4.1897197325522635</v>
      </c>
      <c r="AG205" s="81">
        <f t="shared" si="56"/>
        <v>20.300000000000018</v>
      </c>
      <c r="AH205" s="80">
        <f t="shared" si="59"/>
        <v>3.7724405916645236</v>
      </c>
      <c r="AO205" s="1">
        <f t="shared" si="60"/>
        <v>20.300000000000018</v>
      </c>
      <c r="AP205" s="1">
        <f t="shared" si="55"/>
        <v>25.503399945076676</v>
      </c>
      <c r="AT205" s="8"/>
      <c r="AU205" s="66"/>
    </row>
    <row r="206" spans="30:47" x14ac:dyDescent="0.2">
      <c r="AD206" s="125">
        <f t="shared" si="57"/>
        <v>3.7711504465467307</v>
      </c>
      <c r="AE206" s="80">
        <f t="shared" si="61"/>
        <v>20.40000000000002</v>
      </c>
      <c r="AF206" s="81">
        <f t="shared" si="58"/>
        <v>-4.1897197325522635</v>
      </c>
      <c r="AG206" s="81">
        <f t="shared" si="56"/>
        <v>20.40000000000002</v>
      </c>
      <c r="AH206" s="80">
        <f t="shared" si="59"/>
        <v>3.7724405916645236</v>
      </c>
      <c r="AO206" s="1">
        <f t="shared" si="60"/>
        <v>20.40000000000002</v>
      </c>
      <c r="AP206" s="1">
        <f t="shared" si="55"/>
        <v>25.503399945076676</v>
      </c>
      <c r="AT206" s="8"/>
      <c r="AU206" s="66"/>
    </row>
    <row r="207" spans="30:47" x14ac:dyDescent="0.2">
      <c r="AD207" s="125">
        <f t="shared" si="57"/>
        <v>3.7711504465467307</v>
      </c>
      <c r="AE207" s="80">
        <f t="shared" si="61"/>
        <v>20.500000000000021</v>
      </c>
      <c r="AF207" s="81">
        <f t="shared" si="58"/>
        <v>-4.1897197325522635</v>
      </c>
      <c r="AG207" s="81">
        <f t="shared" si="56"/>
        <v>20.500000000000021</v>
      </c>
      <c r="AH207" s="80">
        <f t="shared" si="59"/>
        <v>3.7724405916645236</v>
      </c>
      <c r="AO207" s="1">
        <f t="shared" si="60"/>
        <v>20.500000000000021</v>
      </c>
      <c r="AP207" s="1">
        <f t="shared" si="55"/>
        <v>25.503399945076676</v>
      </c>
      <c r="AT207" s="8"/>
      <c r="AU207" s="66"/>
    </row>
    <row r="208" spans="30:47" x14ac:dyDescent="0.2">
      <c r="AD208" s="125">
        <f t="shared" si="57"/>
        <v>3.7711504465467307</v>
      </c>
      <c r="AE208" s="80">
        <f t="shared" si="61"/>
        <v>20.600000000000023</v>
      </c>
      <c r="AF208" s="81">
        <f t="shared" si="58"/>
        <v>-4.1897197325522635</v>
      </c>
      <c r="AG208" s="81">
        <f t="shared" si="56"/>
        <v>20.600000000000023</v>
      </c>
      <c r="AH208" s="80">
        <f t="shared" si="59"/>
        <v>3.7724405916645236</v>
      </c>
      <c r="AO208" s="1">
        <f t="shared" si="60"/>
        <v>20.600000000000023</v>
      </c>
      <c r="AP208" s="1">
        <f t="shared" si="55"/>
        <v>25.503399945076676</v>
      </c>
      <c r="AT208" s="8"/>
      <c r="AU208" s="66"/>
    </row>
    <row r="209" spans="30:47" x14ac:dyDescent="0.2">
      <c r="AD209" s="125">
        <f t="shared" si="57"/>
        <v>3.7020424406402173</v>
      </c>
      <c r="AE209" s="80">
        <f t="shared" si="61"/>
        <v>20.700000000000024</v>
      </c>
      <c r="AF209" s="81">
        <f t="shared" si="58"/>
        <v>-3.758321357687882</v>
      </c>
      <c r="AG209" s="81">
        <f t="shared" si="56"/>
        <v>20.700000000000024</v>
      </c>
      <c r="AH209" s="80">
        <f t="shared" si="59"/>
        <v>3.5046913645973303</v>
      </c>
      <c r="AO209" s="1">
        <f t="shared" si="60"/>
        <v>20.700000000000024</v>
      </c>
      <c r="AP209" s="1">
        <f t="shared" si="55"/>
        <v>25.503399945076676</v>
      </c>
      <c r="AT209" s="8"/>
      <c r="AU209" s="66"/>
    </row>
    <row r="210" spans="30:47" x14ac:dyDescent="0.2">
      <c r="AD210" s="125">
        <f t="shared" si="57"/>
        <v>3.7020424406402173</v>
      </c>
      <c r="AE210" s="80">
        <f t="shared" si="61"/>
        <v>20.800000000000026</v>
      </c>
      <c r="AF210" s="81">
        <f t="shared" si="58"/>
        <v>-3.758321357687882</v>
      </c>
      <c r="AG210" s="81">
        <f t="shared" si="56"/>
        <v>20.800000000000026</v>
      </c>
      <c r="AH210" s="80">
        <f t="shared" si="59"/>
        <v>3.5046913645973303</v>
      </c>
      <c r="AO210" s="1">
        <f t="shared" si="60"/>
        <v>20.800000000000026</v>
      </c>
      <c r="AP210" s="1">
        <f t="shared" si="55"/>
        <v>25.503399945076676</v>
      </c>
      <c r="AT210" s="8"/>
      <c r="AU210" s="66"/>
    </row>
    <row r="211" spans="30:47" x14ac:dyDescent="0.2">
      <c r="AD211" s="125">
        <f t="shared" si="57"/>
        <v>3.7020424406402173</v>
      </c>
      <c r="AE211" s="80">
        <f t="shared" si="61"/>
        <v>20.900000000000027</v>
      </c>
      <c r="AF211" s="81">
        <f t="shared" si="58"/>
        <v>-3.758321357687882</v>
      </c>
      <c r="AG211" s="81">
        <f t="shared" si="56"/>
        <v>20.900000000000027</v>
      </c>
      <c r="AH211" s="80">
        <f t="shared" si="59"/>
        <v>3.5046913645973303</v>
      </c>
      <c r="AO211" s="1">
        <f t="shared" si="60"/>
        <v>20.900000000000027</v>
      </c>
      <c r="AP211" s="1">
        <f t="shared" si="55"/>
        <v>25.503399945076676</v>
      </c>
      <c r="AT211" s="8"/>
      <c r="AU211" s="66"/>
    </row>
    <row r="212" spans="30:47" ht="17" thickBot="1" x14ac:dyDescent="0.25">
      <c r="AD212" s="125">
        <f t="shared" si="57"/>
        <v>3.7020424406402173</v>
      </c>
      <c r="AE212" s="80">
        <f t="shared" si="61"/>
        <v>21.000000000000028</v>
      </c>
      <c r="AF212" s="81">
        <f t="shared" si="58"/>
        <v>-3.758321357687882</v>
      </c>
      <c r="AG212" s="81">
        <f t="shared" si="56"/>
        <v>21.000000000000028</v>
      </c>
      <c r="AH212" s="80">
        <f t="shared" si="59"/>
        <v>3.5046913645973303</v>
      </c>
      <c r="AO212" s="1">
        <f t="shared" si="60"/>
        <v>21.000000000000028</v>
      </c>
      <c r="AP212" s="1">
        <f t="shared" si="55"/>
        <v>25.503399945076676</v>
      </c>
      <c r="AT212" s="8"/>
      <c r="AU212" s="66"/>
    </row>
    <row r="213" spans="30:47" ht="17" thickBot="1" x14ac:dyDescent="0.25">
      <c r="AD213" s="67"/>
      <c r="AE213" s="95"/>
      <c r="AF213" s="34">
        <f>AVERAGE(AF2:AF62)</f>
        <v>7.5921753996203298</v>
      </c>
      <c r="AG213" s="65"/>
      <c r="AH213" s="34">
        <f>AVERAGE(AH2:AH62)</f>
        <v>9.3308813619084923</v>
      </c>
      <c r="AP213" s="34">
        <f t="shared" ref="AP213" si="62">SQRT((AF213-$AF$2)^2+(AH213-$AH$2)^2)</f>
        <v>15.381599303651608</v>
      </c>
      <c r="AQ213" s="67">
        <f>AVERAGE(AQ2:AQ102)</f>
        <v>1.2060935701333337</v>
      </c>
      <c r="AR213" s="94">
        <f>AVERAGE(AR2:AR102)</f>
        <v>5.7657647231705198</v>
      </c>
      <c r="AT213" s="8"/>
      <c r="AU213" s="66"/>
    </row>
    <row r="214" spans="30:47" ht="17" thickBot="1" x14ac:dyDescent="0.25">
      <c r="AD214" s="92"/>
      <c r="AE214" s="96"/>
      <c r="AF214" s="35"/>
      <c r="AG214" s="97"/>
      <c r="AH214" s="35"/>
      <c r="AI214" s="97"/>
      <c r="AJ214" s="97"/>
      <c r="AK214" s="97"/>
      <c r="AL214" s="97"/>
      <c r="AM214" s="97"/>
      <c r="AN214" s="97"/>
      <c r="AO214" s="97"/>
      <c r="AP214" s="35"/>
      <c r="AQ214" s="94">
        <f>SQRT(AQ213^2+AR213^2)</f>
        <v>5.8905606306084808</v>
      </c>
      <c r="AR214" s="64"/>
      <c r="AS214" s="97"/>
      <c r="AT214" s="126"/>
      <c r="AU214" s="66"/>
    </row>
    <row r="215" spans="30:47" x14ac:dyDescent="0.2">
      <c r="AE215" s="80"/>
      <c r="AU215" s="66"/>
    </row>
    <row r="216" spans="30:47" x14ac:dyDescent="0.2">
      <c r="AE216" s="80"/>
      <c r="AU216" s="66"/>
    </row>
    <row r="217" spans="30:47" x14ac:dyDescent="0.2">
      <c r="AE217" s="80"/>
      <c r="AU217" s="66"/>
    </row>
    <row r="218" spans="30:47" x14ac:dyDescent="0.2">
      <c r="AE218" s="80"/>
      <c r="AU218" s="66"/>
    </row>
    <row r="219" spans="30:47" x14ac:dyDescent="0.2">
      <c r="AE219" s="80"/>
      <c r="AU219" s="66"/>
    </row>
    <row r="220" spans="30:47" x14ac:dyDescent="0.2">
      <c r="AE220" s="80"/>
      <c r="AU220" s="66"/>
    </row>
    <row r="221" spans="30:47" x14ac:dyDescent="0.2">
      <c r="AE221" s="80"/>
      <c r="AU221" s="66"/>
    </row>
    <row r="222" spans="30:47" x14ac:dyDescent="0.2">
      <c r="AU222" s="66"/>
    </row>
    <row r="223" spans="30:47" x14ac:dyDescent="0.2">
      <c r="AU223" s="66"/>
    </row>
    <row r="224" spans="30:47" x14ac:dyDescent="0.2">
      <c r="AU224" s="66"/>
    </row>
    <row r="225" spans="47:47" x14ac:dyDescent="0.2">
      <c r="AU225" s="66"/>
    </row>
    <row r="226" spans="47:47" x14ac:dyDescent="0.2">
      <c r="AU226" s="66"/>
    </row>
    <row r="227" spans="47:47" x14ac:dyDescent="0.2">
      <c r="AU227" s="66"/>
    </row>
    <row r="228" spans="47:47" x14ac:dyDescent="0.2">
      <c r="AU228" s="66"/>
    </row>
    <row r="229" spans="47:47" x14ac:dyDescent="0.2">
      <c r="AU229" s="66"/>
    </row>
    <row r="230" spans="47:47" x14ac:dyDescent="0.2">
      <c r="AU230" s="66"/>
    </row>
    <row r="231" spans="47:47" x14ac:dyDescent="0.2">
      <c r="AU231" s="66"/>
    </row>
    <row r="232" spans="47:47" x14ac:dyDescent="0.2">
      <c r="AU232" s="66"/>
    </row>
    <row r="233" spans="47:47" x14ac:dyDescent="0.2">
      <c r="AU233" s="66"/>
    </row>
    <row r="234" spans="47:47" x14ac:dyDescent="0.2">
      <c r="AU234" s="66"/>
    </row>
    <row r="235" spans="47:47" x14ac:dyDescent="0.2">
      <c r="AU235" s="66"/>
    </row>
    <row r="236" spans="47:47" x14ac:dyDescent="0.2">
      <c r="AU236" s="66"/>
    </row>
    <row r="237" spans="47:47" x14ac:dyDescent="0.2">
      <c r="AU237" s="66"/>
    </row>
    <row r="238" spans="47:47" x14ac:dyDescent="0.2">
      <c r="AU238" s="66"/>
    </row>
    <row r="239" spans="47:47" x14ac:dyDescent="0.2">
      <c r="AU239" s="66"/>
    </row>
    <row r="240" spans="47:47" x14ac:dyDescent="0.2">
      <c r="AU240" s="66"/>
    </row>
    <row r="241" spans="47:47" x14ac:dyDescent="0.2">
      <c r="AU241" s="66"/>
    </row>
    <row r="242" spans="47:47" x14ac:dyDescent="0.2">
      <c r="AU242" s="66"/>
    </row>
    <row r="243" spans="47:47" x14ac:dyDescent="0.2">
      <c r="AU243" s="66"/>
    </row>
    <row r="244" spans="47:47" x14ac:dyDescent="0.2">
      <c r="AU244" s="66"/>
    </row>
    <row r="245" spans="47:47" x14ac:dyDescent="0.2">
      <c r="AU245" s="66"/>
    </row>
    <row r="246" spans="47:47" x14ac:dyDescent="0.2">
      <c r="AU246" s="66"/>
    </row>
    <row r="247" spans="47:47" x14ac:dyDescent="0.2">
      <c r="AU247" s="66"/>
    </row>
    <row r="248" spans="47:47" x14ac:dyDescent="0.2">
      <c r="AU248" s="66"/>
    </row>
    <row r="249" spans="47:47" x14ac:dyDescent="0.2">
      <c r="AU249" s="66"/>
    </row>
    <row r="250" spans="47:47" x14ac:dyDescent="0.2">
      <c r="AU250" s="66"/>
    </row>
    <row r="251" spans="47:47" x14ac:dyDescent="0.2">
      <c r="AU251" s="66"/>
    </row>
    <row r="252" spans="47:47" x14ac:dyDescent="0.2">
      <c r="AU252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727B-3629-4A45-AAEC-E6B32F56EF95}">
  <dimension ref="A1:AY252"/>
  <sheetViews>
    <sheetView zoomScale="90" zoomScaleNormal="90" workbookViewId="0">
      <selection activeCell="H46" sqref="H46"/>
    </sheetView>
  </sheetViews>
  <sheetFormatPr baseColWidth="10" defaultRowHeight="16" x14ac:dyDescent="0.2"/>
  <cols>
    <col min="1" max="1" width="8.6640625" customWidth="1"/>
    <col min="2" max="2" width="9.83203125" customWidth="1"/>
    <col min="3" max="3" width="10.1640625" customWidth="1"/>
    <col min="4" max="4" width="11.6640625" customWidth="1"/>
    <col min="5" max="5" width="9.83203125" customWidth="1"/>
    <col min="6" max="6" width="14" customWidth="1"/>
    <col min="16" max="16" width="15.1640625" customWidth="1"/>
    <col min="18" max="18" width="10.83203125" style="68"/>
    <col min="19" max="19" width="10.83203125" style="75"/>
    <col min="20" max="20" width="10.83203125" style="68"/>
    <col min="21" max="21" width="10.83203125" style="75"/>
    <col min="22" max="22" width="10.83203125" style="79"/>
    <col min="29" max="42" width="10.83203125" style="1"/>
  </cols>
  <sheetData>
    <row r="1" spans="16:51" ht="23" thickBot="1" x14ac:dyDescent="0.35">
      <c r="P1" s="147" t="s">
        <v>9</v>
      </c>
      <c r="Q1" s="148">
        <f>Y2</f>
        <v>22.94</v>
      </c>
      <c r="R1" s="76" t="s">
        <v>64</v>
      </c>
      <c r="S1" s="71" t="s">
        <v>0</v>
      </c>
      <c r="T1" s="77" t="str">
        <f>R1</f>
        <v>Ht (km)</v>
      </c>
      <c r="U1" s="72" t="s">
        <v>1</v>
      </c>
      <c r="V1" s="74" t="str">
        <f>T1</f>
        <v>Ht (km)</v>
      </c>
      <c r="W1" s="24" t="s">
        <v>46</v>
      </c>
      <c r="Y1" s="12"/>
      <c r="AC1" s="120" t="s">
        <v>86</v>
      </c>
      <c r="AD1" s="95" t="s">
        <v>50</v>
      </c>
      <c r="AE1" s="121" t="s">
        <v>62</v>
      </c>
      <c r="AF1" s="121" t="str">
        <f>AD1</f>
        <v>z</v>
      </c>
      <c r="AG1" s="122" t="s">
        <v>63</v>
      </c>
      <c r="AH1" s="123" t="s">
        <v>84</v>
      </c>
      <c r="AI1" s="123" t="s">
        <v>85</v>
      </c>
      <c r="AJ1" s="123" t="s">
        <v>66</v>
      </c>
      <c r="AK1" s="95" t="s">
        <v>67</v>
      </c>
      <c r="AL1" s="65" t="s">
        <v>50</v>
      </c>
      <c r="AM1" s="65" t="s">
        <v>7</v>
      </c>
      <c r="AN1" s="65" t="s">
        <v>74</v>
      </c>
      <c r="AO1" s="65" t="s">
        <v>75</v>
      </c>
      <c r="AP1" s="65" t="s">
        <v>52</v>
      </c>
      <c r="AQ1" s="124"/>
      <c r="AR1" s="66"/>
      <c r="AT1" s="66"/>
      <c r="AV1" s="66"/>
      <c r="AX1" s="66"/>
    </row>
    <row r="2" spans="16:51" ht="23" thickBot="1" x14ac:dyDescent="0.35">
      <c r="P2" s="147" t="s">
        <v>61</v>
      </c>
      <c r="Q2" s="161">
        <f>Q56</f>
        <v>866.52155627415777</v>
      </c>
      <c r="R2" s="117">
        <f>X2-$X$2</f>
        <v>0</v>
      </c>
      <c r="S2" s="73">
        <f t="shared" ref="S2:S33" si="0">SIN((360-AA2)*PI()/180)*AB2*0.5144</f>
        <v>2.299745850704479</v>
      </c>
      <c r="T2" s="78">
        <f>R2</f>
        <v>0</v>
      </c>
      <c r="U2" s="78">
        <f t="shared" ref="U2:U33" si="1">(COS((180-AA2)*PI()/180)*AB2*0.5144)</f>
        <v>10.196478952257566</v>
      </c>
      <c r="V2" s="84">
        <f t="shared" ref="V2:V65" si="2">T2</f>
        <v>0</v>
      </c>
      <c r="W2" s="24">
        <v>1004.3</v>
      </c>
      <c r="X2">
        <v>14.71</v>
      </c>
      <c r="Y2" s="12">
        <v>22.94</v>
      </c>
      <c r="Z2">
        <v>21.33</v>
      </c>
      <c r="AA2">
        <v>192.71</v>
      </c>
      <c r="AB2">
        <v>20.32</v>
      </c>
      <c r="AC2" s="125">
        <f>LN(VLOOKUP(AD2,$V$2:$W$61,2))</f>
        <v>6.9120460603992937</v>
      </c>
      <c r="AD2" s="80">
        <v>0</v>
      </c>
      <c r="AE2" s="81">
        <f>VLOOKUP(AD2,$R$2:$S$61,2)</f>
        <v>2.299745850704479</v>
      </c>
      <c r="AF2" s="81">
        <f t="shared" ref="AF2:AF65" si="3">AD2</f>
        <v>0</v>
      </c>
      <c r="AG2" s="80">
        <f>VLOOKUP(AD2,$T$2:$U$94,2)</f>
        <v>10.196478952257566</v>
      </c>
      <c r="AH2" s="80">
        <f>AE2*AC2</f>
        <v>15.895949247281516</v>
      </c>
      <c r="AI2" s="80">
        <f>AG2*AC2</f>
        <v>70.478532171896234</v>
      </c>
      <c r="AJ2" s="80">
        <f>AE2*AC2</f>
        <v>15.895949247281516</v>
      </c>
      <c r="AK2" s="1">
        <f>AG2*AC2</f>
        <v>70.478532171896234</v>
      </c>
      <c r="AL2" s="1">
        <f>AD2</f>
        <v>0</v>
      </c>
      <c r="AM2" s="1">
        <v>0</v>
      </c>
      <c r="AN2" s="1">
        <f t="shared" ref="AN2:AN65" si="4">AE2-AVERAGE($AE$2:$AE$212)*COS($Q$4)</f>
        <v>-16.252534085208154</v>
      </c>
      <c r="AO2" s="1">
        <f t="shared" ref="AO2:AO65" si="5">AG2-AVERAGE($AG$2:$AG$212)*SIN($Q$4)</f>
        <v>2.8957094382839683</v>
      </c>
      <c r="AP2" s="1">
        <f>SQRT((AE2-$Q$24)^2+(AG2-$Q$25)^2)</f>
        <v>9.1264030859542586</v>
      </c>
      <c r="AQ2" s="63">
        <f>AVERAGE(AP2:$AP$2)</f>
        <v>9.1264030859542586</v>
      </c>
      <c r="AR2" s="66"/>
      <c r="AS2" s="1"/>
      <c r="AW2" s="1"/>
      <c r="AY2" s="1"/>
    </row>
    <row r="3" spans="16:51" ht="18" thickBot="1" x14ac:dyDescent="0.3">
      <c r="P3" s="88" t="s">
        <v>65</v>
      </c>
      <c r="Q3" s="109"/>
      <c r="R3" s="117">
        <f>(X3-$X$2)/1000</f>
        <v>2.6159999999999996E-2</v>
      </c>
      <c r="S3" s="73">
        <f t="shared" si="0"/>
        <v>4.1960446681402495</v>
      </c>
      <c r="T3" s="78">
        <f t="shared" ref="T3:T66" si="6">R3</f>
        <v>2.6159999999999996E-2</v>
      </c>
      <c r="U3" s="78">
        <f t="shared" si="1"/>
        <v>14.887997871810562</v>
      </c>
      <c r="V3" s="84">
        <f t="shared" si="2"/>
        <v>2.6159999999999996E-2</v>
      </c>
      <c r="W3" s="24">
        <v>1001.3</v>
      </c>
      <c r="X3">
        <v>40.869999999999997</v>
      </c>
      <c r="Y3" s="12">
        <v>22.64</v>
      </c>
      <c r="Z3">
        <v>21.16</v>
      </c>
      <c r="AA3">
        <v>195.74</v>
      </c>
      <c r="AB3">
        <v>30.07</v>
      </c>
      <c r="AC3" s="125">
        <f t="shared" ref="AC3:AC66" si="7">LN(VLOOKUP(AD3,$V$2:$W$61,2))</f>
        <v>6.9035464342080823</v>
      </c>
      <c r="AD3" s="80">
        <f>AD2+0.1</f>
        <v>0.1</v>
      </c>
      <c r="AE3" s="81">
        <f t="shared" ref="AE3:AE66" si="8">VLOOKUP(AD3,$R$2:$S$61,2)</f>
        <v>4.8955486145735252</v>
      </c>
      <c r="AF3" s="81">
        <f t="shared" si="3"/>
        <v>0.1</v>
      </c>
      <c r="AG3" s="80">
        <f t="shared" ref="AG3:AG66" si="9">VLOOKUP(AD3,$T$2:$U$94,2)</f>
        <v>16.983273924923996</v>
      </c>
      <c r="AH3" s="80">
        <f t="shared" ref="AH3:AH66" si="10">AE3*AC3</f>
        <v>33.796647181631378</v>
      </c>
      <c r="AI3" s="80">
        <f t="shared" ref="AI3:AI66" si="11">AG3*AC3</f>
        <v>117.24482014558815</v>
      </c>
      <c r="AJ3" s="80">
        <f t="shared" ref="AJ3:AJ22" si="12">AE3*AC3</f>
        <v>33.796647181631378</v>
      </c>
      <c r="AK3" s="1">
        <f t="shared" ref="AK3:AK22" si="13">AG3*AC3</f>
        <v>117.24482014558815</v>
      </c>
      <c r="AL3" s="1">
        <f t="shared" ref="AL3:AL66" si="14">AD3</f>
        <v>0.1</v>
      </c>
      <c r="AM3" s="1">
        <f>SQRT((AE3-$AE$2)^2+(AG3-$AG$2)^2)</f>
        <v>7.2662767625463109</v>
      </c>
      <c r="AN3" s="1">
        <f t="shared" si="4"/>
        <v>-13.656731321339109</v>
      </c>
      <c r="AO3" s="1">
        <f t="shared" si="5"/>
        <v>9.682504410950397</v>
      </c>
      <c r="AP3" s="1">
        <f t="shared" ref="AP3:AP66" si="15">SQRT((AE3-$Q$24)^2+(AG3-$Q$25)^2)</f>
        <v>7.511857435526176</v>
      </c>
      <c r="AQ3" s="63">
        <f>AVERAGE(AP$2:$AP3)</f>
        <v>8.3191302607402164</v>
      </c>
      <c r="AR3" s="66"/>
      <c r="AS3" s="1"/>
      <c r="AW3" s="1"/>
      <c r="AY3" s="1"/>
    </row>
    <row r="4" spans="16:51" ht="18" thickBot="1" x14ac:dyDescent="0.3">
      <c r="P4" s="82" t="s">
        <v>3</v>
      </c>
      <c r="Q4" s="110">
        <f>(ATAN2(($AJ$23-$AE$2),(($AK$23-$AG$2)))-(ATAN2(($AH$103-$AE$2),(($AI$103-$AG$2)))))</f>
        <v>0.52132016168593198</v>
      </c>
      <c r="R4" s="117">
        <f t="shared" ref="R4:R67" si="16">(X4-$X$2)/1000</f>
        <v>7.4270000000000017E-2</v>
      </c>
      <c r="S4" s="73">
        <f t="shared" si="0"/>
        <v>4.8955486145735252</v>
      </c>
      <c r="T4" s="78">
        <f t="shared" si="6"/>
        <v>7.4270000000000017E-2</v>
      </c>
      <c r="U4" s="78">
        <f t="shared" si="1"/>
        <v>16.983273924923996</v>
      </c>
      <c r="V4" s="84">
        <f t="shared" si="2"/>
        <v>7.4270000000000017E-2</v>
      </c>
      <c r="W4" s="24">
        <v>995.8</v>
      </c>
      <c r="X4">
        <v>88.98</v>
      </c>
      <c r="Y4" s="12">
        <v>22.24</v>
      </c>
      <c r="Z4">
        <v>20.7</v>
      </c>
      <c r="AA4">
        <v>196.08</v>
      </c>
      <c r="AB4">
        <v>34.36</v>
      </c>
      <c r="AC4" s="125">
        <f t="shared" si="7"/>
        <v>6.8939605679599474</v>
      </c>
      <c r="AD4" s="80">
        <f t="shared" ref="AD4:AD67" si="17">AD3+0.1</f>
        <v>0.2</v>
      </c>
      <c r="AE4" s="81">
        <f t="shared" si="8"/>
        <v>5.2950944209392814</v>
      </c>
      <c r="AF4" s="81">
        <f t="shared" si="3"/>
        <v>0.2</v>
      </c>
      <c r="AG4" s="80">
        <f t="shared" si="9"/>
        <v>19.382184723725906</v>
      </c>
      <c r="AH4" s="80">
        <f t="shared" si="10"/>
        <v>36.504172141580121</v>
      </c>
      <c r="AI4" s="80">
        <f t="shared" si="11"/>
        <v>133.62001720628206</v>
      </c>
      <c r="AJ4" s="80">
        <f t="shared" si="12"/>
        <v>36.504172141580121</v>
      </c>
      <c r="AK4" s="1">
        <f t="shared" si="13"/>
        <v>133.62001720628206</v>
      </c>
      <c r="AL4" s="1">
        <f t="shared" si="14"/>
        <v>0.2</v>
      </c>
      <c r="AM4" s="1">
        <f t="shared" ref="AM4:AM67" si="18">SQRT((AE4-$AE$2)^2+(AG4-$AG$2)^2)</f>
        <v>9.6617443340834921</v>
      </c>
      <c r="AN4" s="1">
        <f t="shared" si="4"/>
        <v>-13.257185514973351</v>
      </c>
      <c r="AO4" s="1">
        <f t="shared" si="5"/>
        <v>12.081415209752308</v>
      </c>
      <c r="AP4" s="1">
        <f t="shared" si="15"/>
        <v>8.8266496774584571</v>
      </c>
      <c r="AQ4" s="63">
        <f>AVERAGE(AP$2:$AP4)</f>
        <v>8.4883033996462967</v>
      </c>
      <c r="AR4" s="66"/>
      <c r="AS4" s="1"/>
      <c r="AW4" s="1"/>
      <c r="AY4" s="1"/>
    </row>
    <row r="5" spans="16:51" ht="18" thickBot="1" x14ac:dyDescent="0.3">
      <c r="P5" s="83" t="s">
        <v>4</v>
      </c>
      <c r="Q5" s="111">
        <f>(SQRT(AH103^2+AI103^2))*SIN(Q4)</f>
        <v>13.27410698329607</v>
      </c>
      <c r="R5" s="117">
        <f t="shared" si="16"/>
        <v>0.15790999999999999</v>
      </c>
      <c r="S5" s="73">
        <f t="shared" si="0"/>
        <v>5.2950944209392814</v>
      </c>
      <c r="T5" s="78">
        <f t="shared" si="6"/>
        <v>0.15790999999999999</v>
      </c>
      <c r="U5" s="78">
        <f t="shared" si="1"/>
        <v>19.382184723725906</v>
      </c>
      <c r="V5" s="84">
        <f t="shared" si="2"/>
        <v>0.15790999999999999</v>
      </c>
      <c r="W5" s="24">
        <v>986.3</v>
      </c>
      <c r="X5">
        <v>172.62</v>
      </c>
      <c r="Y5" s="12">
        <v>22.04</v>
      </c>
      <c r="Z5">
        <v>20.420000000000002</v>
      </c>
      <c r="AA5">
        <v>195.28</v>
      </c>
      <c r="AB5">
        <v>39.06</v>
      </c>
      <c r="AC5" s="125">
        <f t="shared" si="7"/>
        <v>6.8795615446113549</v>
      </c>
      <c r="AD5" s="80">
        <f t="shared" si="17"/>
        <v>0.30000000000000004</v>
      </c>
      <c r="AE5" s="81">
        <f t="shared" si="8"/>
        <v>6.1936826822212465</v>
      </c>
      <c r="AF5" s="81">
        <f t="shared" si="3"/>
        <v>0.30000000000000004</v>
      </c>
      <c r="AG5" s="80">
        <f t="shared" si="9"/>
        <v>21.277206010091092</v>
      </c>
      <c r="AH5" s="80">
        <f t="shared" si="10"/>
        <v>42.609821200134597</v>
      </c>
      <c r="AI5" s="80">
        <f t="shared" si="11"/>
        <v>146.37784824379628</v>
      </c>
      <c r="AJ5" s="80">
        <f t="shared" si="12"/>
        <v>42.609821200134597</v>
      </c>
      <c r="AK5" s="1">
        <f t="shared" si="13"/>
        <v>146.37784824379628</v>
      </c>
      <c r="AL5" s="1">
        <f t="shared" si="14"/>
        <v>0.30000000000000004</v>
      </c>
      <c r="AM5" s="1">
        <f t="shared" si="18"/>
        <v>11.745009841547468</v>
      </c>
      <c r="AN5" s="1">
        <f t="shared" si="4"/>
        <v>-12.358597253691386</v>
      </c>
      <c r="AO5" s="1">
        <f t="shared" si="5"/>
        <v>13.976436496117493</v>
      </c>
      <c r="AP5" s="1">
        <f t="shared" si="15"/>
        <v>9.8596618901372963</v>
      </c>
      <c r="AQ5" s="63">
        <f>AVERAGE(AP$2:$AP5)</f>
        <v>8.8311430222690461</v>
      </c>
      <c r="AR5" s="66"/>
      <c r="AS5" s="1"/>
      <c r="AW5" s="1"/>
      <c r="AY5" s="1"/>
    </row>
    <row r="6" spans="16:51" ht="18" thickBot="1" x14ac:dyDescent="0.3">
      <c r="P6" s="83" t="s">
        <v>5</v>
      </c>
      <c r="Q6" s="111">
        <f>(SQRT((AJ23-AE2)^2+(AK23-AG2)^2))*COS(Q4)</f>
        <v>12.234014108845193</v>
      </c>
      <c r="R6" s="117">
        <f t="shared" si="16"/>
        <v>0.28340000000000004</v>
      </c>
      <c r="S6" s="73">
        <f t="shared" si="0"/>
        <v>6.1936826822212465</v>
      </c>
      <c r="T6" s="78">
        <f t="shared" si="6"/>
        <v>0.28340000000000004</v>
      </c>
      <c r="U6" s="78">
        <f t="shared" si="1"/>
        <v>21.277206010091092</v>
      </c>
      <c r="V6" s="84">
        <f t="shared" si="2"/>
        <v>0.28340000000000004</v>
      </c>
      <c r="W6" s="24">
        <v>972.2</v>
      </c>
      <c r="X6">
        <v>298.11</v>
      </c>
      <c r="Y6" s="12">
        <v>21.64</v>
      </c>
      <c r="Z6">
        <v>20.21</v>
      </c>
      <c r="AA6">
        <v>196.23</v>
      </c>
      <c r="AB6">
        <v>43.08</v>
      </c>
      <c r="AC6" s="125">
        <f t="shared" si="7"/>
        <v>6.8795615446113549</v>
      </c>
      <c r="AD6" s="80">
        <f t="shared" si="17"/>
        <v>0.4</v>
      </c>
      <c r="AE6" s="81">
        <f t="shared" si="8"/>
        <v>6.1936826822212465</v>
      </c>
      <c r="AF6" s="81">
        <f t="shared" si="3"/>
        <v>0.4</v>
      </c>
      <c r="AG6" s="80">
        <f t="shared" si="9"/>
        <v>21.277206010091092</v>
      </c>
      <c r="AH6" s="80">
        <f t="shared" si="10"/>
        <v>42.609821200134597</v>
      </c>
      <c r="AI6" s="80">
        <f t="shared" si="11"/>
        <v>146.37784824379628</v>
      </c>
      <c r="AJ6" s="80">
        <f t="shared" si="12"/>
        <v>42.609821200134597</v>
      </c>
      <c r="AK6" s="1">
        <f t="shared" si="13"/>
        <v>146.37784824379628</v>
      </c>
      <c r="AL6" s="1">
        <f t="shared" si="14"/>
        <v>0.4</v>
      </c>
      <c r="AM6" s="1">
        <f t="shared" si="18"/>
        <v>11.745009841547468</v>
      </c>
      <c r="AN6" s="1">
        <f t="shared" si="4"/>
        <v>-12.358597253691386</v>
      </c>
      <c r="AO6" s="1">
        <f t="shared" si="5"/>
        <v>13.976436496117493</v>
      </c>
      <c r="AP6" s="1">
        <f t="shared" si="15"/>
        <v>9.8596618901372963</v>
      </c>
      <c r="AQ6" s="63">
        <f>AVERAGE(AP$2:$AP6)</f>
        <v>9.0368467958426955</v>
      </c>
      <c r="AR6" s="66"/>
      <c r="AS6" s="1"/>
      <c r="AW6" s="1"/>
      <c r="AY6" s="1"/>
    </row>
    <row r="7" spans="16:51" ht="18" thickBot="1" x14ac:dyDescent="0.3">
      <c r="P7" s="83" t="s">
        <v>6</v>
      </c>
      <c r="Q7" s="112">
        <f>((273.15+Q1)/(2*9.81))*(Q5+Q6)^2</f>
        <v>9819.325958743415</v>
      </c>
      <c r="R7" s="117">
        <f t="shared" si="16"/>
        <v>0.44586000000000003</v>
      </c>
      <c r="S7" s="73">
        <f t="shared" si="0"/>
        <v>7.8946983111412328</v>
      </c>
      <c r="T7" s="78">
        <f t="shared" si="6"/>
        <v>0.44586000000000003</v>
      </c>
      <c r="U7" s="78">
        <f t="shared" si="1"/>
        <v>21.584949534379916</v>
      </c>
      <c r="V7" s="84">
        <f t="shared" si="2"/>
        <v>0.44586000000000003</v>
      </c>
      <c r="W7" s="24">
        <v>954.2</v>
      </c>
      <c r="X7">
        <v>460.57</v>
      </c>
      <c r="Y7" s="12">
        <v>20.54</v>
      </c>
      <c r="Z7">
        <v>20.010000000000002</v>
      </c>
      <c r="AA7">
        <v>200.09</v>
      </c>
      <c r="AB7">
        <v>44.68</v>
      </c>
      <c r="AC7" s="125">
        <f t="shared" si="7"/>
        <v>6.8608732930820064</v>
      </c>
      <c r="AD7" s="80">
        <f t="shared" si="17"/>
        <v>0.5</v>
      </c>
      <c r="AE7" s="81">
        <f t="shared" si="8"/>
        <v>7.8946983111412328</v>
      </c>
      <c r="AF7" s="81">
        <f t="shared" si="3"/>
        <v>0.5</v>
      </c>
      <c r="AG7" s="80">
        <f t="shared" si="9"/>
        <v>21.584949534379916</v>
      </c>
      <c r="AH7" s="80">
        <f t="shared" si="10"/>
        <v>54.164524799848508</v>
      </c>
      <c r="AI7" s="80">
        <f t="shared" si="11"/>
        <v>148.09160379295005</v>
      </c>
      <c r="AJ7" s="80">
        <f t="shared" si="12"/>
        <v>54.164524799848508</v>
      </c>
      <c r="AK7" s="1">
        <f t="shared" si="13"/>
        <v>148.09160379295005</v>
      </c>
      <c r="AL7" s="1">
        <f t="shared" si="14"/>
        <v>0.5</v>
      </c>
      <c r="AM7" s="1">
        <f t="shared" si="18"/>
        <v>12.688607300819639</v>
      </c>
      <c r="AN7" s="1">
        <f t="shared" si="4"/>
        <v>-10.657581624771399</v>
      </c>
      <c r="AO7" s="1">
        <f t="shared" si="5"/>
        <v>14.284180020406318</v>
      </c>
      <c r="AP7" s="1">
        <f t="shared" si="15"/>
        <v>9.4272861543185957</v>
      </c>
      <c r="AQ7" s="63">
        <f>AVERAGE(AP$2:$AP7)</f>
        <v>9.1019200222553458</v>
      </c>
      <c r="AR7" s="66"/>
      <c r="AS7" s="1"/>
      <c r="AW7" s="1"/>
      <c r="AY7" s="1"/>
    </row>
    <row r="8" spans="16:51" ht="18" thickBot="1" x14ac:dyDescent="0.3">
      <c r="P8" s="83" t="s">
        <v>68</v>
      </c>
      <c r="Q8" s="111">
        <f>Q7/1000</f>
        <v>9.8193259587434145</v>
      </c>
      <c r="R8" s="117">
        <f t="shared" si="16"/>
        <v>0.64400000000000002</v>
      </c>
      <c r="S8" s="73">
        <f t="shared" si="0"/>
        <v>10.1928836354586</v>
      </c>
      <c r="T8" s="78">
        <f t="shared" si="6"/>
        <v>0.64400000000000002</v>
      </c>
      <c r="U8" s="78">
        <f t="shared" si="1"/>
        <v>21.485515735512244</v>
      </c>
      <c r="V8" s="84">
        <f t="shared" si="2"/>
        <v>0.64400000000000002</v>
      </c>
      <c r="W8" s="24">
        <v>932.6</v>
      </c>
      <c r="X8">
        <v>658.71</v>
      </c>
      <c r="Y8" s="12">
        <v>19.04</v>
      </c>
      <c r="Z8">
        <v>18.850000000000001</v>
      </c>
      <c r="AA8">
        <v>205.38</v>
      </c>
      <c r="AB8">
        <v>46.23</v>
      </c>
      <c r="AC8" s="125">
        <f t="shared" si="7"/>
        <v>6.8608732930820064</v>
      </c>
      <c r="AD8" s="80">
        <f t="shared" si="17"/>
        <v>0.6</v>
      </c>
      <c r="AE8" s="81">
        <f t="shared" si="8"/>
        <v>7.8946983111412328</v>
      </c>
      <c r="AF8" s="81">
        <f t="shared" si="3"/>
        <v>0.6</v>
      </c>
      <c r="AG8" s="80">
        <f t="shared" si="9"/>
        <v>21.584949534379916</v>
      </c>
      <c r="AH8" s="80">
        <f t="shared" si="10"/>
        <v>54.164524799848508</v>
      </c>
      <c r="AI8" s="80">
        <f t="shared" si="11"/>
        <v>148.09160379295005</v>
      </c>
      <c r="AJ8" s="80">
        <f t="shared" si="12"/>
        <v>54.164524799848508</v>
      </c>
      <c r="AK8" s="1">
        <f t="shared" si="13"/>
        <v>148.09160379295005</v>
      </c>
      <c r="AL8" s="1">
        <f t="shared" si="14"/>
        <v>0.6</v>
      </c>
      <c r="AM8" s="1">
        <f t="shared" si="18"/>
        <v>12.688607300819639</v>
      </c>
      <c r="AN8" s="1">
        <f t="shared" si="4"/>
        <v>-10.657581624771399</v>
      </c>
      <c r="AO8" s="1">
        <f t="shared" si="5"/>
        <v>14.284180020406318</v>
      </c>
      <c r="AP8" s="1">
        <f t="shared" si="15"/>
        <v>9.4272861543185957</v>
      </c>
      <c r="AQ8" s="63">
        <f>AVERAGE(AP$2:$AP8)</f>
        <v>9.1484008982643825</v>
      </c>
      <c r="AR8" s="66"/>
      <c r="AS8" s="1"/>
      <c r="AW8" s="1"/>
      <c r="AY8" s="1"/>
    </row>
    <row r="9" spans="16:51" ht="18" thickBot="1" x14ac:dyDescent="0.3">
      <c r="P9" s="83" t="s">
        <v>7</v>
      </c>
      <c r="Q9" s="111">
        <f>VLOOKUP($Q$8,$AL$2:$AM$212,2)</f>
        <v>30.362189115656566</v>
      </c>
      <c r="R9" s="117">
        <f t="shared" si="16"/>
        <v>0.86346999999999996</v>
      </c>
      <c r="S9" s="73">
        <f t="shared" si="0"/>
        <v>12.590144128579603</v>
      </c>
      <c r="T9" s="78">
        <f t="shared" si="6"/>
        <v>0.86346999999999996</v>
      </c>
      <c r="U9" s="78">
        <f t="shared" si="1"/>
        <v>22.280215994949256</v>
      </c>
      <c r="V9" s="84">
        <f t="shared" si="2"/>
        <v>0.86346999999999996</v>
      </c>
      <c r="W9" s="24">
        <v>909.1</v>
      </c>
      <c r="X9">
        <v>878.18</v>
      </c>
      <c r="Y9" s="12">
        <v>17.239999999999998</v>
      </c>
      <c r="Z9">
        <v>17.079999999999998</v>
      </c>
      <c r="AA9">
        <v>209.47</v>
      </c>
      <c r="AB9">
        <v>49.75</v>
      </c>
      <c r="AC9" s="125">
        <f t="shared" si="7"/>
        <v>6.8379763843742207</v>
      </c>
      <c r="AD9" s="80">
        <f t="shared" si="17"/>
        <v>0.7</v>
      </c>
      <c r="AE9" s="81">
        <f t="shared" si="8"/>
        <v>10.1928836354586</v>
      </c>
      <c r="AF9" s="81">
        <f t="shared" si="3"/>
        <v>0.7</v>
      </c>
      <c r="AG9" s="80">
        <f t="shared" si="9"/>
        <v>21.485515735512244</v>
      </c>
      <c r="AH9" s="80">
        <f t="shared" si="10"/>
        <v>69.698697587940359</v>
      </c>
      <c r="AI9" s="80">
        <f t="shared" si="11"/>
        <v>146.91744920553344</v>
      </c>
      <c r="AJ9" s="80">
        <f t="shared" si="12"/>
        <v>69.698697587940359</v>
      </c>
      <c r="AK9" s="1">
        <f t="shared" si="13"/>
        <v>146.91744920553344</v>
      </c>
      <c r="AL9" s="1">
        <f t="shared" si="14"/>
        <v>0.7</v>
      </c>
      <c r="AM9" s="1">
        <f t="shared" si="18"/>
        <v>13.774758639729058</v>
      </c>
      <c r="AN9" s="1">
        <f t="shared" si="4"/>
        <v>-8.3593963004540335</v>
      </c>
      <c r="AO9" s="1">
        <f t="shared" si="5"/>
        <v>14.184746221538646</v>
      </c>
      <c r="AP9" s="1">
        <f t="shared" si="15"/>
        <v>8.8198805844961843</v>
      </c>
      <c r="AQ9" s="63">
        <f>AVERAGE(AP$2:$AP9)</f>
        <v>9.1073358590433582</v>
      </c>
      <c r="AR9" s="66"/>
      <c r="AS9" s="1"/>
      <c r="AW9" s="1"/>
      <c r="AY9" s="1"/>
    </row>
    <row r="10" spans="16:51" ht="18" thickBot="1" x14ac:dyDescent="0.3">
      <c r="P10" s="83" t="s">
        <v>72</v>
      </c>
      <c r="Q10" s="111">
        <f>Q2/1000</f>
        <v>0.86652155627415772</v>
      </c>
      <c r="R10" s="117">
        <f t="shared" si="16"/>
        <v>1.10781</v>
      </c>
      <c r="S10" s="73">
        <f t="shared" si="0"/>
        <v>14.787357637980076</v>
      </c>
      <c r="T10" s="78">
        <f t="shared" si="6"/>
        <v>1.10781</v>
      </c>
      <c r="U10" s="78">
        <f t="shared" si="1"/>
        <v>22.683760812147707</v>
      </c>
      <c r="V10" s="84">
        <f t="shared" si="2"/>
        <v>1.10781</v>
      </c>
      <c r="W10" s="24">
        <v>883.5</v>
      </c>
      <c r="X10">
        <v>1122.52</v>
      </c>
      <c r="Y10" s="12">
        <v>16.440000000000001</v>
      </c>
      <c r="Z10">
        <v>14.91</v>
      </c>
      <c r="AA10">
        <v>213.1</v>
      </c>
      <c r="AB10">
        <v>52.64</v>
      </c>
      <c r="AC10" s="125">
        <f t="shared" si="7"/>
        <v>6.8379763843742207</v>
      </c>
      <c r="AD10" s="80">
        <f t="shared" si="17"/>
        <v>0.79999999999999993</v>
      </c>
      <c r="AE10" s="81">
        <f t="shared" si="8"/>
        <v>10.1928836354586</v>
      </c>
      <c r="AF10" s="81">
        <f t="shared" si="3"/>
        <v>0.79999999999999993</v>
      </c>
      <c r="AG10" s="80">
        <f t="shared" si="9"/>
        <v>21.485515735512244</v>
      </c>
      <c r="AH10" s="80">
        <f t="shared" si="10"/>
        <v>69.698697587940359</v>
      </c>
      <c r="AI10" s="80">
        <f t="shared" si="11"/>
        <v>146.91744920553344</v>
      </c>
      <c r="AJ10" s="80">
        <f t="shared" si="12"/>
        <v>69.698697587940359</v>
      </c>
      <c r="AK10" s="1">
        <f t="shared" si="13"/>
        <v>146.91744920553344</v>
      </c>
      <c r="AL10" s="1">
        <f t="shared" si="14"/>
        <v>0.79999999999999993</v>
      </c>
      <c r="AM10" s="1">
        <f t="shared" si="18"/>
        <v>13.774758639729058</v>
      </c>
      <c r="AN10" s="1">
        <f t="shared" si="4"/>
        <v>-8.3593963004540335</v>
      </c>
      <c r="AO10" s="1">
        <f t="shared" si="5"/>
        <v>14.184746221538646</v>
      </c>
      <c r="AP10" s="1">
        <f t="shared" si="15"/>
        <v>8.8198805844961843</v>
      </c>
      <c r="AQ10" s="63">
        <f>AVERAGE(AP$2:$AP10)</f>
        <v>9.075396384093672</v>
      </c>
      <c r="AR10" s="66"/>
      <c r="AS10" s="1"/>
      <c r="AW10" s="1"/>
      <c r="AY10" s="1"/>
    </row>
    <row r="11" spans="16:51" ht="18" thickBot="1" x14ac:dyDescent="0.3">
      <c r="P11" s="83" t="s">
        <v>87</v>
      </c>
      <c r="Q11" s="111">
        <f>(Q10+0.75)</f>
        <v>1.6165215562741577</v>
      </c>
      <c r="R11" s="117">
        <f t="shared" si="16"/>
        <v>1.38618</v>
      </c>
      <c r="S11" s="73">
        <f t="shared" si="0"/>
        <v>15.587826996558929</v>
      </c>
      <c r="T11" s="78">
        <f t="shared" si="6"/>
        <v>1.38618</v>
      </c>
      <c r="U11" s="78">
        <f t="shared" si="1"/>
        <v>22.386232673604834</v>
      </c>
      <c r="V11" s="84">
        <f t="shared" si="2"/>
        <v>1.38618</v>
      </c>
      <c r="W11" s="24">
        <v>855.1</v>
      </c>
      <c r="X11">
        <v>1400.89</v>
      </c>
      <c r="Y11" s="12">
        <v>15.64</v>
      </c>
      <c r="Z11">
        <v>10.44</v>
      </c>
      <c r="AA11">
        <v>214.85</v>
      </c>
      <c r="AB11">
        <v>53.03</v>
      </c>
      <c r="AC11" s="125">
        <f t="shared" si="7"/>
        <v>6.8124550991278126</v>
      </c>
      <c r="AD11" s="80">
        <f t="shared" si="17"/>
        <v>0.89999999999999991</v>
      </c>
      <c r="AE11" s="81">
        <f t="shared" si="8"/>
        <v>12.590144128579603</v>
      </c>
      <c r="AF11" s="81">
        <f t="shared" si="3"/>
        <v>0.89999999999999991</v>
      </c>
      <c r="AG11" s="80">
        <f t="shared" si="9"/>
        <v>22.280215994949256</v>
      </c>
      <c r="AH11" s="80">
        <f t="shared" si="10"/>
        <v>85.769791567496199</v>
      </c>
      <c r="AI11" s="80">
        <f t="shared" si="11"/>
        <v>151.78297106446109</v>
      </c>
      <c r="AJ11" s="80">
        <f t="shared" si="12"/>
        <v>85.769791567496199</v>
      </c>
      <c r="AK11" s="1">
        <f t="shared" si="13"/>
        <v>151.78297106446109</v>
      </c>
      <c r="AL11" s="1">
        <f t="shared" si="14"/>
        <v>0.89999999999999991</v>
      </c>
      <c r="AM11" s="1">
        <f t="shared" si="18"/>
        <v>15.871641302468204</v>
      </c>
      <c r="AN11" s="1">
        <f t="shared" si="4"/>
        <v>-5.9621358073330306</v>
      </c>
      <c r="AO11" s="1">
        <f t="shared" si="5"/>
        <v>14.979446480975657</v>
      </c>
      <c r="AP11" s="1">
        <f t="shared" si="15"/>
        <v>9.6899894717636776</v>
      </c>
      <c r="AQ11" s="63">
        <f>AVERAGE(AP$2:$AP11)</f>
        <v>9.1368556928606743</v>
      </c>
      <c r="AR11" s="66"/>
      <c r="AS11" s="1"/>
      <c r="AW11" s="1"/>
      <c r="AY11" s="1"/>
    </row>
    <row r="12" spans="16:51" ht="18" thickBot="1" x14ac:dyDescent="0.3">
      <c r="P12" s="83" t="s">
        <v>73</v>
      </c>
      <c r="Q12" s="112">
        <f>0.5*((Q10*1000)+(Q11*1000))</f>
        <v>1241.5215562741578</v>
      </c>
      <c r="R12" s="117">
        <f t="shared" si="16"/>
        <v>1.7032799999999999</v>
      </c>
      <c r="S12" s="73">
        <f t="shared" si="0"/>
        <v>15.888361030218814</v>
      </c>
      <c r="T12" s="78">
        <f t="shared" si="6"/>
        <v>1.7032799999999999</v>
      </c>
      <c r="U12" s="78">
        <f t="shared" si="1"/>
        <v>21.780395394506503</v>
      </c>
      <c r="V12" s="84">
        <f t="shared" si="2"/>
        <v>1.7032799999999999</v>
      </c>
      <c r="W12" s="24">
        <v>823.7</v>
      </c>
      <c r="X12">
        <v>1717.99</v>
      </c>
      <c r="Y12" s="12">
        <v>13.94</v>
      </c>
      <c r="Z12">
        <v>9.8800000000000008</v>
      </c>
      <c r="AA12">
        <v>216.11</v>
      </c>
      <c r="AB12">
        <v>52.41</v>
      </c>
      <c r="AC12" s="125">
        <f t="shared" si="7"/>
        <v>6.8124550991278126</v>
      </c>
      <c r="AD12" s="80">
        <f t="shared" si="17"/>
        <v>0.99999999999999989</v>
      </c>
      <c r="AE12" s="81">
        <f t="shared" si="8"/>
        <v>12.590144128579603</v>
      </c>
      <c r="AF12" s="81">
        <f t="shared" si="3"/>
        <v>0.99999999999999989</v>
      </c>
      <c r="AG12" s="80">
        <f t="shared" si="9"/>
        <v>22.280215994949256</v>
      </c>
      <c r="AH12" s="80">
        <f t="shared" si="10"/>
        <v>85.769791567496199</v>
      </c>
      <c r="AI12" s="80">
        <f t="shared" si="11"/>
        <v>151.78297106446109</v>
      </c>
      <c r="AJ12" s="80">
        <f t="shared" si="12"/>
        <v>85.769791567496199</v>
      </c>
      <c r="AK12" s="1">
        <f t="shared" si="13"/>
        <v>151.78297106446109</v>
      </c>
      <c r="AL12" s="1">
        <f t="shared" si="14"/>
        <v>0.99999999999999989</v>
      </c>
      <c r="AM12" s="1">
        <f t="shared" si="18"/>
        <v>15.871641302468204</v>
      </c>
      <c r="AN12" s="1">
        <f t="shared" si="4"/>
        <v>-5.9621358073330306</v>
      </c>
      <c r="AO12" s="1">
        <f t="shared" si="5"/>
        <v>14.979446480975657</v>
      </c>
      <c r="AP12" s="1">
        <f t="shared" si="15"/>
        <v>9.6899894717636776</v>
      </c>
      <c r="AQ12" s="63">
        <f>AVERAGE(AP$2:$AP12)</f>
        <v>9.1871405818518568</v>
      </c>
      <c r="AR12" s="66"/>
      <c r="AS12" s="1"/>
      <c r="AW12" s="1"/>
      <c r="AY12" s="1"/>
    </row>
    <row r="13" spans="16:51" ht="18" thickBot="1" x14ac:dyDescent="0.3">
      <c r="P13" s="83" t="s">
        <v>70</v>
      </c>
      <c r="Q13" s="113">
        <f>Q35</f>
        <v>8.6645806551180343E-3</v>
      </c>
      <c r="R13" s="117">
        <f t="shared" si="16"/>
        <v>2.0626599999999997</v>
      </c>
      <c r="S13" s="73">
        <f t="shared" si="0"/>
        <v>19.284277431474152</v>
      </c>
      <c r="T13" s="78">
        <f t="shared" si="6"/>
        <v>2.0626599999999997</v>
      </c>
      <c r="U13" s="78">
        <f t="shared" si="1"/>
        <v>21.682264073992656</v>
      </c>
      <c r="V13" s="84">
        <f t="shared" si="2"/>
        <v>2.0626599999999997</v>
      </c>
      <c r="W13" s="24">
        <v>789.3</v>
      </c>
      <c r="X13">
        <v>2077.37</v>
      </c>
      <c r="Y13" s="12">
        <v>13.04</v>
      </c>
      <c r="Z13">
        <v>-2.48</v>
      </c>
      <c r="AA13">
        <v>221.65</v>
      </c>
      <c r="AB13">
        <v>56.41</v>
      </c>
      <c r="AC13" s="125">
        <f t="shared" si="7"/>
        <v>6.8124550991278126</v>
      </c>
      <c r="AD13" s="80">
        <f t="shared" si="17"/>
        <v>1.0999999999999999</v>
      </c>
      <c r="AE13" s="81">
        <f t="shared" si="8"/>
        <v>12.590144128579603</v>
      </c>
      <c r="AF13" s="81">
        <f t="shared" si="3"/>
        <v>1.0999999999999999</v>
      </c>
      <c r="AG13" s="80">
        <f t="shared" si="9"/>
        <v>22.280215994949256</v>
      </c>
      <c r="AH13" s="80">
        <f t="shared" si="10"/>
        <v>85.769791567496199</v>
      </c>
      <c r="AI13" s="80">
        <f t="shared" si="11"/>
        <v>151.78297106446109</v>
      </c>
      <c r="AJ13" s="80">
        <f t="shared" si="12"/>
        <v>85.769791567496199</v>
      </c>
      <c r="AK13" s="1">
        <f t="shared" si="13"/>
        <v>151.78297106446109</v>
      </c>
      <c r="AL13" s="1">
        <f t="shared" si="14"/>
        <v>1.0999999999999999</v>
      </c>
      <c r="AM13" s="1">
        <f t="shared" si="18"/>
        <v>15.871641302468204</v>
      </c>
      <c r="AN13" s="1">
        <f t="shared" si="4"/>
        <v>-5.9621358073330306</v>
      </c>
      <c r="AO13" s="1">
        <f t="shared" si="5"/>
        <v>14.979446480975657</v>
      </c>
      <c r="AP13" s="1">
        <f t="shared" si="15"/>
        <v>9.6899894717636776</v>
      </c>
      <c r="AQ13" s="63">
        <f>AVERAGE(AP$2:$AP13)</f>
        <v>9.2290446560111743</v>
      </c>
      <c r="AR13" s="66"/>
      <c r="AS13" s="1"/>
      <c r="AW13" s="1"/>
      <c r="AY13" s="1"/>
    </row>
    <row r="14" spans="16:51" ht="18" thickBot="1" x14ac:dyDescent="0.3">
      <c r="P14" s="83" t="s">
        <v>71</v>
      </c>
      <c r="Q14" s="113">
        <f>Q36</f>
        <v>1.0284361856315889E-2</v>
      </c>
      <c r="R14" s="117">
        <f t="shared" si="16"/>
        <v>2.4662700000000002</v>
      </c>
      <c r="S14" s="73">
        <f t="shared" si="0"/>
        <v>17.788022058969474</v>
      </c>
      <c r="T14" s="78">
        <f t="shared" si="6"/>
        <v>2.4662700000000002</v>
      </c>
      <c r="U14" s="78">
        <f t="shared" si="1"/>
        <v>21.08657979928465</v>
      </c>
      <c r="V14" s="84">
        <f t="shared" si="2"/>
        <v>2.4662700000000002</v>
      </c>
      <c r="W14" s="24">
        <v>752.1</v>
      </c>
      <c r="X14">
        <v>2480.98</v>
      </c>
      <c r="Y14" s="12">
        <v>10.84</v>
      </c>
      <c r="Z14">
        <v>-12.51</v>
      </c>
      <c r="AA14">
        <v>220.15</v>
      </c>
      <c r="AB14">
        <v>53.63</v>
      </c>
      <c r="AC14" s="125">
        <f t="shared" si="7"/>
        <v>6.7838912917597511</v>
      </c>
      <c r="AD14" s="80">
        <f t="shared" si="17"/>
        <v>1.2</v>
      </c>
      <c r="AE14" s="81">
        <f t="shared" si="8"/>
        <v>14.787357637980076</v>
      </c>
      <c r="AF14" s="81">
        <f t="shared" si="3"/>
        <v>1.2</v>
      </c>
      <c r="AG14" s="80">
        <f t="shared" si="9"/>
        <v>22.683760812147707</v>
      </c>
      <c r="AH14" s="80">
        <f t="shared" si="10"/>
        <v>100.31582670843008</v>
      </c>
      <c r="AI14" s="80">
        <f t="shared" si="11"/>
        <v>153.88416743788991</v>
      </c>
      <c r="AJ14" s="80">
        <f t="shared" si="12"/>
        <v>100.31582670843008</v>
      </c>
      <c r="AK14" s="1">
        <f t="shared" si="13"/>
        <v>153.88416743788991</v>
      </c>
      <c r="AL14" s="1">
        <f t="shared" si="14"/>
        <v>1.2</v>
      </c>
      <c r="AM14" s="1">
        <f t="shared" si="18"/>
        <v>17.659916658864667</v>
      </c>
      <c r="AN14" s="1">
        <f t="shared" si="4"/>
        <v>-3.7649222979325572</v>
      </c>
      <c r="AO14" s="1">
        <f t="shared" si="5"/>
        <v>15.382991298174108</v>
      </c>
      <c r="AP14" s="1">
        <f t="shared" si="15"/>
        <v>10.643142645039823</v>
      </c>
      <c r="AQ14" s="63">
        <f>AVERAGE(AP$2:$AP14)</f>
        <v>9.337821424397994</v>
      </c>
      <c r="AR14" s="66"/>
      <c r="AS14" s="1"/>
      <c r="AW14" s="1"/>
      <c r="AY14" s="1"/>
    </row>
    <row r="15" spans="16:51" ht="18" thickBot="1" x14ac:dyDescent="0.3">
      <c r="P15" s="83" t="s">
        <v>69</v>
      </c>
      <c r="Q15" s="139">
        <f>SQRT(Q13^2+Q14^2)</f>
        <v>1.3447790031105142E-2</v>
      </c>
      <c r="R15" s="117">
        <f t="shared" si="16"/>
        <v>2.9202599999999999</v>
      </c>
      <c r="S15" s="73">
        <f t="shared" si="0"/>
        <v>14.487645019063278</v>
      </c>
      <c r="T15" s="78">
        <f t="shared" si="6"/>
        <v>2.9202599999999999</v>
      </c>
      <c r="U15" s="78">
        <f t="shared" si="1"/>
        <v>19.586076846011473</v>
      </c>
      <c r="V15" s="84">
        <f t="shared" si="2"/>
        <v>2.9202599999999999</v>
      </c>
      <c r="W15" s="24">
        <v>712</v>
      </c>
      <c r="X15">
        <v>2934.97</v>
      </c>
      <c r="Y15" s="12">
        <v>8.34</v>
      </c>
      <c r="Z15">
        <v>-13.64</v>
      </c>
      <c r="AA15">
        <v>216.49</v>
      </c>
      <c r="AB15">
        <v>47.36</v>
      </c>
      <c r="AC15" s="125">
        <f t="shared" si="7"/>
        <v>6.7838912917597511</v>
      </c>
      <c r="AD15" s="80">
        <f t="shared" si="17"/>
        <v>1.3</v>
      </c>
      <c r="AE15" s="81">
        <f t="shared" si="8"/>
        <v>14.787357637980076</v>
      </c>
      <c r="AF15" s="81">
        <f t="shared" si="3"/>
        <v>1.3</v>
      </c>
      <c r="AG15" s="80">
        <f t="shared" si="9"/>
        <v>22.683760812147707</v>
      </c>
      <c r="AH15" s="80">
        <f t="shared" si="10"/>
        <v>100.31582670843008</v>
      </c>
      <c r="AI15" s="80">
        <f t="shared" si="11"/>
        <v>153.88416743788991</v>
      </c>
      <c r="AJ15" s="80">
        <f t="shared" si="12"/>
        <v>100.31582670843008</v>
      </c>
      <c r="AK15" s="1">
        <f t="shared" si="13"/>
        <v>153.88416743788991</v>
      </c>
      <c r="AL15" s="1">
        <f t="shared" si="14"/>
        <v>1.3</v>
      </c>
      <c r="AM15" s="1">
        <f t="shared" si="18"/>
        <v>17.659916658864667</v>
      </c>
      <c r="AN15" s="1">
        <f t="shared" si="4"/>
        <v>-3.7649222979325572</v>
      </c>
      <c r="AO15" s="1">
        <f t="shared" si="5"/>
        <v>15.382991298174108</v>
      </c>
      <c r="AP15" s="1">
        <f t="shared" si="15"/>
        <v>10.643142645039823</v>
      </c>
      <c r="AQ15" s="63">
        <f>AVERAGE(AP$2:$AP15)</f>
        <v>9.4310586544438397</v>
      </c>
      <c r="AR15" s="66"/>
      <c r="AS15" s="1"/>
      <c r="AW15" s="1"/>
      <c r="AY15" s="1"/>
    </row>
    <row r="16" spans="16:51" ht="18" thickBot="1" x14ac:dyDescent="0.3">
      <c r="P16" s="83" t="s">
        <v>76</v>
      </c>
      <c r="Q16" s="112">
        <f>(Q7*Q15-AN214)/(2*PI()*Q15)</f>
        <v>1469.4349966351274</v>
      </c>
      <c r="R16" s="117">
        <f t="shared" si="16"/>
        <v>3.4325299999999999</v>
      </c>
      <c r="S16" s="73">
        <f t="shared" si="0"/>
        <v>17.984706774083229</v>
      </c>
      <c r="T16" s="78">
        <f t="shared" si="6"/>
        <v>3.4325299999999999</v>
      </c>
      <c r="U16" s="78">
        <f t="shared" si="1"/>
        <v>17.483256844392031</v>
      </c>
      <c r="V16" s="84">
        <f t="shared" si="2"/>
        <v>3.4325299999999999</v>
      </c>
      <c r="W16" s="24">
        <v>668.9</v>
      </c>
      <c r="X16">
        <v>3447.24</v>
      </c>
      <c r="Y16" s="12">
        <v>5.14</v>
      </c>
      <c r="Z16">
        <v>-10.67</v>
      </c>
      <c r="AA16">
        <v>225.81</v>
      </c>
      <c r="AB16">
        <v>48.76</v>
      </c>
      <c r="AC16" s="125">
        <f t="shared" si="7"/>
        <v>6.7512184211619095</v>
      </c>
      <c r="AD16" s="80">
        <f t="shared" si="17"/>
        <v>1.4000000000000001</v>
      </c>
      <c r="AE16" s="81">
        <f t="shared" si="8"/>
        <v>15.587826996558929</v>
      </c>
      <c r="AF16" s="81">
        <f t="shared" si="3"/>
        <v>1.4000000000000001</v>
      </c>
      <c r="AG16" s="80">
        <f t="shared" si="9"/>
        <v>22.386232673604834</v>
      </c>
      <c r="AH16" s="80">
        <f t="shared" si="10"/>
        <v>105.23682476505357</v>
      </c>
      <c r="AI16" s="80">
        <f t="shared" si="11"/>
        <v>151.13434640645758</v>
      </c>
      <c r="AJ16" s="80">
        <f t="shared" si="12"/>
        <v>105.23682476505357</v>
      </c>
      <c r="AK16" s="1">
        <f t="shared" si="13"/>
        <v>151.13434640645758</v>
      </c>
      <c r="AL16" s="1">
        <f t="shared" si="14"/>
        <v>1.4000000000000001</v>
      </c>
      <c r="AM16" s="1">
        <f t="shared" si="18"/>
        <v>18.032282060957012</v>
      </c>
      <c r="AN16" s="1">
        <f t="shared" si="4"/>
        <v>-2.9644529393537038</v>
      </c>
      <c r="AO16" s="1">
        <f t="shared" si="5"/>
        <v>15.085463159631235</v>
      </c>
      <c r="AP16" s="1">
        <f t="shared" si="15"/>
        <v>10.677856690588596</v>
      </c>
      <c r="AQ16" s="63">
        <f>AVERAGE(AP$2:$AP16)</f>
        <v>9.5141785235201546</v>
      </c>
      <c r="AR16" s="66"/>
      <c r="AS16" s="1"/>
      <c r="AW16" s="1"/>
      <c r="AY16" s="1"/>
    </row>
    <row r="17" spans="16:51" ht="18" thickBot="1" x14ac:dyDescent="0.3">
      <c r="P17" s="83" t="s">
        <v>58</v>
      </c>
      <c r="Q17" s="114">
        <f>(AVERAGE($AE$57:$AE$62)-AVERAGE($AE$12:$AE$17))</f>
        <v>13.896272314318175</v>
      </c>
      <c r="R17" s="117">
        <f t="shared" si="16"/>
        <v>4.01037</v>
      </c>
      <c r="S17" s="73">
        <f t="shared" si="0"/>
        <v>25.781156384167559</v>
      </c>
      <c r="T17" s="78">
        <f t="shared" si="6"/>
        <v>4.01037</v>
      </c>
      <c r="U17" s="78">
        <f t="shared" si="1"/>
        <v>11.689426073581211</v>
      </c>
      <c r="V17" s="84">
        <f t="shared" si="2"/>
        <v>4.01037</v>
      </c>
      <c r="W17" s="24">
        <v>622.79999999999995</v>
      </c>
      <c r="X17">
        <v>4025.08</v>
      </c>
      <c r="Y17" s="12">
        <v>0.44</v>
      </c>
      <c r="Z17">
        <v>-7.61</v>
      </c>
      <c r="AA17">
        <v>245.61</v>
      </c>
      <c r="AB17">
        <v>55.03</v>
      </c>
      <c r="AC17" s="125">
        <f t="shared" si="7"/>
        <v>6.7512184211619095</v>
      </c>
      <c r="AD17" s="80">
        <f t="shared" si="17"/>
        <v>1.5000000000000002</v>
      </c>
      <c r="AE17" s="81">
        <f t="shared" si="8"/>
        <v>15.587826996558929</v>
      </c>
      <c r="AF17" s="81">
        <f t="shared" si="3"/>
        <v>1.5000000000000002</v>
      </c>
      <c r="AG17" s="80">
        <f t="shared" si="9"/>
        <v>22.386232673604834</v>
      </c>
      <c r="AH17" s="80">
        <f t="shared" si="10"/>
        <v>105.23682476505357</v>
      </c>
      <c r="AI17" s="80">
        <f t="shared" si="11"/>
        <v>151.13434640645758</v>
      </c>
      <c r="AJ17" s="80">
        <f t="shared" si="12"/>
        <v>105.23682476505357</v>
      </c>
      <c r="AK17" s="1">
        <f t="shared" si="13"/>
        <v>151.13434640645758</v>
      </c>
      <c r="AL17" s="1">
        <f t="shared" si="14"/>
        <v>1.5000000000000002</v>
      </c>
      <c r="AM17" s="1">
        <f t="shared" si="18"/>
        <v>18.032282060957012</v>
      </c>
      <c r="AN17" s="1">
        <f t="shared" si="4"/>
        <v>-2.9644529393537038</v>
      </c>
      <c r="AO17" s="1">
        <f t="shared" si="5"/>
        <v>15.085463159631235</v>
      </c>
      <c r="AP17" s="1">
        <f t="shared" si="15"/>
        <v>10.677856690588596</v>
      </c>
      <c r="AQ17" s="63">
        <f>AVERAGE(AP$2:$AP17)</f>
        <v>9.5869084089619321</v>
      </c>
      <c r="AR17" s="66"/>
      <c r="AS17" s="1"/>
      <c r="AW17" s="1"/>
      <c r="AY17" s="1"/>
    </row>
    <row r="18" spans="16:51" ht="18" thickBot="1" x14ac:dyDescent="0.3">
      <c r="P18" s="83" t="s">
        <v>59</v>
      </c>
      <c r="Q18" s="114">
        <f>(AVERAGE($AG$57:$AG$62)-AVERAGE($AG$12:$AG$17))</f>
        <v>-16.670052594350942</v>
      </c>
      <c r="R18" s="117">
        <f t="shared" si="16"/>
        <v>4.6535600000000006</v>
      </c>
      <c r="S18" s="73">
        <f t="shared" si="0"/>
        <v>27.878644744589501</v>
      </c>
      <c r="T18" s="78">
        <f t="shared" si="6"/>
        <v>4.6535600000000006</v>
      </c>
      <c r="U18" s="78">
        <f t="shared" si="1"/>
        <v>6.2929504565877687</v>
      </c>
      <c r="V18" s="84">
        <f t="shared" si="2"/>
        <v>4.6535600000000006</v>
      </c>
      <c r="W18" s="24">
        <v>574.29999999999995</v>
      </c>
      <c r="X18">
        <v>4668.2700000000004</v>
      </c>
      <c r="Y18" s="12">
        <v>-5.26</v>
      </c>
      <c r="Z18">
        <v>-60.21</v>
      </c>
      <c r="AA18">
        <v>257.27999999999997</v>
      </c>
      <c r="AB18">
        <v>55.56</v>
      </c>
      <c r="AC18" s="125">
        <f t="shared" si="7"/>
        <v>6.7512184211619095</v>
      </c>
      <c r="AD18" s="80">
        <f t="shared" si="17"/>
        <v>1.6000000000000003</v>
      </c>
      <c r="AE18" s="81">
        <f t="shared" si="8"/>
        <v>15.587826996558929</v>
      </c>
      <c r="AF18" s="81">
        <f t="shared" si="3"/>
        <v>1.6000000000000003</v>
      </c>
      <c r="AG18" s="80">
        <f t="shared" si="9"/>
        <v>22.386232673604834</v>
      </c>
      <c r="AH18" s="80">
        <f t="shared" si="10"/>
        <v>105.23682476505357</v>
      </c>
      <c r="AI18" s="80">
        <f t="shared" si="11"/>
        <v>151.13434640645758</v>
      </c>
      <c r="AJ18" s="80">
        <f t="shared" si="12"/>
        <v>105.23682476505357</v>
      </c>
      <c r="AK18" s="1">
        <f t="shared" si="13"/>
        <v>151.13434640645758</v>
      </c>
      <c r="AL18" s="1">
        <f t="shared" si="14"/>
        <v>1.6000000000000003</v>
      </c>
      <c r="AM18" s="1">
        <f t="shared" si="18"/>
        <v>18.032282060957012</v>
      </c>
      <c r="AN18" s="1">
        <f t="shared" si="4"/>
        <v>-2.9644529393537038</v>
      </c>
      <c r="AO18" s="1">
        <f t="shared" si="5"/>
        <v>15.085463159631235</v>
      </c>
      <c r="AP18" s="1">
        <f t="shared" si="15"/>
        <v>10.677856690588596</v>
      </c>
      <c r="AQ18" s="63">
        <f>AVERAGE(AP$2:$AP18)</f>
        <v>9.6510818372929119</v>
      </c>
      <c r="AR18" s="66"/>
      <c r="AS18" s="1"/>
      <c r="AW18" s="1"/>
      <c r="AY18" s="1"/>
    </row>
    <row r="19" spans="16:51" ht="18" thickBot="1" x14ac:dyDescent="0.3">
      <c r="P19" s="83" t="s">
        <v>57</v>
      </c>
      <c r="Q19" s="114">
        <f>SQRT(Q17^2+Q18^2)</f>
        <v>21.702466167053743</v>
      </c>
      <c r="R19" s="117">
        <f t="shared" si="16"/>
        <v>5.3147200000000003</v>
      </c>
      <c r="S19" s="73">
        <f t="shared" si="0"/>
        <v>28.484586308791251</v>
      </c>
      <c r="T19" s="78">
        <f t="shared" si="6"/>
        <v>5.3147200000000003</v>
      </c>
      <c r="U19" s="78">
        <f t="shared" si="1"/>
        <v>4.9969746971188389</v>
      </c>
      <c r="V19" s="84">
        <f t="shared" si="2"/>
        <v>5.3147200000000003</v>
      </c>
      <c r="W19" s="24">
        <v>527.29999999999995</v>
      </c>
      <c r="X19">
        <v>5329.43</v>
      </c>
      <c r="Y19" s="12">
        <v>-11.96</v>
      </c>
      <c r="Z19">
        <v>-57.68</v>
      </c>
      <c r="AA19">
        <v>260.05</v>
      </c>
      <c r="AB19">
        <v>56.22</v>
      </c>
      <c r="AC19" s="125">
        <f t="shared" si="7"/>
        <v>6.7512184211619095</v>
      </c>
      <c r="AD19" s="80">
        <f t="shared" si="17"/>
        <v>1.7000000000000004</v>
      </c>
      <c r="AE19" s="81">
        <f t="shared" si="8"/>
        <v>15.587826996558929</v>
      </c>
      <c r="AF19" s="81">
        <f t="shared" si="3"/>
        <v>1.7000000000000004</v>
      </c>
      <c r="AG19" s="80">
        <f t="shared" si="9"/>
        <v>22.386232673604834</v>
      </c>
      <c r="AH19" s="80">
        <f t="shared" si="10"/>
        <v>105.23682476505357</v>
      </c>
      <c r="AI19" s="80">
        <f t="shared" si="11"/>
        <v>151.13434640645758</v>
      </c>
      <c r="AJ19" s="80">
        <f t="shared" si="12"/>
        <v>105.23682476505357</v>
      </c>
      <c r="AK19" s="1">
        <f t="shared" si="13"/>
        <v>151.13434640645758</v>
      </c>
      <c r="AL19" s="1">
        <f t="shared" si="14"/>
        <v>1.7000000000000004</v>
      </c>
      <c r="AM19" s="1">
        <f t="shared" si="18"/>
        <v>18.032282060957012</v>
      </c>
      <c r="AN19" s="1">
        <f t="shared" si="4"/>
        <v>-2.9644529393537038</v>
      </c>
      <c r="AO19" s="1">
        <f t="shared" si="5"/>
        <v>15.085463159631235</v>
      </c>
      <c r="AP19" s="1">
        <f t="shared" si="15"/>
        <v>10.677856690588596</v>
      </c>
      <c r="AQ19" s="63">
        <f>AVERAGE(AP$2:$AP19)</f>
        <v>9.7081248846982273</v>
      </c>
      <c r="AR19" s="66"/>
      <c r="AS19" s="1"/>
      <c r="AW19" s="1"/>
      <c r="AY19" s="1"/>
    </row>
    <row r="20" spans="16:51" ht="18" thickBot="1" x14ac:dyDescent="0.3">
      <c r="P20" s="83" t="s">
        <v>79</v>
      </c>
      <c r="Q20" s="114">
        <f>AVERAGE(AE2:AE52)+(2*PI()*$Q$16-$Q$7)*$Q$13</f>
        <v>11.604464786803039</v>
      </c>
      <c r="R20" s="117">
        <f t="shared" si="16"/>
        <v>5.9457599999999999</v>
      </c>
      <c r="S20" s="73">
        <f t="shared" si="0"/>
        <v>26.885359868190008</v>
      </c>
      <c r="T20" s="78">
        <f t="shared" si="6"/>
        <v>5.9457599999999999</v>
      </c>
      <c r="U20" s="78">
        <f t="shared" si="1"/>
        <v>9.6952299097037464</v>
      </c>
      <c r="V20" s="84">
        <f t="shared" si="2"/>
        <v>5.9457599999999999</v>
      </c>
      <c r="W20" s="24">
        <v>485.1</v>
      </c>
      <c r="X20">
        <v>5960.47</v>
      </c>
      <c r="Y20" s="12">
        <v>-17.46</v>
      </c>
      <c r="Z20">
        <v>-54.18</v>
      </c>
      <c r="AA20">
        <v>250.17</v>
      </c>
      <c r="AB20">
        <v>55.56</v>
      </c>
      <c r="AC20" s="125">
        <f t="shared" si="7"/>
        <v>6.713806385947203</v>
      </c>
      <c r="AD20" s="80">
        <f t="shared" si="17"/>
        <v>1.8000000000000005</v>
      </c>
      <c r="AE20" s="81">
        <f t="shared" si="8"/>
        <v>15.888361030218814</v>
      </c>
      <c r="AF20" s="81">
        <f t="shared" si="3"/>
        <v>1.8000000000000005</v>
      </c>
      <c r="AG20" s="80">
        <f t="shared" si="9"/>
        <v>21.780395394506503</v>
      </c>
      <c r="AH20" s="80">
        <f t="shared" si="10"/>
        <v>106.67137974691775</v>
      </c>
      <c r="AI20" s="80">
        <f t="shared" si="11"/>
        <v>146.22935768809282</v>
      </c>
      <c r="AJ20" s="80">
        <f t="shared" si="12"/>
        <v>106.67137974691775</v>
      </c>
      <c r="AK20" s="1">
        <f t="shared" si="13"/>
        <v>146.22935768809282</v>
      </c>
      <c r="AL20" s="1">
        <f t="shared" si="14"/>
        <v>1.8000000000000005</v>
      </c>
      <c r="AM20" s="1">
        <f t="shared" si="18"/>
        <v>17.856023707363647</v>
      </c>
      <c r="AN20" s="1">
        <f t="shared" si="4"/>
        <v>-2.6639189056938193</v>
      </c>
      <c r="AO20" s="1">
        <f t="shared" si="5"/>
        <v>14.479625880532904</v>
      </c>
      <c r="AP20" s="1">
        <f t="shared" si="15"/>
        <v>10.2695035793608</v>
      </c>
      <c r="AQ20" s="63">
        <f>AVERAGE(AP$2:$AP20)</f>
        <v>9.7376711317857296</v>
      </c>
      <c r="AR20" s="66"/>
      <c r="AS20" s="1"/>
      <c r="AW20" s="1"/>
      <c r="AY20" s="1"/>
    </row>
    <row r="21" spans="16:51" ht="18" thickBot="1" x14ac:dyDescent="0.3">
      <c r="P21" s="83" t="s">
        <v>80</v>
      </c>
      <c r="Q21" s="114">
        <f>AVERAGE(AG2:AG52)+(2*PI()*$Q$16-$Q$7)*$Q$14</f>
        <v>12.254549684959128</v>
      </c>
      <c r="R21" s="117">
        <f t="shared" si="16"/>
        <v>6.548</v>
      </c>
      <c r="S21" s="73">
        <f t="shared" si="0"/>
        <v>24.384772024845152</v>
      </c>
      <c r="T21" s="78">
        <f t="shared" si="6"/>
        <v>6.548</v>
      </c>
      <c r="U21" s="78">
        <f t="shared" si="1"/>
        <v>13.389019984070268</v>
      </c>
      <c r="V21" s="84">
        <f t="shared" si="2"/>
        <v>6.548</v>
      </c>
      <c r="W21" s="24">
        <v>447.3</v>
      </c>
      <c r="X21">
        <v>6562.71</v>
      </c>
      <c r="Y21" s="12">
        <v>-21.66</v>
      </c>
      <c r="Z21">
        <v>-40.92</v>
      </c>
      <c r="AA21">
        <v>241.23</v>
      </c>
      <c r="AB21">
        <v>54.08</v>
      </c>
      <c r="AC21" s="125">
        <f t="shared" si="7"/>
        <v>6.713806385947203</v>
      </c>
      <c r="AD21" s="80">
        <f t="shared" si="17"/>
        <v>1.9000000000000006</v>
      </c>
      <c r="AE21" s="81">
        <f t="shared" si="8"/>
        <v>15.888361030218814</v>
      </c>
      <c r="AF21" s="81">
        <f t="shared" si="3"/>
        <v>1.9000000000000006</v>
      </c>
      <c r="AG21" s="80">
        <f t="shared" si="9"/>
        <v>21.780395394506503</v>
      </c>
      <c r="AH21" s="80">
        <f t="shared" si="10"/>
        <v>106.67137974691775</v>
      </c>
      <c r="AI21" s="80">
        <f t="shared" si="11"/>
        <v>146.22935768809282</v>
      </c>
      <c r="AJ21" s="80">
        <f t="shared" si="12"/>
        <v>106.67137974691775</v>
      </c>
      <c r="AK21" s="1">
        <f t="shared" si="13"/>
        <v>146.22935768809282</v>
      </c>
      <c r="AL21" s="1">
        <f t="shared" si="14"/>
        <v>1.9000000000000006</v>
      </c>
      <c r="AM21" s="1">
        <f t="shared" si="18"/>
        <v>17.856023707363647</v>
      </c>
      <c r="AN21" s="1">
        <f t="shared" si="4"/>
        <v>-2.6639189056938193</v>
      </c>
      <c r="AO21" s="1">
        <f t="shared" si="5"/>
        <v>14.479625880532904</v>
      </c>
      <c r="AP21" s="1">
        <f t="shared" si="15"/>
        <v>10.2695035793608</v>
      </c>
      <c r="AQ21" s="63">
        <f>AVERAGE(AP$2:$AP21)</f>
        <v>9.7642627541644824</v>
      </c>
      <c r="AR21" s="66"/>
      <c r="AS21" s="1"/>
      <c r="AW21" s="1"/>
      <c r="AY21" s="1"/>
    </row>
    <row r="22" spans="16:51" ht="18" thickBot="1" x14ac:dyDescent="0.3">
      <c r="P22" s="83" t="s">
        <v>77</v>
      </c>
      <c r="Q22" s="114">
        <f>AVERAGE(AE2:AE52)+(8/$Q$19)*$Q$18</f>
        <v>10.542109008024145</v>
      </c>
      <c r="R22" s="117">
        <f t="shared" si="16"/>
        <v>7.1256400000000006</v>
      </c>
      <c r="S22" s="73">
        <f t="shared" si="0"/>
        <v>20.581341504804278</v>
      </c>
      <c r="T22" s="78">
        <f t="shared" si="6"/>
        <v>7.1256400000000006</v>
      </c>
      <c r="U22" s="78">
        <f t="shared" si="1"/>
        <v>16.785732538003963</v>
      </c>
      <c r="V22" s="84">
        <f t="shared" si="2"/>
        <v>7.1256400000000006</v>
      </c>
      <c r="W22" s="24">
        <v>413.3</v>
      </c>
      <c r="X22">
        <v>7140.35</v>
      </c>
      <c r="Y22" s="12">
        <v>-25.46</v>
      </c>
      <c r="Z22">
        <v>-45.44</v>
      </c>
      <c r="AA22">
        <v>230.8</v>
      </c>
      <c r="AB22">
        <v>51.63</v>
      </c>
      <c r="AC22" s="125">
        <f t="shared" si="7"/>
        <v>6.713806385947203</v>
      </c>
      <c r="AD22" s="80">
        <f t="shared" si="17"/>
        <v>2.0000000000000004</v>
      </c>
      <c r="AE22" s="81">
        <f t="shared" si="8"/>
        <v>15.888361030218814</v>
      </c>
      <c r="AF22" s="81">
        <f t="shared" si="3"/>
        <v>2.0000000000000004</v>
      </c>
      <c r="AG22" s="80">
        <f t="shared" si="9"/>
        <v>21.780395394506503</v>
      </c>
      <c r="AH22" s="80">
        <f t="shared" si="10"/>
        <v>106.67137974691775</v>
      </c>
      <c r="AI22" s="80">
        <f t="shared" si="11"/>
        <v>146.22935768809282</v>
      </c>
      <c r="AJ22" s="80">
        <f t="shared" si="12"/>
        <v>106.67137974691775</v>
      </c>
      <c r="AK22" s="1">
        <f t="shared" si="13"/>
        <v>146.22935768809282</v>
      </c>
      <c r="AL22" s="1">
        <f t="shared" si="14"/>
        <v>2.0000000000000004</v>
      </c>
      <c r="AM22" s="1">
        <f t="shared" si="18"/>
        <v>17.856023707363647</v>
      </c>
      <c r="AN22" s="1">
        <f t="shared" si="4"/>
        <v>-2.6639189056938193</v>
      </c>
      <c r="AO22" s="1">
        <f t="shared" si="5"/>
        <v>14.479625880532904</v>
      </c>
      <c r="AP22" s="1">
        <f t="shared" si="15"/>
        <v>10.2695035793608</v>
      </c>
      <c r="AQ22" s="63">
        <f>AVERAGE(AP$2:$AP22)</f>
        <v>9.7883218410785933</v>
      </c>
      <c r="AR22" s="66"/>
      <c r="AS22" s="1"/>
      <c r="AW22" s="1"/>
      <c r="AY22" s="1"/>
    </row>
    <row r="23" spans="16:51" ht="18" thickBot="1" x14ac:dyDescent="0.3">
      <c r="P23" s="83" t="s">
        <v>78</v>
      </c>
      <c r="Q23" s="114">
        <f>AVERAGE(AG2:AG52)-(8/$Q$19)*$Q$17</f>
        <v>13.164822762359167</v>
      </c>
      <c r="R23" s="117">
        <f t="shared" si="16"/>
        <v>7.6808800000000002</v>
      </c>
      <c r="S23" s="73">
        <f t="shared" si="0"/>
        <v>19.883615889562154</v>
      </c>
      <c r="T23" s="78">
        <f t="shared" si="6"/>
        <v>7.6808800000000002</v>
      </c>
      <c r="U23" s="78">
        <f t="shared" si="1"/>
        <v>19.580546917702566</v>
      </c>
      <c r="V23" s="84">
        <f t="shared" si="2"/>
        <v>7.6808800000000002</v>
      </c>
      <c r="W23" s="24">
        <v>382.6</v>
      </c>
      <c r="X23">
        <v>7695.59</v>
      </c>
      <c r="Y23" s="12">
        <v>-29.36</v>
      </c>
      <c r="Z23">
        <v>-50.3</v>
      </c>
      <c r="AA23">
        <v>225.44</v>
      </c>
      <c r="AB23">
        <v>54.25</v>
      </c>
      <c r="AC23" s="125">
        <f t="shared" si="7"/>
        <v>6.6711464767143571</v>
      </c>
      <c r="AD23" s="80">
        <f t="shared" si="17"/>
        <v>2.1000000000000005</v>
      </c>
      <c r="AE23" s="81">
        <f t="shared" si="8"/>
        <v>19.284277431474152</v>
      </c>
      <c r="AF23" s="81">
        <f t="shared" si="3"/>
        <v>2.1000000000000005</v>
      </c>
      <c r="AG23" s="80">
        <f t="shared" si="9"/>
        <v>21.682264073992656</v>
      </c>
      <c r="AH23" s="80">
        <f t="shared" si="10"/>
        <v>128.64823944296097</v>
      </c>
      <c r="AI23" s="80">
        <f t="shared" si="11"/>
        <v>144.64555958440639</v>
      </c>
      <c r="AJ23" s="89">
        <f>(SUM(AJ2:AJ22))/(SUM(AC2:AC22))</f>
        <v>11.31359270346751</v>
      </c>
      <c r="AK23" s="90">
        <f>(SUM(AK2:AK22))/(SUM(AC2:AC22))</f>
        <v>21.049544442240745</v>
      </c>
      <c r="AL23" s="1">
        <f t="shared" si="14"/>
        <v>2.1000000000000005</v>
      </c>
      <c r="AM23" s="1">
        <f t="shared" si="18"/>
        <v>20.503599022630965</v>
      </c>
      <c r="AN23" s="1">
        <f t="shared" si="4"/>
        <v>0.73199749556151872</v>
      </c>
      <c r="AO23" s="1">
        <f t="shared" si="5"/>
        <v>14.381494560019057</v>
      </c>
      <c r="AP23" s="1">
        <f t="shared" si="15"/>
        <v>12.162545738073407</v>
      </c>
      <c r="AQ23" s="63">
        <f>AVERAGE(AP$2:$AP23)</f>
        <v>9.8962411091238121</v>
      </c>
      <c r="AR23" s="66"/>
      <c r="AS23" s="1"/>
      <c r="AW23" s="1"/>
      <c r="AY23" s="1"/>
    </row>
    <row r="24" spans="16:51" ht="18" thickBot="1" x14ac:dyDescent="0.3">
      <c r="P24" s="83" t="s">
        <v>81</v>
      </c>
      <c r="Q24" s="114">
        <f>AVERAGE(Q20,Q22)</f>
        <v>11.073286897413592</v>
      </c>
      <c r="R24" s="117">
        <f t="shared" si="16"/>
        <v>8.2127300000000005</v>
      </c>
      <c r="S24" s="73">
        <f t="shared" si="0"/>
        <v>21.682680913577464</v>
      </c>
      <c r="T24" s="78">
        <f t="shared" si="6"/>
        <v>8.2127300000000005</v>
      </c>
      <c r="U24" s="78">
        <f t="shared" si="1"/>
        <v>19.882444738594891</v>
      </c>
      <c r="V24" s="84">
        <f t="shared" si="2"/>
        <v>8.2127300000000005</v>
      </c>
      <c r="W24" s="12">
        <v>354.9</v>
      </c>
      <c r="X24">
        <v>8227.44</v>
      </c>
      <c r="Y24">
        <v>-33.46</v>
      </c>
      <c r="Z24">
        <v>-43.91</v>
      </c>
      <c r="AA24">
        <v>227.48</v>
      </c>
      <c r="AB24">
        <v>57.19</v>
      </c>
      <c r="AC24" s="125">
        <f t="shared" si="7"/>
        <v>6.6711464767143571</v>
      </c>
      <c r="AD24" s="80">
        <f t="shared" si="17"/>
        <v>2.2000000000000006</v>
      </c>
      <c r="AE24" s="81">
        <f t="shared" si="8"/>
        <v>19.284277431474152</v>
      </c>
      <c r="AF24" s="81">
        <f t="shared" si="3"/>
        <v>2.2000000000000006</v>
      </c>
      <c r="AG24" s="80">
        <f t="shared" si="9"/>
        <v>21.682264073992656</v>
      </c>
      <c r="AH24" s="80">
        <f t="shared" si="10"/>
        <v>128.64823944296097</v>
      </c>
      <c r="AI24" s="80">
        <f t="shared" si="11"/>
        <v>144.64555958440639</v>
      </c>
      <c r="AJ24" s="91"/>
      <c r="AK24" s="64"/>
      <c r="AL24" s="1">
        <f t="shared" si="14"/>
        <v>2.2000000000000006</v>
      </c>
      <c r="AM24" s="1">
        <f t="shared" si="18"/>
        <v>20.503599022630965</v>
      </c>
      <c r="AN24" s="1">
        <f t="shared" si="4"/>
        <v>0.73199749556151872</v>
      </c>
      <c r="AO24" s="1">
        <f t="shared" si="5"/>
        <v>14.381494560019057</v>
      </c>
      <c r="AP24" s="1">
        <f t="shared" si="15"/>
        <v>12.162545738073407</v>
      </c>
      <c r="AQ24" s="63">
        <f>AVERAGE(AP$2:$AP24)</f>
        <v>9.9947760929911862</v>
      </c>
      <c r="AR24" s="66"/>
      <c r="AS24" s="1"/>
      <c r="AW24" s="1"/>
      <c r="AY24" s="1"/>
    </row>
    <row r="25" spans="16:51" ht="18" thickBot="1" x14ac:dyDescent="0.3">
      <c r="P25" s="83" t="s">
        <v>82</v>
      </c>
      <c r="Q25" s="114">
        <f>AVERAGE(Q21,Q23)</f>
        <v>12.709686223659148</v>
      </c>
      <c r="R25" s="117">
        <f t="shared" si="16"/>
        <v>8.7174399999999999</v>
      </c>
      <c r="S25" s="73">
        <f t="shared" si="0"/>
        <v>24.28388752559999</v>
      </c>
      <c r="T25" s="78">
        <f t="shared" si="6"/>
        <v>8.7174399999999999</v>
      </c>
      <c r="U25" s="78">
        <f t="shared" si="1"/>
        <v>22.48712640872607</v>
      </c>
      <c r="V25" s="84">
        <f t="shared" si="2"/>
        <v>8.7174399999999999</v>
      </c>
      <c r="W25" s="12">
        <v>330.1</v>
      </c>
      <c r="X25">
        <v>8732.15</v>
      </c>
      <c r="Y25">
        <v>-36.86</v>
      </c>
      <c r="Z25">
        <v>-43.78</v>
      </c>
      <c r="AA25">
        <v>227.2</v>
      </c>
      <c r="AB25">
        <v>64.34</v>
      </c>
      <c r="AC25" s="125">
        <f t="shared" si="7"/>
        <v>6.6711464767143571</v>
      </c>
      <c r="AD25" s="80">
        <f t="shared" si="17"/>
        <v>2.3000000000000007</v>
      </c>
      <c r="AE25" s="81">
        <f t="shared" si="8"/>
        <v>19.284277431474152</v>
      </c>
      <c r="AF25" s="81">
        <f t="shared" si="3"/>
        <v>2.3000000000000007</v>
      </c>
      <c r="AG25" s="80">
        <f t="shared" si="9"/>
        <v>21.682264073992656</v>
      </c>
      <c r="AH25" s="80">
        <f t="shared" si="10"/>
        <v>128.64823944296097</v>
      </c>
      <c r="AI25" s="80">
        <f t="shared" si="11"/>
        <v>144.64555958440639</v>
      </c>
      <c r="AJ25" s="80"/>
      <c r="AL25" s="1">
        <f t="shared" si="14"/>
        <v>2.3000000000000007</v>
      </c>
      <c r="AM25" s="1">
        <f t="shared" si="18"/>
        <v>20.503599022630965</v>
      </c>
      <c r="AN25" s="1">
        <f t="shared" si="4"/>
        <v>0.73199749556151872</v>
      </c>
      <c r="AO25" s="1">
        <f t="shared" si="5"/>
        <v>14.381494560019057</v>
      </c>
      <c r="AP25" s="1">
        <f t="shared" si="15"/>
        <v>12.162545738073407</v>
      </c>
      <c r="AQ25" s="63">
        <f>AVERAGE(AP$2:$AP25)</f>
        <v>10.085099828202946</v>
      </c>
      <c r="AR25" s="66"/>
      <c r="AS25" s="1"/>
      <c r="AW25" s="1"/>
      <c r="AY25" s="1"/>
    </row>
    <row r="26" spans="16:51" ht="18" thickBot="1" x14ac:dyDescent="0.3">
      <c r="P26" s="83" t="s">
        <v>83</v>
      </c>
      <c r="Q26" s="114">
        <f>SQRT(Q24^2+Q25^2)</f>
        <v>16.856862300449116</v>
      </c>
      <c r="R26" s="117">
        <f t="shared" si="16"/>
        <v>9.2010500000000004</v>
      </c>
      <c r="S26" s="73">
        <f t="shared" si="0"/>
        <v>28.780535753720773</v>
      </c>
      <c r="T26" s="78">
        <f t="shared" si="6"/>
        <v>9.2010500000000004</v>
      </c>
      <c r="U26" s="78">
        <f t="shared" si="1"/>
        <v>24.183996580811527</v>
      </c>
      <c r="V26" s="84">
        <f t="shared" si="2"/>
        <v>9.2010500000000004</v>
      </c>
      <c r="W26" s="12">
        <v>307.7</v>
      </c>
      <c r="X26">
        <v>9215.76</v>
      </c>
      <c r="Y26">
        <v>-39.26</v>
      </c>
      <c r="Z26">
        <v>-54.05</v>
      </c>
      <c r="AA26">
        <v>229.96</v>
      </c>
      <c r="AB26">
        <v>73.08</v>
      </c>
      <c r="AC26" s="125">
        <f t="shared" si="7"/>
        <v>6.6711464767143571</v>
      </c>
      <c r="AD26" s="80">
        <f t="shared" si="17"/>
        <v>2.4000000000000008</v>
      </c>
      <c r="AE26" s="81">
        <f t="shared" si="8"/>
        <v>19.284277431474152</v>
      </c>
      <c r="AF26" s="81">
        <f t="shared" si="3"/>
        <v>2.4000000000000008</v>
      </c>
      <c r="AG26" s="80">
        <f t="shared" si="9"/>
        <v>21.682264073992656</v>
      </c>
      <c r="AH26" s="80">
        <f t="shared" si="10"/>
        <v>128.64823944296097</v>
      </c>
      <c r="AI26" s="80">
        <f t="shared" si="11"/>
        <v>144.64555958440639</v>
      </c>
      <c r="AJ26" s="80"/>
      <c r="AL26" s="1">
        <f t="shared" si="14"/>
        <v>2.4000000000000008</v>
      </c>
      <c r="AM26" s="1">
        <f t="shared" si="18"/>
        <v>20.503599022630965</v>
      </c>
      <c r="AN26" s="1">
        <f t="shared" si="4"/>
        <v>0.73199749556151872</v>
      </c>
      <c r="AO26" s="1">
        <f t="shared" si="5"/>
        <v>14.381494560019057</v>
      </c>
      <c r="AP26" s="1">
        <f t="shared" si="15"/>
        <v>12.162545738073407</v>
      </c>
      <c r="AQ26" s="63">
        <f>AVERAGE(AP$2:$AP26)</f>
        <v>10.168197664597765</v>
      </c>
      <c r="AR26" s="66"/>
      <c r="AS26" s="1"/>
      <c r="AW26" s="1"/>
      <c r="AY26" s="1"/>
    </row>
    <row r="27" spans="16:51" ht="18" thickBot="1" x14ac:dyDescent="0.3">
      <c r="P27" s="83" t="s">
        <v>8</v>
      </c>
      <c r="Q27" s="112">
        <f>Q7/Q9</f>
        <v>323.40638948461003</v>
      </c>
      <c r="R27" s="117">
        <f t="shared" si="16"/>
        <v>9.6635600000000021</v>
      </c>
      <c r="S27" s="73">
        <f t="shared" si="0"/>
        <v>30.680909030884312</v>
      </c>
      <c r="T27" s="78">
        <f t="shared" si="6"/>
        <v>9.6635600000000021</v>
      </c>
      <c r="U27" s="78">
        <f t="shared" si="1"/>
        <v>20.984069250136823</v>
      </c>
      <c r="V27" s="84">
        <f t="shared" si="2"/>
        <v>9.6635600000000021</v>
      </c>
      <c r="W27" s="12">
        <v>287.5</v>
      </c>
      <c r="X27">
        <v>9678.27</v>
      </c>
      <c r="Y27">
        <v>-41.66</v>
      </c>
      <c r="Z27">
        <v>-60.19</v>
      </c>
      <c r="AA27">
        <v>235.63</v>
      </c>
      <c r="AB27">
        <v>72.260000000000005</v>
      </c>
      <c r="AC27" s="125">
        <f t="shared" si="7"/>
        <v>6.6228692938323572</v>
      </c>
      <c r="AD27" s="80">
        <f t="shared" si="17"/>
        <v>2.5000000000000009</v>
      </c>
      <c r="AE27" s="81">
        <f t="shared" si="8"/>
        <v>17.788022058969474</v>
      </c>
      <c r="AF27" s="81">
        <f t="shared" si="3"/>
        <v>2.5000000000000009</v>
      </c>
      <c r="AG27" s="80">
        <f t="shared" si="9"/>
        <v>21.08657979928465</v>
      </c>
      <c r="AH27" s="80">
        <f t="shared" si="10"/>
        <v>117.80774509236156</v>
      </c>
      <c r="AI27" s="80">
        <f t="shared" si="11"/>
        <v>139.65366186462796</v>
      </c>
      <c r="AJ27" s="80"/>
      <c r="AL27" s="1">
        <f t="shared" si="14"/>
        <v>2.5000000000000009</v>
      </c>
      <c r="AM27" s="1">
        <f t="shared" si="18"/>
        <v>18.933594385692526</v>
      </c>
      <c r="AN27" s="1">
        <f t="shared" si="4"/>
        <v>-0.76425787694315872</v>
      </c>
      <c r="AO27" s="1">
        <f t="shared" si="5"/>
        <v>13.785810285311051</v>
      </c>
      <c r="AP27" s="1">
        <f t="shared" si="15"/>
        <v>10.735921677582727</v>
      </c>
      <c r="AQ27" s="63">
        <f>AVERAGE(AP$2:$AP27)</f>
        <v>10.190033203558725</v>
      </c>
      <c r="AR27" s="66"/>
      <c r="AS27" s="1"/>
      <c r="AW27" s="1"/>
      <c r="AY27" s="1"/>
    </row>
    <row r="28" spans="16:51" ht="18" thickBot="1" x14ac:dyDescent="0.3">
      <c r="P28" s="83" t="s">
        <v>18</v>
      </c>
      <c r="Q28" s="114">
        <f>2*Q27*K53</f>
        <v>12.697479884508184</v>
      </c>
      <c r="R28" s="117">
        <f t="shared" si="16"/>
        <v>10.098540000000002</v>
      </c>
      <c r="S28" s="73">
        <f t="shared" si="0"/>
        <v>27.878155756021453</v>
      </c>
      <c r="T28" s="78">
        <f t="shared" si="6"/>
        <v>10.098540000000002</v>
      </c>
      <c r="U28" s="78">
        <f t="shared" si="1"/>
        <v>13.386899714758151</v>
      </c>
      <c r="V28" s="84">
        <f t="shared" si="2"/>
        <v>10.098540000000002</v>
      </c>
      <c r="W28" s="12">
        <v>269.5</v>
      </c>
      <c r="X28">
        <v>10113.25</v>
      </c>
      <c r="Y28">
        <v>-44.96</v>
      </c>
      <c r="Z28">
        <v>-62.9</v>
      </c>
      <c r="AA28">
        <v>244.35</v>
      </c>
      <c r="AB28">
        <v>60.12</v>
      </c>
      <c r="AC28" s="125">
        <f t="shared" si="7"/>
        <v>6.6228692938323572</v>
      </c>
      <c r="AD28" s="80">
        <f t="shared" si="17"/>
        <v>2.600000000000001</v>
      </c>
      <c r="AE28" s="81">
        <f t="shared" si="8"/>
        <v>17.788022058969474</v>
      </c>
      <c r="AF28" s="81">
        <f t="shared" si="3"/>
        <v>2.600000000000001</v>
      </c>
      <c r="AG28" s="80">
        <f t="shared" si="9"/>
        <v>21.08657979928465</v>
      </c>
      <c r="AH28" s="80">
        <f t="shared" si="10"/>
        <v>117.80774509236156</v>
      </c>
      <c r="AI28" s="80">
        <f t="shared" si="11"/>
        <v>139.65366186462796</v>
      </c>
      <c r="AJ28" s="80"/>
      <c r="AL28" s="1">
        <f t="shared" si="14"/>
        <v>2.600000000000001</v>
      </c>
      <c r="AM28" s="1">
        <f t="shared" si="18"/>
        <v>18.933594385692526</v>
      </c>
      <c r="AN28" s="1">
        <f t="shared" si="4"/>
        <v>-0.76425787694315872</v>
      </c>
      <c r="AO28" s="1">
        <f t="shared" si="5"/>
        <v>13.785810285311051</v>
      </c>
      <c r="AP28" s="1">
        <f t="shared" si="15"/>
        <v>10.735921677582727</v>
      </c>
      <c r="AQ28" s="63">
        <f>AVERAGE(AP$2:$AP28)</f>
        <v>10.210251295189243</v>
      </c>
      <c r="AR28" s="66"/>
      <c r="AS28" s="1"/>
      <c r="AW28" s="1"/>
      <c r="AY28" s="1"/>
    </row>
    <row r="29" spans="16:51" ht="18" thickBot="1" x14ac:dyDescent="0.3">
      <c r="P29" s="83" t="s">
        <v>19</v>
      </c>
      <c r="Q29" s="114">
        <f>(Q28*Q27)/60</f>
        <v>68.440768750037577</v>
      </c>
      <c r="R29" s="117">
        <f t="shared" si="16"/>
        <v>10.527800000000001</v>
      </c>
      <c r="S29" s="73">
        <f t="shared" si="0"/>
        <v>26.179182812076569</v>
      </c>
      <c r="T29" s="78">
        <f t="shared" si="6"/>
        <v>10.527800000000001</v>
      </c>
      <c r="U29" s="78">
        <f t="shared" si="1"/>
        <v>9.6943638030568575</v>
      </c>
      <c r="V29" s="84">
        <f t="shared" si="2"/>
        <v>10.527800000000001</v>
      </c>
      <c r="W29" s="12">
        <v>252.6</v>
      </c>
      <c r="X29">
        <v>10542.51</v>
      </c>
      <c r="Y29">
        <v>-48.46</v>
      </c>
      <c r="Z29">
        <v>-63.39</v>
      </c>
      <c r="AA29">
        <v>249.68</v>
      </c>
      <c r="AB29">
        <v>54.27</v>
      </c>
      <c r="AC29" s="125">
        <f t="shared" si="7"/>
        <v>6.6228692938323572</v>
      </c>
      <c r="AD29" s="80">
        <f t="shared" si="17"/>
        <v>2.7000000000000011</v>
      </c>
      <c r="AE29" s="81">
        <f t="shared" si="8"/>
        <v>17.788022058969474</v>
      </c>
      <c r="AF29" s="81">
        <f t="shared" si="3"/>
        <v>2.7000000000000011</v>
      </c>
      <c r="AG29" s="80">
        <f t="shared" si="9"/>
        <v>21.08657979928465</v>
      </c>
      <c r="AH29" s="80">
        <f t="shared" si="10"/>
        <v>117.80774509236156</v>
      </c>
      <c r="AI29" s="80">
        <f t="shared" si="11"/>
        <v>139.65366186462796</v>
      </c>
      <c r="AJ29" s="80"/>
      <c r="AL29" s="1">
        <f t="shared" si="14"/>
        <v>2.7000000000000011</v>
      </c>
      <c r="AM29" s="1">
        <f t="shared" si="18"/>
        <v>18.933594385692526</v>
      </c>
      <c r="AN29" s="1">
        <f t="shared" si="4"/>
        <v>-0.76425787694315872</v>
      </c>
      <c r="AO29" s="1">
        <f t="shared" si="5"/>
        <v>13.785810285311051</v>
      </c>
      <c r="AP29" s="1">
        <f t="shared" si="15"/>
        <v>10.735921677582727</v>
      </c>
      <c r="AQ29" s="63">
        <f>AVERAGE(AP$2:$AP29)</f>
        <v>10.229025237417583</v>
      </c>
      <c r="AR29" s="66"/>
      <c r="AS29" s="1"/>
      <c r="AW29" s="1"/>
      <c r="AY29" s="1"/>
    </row>
    <row r="30" spans="16:51" ht="18" thickBot="1" x14ac:dyDescent="0.3">
      <c r="P30" s="98" t="s">
        <v>20</v>
      </c>
      <c r="Q30" s="115">
        <f>(Q26*Q27*Q28)/1000</f>
        <v>69.221796873375879</v>
      </c>
      <c r="R30" s="117">
        <f t="shared" si="16"/>
        <v>10.930240000000001</v>
      </c>
      <c r="S30" s="73">
        <f t="shared" si="0"/>
        <v>28.672731513858455</v>
      </c>
      <c r="T30" s="78">
        <f t="shared" si="6"/>
        <v>10.930240000000001</v>
      </c>
      <c r="U30" s="78">
        <f t="shared" si="1"/>
        <v>10.589301449769586</v>
      </c>
      <c r="V30" s="84">
        <f t="shared" si="2"/>
        <v>10.930240000000001</v>
      </c>
      <c r="W30" s="12">
        <v>237.5</v>
      </c>
      <c r="X30">
        <v>10944.95</v>
      </c>
      <c r="Y30">
        <v>-51.76</v>
      </c>
      <c r="Z30">
        <v>-63.86</v>
      </c>
      <c r="AA30">
        <v>249.73</v>
      </c>
      <c r="AB30">
        <v>59.42</v>
      </c>
      <c r="AC30" s="125">
        <f t="shared" si="7"/>
        <v>6.6228692938323572</v>
      </c>
      <c r="AD30" s="80">
        <f t="shared" si="17"/>
        <v>2.8000000000000012</v>
      </c>
      <c r="AE30" s="81">
        <f t="shared" si="8"/>
        <v>17.788022058969474</v>
      </c>
      <c r="AF30" s="81">
        <f t="shared" si="3"/>
        <v>2.8000000000000012</v>
      </c>
      <c r="AG30" s="80">
        <f t="shared" si="9"/>
        <v>21.08657979928465</v>
      </c>
      <c r="AH30" s="80">
        <f t="shared" si="10"/>
        <v>117.80774509236156</v>
      </c>
      <c r="AI30" s="80">
        <f t="shared" si="11"/>
        <v>139.65366186462796</v>
      </c>
      <c r="AJ30" s="80"/>
      <c r="AL30" s="1">
        <f t="shared" si="14"/>
        <v>2.8000000000000012</v>
      </c>
      <c r="AM30" s="1">
        <f t="shared" si="18"/>
        <v>18.933594385692526</v>
      </c>
      <c r="AN30" s="1">
        <f t="shared" si="4"/>
        <v>-0.76425787694315872</v>
      </c>
      <c r="AO30" s="1">
        <f t="shared" si="5"/>
        <v>13.785810285311051</v>
      </c>
      <c r="AP30" s="1">
        <f t="shared" si="15"/>
        <v>10.735921677582727</v>
      </c>
      <c r="AQ30" s="63">
        <f>AVERAGE(AP$2:$AP30)</f>
        <v>10.246504425009483</v>
      </c>
      <c r="AR30" s="66"/>
      <c r="AS30" s="1"/>
      <c r="AW30" s="1"/>
      <c r="AY30" s="1"/>
    </row>
    <row r="31" spans="16:51" ht="18" thickBot="1" x14ac:dyDescent="0.3">
      <c r="P31" s="144" t="s">
        <v>88</v>
      </c>
      <c r="Q31" s="145">
        <f>(VLOOKUP(Q10,AD2:AE212,2)-AE2)/(Q10*1000)</f>
        <v>9.108991839386878E-3</v>
      </c>
      <c r="R31" s="117">
        <f t="shared" si="16"/>
        <v>11.319040000000001</v>
      </c>
      <c r="S31" s="73">
        <f t="shared" si="0"/>
        <v>31.670872175851468</v>
      </c>
      <c r="T31" s="78">
        <f t="shared" si="6"/>
        <v>11.319040000000001</v>
      </c>
      <c r="U31" s="78">
        <f t="shared" si="1"/>
        <v>14.788563815708317</v>
      </c>
      <c r="V31" s="84">
        <f t="shared" si="2"/>
        <v>11.319040000000001</v>
      </c>
      <c r="W31" s="12">
        <v>223.6</v>
      </c>
      <c r="X31">
        <v>11333.75</v>
      </c>
      <c r="Y31">
        <v>-54.06</v>
      </c>
      <c r="Z31">
        <v>-67.28</v>
      </c>
      <c r="AA31">
        <v>244.97</v>
      </c>
      <c r="AB31">
        <v>67.95</v>
      </c>
      <c r="AC31" s="125">
        <f t="shared" si="7"/>
        <v>6.6228692938323572</v>
      </c>
      <c r="AD31" s="80">
        <f t="shared" si="17"/>
        <v>2.9000000000000012</v>
      </c>
      <c r="AE31" s="81">
        <f t="shared" si="8"/>
        <v>17.788022058969474</v>
      </c>
      <c r="AF31" s="81">
        <f t="shared" si="3"/>
        <v>2.9000000000000012</v>
      </c>
      <c r="AG31" s="80">
        <f t="shared" si="9"/>
        <v>21.08657979928465</v>
      </c>
      <c r="AH31" s="80">
        <f t="shared" si="10"/>
        <v>117.80774509236156</v>
      </c>
      <c r="AI31" s="80">
        <f t="shared" si="11"/>
        <v>139.65366186462796</v>
      </c>
      <c r="AJ31" s="80"/>
      <c r="AL31" s="1">
        <f t="shared" si="14"/>
        <v>2.9000000000000012</v>
      </c>
      <c r="AM31" s="1">
        <f t="shared" si="18"/>
        <v>18.933594385692526</v>
      </c>
      <c r="AN31" s="1">
        <f t="shared" si="4"/>
        <v>-0.76425787694315872</v>
      </c>
      <c r="AO31" s="1">
        <f t="shared" si="5"/>
        <v>13.785810285311051</v>
      </c>
      <c r="AP31" s="1">
        <f t="shared" si="15"/>
        <v>10.735921677582727</v>
      </c>
      <c r="AQ31" s="63">
        <f>AVERAGE(AP$2:$AP31)</f>
        <v>10.262818333428591</v>
      </c>
      <c r="AR31" s="66"/>
      <c r="AS31" s="1"/>
      <c r="AW31" s="1"/>
      <c r="AY31" s="1"/>
    </row>
    <row r="32" spans="16:51" ht="18" thickBot="1" x14ac:dyDescent="0.3">
      <c r="P32" s="83" t="s">
        <v>90</v>
      </c>
      <c r="Q32" s="93">
        <f>(VLOOKUP(Q11,AD2:AE212,2)-AE2)/(Q11*1000)</f>
        <v>8.2201694708491889E-3</v>
      </c>
      <c r="R32" s="117">
        <f t="shared" si="16"/>
        <v>11.727540000000001</v>
      </c>
      <c r="S32" s="73">
        <f t="shared" si="0"/>
        <v>36.271570033996987</v>
      </c>
      <c r="T32" s="78">
        <f t="shared" si="6"/>
        <v>11.727540000000001</v>
      </c>
      <c r="U32" s="78">
        <f t="shared" si="1"/>
        <v>18.187209676837064</v>
      </c>
      <c r="V32" s="84">
        <f t="shared" si="2"/>
        <v>11.727540000000001</v>
      </c>
      <c r="W32" s="12">
        <v>209.7</v>
      </c>
      <c r="X32">
        <v>11742.25</v>
      </c>
      <c r="Y32">
        <v>-57.36</v>
      </c>
      <c r="Z32">
        <v>-67.739999999999995</v>
      </c>
      <c r="AA32">
        <v>243.37</v>
      </c>
      <c r="AB32">
        <v>78.88</v>
      </c>
      <c r="AC32" s="125">
        <f t="shared" si="7"/>
        <v>6.5680779114119758</v>
      </c>
      <c r="AD32" s="80">
        <f t="shared" si="17"/>
        <v>3.0000000000000013</v>
      </c>
      <c r="AE32" s="81">
        <f t="shared" si="8"/>
        <v>14.487645019063278</v>
      </c>
      <c r="AF32" s="81">
        <f t="shared" si="3"/>
        <v>3.0000000000000013</v>
      </c>
      <c r="AG32" s="80">
        <f t="shared" si="9"/>
        <v>19.586076846011473</v>
      </c>
      <c r="AH32" s="80">
        <f t="shared" si="10"/>
        <v>95.15598123808725</v>
      </c>
      <c r="AI32" s="80">
        <f t="shared" si="11"/>
        <v>128.64287870350549</v>
      </c>
      <c r="AJ32" s="80"/>
      <c r="AL32" s="1">
        <f t="shared" si="14"/>
        <v>3.0000000000000013</v>
      </c>
      <c r="AM32" s="1">
        <f t="shared" si="18"/>
        <v>15.385364303274359</v>
      </c>
      <c r="AN32" s="1">
        <f t="shared" si="4"/>
        <v>-4.0646349168493554</v>
      </c>
      <c r="AO32" s="1">
        <f t="shared" si="5"/>
        <v>12.285307332037874</v>
      </c>
      <c r="AP32" s="1">
        <f t="shared" si="15"/>
        <v>7.6774077248802</v>
      </c>
      <c r="AQ32" s="63">
        <f>AVERAGE(AP$2:$AP32)</f>
        <v>10.179417991217353</v>
      </c>
      <c r="AR32" s="66"/>
      <c r="AS32" s="1"/>
      <c r="AW32" s="1"/>
      <c r="AY32" s="1"/>
    </row>
    <row r="33" spans="1:51" ht="18" thickBot="1" x14ac:dyDescent="0.3">
      <c r="P33" s="83" t="s">
        <v>89</v>
      </c>
      <c r="Q33" s="93">
        <f>(VLOOKUP(Q10,AF2:AG212,2)-AG2)/(Q10*1000)</f>
        <v>1.3027993015886327E-2</v>
      </c>
      <c r="R33" s="117">
        <f t="shared" si="16"/>
        <v>12.159050000000001</v>
      </c>
      <c r="S33" s="73">
        <f t="shared" si="0"/>
        <v>35.07407465057311</v>
      </c>
      <c r="T33" s="78">
        <f t="shared" si="6"/>
        <v>12.159050000000001</v>
      </c>
      <c r="U33" s="78">
        <f t="shared" si="1"/>
        <v>14.989310451906219</v>
      </c>
      <c r="V33" s="84">
        <f t="shared" si="2"/>
        <v>12.159050000000001</v>
      </c>
      <c r="W33" s="12">
        <v>195.8</v>
      </c>
      <c r="X33">
        <v>12173.76</v>
      </c>
      <c r="Y33">
        <v>-59.06</v>
      </c>
      <c r="Z33">
        <v>-68.239999999999995</v>
      </c>
      <c r="AA33">
        <v>246.86</v>
      </c>
      <c r="AB33">
        <v>74.150000000000006</v>
      </c>
      <c r="AC33" s="125">
        <f t="shared" si="7"/>
        <v>6.5680779114119758</v>
      </c>
      <c r="AD33" s="80">
        <f t="shared" si="17"/>
        <v>3.1000000000000014</v>
      </c>
      <c r="AE33" s="81">
        <f t="shared" si="8"/>
        <v>14.487645019063278</v>
      </c>
      <c r="AF33" s="81">
        <f t="shared" si="3"/>
        <v>3.1000000000000014</v>
      </c>
      <c r="AG33" s="80">
        <f t="shared" si="9"/>
        <v>19.586076846011473</v>
      </c>
      <c r="AH33" s="80">
        <f t="shared" si="10"/>
        <v>95.15598123808725</v>
      </c>
      <c r="AI33" s="80">
        <f t="shared" si="11"/>
        <v>128.64287870350549</v>
      </c>
      <c r="AJ33" s="80"/>
      <c r="AL33" s="1">
        <f t="shared" si="14"/>
        <v>3.1000000000000014</v>
      </c>
      <c r="AM33" s="1">
        <f t="shared" si="18"/>
        <v>15.385364303274359</v>
      </c>
      <c r="AN33" s="1">
        <f t="shared" si="4"/>
        <v>-4.0646349168493554</v>
      </c>
      <c r="AO33" s="1">
        <f t="shared" si="5"/>
        <v>12.285307332037874</v>
      </c>
      <c r="AP33" s="1">
        <f t="shared" si="15"/>
        <v>7.6774077248802</v>
      </c>
      <c r="AQ33" s="63">
        <f>AVERAGE(AP$2:$AP33)</f>
        <v>10.101230170394317</v>
      </c>
      <c r="AR33" s="66"/>
      <c r="AS33" s="1"/>
      <c r="AW33" s="1"/>
      <c r="AY33" s="1"/>
    </row>
    <row r="34" spans="1:51" ht="18" thickBot="1" x14ac:dyDescent="0.3">
      <c r="P34" s="85" t="s">
        <v>91</v>
      </c>
      <c r="Q34" s="93">
        <f>(VLOOKUP(Q11,AF2:AG212,2)-AG2)/(Q11*1000)</f>
        <v>7.5407306967454494E-3</v>
      </c>
      <c r="R34" s="117">
        <f t="shared" si="16"/>
        <v>12.619</v>
      </c>
      <c r="S34" s="73">
        <f t="shared" ref="S34:S65" si="19">SIN((360-AA34)*PI()/180)*AB34*0.5144</f>
        <v>28.27299844893389</v>
      </c>
      <c r="T34" s="78">
        <f t="shared" si="6"/>
        <v>12.619</v>
      </c>
      <c r="U34" s="78">
        <f t="shared" ref="U34:U65" si="20">(COS((180-AA34)*PI()/180)*AB34*0.5144)</f>
        <v>13.985668106838723</v>
      </c>
      <c r="V34" s="84">
        <f t="shared" si="2"/>
        <v>12.619</v>
      </c>
      <c r="W34" s="12">
        <v>181.9</v>
      </c>
      <c r="X34">
        <v>12633.71</v>
      </c>
      <c r="Y34">
        <v>-60.46</v>
      </c>
      <c r="Z34">
        <v>-73.540000000000006</v>
      </c>
      <c r="AA34">
        <v>243.68</v>
      </c>
      <c r="AB34">
        <v>61.32</v>
      </c>
      <c r="AC34" s="125">
        <f t="shared" si="7"/>
        <v>6.5680779114119758</v>
      </c>
      <c r="AD34" s="80">
        <f t="shared" si="17"/>
        <v>3.2000000000000015</v>
      </c>
      <c r="AE34" s="81">
        <f t="shared" si="8"/>
        <v>14.487645019063278</v>
      </c>
      <c r="AF34" s="81">
        <f t="shared" si="3"/>
        <v>3.2000000000000015</v>
      </c>
      <c r="AG34" s="80">
        <f t="shared" si="9"/>
        <v>19.586076846011473</v>
      </c>
      <c r="AH34" s="80">
        <f t="shared" si="10"/>
        <v>95.15598123808725</v>
      </c>
      <c r="AI34" s="80">
        <f t="shared" si="11"/>
        <v>128.64287870350549</v>
      </c>
      <c r="AJ34" s="80"/>
      <c r="AL34" s="1">
        <f t="shared" si="14"/>
        <v>3.2000000000000015</v>
      </c>
      <c r="AM34" s="1">
        <f t="shared" si="18"/>
        <v>15.385364303274359</v>
      </c>
      <c r="AN34" s="1">
        <f t="shared" si="4"/>
        <v>-4.0646349168493554</v>
      </c>
      <c r="AO34" s="1">
        <f t="shared" si="5"/>
        <v>12.285307332037874</v>
      </c>
      <c r="AP34" s="1">
        <f t="shared" si="15"/>
        <v>7.6774077248802</v>
      </c>
      <c r="AQ34" s="63">
        <f>AVERAGE(AP$2:$AP34)</f>
        <v>10.027781005378737</v>
      </c>
      <c r="AR34" s="66"/>
      <c r="AS34" s="1"/>
      <c r="AW34" s="1"/>
      <c r="AY34" s="1"/>
    </row>
    <row r="35" spans="1:51" ht="18" thickBot="1" x14ac:dyDescent="0.3">
      <c r="P35" s="85" t="s">
        <v>92</v>
      </c>
      <c r="Q35" s="93">
        <f>AVERAGE(Q31,Q32)</f>
        <v>8.6645806551180343E-3</v>
      </c>
      <c r="R35" s="117">
        <f t="shared" si="16"/>
        <v>13.112630000000001</v>
      </c>
      <c r="S35" s="73">
        <f t="shared" si="19"/>
        <v>24.383245742990951</v>
      </c>
      <c r="T35" s="78">
        <f t="shared" si="6"/>
        <v>13.112630000000001</v>
      </c>
      <c r="U35" s="78">
        <f t="shared" si="20"/>
        <v>14.790294630121792</v>
      </c>
      <c r="V35" s="84">
        <f t="shared" si="2"/>
        <v>13.112630000000001</v>
      </c>
      <c r="W35" s="12">
        <v>168</v>
      </c>
      <c r="X35">
        <v>13127.34</v>
      </c>
      <c r="Y35">
        <v>-61.56</v>
      </c>
      <c r="Z35">
        <v>-74.08</v>
      </c>
      <c r="AA35">
        <v>238.76</v>
      </c>
      <c r="AB35">
        <v>55.44</v>
      </c>
      <c r="AC35" s="125">
        <f t="shared" si="7"/>
        <v>6.5680779114119758</v>
      </c>
      <c r="AD35" s="80">
        <f t="shared" si="17"/>
        <v>3.3000000000000016</v>
      </c>
      <c r="AE35" s="81">
        <f t="shared" si="8"/>
        <v>14.487645019063278</v>
      </c>
      <c r="AF35" s="81">
        <f t="shared" si="3"/>
        <v>3.3000000000000016</v>
      </c>
      <c r="AG35" s="80">
        <f t="shared" si="9"/>
        <v>19.586076846011473</v>
      </c>
      <c r="AH35" s="80">
        <f t="shared" si="10"/>
        <v>95.15598123808725</v>
      </c>
      <c r="AI35" s="80">
        <f t="shared" si="11"/>
        <v>128.64287870350549</v>
      </c>
      <c r="AJ35" s="80"/>
      <c r="AL35" s="1">
        <f t="shared" si="14"/>
        <v>3.3000000000000016</v>
      </c>
      <c r="AM35" s="1">
        <f t="shared" si="18"/>
        <v>15.385364303274359</v>
      </c>
      <c r="AN35" s="1">
        <f t="shared" si="4"/>
        <v>-4.0646349168493554</v>
      </c>
      <c r="AO35" s="1">
        <f t="shared" si="5"/>
        <v>12.285307332037874</v>
      </c>
      <c r="AP35" s="1">
        <f t="shared" si="15"/>
        <v>7.6774077248802</v>
      </c>
      <c r="AQ35" s="63">
        <f>AVERAGE(AP$2:$AP35)</f>
        <v>9.9586523794817214</v>
      </c>
      <c r="AR35" s="66"/>
      <c r="AS35" s="1"/>
      <c r="AW35" s="1"/>
      <c r="AY35" s="1"/>
    </row>
    <row r="36" spans="1:51" ht="18" thickBot="1" x14ac:dyDescent="0.3">
      <c r="P36" s="86" t="s">
        <v>93</v>
      </c>
      <c r="Q36" s="146">
        <f>AVERAGE(Q33,Q34)</f>
        <v>1.0284361856315889E-2</v>
      </c>
      <c r="R36" s="117">
        <f t="shared" si="16"/>
        <v>13.647770000000001</v>
      </c>
      <c r="S36" s="73">
        <f t="shared" si="19"/>
        <v>21.482742435269387</v>
      </c>
      <c r="T36" s="78">
        <f t="shared" si="6"/>
        <v>13.647770000000001</v>
      </c>
      <c r="U36" s="78">
        <f t="shared" si="20"/>
        <v>16.288567071031508</v>
      </c>
      <c r="V36" s="84">
        <f t="shared" si="2"/>
        <v>13.647770000000001</v>
      </c>
      <c r="W36" s="12">
        <v>154.1</v>
      </c>
      <c r="X36">
        <v>13662.48</v>
      </c>
      <c r="Y36">
        <v>-61.36</v>
      </c>
      <c r="Z36">
        <v>-9999</v>
      </c>
      <c r="AA36">
        <v>232.83</v>
      </c>
      <c r="AB36">
        <v>52.41</v>
      </c>
      <c r="AC36" s="125">
        <f t="shared" si="7"/>
        <v>6.5680779114119758</v>
      </c>
      <c r="AD36" s="80">
        <f t="shared" si="17"/>
        <v>3.4000000000000017</v>
      </c>
      <c r="AE36" s="81">
        <f t="shared" si="8"/>
        <v>14.487645019063278</v>
      </c>
      <c r="AF36" s="81">
        <f t="shared" si="3"/>
        <v>3.4000000000000017</v>
      </c>
      <c r="AG36" s="80">
        <f t="shared" si="9"/>
        <v>19.586076846011473</v>
      </c>
      <c r="AH36" s="80">
        <f t="shared" si="10"/>
        <v>95.15598123808725</v>
      </c>
      <c r="AI36" s="80">
        <f t="shared" si="11"/>
        <v>128.64287870350549</v>
      </c>
      <c r="AJ36" s="80"/>
      <c r="AL36" s="1">
        <f t="shared" si="14"/>
        <v>3.4000000000000017</v>
      </c>
      <c r="AM36" s="1">
        <f t="shared" si="18"/>
        <v>15.385364303274359</v>
      </c>
      <c r="AN36" s="1">
        <f t="shared" si="4"/>
        <v>-4.0646349168493554</v>
      </c>
      <c r="AO36" s="1">
        <f t="shared" si="5"/>
        <v>12.285307332037874</v>
      </c>
      <c r="AP36" s="1">
        <f t="shared" si="15"/>
        <v>7.6774077248802</v>
      </c>
      <c r="AQ36" s="63">
        <f>AVERAGE(AP$2:$AP36)</f>
        <v>9.8934739607788202</v>
      </c>
      <c r="AR36" s="66"/>
      <c r="AS36" s="1"/>
      <c r="AW36" s="1"/>
      <c r="AY36" s="1"/>
    </row>
    <row r="37" spans="1:51" ht="18" thickBot="1" x14ac:dyDescent="0.3">
      <c r="P37" s="141"/>
      <c r="Q37" s="140"/>
      <c r="R37" s="117">
        <f t="shared" si="16"/>
        <v>14.23395</v>
      </c>
      <c r="S37" s="73">
        <f t="shared" si="19"/>
        <v>19.48489481260108</v>
      </c>
      <c r="T37" s="78">
        <f t="shared" si="6"/>
        <v>14.23395</v>
      </c>
      <c r="U37" s="78">
        <f t="shared" si="20"/>
        <v>18.587665208074725</v>
      </c>
      <c r="V37" s="84">
        <f t="shared" si="2"/>
        <v>14.23395</v>
      </c>
      <c r="W37" s="12">
        <v>140.19999999999999</v>
      </c>
      <c r="X37">
        <v>14248.66</v>
      </c>
      <c r="Y37">
        <v>-61.26</v>
      </c>
      <c r="Z37">
        <v>-9999</v>
      </c>
      <c r="AA37">
        <v>226.35</v>
      </c>
      <c r="AB37">
        <v>52.35</v>
      </c>
      <c r="AC37" s="125">
        <f t="shared" si="7"/>
        <v>6.5056345721243627</v>
      </c>
      <c r="AD37" s="80">
        <f t="shared" si="17"/>
        <v>3.5000000000000018</v>
      </c>
      <c r="AE37" s="81">
        <f t="shared" si="8"/>
        <v>17.984706774083229</v>
      </c>
      <c r="AF37" s="81">
        <f t="shared" si="3"/>
        <v>3.5000000000000018</v>
      </c>
      <c r="AG37" s="80">
        <f t="shared" si="9"/>
        <v>17.483256844392031</v>
      </c>
      <c r="AH37" s="80">
        <f t="shared" si="10"/>
        <v>117.00193015899507</v>
      </c>
      <c r="AI37" s="80">
        <f t="shared" si="11"/>
        <v>113.73968016020669</v>
      </c>
      <c r="AJ37" s="80"/>
      <c r="AL37" s="1">
        <f t="shared" si="14"/>
        <v>3.5000000000000018</v>
      </c>
      <c r="AM37" s="1">
        <f t="shared" si="18"/>
        <v>17.294945250483391</v>
      </c>
      <c r="AN37" s="1">
        <f t="shared" si="4"/>
        <v>-0.56757316182940443</v>
      </c>
      <c r="AO37" s="1">
        <f t="shared" si="5"/>
        <v>10.182487330418432</v>
      </c>
      <c r="AP37" s="1">
        <f t="shared" si="15"/>
        <v>8.3996845882895066</v>
      </c>
      <c r="AQ37" s="63">
        <f>AVERAGE(AP$2:$AP37)</f>
        <v>9.8519798115430071</v>
      </c>
      <c r="AR37" s="66"/>
      <c r="AS37" s="1"/>
      <c r="AW37" s="1"/>
      <c r="AY37" s="1"/>
    </row>
    <row r="38" spans="1:51" ht="18" thickBot="1" x14ac:dyDescent="0.3">
      <c r="P38" s="141"/>
      <c r="Q38" s="140"/>
      <c r="R38" s="117">
        <f t="shared" si="16"/>
        <v>14.875870000000001</v>
      </c>
      <c r="S38" s="73">
        <f t="shared" si="19"/>
        <v>21.280743812788174</v>
      </c>
      <c r="T38" s="78">
        <f t="shared" si="6"/>
        <v>14.875870000000001</v>
      </c>
      <c r="U38" s="78">
        <f t="shared" si="20"/>
        <v>19.384364991751827</v>
      </c>
      <c r="V38" s="84">
        <f t="shared" si="2"/>
        <v>14.875870000000001</v>
      </c>
      <c r="W38" s="12">
        <v>126.4</v>
      </c>
      <c r="X38">
        <v>14890.58</v>
      </c>
      <c r="Y38">
        <v>-61.76</v>
      </c>
      <c r="Z38">
        <v>-9999</v>
      </c>
      <c r="AA38">
        <v>227.67</v>
      </c>
      <c r="AB38">
        <v>55.96</v>
      </c>
      <c r="AC38" s="125">
        <f t="shared" si="7"/>
        <v>6.5056345721243627</v>
      </c>
      <c r="AD38" s="80">
        <f t="shared" si="17"/>
        <v>3.6000000000000019</v>
      </c>
      <c r="AE38" s="81">
        <f t="shared" si="8"/>
        <v>17.984706774083229</v>
      </c>
      <c r="AF38" s="81">
        <f t="shared" si="3"/>
        <v>3.6000000000000019</v>
      </c>
      <c r="AG38" s="80">
        <f t="shared" si="9"/>
        <v>17.483256844392031</v>
      </c>
      <c r="AH38" s="80">
        <f t="shared" si="10"/>
        <v>117.00193015899507</v>
      </c>
      <c r="AI38" s="80">
        <f t="shared" si="11"/>
        <v>113.73968016020669</v>
      </c>
      <c r="AJ38" s="80"/>
      <c r="AL38" s="1">
        <f t="shared" si="14"/>
        <v>3.6000000000000019</v>
      </c>
      <c r="AM38" s="1">
        <f t="shared" si="18"/>
        <v>17.294945250483391</v>
      </c>
      <c r="AN38" s="1">
        <f t="shared" si="4"/>
        <v>-0.56757316182940443</v>
      </c>
      <c r="AO38" s="1">
        <f t="shared" si="5"/>
        <v>10.182487330418432</v>
      </c>
      <c r="AP38" s="1">
        <f t="shared" si="15"/>
        <v>8.3996845882895066</v>
      </c>
      <c r="AQ38" s="63">
        <f>AVERAGE(AP$2:$AP38)</f>
        <v>9.812728589292913</v>
      </c>
      <c r="AR38" s="66"/>
      <c r="AS38" s="1"/>
      <c r="AW38" s="1"/>
      <c r="AY38" s="1"/>
    </row>
    <row r="39" spans="1:51" ht="18" thickBot="1" x14ac:dyDescent="0.3">
      <c r="P39" s="141"/>
      <c r="Q39" s="140"/>
      <c r="R39" s="117">
        <f t="shared" si="16"/>
        <v>15.597060000000001</v>
      </c>
      <c r="S39" s="73">
        <f t="shared" si="19"/>
        <v>23.180389367049074</v>
      </c>
      <c r="T39" s="78">
        <f t="shared" si="6"/>
        <v>15.597060000000001</v>
      </c>
      <c r="U39" s="78">
        <f t="shared" si="20"/>
        <v>19.285771548796852</v>
      </c>
      <c r="V39" s="84">
        <f t="shared" si="2"/>
        <v>15.597060000000001</v>
      </c>
      <c r="W39" s="12">
        <v>112.5</v>
      </c>
      <c r="X39">
        <v>15611.77</v>
      </c>
      <c r="Y39">
        <v>-61.56</v>
      </c>
      <c r="Z39">
        <v>-9999</v>
      </c>
      <c r="AA39">
        <v>230.24</v>
      </c>
      <c r="AB39">
        <v>58.62</v>
      </c>
      <c r="AC39" s="125">
        <f t="shared" si="7"/>
        <v>6.5056345721243627</v>
      </c>
      <c r="AD39" s="80">
        <f t="shared" si="17"/>
        <v>3.700000000000002</v>
      </c>
      <c r="AE39" s="81">
        <f t="shared" si="8"/>
        <v>17.984706774083229</v>
      </c>
      <c r="AF39" s="81">
        <f t="shared" si="3"/>
        <v>3.700000000000002</v>
      </c>
      <c r="AG39" s="80">
        <f t="shared" si="9"/>
        <v>17.483256844392031</v>
      </c>
      <c r="AH39" s="80">
        <f t="shared" si="10"/>
        <v>117.00193015899507</v>
      </c>
      <c r="AI39" s="80">
        <f t="shared" si="11"/>
        <v>113.73968016020669</v>
      </c>
      <c r="AJ39" s="80"/>
      <c r="AL39" s="1">
        <f t="shared" si="14"/>
        <v>3.700000000000002</v>
      </c>
      <c r="AM39" s="1">
        <f t="shared" si="18"/>
        <v>17.294945250483391</v>
      </c>
      <c r="AN39" s="1">
        <f t="shared" si="4"/>
        <v>-0.56757316182940443</v>
      </c>
      <c r="AO39" s="1">
        <f t="shared" si="5"/>
        <v>10.182487330418432</v>
      </c>
      <c r="AP39" s="1">
        <f t="shared" si="15"/>
        <v>8.3996845882895066</v>
      </c>
      <c r="AQ39" s="63">
        <f>AVERAGE(AP$2:$AP39)</f>
        <v>9.7755432208454547</v>
      </c>
      <c r="AR39" s="66"/>
      <c r="AS39" s="1"/>
      <c r="AW39" s="1"/>
      <c r="AY39" s="1"/>
    </row>
    <row r="40" spans="1:51" ht="18" thickBot="1" x14ac:dyDescent="0.3">
      <c r="P40" s="141"/>
      <c r="Q40" s="140"/>
      <c r="R40" s="117">
        <f t="shared" si="16"/>
        <v>16.41291</v>
      </c>
      <c r="S40" s="73">
        <f t="shared" si="19"/>
        <v>22.084901119944316</v>
      </c>
      <c r="T40" s="78">
        <f t="shared" si="6"/>
        <v>16.41291</v>
      </c>
      <c r="U40" s="78">
        <f t="shared" si="20"/>
        <v>17.385345788339627</v>
      </c>
      <c r="V40" s="84">
        <f t="shared" si="2"/>
        <v>16.41291</v>
      </c>
      <c r="W40" s="12">
        <v>98.6</v>
      </c>
      <c r="X40">
        <v>16427.62</v>
      </c>
      <c r="Y40">
        <v>-62.06</v>
      </c>
      <c r="Z40">
        <v>-9999</v>
      </c>
      <c r="AA40">
        <v>231.79</v>
      </c>
      <c r="AB40">
        <v>54.64</v>
      </c>
      <c r="AC40" s="125">
        <f t="shared" si="7"/>
        <v>6.5056345721243627</v>
      </c>
      <c r="AD40" s="80">
        <f t="shared" si="17"/>
        <v>3.800000000000002</v>
      </c>
      <c r="AE40" s="81">
        <f t="shared" si="8"/>
        <v>17.984706774083229</v>
      </c>
      <c r="AF40" s="81">
        <f t="shared" si="3"/>
        <v>3.800000000000002</v>
      </c>
      <c r="AG40" s="80">
        <f t="shared" si="9"/>
        <v>17.483256844392031</v>
      </c>
      <c r="AH40" s="80">
        <f t="shared" si="10"/>
        <v>117.00193015899507</v>
      </c>
      <c r="AI40" s="80">
        <f t="shared" si="11"/>
        <v>113.73968016020669</v>
      </c>
      <c r="AJ40" s="80"/>
      <c r="AL40" s="1">
        <f t="shared" si="14"/>
        <v>3.800000000000002</v>
      </c>
      <c r="AM40" s="1">
        <f t="shared" si="18"/>
        <v>17.294945250483391</v>
      </c>
      <c r="AN40" s="1">
        <f t="shared" si="4"/>
        <v>-0.56757316182940443</v>
      </c>
      <c r="AO40" s="1">
        <f t="shared" si="5"/>
        <v>10.182487330418432</v>
      </c>
      <c r="AP40" s="1">
        <f t="shared" si="15"/>
        <v>8.3996845882895066</v>
      </c>
      <c r="AQ40" s="63">
        <f>AVERAGE(AP$2:$AP40)</f>
        <v>9.7402647943696614</v>
      </c>
      <c r="AR40" s="66"/>
      <c r="AS40" s="1"/>
      <c r="AW40" s="1"/>
      <c r="AY40" s="1"/>
    </row>
    <row r="41" spans="1:51" ht="18" thickBot="1" x14ac:dyDescent="0.3">
      <c r="P41" s="141"/>
      <c r="Q41" s="140"/>
      <c r="R41" s="117">
        <f t="shared" si="16"/>
        <v>17.277670000000001</v>
      </c>
      <c r="S41" s="73">
        <f t="shared" si="19"/>
        <v>20.585322671820737</v>
      </c>
      <c r="T41" s="78">
        <f t="shared" si="6"/>
        <v>17.277670000000001</v>
      </c>
      <c r="U41" s="78">
        <f t="shared" si="20"/>
        <v>11.689339059261096</v>
      </c>
      <c r="V41" s="84">
        <f t="shared" si="2"/>
        <v>17.277670000000001</v>
      </c>
      <c r="W41" s="12">
        <v>85.7</v>
      </c>
      <c r="X41">
        <v>17292.38</v>
      </c>
      <c r="Y41">
        <v>-62.86</v>
      </c>
      <c r="Z41">
        <v>-9999</v>
      </c>
      <c r="AA41">
        <v>240.41</v>
      </c>
      <c r="AB41">
        <v>46.02</v>
      </c>
      <c r="AC41" s="125">
        <f t="shared" si="7"/>
        <v>6.5056345721243627</v>
      </c>
      <c r="AD41" s="80">
        <f t="shared" si="17"/>
        <v>3.9000000000000021</v>
      </c>
      <c r="AE41" s="81">
        <f t="shared" si="8"/>
        <v>17.984706774083229</v>
      </c>
      <c r="AF41" s="81">
        <f t="shared" si="3"/>
        <v>3.9000000000000021</v>
      </c>
      <c r="AG41" s="80">
        <f t="shared" si="9"/>
        <v>17.483256844392031</v>
      </c>
      <c r="AH41" s="80">
        <f t="shared" si="10"/>
        <v>117.00193015899507</v>
      </c>
      <c r="AI41" s="80">
        <f t="shared" si="11"/>
        <v>113.73968016020669</v>
      </c>
      <c r="AJ41" s="80"/>
      <c r="AL41" s="1">
        <f t="shared" si="14"/>
        <v>3.9000000000000021</v>
      </c>
      <c r="AM41" s="1">
        <f t="shared" si="18"/>
        <v>17.294945250483391</v>
      </c>
      <c r="AN41" s="1">
        <f t="shared" si="4"/>
        <v>-0.56757316182940443</v>
      </c>
      <c r="AO41" s="1">
        <f t="shared" si="5"/>
        <v>10.182487330418432</v>
      </c>
      <c r="AP41" s="1">
        <f t="shared" si="15"/>
        <v>8.3996845882895066</v>
      </c>
      <c r="AQ41" s="63">
        <f>AVERAGE(AP$2:$AP41)</f>
        <v>9.7067502892176574</v>
      </c>
      <c r="AR41" s="66"/>
      <c r="AS41" s="1"/>
      <c r="AW41" s="1"/>
      <c r="AY41" s="1"/>
    </row>
    <row r="42" spans="1:51" ht="18" thickBot="1" x14ac:dyDescent="0.3">
      <c r="P42" s="141"/>
      <c r="Q42" s="140"/>
      <c r="R42" s="117">
        <f t="shared" si="16"/>
        <v>18.073830000000001</v>
      </c>
      <c r="S42" s="73">
        <f t="shared" si="19"/>
        <v>18.087795355741822</v>
      </c>
      <c r="T42" s="78">
        <f t="shared" si="6"/>
        <v>18.073830000000001</v>
      </c>
      <c r="U42" s="78">
        <f t="shared" si="20"/>
        <v>5.4954924082200867</v>
      </c>
      <c r="V42" s="84">
        <f t="shared" si="2"/>
        <v>18.073830000000001</v>
      </c>
      <c r="W42" s="12">
        <v>75.3</v>
      </c>
      <c r="X42">
        <v>18088.54</v>
      </c>
      <c r="Y42">
        <v>-62.96</v>
      </c>
      <c r="Z42">
        <v>-9999</v>
      </c>
      <c r="AA42">
        <v>253.1</v>
      </c>
      <c r="AB42">
        <v>36.75</v>
      </c>
      <c r="AC42" s="125">
        <f t="shared" si="7"/>
        <v>6.5056345721243627</v>
      </c>
      <c r="AD42" s="80">
        <f t="shared" si="17"/>
        <v>4.0000000000000018</v>
      </c>
      <c r="AE42" s="81">
        <f t="shared" si="8"/>
        <v>17.984706774083229</v>
      </c>
      <c r="AF42" s="81">
        <f t="shared" si="3"/>
        <v>4.0000000000000018</v>
      </c>
      <c r="AG42" s="80">
        <f t="shared" si="9"/>
        <v>17.483256844392031</v>
      </c>
      <c r="AH42" s="80">
        <f t="shared" si="10"/>
        <v>117.00193015899507</v>
      </c>
      <c r="AI42" s="80">
        <f t="shared" si="11"/>
        <v>113.73968016020669</v>
      </c>
      <c r="AJ42" s="80"/>
      <c r="AL42" s="1">
        <f t="shared" si="14"/>
        <v>4.0000000000000018</v>
      </c>
      <c r="AM42" s="1">
        <f t="shared" si="18"/>
        <v>17.294945250483391</v>
      </c>
      <c r="AN42" s="1">
        <f t="shared" si="4"/>
        <v>-0.56757316182940443</v>
      </c>
      <c r="AO42" s="1">
        <f t="shared" si="5"/>
        <v>10.182487330418432</v>
      </c>
      <c r="AP42" s="1">
        <f t="shared" si="15"/>
        <v>8.3996845882895066</v>
      </c>
      <c r="AQ42" s="63">
        <f>AVERAGE(AP$2:$AP42)</f>
        <v>9.6748706379755074</v>
      </c>
      <c r="AR42" s="66"/>
      <c r="AS42" s="1"/>
      <c r="AW42" s="1"/>
      <c r="AY42" s="1"/>
    </row>
    <row r="43" spans="1:51" ht="18" thickBot="1" x14ac:dyDescent="0.3">
      <c r="A43" s="21"/>
      <c r="B43" s="21"/>
      <c r="C43" s="21"/>
      <c r="D43" s="21"/>
      <c r="E43" s="21"/>
      <c r="F43" s="21"/>
      <c r="P43" s="141"/>
      <c r="Q43" s="140"/>
      <c r="R43" s="117">
        <f t="shared" si="16"/>
        <v>18.801209999999998</v>
      </c>
      <c r="S43" s="73">
        <f t="shared" si="19"/>
        <v>14.884137550560247</v>
      </c>
      <c r="T43" s="78">
        <f t="shared" si="6"/>
        <v>18.801209999999998</v>
      </c>
      <c r="U43" s="78">
        <f t="shared" si="20"/>
        <v>3.896451841306193</v>
      </c>
      <c r="V43" s="84">
        <f t="shared" si="2"/>
        <v>18.801209999999998</v>
      </c>
      <c r="W43" s="12">
        <v>66.900000000000006</v>
      </c>
      <c r="X43">
        <v>18815.919999999998</v>
      </c>
      <c r="Y43">
        <v>-63.16</v>
      </c>
      <c r="Z43">
        <v>-9999</v>
      </c>
      <c r="AA43">
        <v>255.33</v>
      </c>
      <c r="AB43">
        <v>29.91</v>
      </c>
      <c r="AC43" s="125">
        <f t="shared" si="7"/>
        <v>6.4342254399598433</v>
      </c>
      <c r="AD43" s="80">
        <f t="shared" si="17"/>
        <v>4.1000000000000014</v>
      </c>
      <c r="AE43" s="81">
        <f t="shared" si="8"/>
        <v>25.781156384167559</v>
      </c>
      <c r="AF43" s="81">
        <f t="shared" si="3"/>
        <v>4.1000000000000014</v>
      </c>
      <c r="AG43" s="80">
        <f t="shared" si="9"/>
        <v>11.689426073581211</v>
      </c>
      <c r="AH43" s="80">
        <f t="shared" si="10"/>
        <v>165.88177227859404</v>
      </c>
      <c r="AI43" s="80">
        <f t="shared" si="11"/>
        <v>75.212402621166135</v>
      </c>
      <c r="AJ43" s="80"/>
      <c r="AL43" s="1">
        <f t="shared" si="14"/>
        <v>4.1000000000000014</v>
      </c>
      <c r="AM43" s="1">
        <f t="shared" si="18"/>
        <v>23.528823424644493</v>
      </c>
      <c r="AN43" s="1">
        <f t="shared" si="4"/>
        <v>7.2288764482549261</v>
      </c>
      <c r="AO43" s="1">
        <f t="shared" si="5"/>
        <v>4.3886565596076137</v>
      </c>
      <c r="AP43" s="1">
        <f t="shared" si="15"/>
        <v>14.743213883452464</v>
      </c>
      <c r="AQ43" s="63">
        <f>AVERAGE(AP$2:$AP43)</f>
        <v>9.7955454771535315</v>
      </c>
      <c r="AR43" s="66"/>
      <c r="AS43" s="1"/>
      <c r="AW43" s="1"/>
      <c r="AY43" s="1"/>
    </row>
    <row r="44" spans="1:51" ht="21" thickBot="1" x14ac:dyDescent="0.3">
      <c r="A44" s="38" t="s">
        <v>28</v>
      </c>
      <c r="B44" s="39" t="s">
        <v>29</v>
      </c>
      <c r="C44" s="39" t="s">
        <v>30</v>
      </c>
      <c r="D44" s="39" t="s">
        <v>31</v>
      </c>
      <c r="E44" s="39" t="s">
        <v>32</v>
      </c>
      <c r="F44" s="39" t="s">
        <v>33</v>
      </c>
      <c r="G44" s="52" t="e">
        <f>DEGREES(#REF!)</f>
        <v>#REF!</v>
      </c>
      <c r="H44" s="43" t="s">
        <v>34</v>
      </c>
      <c r="I44" s="44">
        <f>Y37-H50</f>
        <v>-59.645898936264416</v>
      </c>
      <c r="J44" s="44" t="s">
        <v>36</v>
      </c>
      <c r="K44" s="44">
        <f>X39-H50</f>
        <v>15613.384101063735</v>
      </c>
      <c r="L44" s="44" t="s">
        <v>38</v>
      </c>
      <c r="M44" s="45">
        <f>X37-H50</f>
        <v>14250.274101063735</v>
      </c>
      <c r="N44" s="53">
        <f>X49</f>
        <v>24377.84</v>
      </c>
      <c r="O44" s="54" t="s">
        <v>60</v>
      </c>
      <c r="P44" s="141"/>
      <c r="Q44" s="140"/>
      <c r="R44" s="117">
        <f t="shared" si="16"/>
        <v>19.562840000000001</v>
      </c>
      <c r="S44" s="73">
        <f t="shared" si="19"/>
        <v>11.187928286436563</v>
      </c>
      <c r="T44" s="78">
        <f t="shared" si="6"/>
        <v>19.562840000000001</v>
      </c>
      <c r="U44" s="78">
        <f t="shared" si="20"/>
        <v>4.894863391585984</v>
      </c>
      <c r="V44" s="84">
        <f t="shared" si="2"/>
        <v>19.562840000000001</v>
      </c>
      <c r="W44" s="12">
        <v>59.1</v>
      </c>
      <c r="X44">
        <v>19577.55</v>
      </c>
      <c r="Y44">
        <v>-63.36</v>
      </c>
      <c r="Z44">
        <v>-9999</v>
      </c>
      <c r="AA44">
        <v>246.37</v>
      </c>
      <c r="AB44">
        <v>23.74</v>
      </c>
      <c r="AC44" s="125">
        <f t="shared" si="7"/>
        <v>6.4342254399598433</v>
      </c>
      <c r="AD44" s="80">
        <f t="shared" si="17"/>
        <v>4.2000000000000011</v>
      </c>
      <c r="AE44" s="81">
        <f t="shared" si="8"/>
        <v>25.781156384167559</v>
      </c>
      <c r="AF44" s="81">
        <f t="shared" si="3"/>
        <v>4.2000000000000011</v>
      </c>
      <c r="AG44" s="80">
        <f t="shared" si="9"/>
        <v>11.689426073581211</v>
      </c>
      <c r="AH44" s="80">
        <f t="shared" si="10"/>
        <v>165.88177227859404</v>
      </c>
      <c r="AI44" s="80">
        <f t="shared" si="11"/>
        <v>75.212402621166135</v>
      </c>
      <c r="AJ44" s="80"/>
      <c r="AL44" s="1">
        <f t="shared" si="14"/>
        <v>4.2000000000000011</v>
      </c>
      <c r="AM44" s="1">
        <f t="shared" si="18"/>
        <v>23.528823424644493</v>
      </c>
      <c r="AN44" s="1">
        <f t="shared" si="4"/>
        <v>7.2288764482549261</v>
      </c>
      <c r="AO44" s="1">
        <f t="shared" si="5"/>
        <v>4.3886565596076137</v>
      </c>
      <c r="AP44" s="1">
        <f t="shared" si="15"/>
        <v>14.743213883452464</v>
      </c>
      <c r="AQ44" s="63">
        <f>AVERAGE(AP$2:$AP44)</f>
        <v>9.9106075331139714</v>
      </c>
      <c r="AR44" s="66"/>
      <c r="AS44" s="1"/>
      <c r="AW44" s="1"/>
      <c r="AY44" s="1"/>
    </row>
    <row r="45" spans="1:51" ht="20" thickBot="1" x14ac:dyDescent="0.3">
      <c r="A45" s="40">
        <v>51</v>
      </c>
      <c r="B45" s="41">
        <v>45.6584</v>
      </c>
      <c r="C45" s="42">
        <v>-97.393600000000006</v>
      </c>
      <c r="D45" s="40">
        <v>70</v>
      </c>
      <c r="E45" s="40">
        <v>45.678899999999999</v>
      </c>
      <c r="F45" s="40">
        <v>-97.412499999999994</v>
      </c>
      <c r="G45" s="52">
        <f>X6</f>
        <v>298.11</v>
      </c>
      <c r="H45" s="46" t="s">
        <v>35</v>
      </c>
      <c r="I45" s="47">
        <f>Y38-H51</f>
        <v>-63.510744540031638</v>
      </c>
      <c r="J45" s="47" t="s">
        <v>37</v>
      </c>
      <c r="K45" s="47">
        <f>X40-H51</f>
        <v>16425.869255459966</v>
      </c>
      <c r="L45" s="47" t="s">
        <v>39</v>
      </c>
      <c r="M45" s="48">
        <f>X38-H51</f>
        <v>14888.829255459968</v>
      </c>
      <c r="N45" s="55">
        <f>AVERAGE(B45,E45)</f>
        <v>45.66865</v>
      </c>
      <c r="O45" s="55">
        <f>AVERAGE(C45,F45)</f>
        <v>-97.403050000000007</v>
      </c>
      <c r="P45" s="141"/>
      <c r="Q45" s="140"/>
      <c r="R45" s="117">
        <f t="shared" si="16"/>
        <v>20.38139</v>
      </c>
      <c r="S45" s="73">
        <f t="shared" si="19"/>
        <v>8.3889111252236628</v>
      </c>
      <c r="T45" s="78">
        <f t="shared" si="6"/>
        <v>20.38139</v>
      </c>
      <c r="U45" s="78">
        <f t="shared" si="20"/>
        <v>2.6966152058984285</v>
      </c>
      <c r="V45" s="84">
        <f t="shared" si="2"/>
        <v>20.38139</v>
      </c>
      <c r="W45" s="12">
        <v>51.7</v>
      </c>
      <c r="X45">
        <v>20396.099999999999</v>
      </c>
      <c r="Y45">
        <v>-64.86</v>
      </c>
      <c r="Z45">
        <v>-9999</v>
      </c>
      <c r="AA45">
        <v>252.18</v>
      </c>
      <c r="AB45">
        <v>17.13</v>
      </c>
      <c r="AC45" s="125">
        <f t="shared" si="7"/>
        <v>6.4342254399598433</v>
      </c>
      <c r="AD45" s="80">
        <f t="shared" si="17"/>
        <v>4.3000000000000007</v>
      </c>
      <c r="AE45" s="81">
        <f t="shared" si="8"/>
        <v>25.781156384167559</v>
      </c>
      <c r="AF45" s="81">
        <f t="shared" si="3"/>
        <v>4.3000000000000007</v>
      </c>
      <c r="AG45" s="80">
        <f t="shared" si="9"/>
        <v>11.689426073581211</v>
      </c>
      <c r="AH45" s="80">
        <f t="shared" si="10"/>
        <v>165.88177227859404</v>
      </c>
      <c r="AI45" s="80">
        <f t="shared" si="11"/>
        <v>75.212402621166135</v>
      </c>
      <c r="AJ45" s="80"/>
      <c r="AL45" s="1">
        <f t="shared" si="14"/>
        <v>4.3000000000000007</v>
      </c>
      <c r="AM45" s="1">
        <f t="shared" si="18"/>
        <v>23.528823424644493</v>
      </c>
      <c r="AN45" s="1">
        <f t="shared" si="4"/>
        <v>7.2288764482549261</v>
      </c>
      <c r="AO45" s="1">
        <f t="shared" si="5"/>
        <v>4.3886565596076137</v>
      </c>
      <c r="AP45" s="1">
        <f t="shared" si="15"/>
        <v>14.743213883452464</v>
      </c>
      <c r="AQ45" s="63">
        <f>AVERAGE(AP$2:$AP45)</f>
        <v>10.020439495621666</v>
      </c>
      <c r="AR45" s="66"/>
      <c r="AS45" s="1"/>
      <c r="AW45" s="1"/>
      <c r="AY45" s="1"/>
    </row>
    <row r="46" spans="1:51" ht="20" thickBot="1" x14ac:dyDescent="0.3">
      <c r="A46" s="14" t="s">
        <v>10</v>
      </c>
      <c r="B46" s="15" t="s">
        <v>0</v>
      </c>
      <c r="C46" s="15" t="s">
        <v>1</v>
      </c>
      <c r="D46" s="15" t="s">
        <v>16</v>
      </c>
      <c r="E46" s="15" t="s">
        <v>17</v>
      </c>
      <c r="F46" s="15" t="s">
        <v>43</v>
      </c>
      <c r="G46" s="15" t="s">
        <v>44</v>
      </c>
      <c r="H46" s="49" t="s">
        <v>40</v>
      </c>
      <c r="I46" s="50">
        <f>SQRT(I44^2+I45^2)</f>
        <v>87.127767858153163</v>
      </c>
      <c r="J46" s="50" t="s">
        <v>41</v>
      </c>
      <c r="K46" s="50">
        <f>SQRT(K44^2+K45^2)</f>
        <v>22662.456704532604</v>
      </c>
      <c r="L46" s="50" t="s">
        <v>42</v>
      </c>
      <c r="M46" s="51">
        <f>SQRT(M44^2+M45^2)</f>
        <v>20609.404371637927</v>
      </c>
      <c r="N46" s="36" t="str">
        <f>ROUND(N44,0)&amp;" m/s"</f>
        <v>24378 m/s</v>
      </c>
      <c r="O46" s="59"/>
      <c r="P46" s="142"/>
      <c r="Q46" s="143"/>
      <c r="R46" s="117">
        <f t="shared" si="16"/>
        <v>21.242420000000003</v>
      </c>
      <c r="S46" s="73">
        <f t="shared" si="19"/>
        <v>6.5946193395745691</v>
      </c>
      <c r="T46" s="78">
        <f t="shared" si="6"/>
        <v>21.242420000000003</v>
      </c>
      <c r="U46" s="78">
        <f t="shared" si="20"/>
        <v>1.1984454487097314</v>
      </c>
      <c r="V46" s="84">
        <f t="shared" si="2"/>
        <v>21.242420000000003</v>
      </c>
      <c r="W46" s="12">
        <v>44.9</v>
      </c>
      <c r="X46">
        <v>21257.13</v>
      </c>
      <c r="Y46">
        <v>-64.260000000000005</v>
      </c>
      <c r="Z46">
        <v>-9999</v>
      </c>
      <c r="AA46">
        <v>259.7</v>
      </c>
      <c r="AB46">
        <v>13.03</v>
      </c>
      <c r="AC46" s="125">
        <f t="shared" si="7"/>
        <v>6.4342254399598433</v>
      </c>
      <c r="AD46" s="80">
        <f t="shared" si="17"/>
        <v>4.4000000000000004</v>
      </c>
      <c r="AE46" s="81">
        <f t="shared" si="8"/>
        <v>25.781156384167559</v>
      </c>
      <c r="AF46" s="81">
        <f t="shared" si="3"/>
        <v>4.4000000000000004</v>
      </c>
      <c r="AG46" s="80">
        <f t="shared" si="9"/>
        <v>11.689426073581211</v>
      </c>
      <c r="AH46" s="80">
        <f t="shared" si="10"/>
        <v>165.88177227859404</v>
      </c>
      <c r="AI46" s="80">
        <f t="shared" si="11"/>
        <v>75.212402621166135</v>
      </c>
      <c r="AJ46" s="80"/>
      <c r="AL46" s="1">
        <f t="shared" si="14"/>
        <v>4.4000000000000004</v>
      </c>
      <c r="AM46" s="1">
        <f t="shared" si="18"/>
        <v>23.528823424644493</v>
      </c>
      <c r="AN46" s="1">
        <f t="shared" si="4"/>
        <v>7.2288764482549261</v>
      </c>
      <c r="AO46" s="1">
        <f t="shared" si="5"/>
        <v>4.3886565596076137</v>
      </c>
      <c r="AP46" s="1">
        <f t="shared" si="15"/>
        <v>14.743213883452464</v>
      </c>
      <c r="AQ46" s="63">
        <f>AVERAGE(AP$2:$AP46)</f>
        <v>10.125390037573462</v>
      </c>
      <c r="AR46" s="66"/>
      <c r="AS46" s="1"/>
      <c r="AW46" s="1"/>
      <c r="AY46" s="1"/>
    </row>
    <row r="47" spans="1:51" ht="18" thickBot="1" x14ac:dyDescent="0.3">
      <c r="A47" s="16" t="s">
        <v>2</v>
      </c>
      <c r="B47" s="17">
        <f>AE2</f>
        <v>2.299745850704479</v>
      </c>
      <c r="C47" s="17">
        <f>AG2</f>
        <v>10.196478952257566</v>
      </c>
      <c r="D47" s="18">
        <f>Q24</f>
        <v>11.073286897413592</v>
      </c>
      <c r="E47" s="18">
        <f>Q25</f>
        <v>12.709686223659148</v>
      </c>
      <c r="F47" s="18">
        <f>Q24</f>
        <v>11.073286897413592</v>
      </c>
      <c r="G47" s="19">
        <f>Q25</f>
        <v>12.709686223659148</v>
      </c>
      <c r="H47" s="56">
        <f>(D45-A45)*60</f>
        <v>1140</v>
      </c>
      <c r="I47" s="11"/>
      <c r="J47" s="59"/>
      <c r="K47" s="11"/>
      <c r="L47" s="60"/>
      <c r="M47" s="61"/>
      <c r="N47" s="62"/>
      <c r="O47" s="13"/>
      <c r="P47" s="70"/>
      <c r="Q47" s="69"/>
      <c r="R47" s="117">
        <f t="shared" si="16"/>
        <v>22.17436</v>
      </c>
      <c r="S47" s="73">
        <f t="shared" si="19"/>
        <v>2.5959644135687383</v>
      </c>
      <c r="T47" s="78">
        <f t="shared" si="6"/>
        <v>22.17436</v>
      </c>
      <c r="U47" s="78">
        <f t="shared" si="20"/>
        <v>0.79862293262134476</v>
      </c>
      <c r="V47" s="84">
        <f t="shared" si="2"/>
        <v>22.17436</v>
      </c>
      <c r="W47" s="12">
        <v>38.6</v>
      </c>
      <c r="X47">
        <v>22189.07</v>
      </c>
      <c r="Y47">
        <v>-60.86</v>
      </c>
      <c r="Z47">
        <v>-9999</v>
      </c>
      <c r="AA47">
        <v>252.9</v>
      </c>
      <c r="AB47">
        <v>5.28</v>
      </c>
      <c r="AC47" s="125">
        <f t="shared" si="7"/>
        <v>6.4342254399598433</v>
      </c>
      <c r="AD47" s="80">
        <f t="shared" si="17"/>
        <v>4.5</v>
      </c>
      <c r="AE47" s="81">
        <f t="shared" si="8"/>
        <v>25.781156384167559</v>
      </c>
      <c r="AF47" s="81">
        <f t="shared" si="3"/>
        <v>4.5</v>
      </c>
      <c r="AG47" s="80">
        <f t="shared" si="9"/>
        <v>11.689426073581211</v>
      </c>
      <c r="AH47" s="80">
        <f t="shared" si="10"/>
        <v>165.88177227859404</v>
      </c>
      <c r="AI47" s="80">
        <f t="shared" si="11"/>
        <v>75.212402621166135</v>
      </c>
      <c r="AJ47" s="80"/>
      <c r="AL47" s="1">
        <f t="shared" si="14"/>
        <v>4.5</v>
      </c>
      <c r="AM47" s="1">
        <f t="shared" si="18"/>
        <v>23.528823424644493</v>
      </c>
      <c r="AN47" s="1">
        <f t="shared" si="4"/>
        <v>7.2288764482549261</v>
      </c>
      <c r="AO47" s="1">
        <f t="shared" si="5"/>
        <v>4.3886565596076137</v>
      </c>
      <c r="AP47" s="1">
        <f t="shared" si="15"/>
        <v>14.743213883452464</v>
      </c>
      <c r="AQ47" s="63">
        <f>AVERAGE(AP$2:$AP47)</f>
        <v>10.225777512483875</v>
      </c>
      <c r="AR47" s="66"/>
      <c r="AS47" s="1"/>
      <c r="AW47" s="1"/>
      <c r="AY47" s="1"/>
    </row>
    <row r="48" spans="1:51" ht="18" thickBot="1" x14ac:dyDescent="0.3">
      <c r="A48" s="16" t="s">
        <v>11</v>
      </c>
      <c r="B48" s="17">
        <f>AE12</f>
        <v>12.590144128579603</v>
      </c>
      <c r="C48" s="17">
        <f>AG12</f>
        <v>22.280215994949256</v>
      </c>
      <c r="D48" s="18">
        <f>AE2</f>
        <v>2.299745850704479</v>
      </c>
      <c r="E48" s="18">
        <f>AG2</f>
        <v>10.196478952257566</v>
      </c>
      <c r="F48" s="18">
        <f>VLOOKUP(Q10,AD2:AE212,2)</f>
        <v>10.1928836354586</v>
      </c>
      <c r="G48" s="19">
        <f>VLOOKUP(Q10,AF2:AG212,2)</f>
        <v>21.485515735512244</v>
      </c>
      <c r="H48" s="57">
        <f>(1852*(ACOS((SIN(B45*PI()/180)*SIN(E45*PI()/180)+COS(B45*PI()/180)*COS(E45*PI()/180)*COS(C45*PI()/180-F45*PI()/180)))*3443.8985))/H47</f>
        <v>2.3812661943602462</v>
      </c>
      <c r="I48" s="11"/>
      <c r="J48" s="60"/>
      <c r="K48" s="11"/>
      <c r="L48" s="60"/>
      <c r="M48" s="60"/>
      <c r="N48" s="60"/>
      <c r="O48" s="13"/>
      <c r="P48" s="70"/>
      <c r="Q48" s="69"/>
      <c r="R48" s="117">
        <f t="shared" si="16"/>
        <v>23.208530000000003</v>
      </c>
      <c r="S48" s="73">
        <f t="shared" si="19"/>
        <v>-2.0921434544673176</v>
      </c>
      <c r="T48" s="78">
        <f t="shared" si="6"/>
        <v>23.208530000000003</v>
      </c>
      <c r="U48" s="78">
        <f t="shared" si="20"/>
        <v>-0.59793711849454645</v>
      </c>
      <c r="V48" s="84">
        <f t="shared" si="2"/>
        <v>23.208530000000003</v>
      </c>
      <c r="W48" s="12">
        <v>32.700000000000003</v>
      </c>
      <c r="X48">
        <v>23223.24</v>
      </c>
      <c r="Y48">
        <v>-59.46</v>
      </c>
      <c r="Z48">
        <v>-9999</v>
      </c>
      <c r="AA48">
        <v>74.05</v>
      </c>
      <c r="AB48">
        <v>4.2300000000000004</v>
      </c>
      <c r="AC48" s="125">
        <f t="shared" si="7"/>
        <v>6.4342254399598433</v>
      </c>
      <c r="AD48" s="80">
        <f t="shared" si="17"/>
        <v>4.5999999999999996</v>
      </c>
      <c r="AE48" s="81">
        <f t="shared" si="8"/>
        <v>25.781156384167559</v>
      </c>
      <c r="AF48" s="81">
        <f t="shared" si="3"/>
        <v>4.5999999999999996</v>
      </c>
      <c r="AG48" s="80">
        <f t="shared" si="9"/>
        <v>11.689426073581211</v>
      </c>
      <c r="AH48" s="80">
        <f t="shared" si="10"/>
        <v>165.88177227859404</v>
      </c>
      <c r="AI48" s="80">
        <f t="shared" si="11"/>
        <v>75.212402621166135</v>
      </c>
      <c r="AJ48" s="80"/>
      <c r="AL48" s="1">
        <f t="shared" si="14"/>
        <v>4.5999999999999996</v>
      </c>
      <c r="AM48" s="1">
        <f t="shared" si="18"/>
        <v>23.528823424644493</v>
      </c>
      <c r="AN48" s="1">
        <f t="shared" si="4"/>
        <v>7.2288764482549261</v>
      </c>
      <c r="AO48" s="1">
        <f t="shared" si="5"/>
        <v>4.3886565596076137</v>
      </c>
      <c r="AP48" s="1">
        <f t="shared" si="15"/>
        <v>14.743213883452464</v>
      </c>
      <c r="AQ48" s="63">
        <f>AVERAGE(AP$2:$AP48)</f>
        <v>10.321893179951292</v>
      </c>
      <c r="AR48" s="66"/>
      <c r="AS48" s="1"/>
      <c r="AW48" s="1"/>
      <c r="AY48" s="1"/>
    </row>
    <row r="49" spans="1:51" ht="18" thickBot="1" x14ac:dyDescent="0.3">
      <c r="A49" s="16" t="s">
        <v>12</v>
      </c>
      <c r="B49" s="17">
        <f>AE32</f>
        <v>14.487645019063278</v>
      </c>
      <c r="C49" s="17">
        <f>AG32</f>
        <v>19.586076846011473</v>
      </c>
      <c r="D49" s="18"/>
      <c r="E49" s="18"/>
      <c r="F49" s="18"/>
      <c r="G49" s="19"/>
      <c r="H49" s="57">
        <f>IMARGUMENT(COMPLEX(B45-E45,C45-F45))*180/PI()+360</f>
        <v>497.32545442079135</v>
      </c>
      <c r="I49" s="13"/>
      <c r="J49" s="13"/>
      <c r="K49" s="13"/>
      <c r="L49" s="11"/>
      <c r="M49" s="13"/>
      <c r="N49" s="13"/>
      <c r="O49" s="13"/>
      <c r="P49" s="70"/>
      <c r="Q49" s="69"/>
      <c r="R49" s="117">
        <f t="shared" si="16"/>
        <v>24.363130000000002</v>
      </c>
      <c r="S49" s="73">
        <f t="shared" si="19"/>
        <v>-1.9967290165057932</v>
      </c>
      <c r="T49" s="78">
        <f t="shared" si="6"/>
        <v>24.363130000000002</v>
      </c>
      <c r="U49" s="78">
        <f t="shared" si="20"/>
        <v>-1.0981649301939156</v>
      </c>
      <c r="V49" s="84">
        <f t="shared" si="2"/>
        <v>24.363130000000002</v>
      </c>
      <c r="W49" s="12">
        <v>27.2</v>
      </c>
      <c r="X49">
        <v>24377.84</v>
      </c>
      <c r="Y49">
        <v>-58.46</v>
      </c>
      <c r="Z49">
        <v>-9999</v>
      </c>
      <c r="AA49">
        <v>61.19</v>
      </c>
      <c r="AB49">
        <v>4.43</v>
      </c>
      <c r="AC49" s="125">
        <f t="shared" si="7"/>
        <v>6.3531519078702505</v>
      </c>
      <c r="AD49" s="80">
        <f t="shared" si="17"/>
        <v>4.6999999999999993</v>
      </c>
      <c r="AE49" s="81">
        <f t="shared" si="8"/>
        <v>27.878644744589501</v>
      </c>
      <c r="AF49" s="81">
        <f t="shared" si="3"/>
        <v>4.6999999999999993</v>
      </c>
      <c r="AG49" s="80">
        <f t="shared" si="9"/>
        <v>6.2929504565877687</v>
      </c>
      <c r="AH49" s="80">
        <f t="shared" si="10"/>
        <v>177.11726504792571</v>
      </c>
      <c r="AI49" s="80">
        <f t="shared" si="11"/>
        <v>39.980070199403549</v>
      </c>
      <c r="AJ49" s="80"/>
      <c r="AL49" s="1">
        <f t="shared" si="14"/>
        <v>4.6999999999999993</v>
      </c>
      <c r="AM49" s="1">
        <f t="shared" si="18"/>
        <v>25.875038228765934</v>
      </c>
      <c r="AN49" s="1">
        <f t="shared" si="4"/>
        <v>9.3263648086768676</v>
      </c>
      <c r="AO49" s="1">
        <f t="shared" si="5"/>
        <v>-1.007819057385829</v>
      </c>
      <c r="AP49" s="1">
        <f t="shared" si="15"/>
        <v>17.988733982024694</v>
      </c>
      <c r="AQ49" s="63">
        <f>AVERAGE(AP$2:$AP49)</f>
        <v>10.481619029994489</v>
      </c>
      <c r="AR49" s="66"/>
      <c r="AS49" s="1"/>
      <c r="AW49" s="1"/>
      <c r="AY49" s="1"/>
    </row>
    <row r="50" spans="1:51" ht="18" thickBot="1" x14ac:dyDescent="0.3">
      <c r="A50" s="16" t="s">
        <v>13</v>
      </c>
      <c r="B50" s="17">
        <f>AE62</f>
        <v>26.885359868190008</v>
      </c>
      <c r="C50" s="17">
        <f>AG62</f>
        <v>9.6952299097037464</v>
      </c>
      <c r="D50" s="3"/>
      <c r="E50" s="3"/>
      <c r="F50" s="3"/>
      <c r="G50" s="20"/>
      <c r="H50" s="57">
        <f>(H48*SIN(RADIANS(H49-180)))</f>
        <v>-1.6141010637355804</v>
      </c>
      <c r="I50" s="13"/>
      <c r="J50" s="13"/>
      <c r="K50" s="13"/>
      <c r="L50" s="13"/>
      <c r="M50" s="13"/>
      <c r="N50" s="13"/>
      <c r="O50" s="13"/>
      <c r="P50" s="70"/>
      <c r="Q50" s="69"/>
      <c r="R50" s="117">
        <f t="shared" si="16"/>
        <v>25.675900000000002</v>
      </c>
      <c r="S50" s="73">
        <f t="shared" si="19"/>
        <v>-0.90038241706030686</v>
      </c>
      <c r="T50" s="78">
        <f t="shared" si="6"/>
        <v>25.675900000000002</v>
      </c>
      <c r="U50" s="78">
        <f t="shared" si="20"/>
        <v>-1.6005329879489016</v>
      </c>
      <c r="V50" s="84">
        <f t="shared" si="2"/>
        <v>25.675900000000002</v>
      </c>
      <c r="W50" s="12">
        <v>22.1</v>
      </c>
      <c r="X50">
        <v>25690.61</v>
      </c>
      <c r="Y50">
        <v>-55.86</v>
      </c>
      <c r="Z50">
        <v>-9999</v>
      </c>
      <c r="AA50">
        <v>29.36</v>
      </c>
      <c r="AB50">
        <v>3.57</v>
      </c>
      <c r="AC50" s="125">
        <f t="shared" si="7"/>
        <v>6.3531519078702505</v>
      </c>
      <c r="AD50" s="80">
        <f t="shared" si="17"/>
        <v>4.7999999999999989</v>
      </c>
      <c r="AE50" s="81">
        <f t="shared" si="8"/>
        <v>27.878644744589501</v>
      </c>
      <c r="AF50" s="81">
        <f t="shared" si="3"/>
        <v>4.7999999999999989</v>
      </c>
      <c r="AG50" s="80">
        <f t="shared" si="9"/>
        <v>6.2929504565877687</v>
      </c>
      <c r="AH50" s="80">
        <f t="shared" si="10"/>
        <v>177.11726504792571</v>
      </c>
      <c r="AI50" s="80">
        <f t="shared" si="11"/>
        <v>39.980070199403549</v>
      </c>
      <c r="AJ50" s="80"/>
      <c r="AL50" s="1">
        <f t="shared" si="14"/>
        <v>4.7999999999999989</v>
      </c>
      <c r="AM50" s="1">
        <f t="shared" si="18"/>
        <v>25.875038228765934</v>
      </c>
      <c r="AN50" s="1">
        <f t="shared" si="4"/>
        <v>9.3263648086768676</v>
      </c>
      <c r="AO50" s="1">
        <f t="shared" si="5"/>
        <v>-1.007819057385829</v>
      </c>
      <c r="AP50" s="1">
        <f t="shared" si="15"/>
        <v>17.988733982024694</v>
      </c>
      <c r="AQ50" s="63">
        <f>AVERAGE(AP$2:$AP50)</f>
        <v>10.63482545758694</v>
      </c>
      <c r="AR50" s="66"/>
      <c r="AS50" s="1"/>
      <c r="AW50" s="1"/>
      <c r="AY50" s="1"/>
    </row>
    <row r="51" spans="1:51" ht="18" thickBot="1" x14ac:dyDescent="0.3">
      <c r="A51" s="16" t="s">
        <v>14</v>
      </c>
      <c r="B51" s="17">
        <f>AE102</f>
        <v>30.680909030884312</v>
      </c>
      <c r="C51" s="17">
        <f>AG102</f>
        <v>20.984069250136823</v>
      </c>
      <c r="D51" s="3"/>
      <c r="E51" s="3"/>
      <c r="F51" s="3"/>
      <c r="G51" s="20"/>
      <c r="H51" s="58">
        <f>(H48*COS(RADIANS(H49-180)))</f>
        <v>1.7507445400316397</v>
      </c>
      <c r="I51" s="13"/>
      <c r="J51" s="13"/>
      <c r="K51" s="13"/>
      <c r="L51" s="13"/>
      <c r="M51" s="13"/>
      <c r="N51" s="13"/>
      <c r="O51" s="13"/>
      <c r="P51" s="70"/>
      <c r="Q51" s="69"/>
      <c r="R51" s="117">
        <f t="shared" si="16"/>
        <v>27.245200000000001</v>
      </c>
      <c r="S51" s="73">
        <f t="shared" si="19"/>
        <v>1.2962833856547884</v>
      </c>
      <c r="T51" s="78">
        <f t="shared" si="6"/>
        <v>27.245200000000001</v>
      </c>
      <c r="U51" s="78">
        <f t="shared" si="20"/>
        <v>-0.49863517573007132</v>
      </c>
      <c r="V51" s="84">
        <f t="shared" si="2"/>
        <v>27.245200000000001</v>
      </c>
      <c r="W51" s="12">
        <v>17.3</v>
      </c>
      <c r="X51">
        <v>27259.91</v>
      </c>
      <c r="Y51">
        <v>-52.56</v>
      </c>
      <c r="Z51">
        <v>-9999</v>
      </c>
      <c r="AA51">
        <v>291.04000000000002</v>
      </c>
      <c r="AB51">
        <v>2.7</v>
      </c>
      <c r="AC51" s="125">
        <f t="shared" si="7"/>
        <v>6.3531519078702505</v>
      </c>
      <c r="AD51" s="80">
        <f t="shared" si="17"/>
        <v>4.8999999999999986</v>
      </c>
      <c r="AE51" s="81">
        <f t="shared" si="8"/>
        <v>27.878644744589501</v>
      </c>
      <c r="AF51" s="81">
        <f t="shared" si="3"/>
        <v>4.8999999999999986</v>
      </c>
      <c r="AG51" s="80">
        <f t="shared" si="9"/>
        <v>6.2929504565877687</v>
      </c>
      <c r="AH51" s="80">
        <f t="shared" si="10"/>
        <v>177.11726504792571</v>
      </c>
      <c r="AI51" s="80">
        <f t="shared" si="11"/>
        <v>39.980070199403549</v>
      </c>
      <c r="AJ51" s="80"/>
      <c r="AL51" s="1">
        <f t="shared" si="14"/>
        <v>4.8999999999999986</v>
      </c>
      <c r="AM51" s="1">
        <f t="shared" si="18"/>
        <v>25.875038228765934</v>
      </c>
      <c r="AN51" s="1">
        <f t="shared" si="4"/>
        <v>9.3263648086768676</v>
      </c>
      <c r="AO51" s="1">
        <f t="shared" si="5"/>
        <v>-1.007819057385829</v>
      </c>
      <c r="AP51" s="1">
        <f t="shared" si="15"/>
        <v>17.988733982024694</v>
      </c>
      <c r="AQ51" s="63">
        <f>AVERAGE(AP$2:$AP51)</f>
        <v>10.781903628075694</v>
      </c>
      <c r="AR51" s="66"/>
      <c r="AS51" s="1"/>
      <c r="AW51" s="1"/>
      <c r="AY51" s="1"/>
    </row>
    <row r="52" spans="1:51" ht="18" thickBot="1" x14ac:dyDescent="0.3">
      <c r="A52" s="16" t="s">
        <v>15</v>
      </c>
      <c r="B52" s="18">
        <f>Q24</f>
        <v>11.073286897413592</v>
      </c>
      <c r="C52" s="18">
        <f>Q25</f>
        <v>12.709686223659148</v>
      </c>
      <c r="D52" s="3"/>
      <c r="E52" s="3"/>
      <c r="F52" s="3"/>
      <c r="G52" s="20"/>
      <c r="H52" s="59"/>
      <c r="I52" s="13"/>
      <c r="J52" s="13"/>
      <c r="K52" s="13"/>
      <c r="L52" s="13"/>
      <c r="M52" s="13"/>
      <c r="N52" s="13"/>
      <c r="O52" s="13"/>
      <c r="P52" s="70"/>
      <c r="Q52" s="69"/>
      <c r="R52" s="117">
        <f t="shared" si="16"/>
        <v>-1.4710000000000001E-2</v>
      </c>
      <c r="S52" s="73">
        <f t="shared" si="19"/>
        <v>0</v>
      </c>
      <c r="T52" s="78">
        <f t="shared" si="6"/>
        <v>-1.4710000000000001E-2</v>
      </c>
      <c r="U52" s="78">
        <f t="shared" si="20"/>
        <v>0</v>
      </c>
      <c r="V52" s="84">
        <f t="shared" si="2"/>
        <v>-1.4710000000000001E-2</v>
      </c>
      <c r="W52" s="12" t="s">
        <v>99</v>
      </c>
      <c r="AC52" s="125">
        <f t="shared" si="7"/>
        <v>6.3531519078702505</v>
      </c>
      <c r="AD52" s="80">
        <f t="shared" si="17"/>
        <v>4.9999999999999982</v>
      </c>
      <c r="AE52" s="81">
        <f t="shared" si="8"/>
        <v>27.878644744589501</v>
      </c>
      <c r="AF52" s="81">
        <f t="shared" si="3"/>
        <v>4.9999999999999982</v>
      </c>
      <c r="AG52" s="80">
        <f t="shared" si="9"/>
        <v>6.2929504565877687</v>
      </c>
      <c r="AH52" s="80">
        <f t="shared" si="10"/>
        <v>177.11726504792571</v>
      </c>
      <c r="AI52" s="80">
        <f t="shared" si="11"/>
        <v>39.980070199403549</v>
      </c>
      <c r="AJ52" s="80"/>
      <c r="AL52" s="1">
        <f t="shared" si="14"/>
        <v>4.9999999999999982</v>
      </c>
      <c r="AM52" s="1">
        <f t="shared" si="18"/>
        <v>25.875038228765934</v>
      </c>
      <c r="AN52" s="1">
        <f t="shared" si="4"/>
        <v>9.3263648086768676</v>
      </c>
      <c r="AO52" s="1">
        <f t="shared" si="5"/>
        <v>-1.007819057385829</v>
      </c>
      <c r="AP52" s="1">
        <f t="shared" si="15"/>
        <v>17.988733982024694</v>
      </c>
      <c r="AQ52" s="63">
        <f>AVERAGE(AP$2:$AP52)</f>
        <v>10.923214027172733</v>
      </c>
      <c r="AR52" s="66"/>
      <c r="AS52" s="1"/>
      <c r="AW52" s="1"/>
      <c r="AY52" s="1"/>
    </row>
    <row r="53" spans="1:51" ht="18" thickBot="1" x14ac:dyDescent="0.3">
      <c r="A53" s="4" t="s">
        <v>50</v>
      </c>
      <c r="B53" s="23" t="s">
        <v>55</v>
      </c>
      <c r="C53" s="22" t="s">
        <v>45</v>
      </c>
      <c r="D53" s="25" t="s">
        <v>50</v>
      </c>
      <c r="E53" s="25" t="s">
        <v>56</v>
      </c>
      <c r="F53" s="27" t="s">
        <v>47</v>
      </c>
      <c r="G53" s="27" t="s">
        <v>48</v>
      </c>
      <c r="H53" s="5" t="s">
        <v>49</v>
      </c>
      <c r="I53" s="100" t="s">
        <v>50</v>
      </c>
      <c r="J53" s="130" t="s">
        <v>53</v>
      </c>
      <c r="K53" s="164">
        <f>VLOOKUP($Q$2,I54:J96,2)</f>
        <v>1.9630842644672641E-2</v>
      </c>
      <c r="L53" s="165"/>
      <c r="M53" s="132" t="s">
        <v>51</v>
      </c>
      <c r="N53" s="25" t="s">
        <v>50</v>
      </c>
      <c r="O53" s="5" t="s">
        <v>54</v>
      </c>
      <c r="P53" s="153" t="s">
        <v>100</v>
      </c>
      <c r="Q53" s="154">
        <f>6.11*10^((7.5*Q57)/(237.3+Q57))</f>
        <v>6.11</v>
      </c>
      <c r="R53" s="117">
        <f t="shared" si="16"/>
        <v>16.480720000000002</v>
      </c>
      <c r="S53" s="73">
        <f t="shared" si="19"/>
        <v>20.980725571245159</v>
      </c>
      <c r="T53" s="78">
        <f t="shared" si="6"/>
        <v>16.480720000000002</v>
      </c>
      <c r="U53" s="78">
        <f t="shared" si="20"/>
        <v>17.58620707757996</v>
      </c>
      <c r="V53" s="84">
        <f t="shared" si="2"/>
        <v>16.480720000000002</v>
      </c>
      <c r="W53" s="12">
        <v>98.9</v>
      </c>
      <c r="X53">
        <v>16495.43</v>
      </c>
      <c r="Y53">
        <v>-67.16</v>
      </c>
      <c r="Z53">
        <v>-9999</v>
      </c>
      <c r="AA53">
        <v>230.03</v>
      </c>
      <c r="AB53">
        <v>53.22</v>
      </c>
      <c r="AC53" s="125">
        <f t="shared" si="7"/>
        <v>6.3531519078702505</v>
      </c>
      <c r="AD53" s="80">
        <f t="shared" si="17"/>
        <v>5.0999999999999979</v>
      </c>
      <c r="AE53" s="81">
        <f t="shared" si="8"/>
        <v>27.878644744589501</v>
      </c>
      <c r="AF53" s="81">
        <f t="shared" si="3"/>
        <v>5.0999999999999979</v>
      </c>
      <c r="AG53" s="80">
        <f t="shared" si="9"/>
        <v>6.2929504565877687</v>
      </c>
      <c r="AH53" s="80">
        <f t="shared" si="10"/>
        <v>177.11726504792571</v>
      </c>
      <c r="AI53" s="80">
        <f t="shared" si="11"/>
        <v>39.980070199403549</v>
      </c>
      <c r="AJ53" s="80"/>
      <c r="AL53" s="1">
        <f t="shared" si="14"/>
        <v>5.0999999999999979</v>
      </c>
      <c r="AM53" s="1">
        <f t="shared" si="18"/>
        <v>25.875038228765934</v>
      </c>
      <c r="AN53" s="1">
        <f t="shared" si="4"/>
        <v>9.3263648086768676</v>
      </c>
      <c r="AO53" s="1">
        <f t="shared" si="5"/>
        <v>-1.007819057385829</v>
      </c>
      <c r="AP53" s="1">
        <f t="shared" si="15"/>
        <v>17.988733982024694</v>
      </c>
      <c r="AQ53" s="63">
        <f>AVERAGE(AP$2:$AP53)</f>
        <v>11.059089410919885</v>
      </c>
      <c r="AR53" s="66"/>
      <c r="AS53" s="1"/>
      <c r="AW53" s="1"/>
      <c r="AY53" s="1"/>
    </row>
    <row r="54" spans="1:51" ht="18" thickBot="1" x14ac:dyDescent="0.3">
      <c r="A54" s="101">
        <v>0</v>
      </c>
      <c r="B54" s="30">
        <f t="shared" ref="B54:B96" si="21">(AE3-$Q$24)*(AG2-$Q$25)-(AE2-$Q$24)*(AG3-$Q$25)</f>
        <v>53.020433887007961</v>
      </c>
      <c r="C54" s="33">
        <f>SUM(B54:$B$54)</f>
        <v>53.020433887007961</v>
      </c>
      <c r="D54" s="29">
        <v>0</v>
      </c>
      <c r="E54" s="32">
        <f>AQ2</f>
        <v>9.1264030859542586</v>
      </c>
      <c r="F54" s="28">
        <f t="shared" ref="F54:F96" si="22">ATAN2((AG2-$Q$25),(AE2-$Q$24))</f>
        <v>-1.8497788271403914</v>
      </c>
      <c r="G54" s="28">
        <f t="shared" ref="G54:G96" si="23">SQRT((AE2-$Q$24)^2+(AG2-$Q$25)^2)</f>
        <v>9.1264030859542586</v>
      </c>
      <c r="H54" s="6">
        <f t="shared" ref="H54:H95" si="24">SQRT(((-1*((AE2-$Q$24)/G54)*G54*((F55-F54)/100))^2)+(-1*((AG2-$Q$25)/G54)*G54*((F55-F54)/100))^2)</f>
        <v>8.0692470167157609E-2</v>
      </c>
      <c r="I54" s="37">
        <v>100</v>
      </c>
      <c r="J54" s="131">
        <f>AVERAGE(H54:$H$54)</f>
        <v>8.0692470167157609E-2</v>
      </c>
      <c r="K54" s="166"/>
      <c r="L54" s="167"/>
      <c r="M54" s="133">
        <f>(SQRT((AE3-AE2)^2+(AG3-AG2)^2))/100</f>
        <v>7.2662767625463115E-2</v>
      </c>
      <c r="N54" s="29">
        <v>100</v>
      </c>
      <c r="O54" s="6">
        <f>AVERAGE(M54:$M$54)</f>
        <v>7.2662767625463115E-2</v>
      </c>
      <c r="P54" s="155" t="s">
        <v>101</v>
      </c>
      <c r="Q54" s="154">
        <f>621.97*(Q53/(W2-Q53))</f>
        <v>3.8071276009577342</v>
      </c>
      <c r="R54" s="117">
        <f t="shared" si="16"/>
        <v>17.261030000000002</v>
      </c>
      <c r="S54" s="73">
        <f t="shared" si="19"/>
        <v>18.184226041721661</v>
      </c>
      <c r="T54" s="78">
        <f t="shared" si="6"/>
        <v>17.261030000000002</v>
      </c>
      <c r="U54" s="78">
        <f t="shared" si="20"/>
        <v>13.988577464530541</v>
      </c>
      <c r="V54" s="84">
        <f t="shared" si="2"/>
        <v>17.261030000000002</v>
      </c>
      <c r="W54" s="12">
        <v>86.9</v>
      </c>
      <c r="X54">
        <v>17275.740000000002</v>
      </c>
      <c r="Y54">
        <v>-66.959999999999994</v>
      </c>
      <c r="Z54">
        <v>-9999</v>
      </c>
      <c r="AA54">
        <v>232.43</v>
      </c>
      <c r="AB54">
        <v>44.6</v>
      </c>
      <c r="AC54" s="125">
        <f t="shared" si="7"/>
        <v>6.3531519078702505</v>
      </c>
      <c r="AD54" s="80">
        <f t="shared" si="17"/>
        <v>5.1999999999999975</v>
      </c>
      <c r="AE54" s="81">
        <f t="shared" si="8"/>
        <v>27.878644744589501</v>
      </c>
      <c r="AF54" s="81">
        <f t="shared" si="3"/>
        <v>5.1999999999999975</v>
      </c>
      <c r="AG54" s="80">
        <f t="shared" si="9"/>
        <v>6.2929504565877687</v>
      </c>
      <c r="AH54" s="80">
        <f t="shared" si="10"/>
        <v>177.11726504792571</v>
      </c>
      <c r="AI54" s="80">
        <f t="shared" si="11"/>
        <v>39.980070199403549</v>
      </c>
      <c r="AJ54" s="80"/>
      <c r="AL54" s="1">
        <f t="shared" si="14"/>
        <v>5.1999999999999975</v>
      </c>
      <c r="AM54" s="1">
        <f t="shared" si="18"/>
        <v>25.875038228765934</v>
      </c>
      <c r="AN54" s="1">
        <f t="shared" si="4"/>
        <v>9.3263648086768676</v>
      </c>
      <c r="AO54" s="1">
        <f t="shared" si="5"/>
        <v>-1.007819057385829</v>
      </c>
      <c r="AP54" s="1">
        <f t="shared" si="15"/>
        <v>17.988733982024694</v>
      </c>
      <c r="AQ54" s="63">
        <f>AVERAGE(AP$2:$AP54)</f>
        <v>11.189837421695447</v>
      </c>
      <c r="AR54" s="66"/>
      <c r="AS54" s="1"/>
      <c r="AW54" s="1"/>
      <c r="AY54" s="1"/>
    </row>
    <row r="55" spans="1:51" ht="18" thickBot="1" x14ac:dyDescent="0.3">
      <c r="A55" s="101">
        <f>A54+100</f>
        <v>100</v>
      </c>
      <c r="B55" s="30">
        <f t="shared" si="21"/>
        <v>16.527337123053652</v>
      </c>
      <c r="C55" s="33">
        <f>SUM(B$54:$B55)</f>
        <v>69.547771010061609</v>
      </c>
      <c r="D55" s="29">
        <f>D54+100</f>
        <v>100</v>
      </c>
      <c r="E55" s="32">
        <f t="shared" ref="E55:E96" si="25">AQ3</f>
        <v>8.3191302607402164</v>
      </c>
      <c r="F55" s="28">
        <f t="shared" si="22"/>
        <v>-0.96561373595189082</v>
      </c>
      <c r="G55" s="28">
        <f t="shared" si="23"/>
        <v>7.511857435526176</v>
      </c>
      <c r="H55" s="6">
        <f t="shared" si="24"/>
        <v>1.8923890078910478E-2</v>
      </c>
      <c r="I55" s="37">
        <f>I54+100</f>
        <v>200</v>
      </c>
      <c r="J55" s="128">
        <f>AVERAGE(H$54:$H55)</f>
        <v>4.9808180123034042E-2</v>
      </c>
      <c r="K55" s="60">
        <f>VLOOKUP($Q$2,D54:E96,2)</f>
        <v>9.075396384093672</v>
      </c>
      <c r="L55" s="168"/>
      <c r="M55" s="31">
        <f t="shared" ref="M55:M96" si="26">(SQRT((AE4-AE3)^2+(AG4-AG3)^2))/100</f>
        <v>2.431955976573771E-2</v>
      </c>
      <c r="N55" s="29">
        <f>N54+100</f>
        <v>200</v>
      </c>
      <c r="O55" s="6">
        <f>AVERAGE(M$54:$M55)</f>
        <v>4.8491163695600414E-2</v>
      </c>
      <c r="P55" s="153" t="s">
        <v>102</v>
      </c>
      <c r="Q55" s="154">
        <f>$Q$62*((1+($Q$54/0.622))/(1+$Q$54))</f>
        <v>18.297298556950249</v>
      </c>
      <c r="R55" s="117">
        <f t="shared" si="16"/>
        <v>18.146319999999999</v>
      </c>
      <c r="S55" s="73">
        <f t="shared" si="19"/>
        <v>17.290853672450179</v>
      </c>
      <c r="T55" s="78">
        <f t="shared" si="6"/>
        <v>18.146319999999999</v>
      </c>
      <c r="U55" s="78">
        <f t="shared" si="20"/>
        <v>7.3965848512142527</v>
      </c>
      <c r="V55" s="84">
        <f t="shared" si="2"/>
        <v>18.146319999999999</v>
      </c>
      <c r="W55" s="12">
        <v>75.099999999999994</v>
      </c>
      <c r="X55">
        <v>18161.03</v>
      </c>
      <c r="Y55">
        <v>-64.86</v>
      </c>
      <c r="Z55">
        <v>-9999</v>
      </c>
      <c r="AA55">
        <v>246.84</v>
      </c>
      <c r="AB55">
        <v>36.56</v>
      </c>
      <c r="AC55" s="125">
        <f t="shared" si="7"/>
        <v>6.3531519078702505</v>
      </c>
      <c r="AD55" s="80">
        <f t="shared" si="17"/>
        <v>5.2999999999999972</v>
      </c>
      <c r="AE55" s="81">
        <f t="shared" si="8"/>
        <v>27.878644744589501</v>
      </c>
      <c r="AF55" s="81">
        <f t="shared" si="3"/>
        <v>5.2999999999999972</v>
      </c>
      <c r="AG55" s="80">
        <f t="shared" si="9"/>
        <v>6.2929504565877687</v>
      </c>
      <c r="AH55" s="80">
        <f t="shared" si="10"/>
        <v>177.11726504792571</v>
      </c>
      <c r="AI55" s="80">
        <f t="shared" si="11"/>
        <v>39.980070199403549</v>
      </c>
      <c r="AJ55" s="80"/>
      <c r="AL55" s="1">
        <f t="shared" si="14"/>
        <v>5.2999999999999972</v>
      </c>
      <c r="AM55" s="1">
        <f t="shared" si="18"/>
        <v>25.875038228765934</v>
      </c>
      <c r="AN55" s="1">
        <f t="shared" si="4"/>
        <v>9.3263648086768676</v>
      </c>
      <c r="AO55" s="1">
        <f t="shared" si="5"/>
        <v>-1.007819057385829</v>
      </c>
      <c r="AP55" s="1">
        <f t="shared" si="15"/>
        <v>17.988733982024694</v>
      </c>
      <c r="AQ55" s="63">
        <f>AVERAGE(AP$2:$AP55)</f>
        <v>11.315742913553395</v>
      </c>
      <c r="AR55" s="66"/>
      <c r="AS55" s="1"/>
      <c r="AW55" s="1"/>
      <c r="AY55" s="1"/>
    </row>
    <row r="56" spans="1:51" ht="18" thickBot="1" x14ac:dyDescent="0.3">
      <c r="A56" s="101">
        <f t="shared" ref="A56:A96" si="27">A55+100</f>
        <v>200</v>
      </c>
      <c r="B56" s="30">
        <f t="shared" si="21"/>
        <v>16.945626565215491</v>
      </c>
      <c r="C56" s="33">
        <f>SUM(B$54:$B56)</f>
        <v>86.4933975752771</v>
      </c>
      <c r="D56" s="29">
        <f t="shared" ref="D56:D96" si="28">D55+100</f>
        <v>200</v>
      </c>
      <c r="E56" s="32">
        <f t="shared" si="25"/>
        <v>8.4883033996462967</v>
      </c>
      <c r="F56" s="28">
        <f t="shared" si="22"/>
        <v>-0.71369348531703658</v>
      </c>
      <c r="G56" s="28">
        <f t="shared" si="23"/>
        <v>8.8266496774584571</v>
      </c>
      <c r="H56" s="6">
        <f t="shared" si="24"/>
        <v>1.7297322529648364E-2</v>
      </c>
      <c r="I56" s="37">
        <f t="shared" ref="I56:I96" si="29">I55+100</f>
        <v>300</v>
      </c>
      <c r="J56" s="128">
        <f>AVERAGE(H$54:$H56)</f>
        <v>3.8971227591905487E-2</v>
      </c>
      <c r="K56" s="169"/>
      <c r="L56" s="170"/>
      <c r="M56" s="31">
        <f t="shared" si="26"/>
        <v>2.0972759806689504E-2</v>
      </c>
      <c r="N56" s="29">
        <f t="shared" ref="N56:N96" si="30">N55+100</f>
        <v>300</v>
      </c>
      <c r="O56" s="6">
        <f>AVERAGE(M$54:$M56)</f>
        <v>3.9318362399296779E-2</v>
      </c>
      <c r="P56" s="153" t="s">
        <v>103</v>
      </c>
      <c r="Q56" s="156">
        <f>0.48*(125*($Q$55-$Q$67))</f>
        <v>866.52155627415777</v>
      </c>
      <c r="R56" s="117">
        <f t="shared" si="16"/>
        <v>19.166490000000003</v>
      </c>
      <c r="S56" s="73">
        <f t="shared" si="19"/>
        <v>10.488746424316865</v>
      </c>
      <c r="T56" s="78">
        <f t="shared" si="6"/>
        <v>19.166490000000003</v>
      </c>
      <c r="U56" s="78">
        <f t="shared" si="20"/>
        <v>5.293652393687764</v>
      </c>
      <c r="V56" s="84">
        <f t="shared" si="2"/>
        <v>19.166490000000003</v>
      </c>
      <c r="W56" s="12">
        <v>63.6</v>
      </c>
      <c r="X56">
        <v>19181.2</v>
      </c>
      <c r="Y56">
        <v>-62.06</v>
      </c>
      <c r="Z56">
        <v>-9999</v>
      </c>
      <c r="AA56">
        <v>243.22</v>
      </c>
      <c r="AB56">
        <v>22.84</v>
      </c>
      <c r="AC56" s="125">
        <f t="shared" si="7"/>
        <v>6.2677696465364239</v>
      </c>
      <c r="AD56" s="80">
        <f t="shared" si="17"/>
        <v>5.3999999999999968</v>
      </c>
      <c r="AE56" s="81">
        <f t="shared" si="8"/>
        <v>28.484586308791251</v>
      </c>
      <c r="AF56" s="81">
        <f t="shared" si="3"/>
        <v>5.3999999999999968</v>
      </c>
      <c r="AG56" s="80">
        <f t="shared" si="9"/>
        <v>4.9969746971188389</v>
      </c>
      <c r="AH56" s="80">
        <f t="shared" si="10"/>
        <v>178.53482546038879</v>
      </c>
      <c r="AI56" s="80">
        <f t="shared" si="11"/>
        <v>31.319886331111999</v>
      </c>
      <c r="AJ56" s="80"/>
      <c r="AL56" s="1">
        <f t="shared" si="14"/>
        <v>5.3999999999999968</v>
      </c>
      <c r="AM56" s="1">
        <f t="shared" si="18"/>
        <v>26.696080504723231</v>
      </c>
      <c r="AN56" s="1">
        <f t="shared" si="4"/>
        <v>9.9323063728786174</v>
      </c>
      <c r="AO56" s="1">
        <f t="shared" si="5"/>
        <v>-2.3037948168547588</v>
      </c>
      <c r="AP56" s="1">
        <f t="shared" si="15"/>
        <v>19.043089725259076</v>
      </c>
      <c r="AQ56" s="63">
        <f>AVERAGE(AP$2:$AP56)</f>
        <v>11.456240128311681</v>
      </c>
      <c r="AR56" s="66"/>
      <c r="AS56" s="1"/>
      <c r="AW56" s="1"/>
      <c r="AY56" s="1"/>
    </row>
    <row r="57" spans="1:51" ht="18" thickBot="1" x14ac:dyDescent="0.3">
      <c r="A57" s="101">
        <f t="shared" si="27"/>
        <v>300</v>
      </c>
      <c r="B57" s="30">
        <f t="shared" si="21"/>
        <v>0</v>
      </c>
      <c r="C57" s="33">
        <f>SUM(B$54:$B57)</f>
        <v>86.4933975752771</v>
      </c>
      <c r="D57" s="29">
        <f t="shared" si="28"/>
        <v>300</v>
      </c>
      <c r="E57" s="32">
        <f t="shared" si="25"/>
        <v>8.8311430222690461</v>
      </c>
      <c r="F57" s="28">
        <f t="shared" si="22"/>
        <v>-0.51772646315434268</v>
      </c>
      <c r="G57" s="28">
        <f t="shared" si="23"/>
        <v>9.8596618901372963</v>
      </c>
      <c r="H57" s="6">
        <f t="shared" si="24"/>
        <v>0</v>
      </c>
      <c r="I57" s="37">
        <f t="shared" si="29"/>
        <v>400</v>
      </c>
      <c r="J57" s="128">
        <f>AVERAGE(H$54:$H57)</f>
        <v>2.9228420693929114E-2</v>
      </c>
      <c r="K57" s="171">
        <f>VLOOKUP($Q$2,A98:B140,2)</f>
        <v>144.38709606719294</v>
      </c>
      <c r="L57" s="172"/>
      <c r="M57" s="31">
        <f t="shared" si="26"/>
        <v>0</v>
      </c>
      <c r="N57" s="29">
        <f t="shared" si="30"/>
        <v>400</v>
      </c>
      <c r="O57" s="6">
        <f>AVERAGE(M$54:$M57)</f>
        <v>2.9488771799472582E-2</v>
      </c>
      <c r="P57" s="70"/>
      <c r="Q57" s="69"/>
      <c r="R57" s="117">
        <f t="shared" si="16"/>
        <v>20.370600000000003</v>
      </c>
      <c r="S57" s="73">
        <f t="shared" si="19"/>
        <v>4.9911549576308847</v>
      </c>
      <c r="T57" s="78">
        <f t="shared" si="6"/>
        <v>20.370600000000003</v>
      </c>
      <c r="U57" s="78">
        <f t="shared" si="20"/>
        <v>2.2956747871117642</v>
      </c>
      <c r="V57" s="84">
        <f t="shared" si="2"/>
        <v>20.370600000000003</v>
      </c>
      <c r="W57" s="12">
        <v>52.3</v>
      </c>
      <c r="X57">
        <v>20385.310000000001</v>
      </c>
      <c r="Y57">
        <v>-63.66</v>
      </c>
      <c r="Z57">
        <v>-9999</v>
      </c>
      <c r="AA57">
        <v>245.3</v>
      </c>
      <c r="AB57">
        <v>10.68</v>
      </c>
      <c r="AC57" s="125">
        <f t="shared" si="7"/>
        <v>6.2677696465364239</v>
      </c>
      <c r="AD57" s="80">
        <f t="shared" si="17"/>
        <v>5.4999999999999964</v>
      </c>
      <c r="AE57" s="81">
        <f t="shared" si="8"/>
        <v>28.484586308791251</v>
      </c>
      <c r="AF57" s="81">
        <f t="shared" si="3"/>
        <v>5.4999999999999964</v>
      </c>
      <c r="AG57" s="80">
        <f t="shared" si="9"/>
        <v>4.9969746971188389</v>
      </c>
      <c r="AH57" s="80">
        <f t="shared" si="10"/>
        <v>178.53482546038879</v>
      </c>
      <c r="AI57" s="80">
        <f t="shared" si="11"/>
        <v>31.319886331111999</v>
      </c>
      <c r="AJ57" s="80"/>
      <c r="AL57" s="1">
        <f t="shared" si="14"/>
        <v>5.4999999999999964</v>
      </c>
      <c r="AM57" s="1">
        <f t="shared" si="18"/>
        <v>26.696080504723231</v>
      </c>
      <c r="AN57" s="1">
        <f t="shared" si="4"/>
        <v>9.9323063728786174</v>
      </c>
      <c r="AO57" s="1">
        <f t="shared" si="5"/>
        <v>-2.3037948168547588</v>
      </c>
      <c r="AP57" s="1">
        <f t="shared" si="15"/>
        <v>19.043089725259076</v>
      </c>
      <c r="AQ57" s="63">
        <f>AVERAGE(AP$2:$AP57)</f>
        <v>11.591719585400027</v>
      </c>
      <c r="AR57" s="66"/>
      <c r="AS57" s="1"/>
      <c r="AW57" s="1"/>
      <c r="AY57" s="1"/>
    </row>
    <row r="58" spans="1:51" ht="18" thickBot="1" x14ac:dyDescent="0.3">
      <c r="A58" s="101">
        <f t="shared" si="27"/>
        <v>400</v>
      </c>
      <c r="B58" s="30">
        <f t="shared" si="21"/>
        <v>16.075151656119857</v>
      </c>
      <c r="C58" s="33">
        <f>SUM(B$54:$B58)</f>
        <v>102.56854923139696</v>
      </c>
      <c r="D58" s="29">
        <f t="shared" si="28"/>
        <v>400</v>
      </c>
      <c r="E58" s="32">
        <f t="shared" si="25"/>
        <v>9.0368467958426955</v>
      </c>
      <c r="F58" s="28">
        <f t="shared" si="22"/>
        <v>-0.51772646315434268</v>
      </c>
      <c r="G58" s="28">
        <f t="shared" si="23"/>
        <v>9.8596618901372963</v>
      </c>
      <c r="H58" s="6">
        <f t="shared" si="24"/>
        <v>1.7137894722983407E-2</v>
      </c>
      <c r="I58" s="37">
        <f t="shared" si="29"/>
        <v>500</v>
      </c>
      <c r="J58" s="128">
        <f>AVERAGE(H$54:$H58)</f>
        <v>2.6810315499739973E-2</v>
      </c>
      <c r="K58" s="169"/>
      <c r="L58" s="170"/>
      <c r="M58" s="31">
        <f t="shared" si="26"/>
        <v>1.7286295862826605E-2</v>
      </c>
      <c r="N58" s="29">
        <f t="shared" si="30"/>
        <v>500</v>
      </c>
      <c r="O58" s="6">
        <f>AVERAGE(M$54:$M58)</f>
        <v>2.7048276612143384E-2</v>
      </c>
      <c r="P58" s="157" t="s">
        <v>104</v>
      </c>
      <c r="Q58" s="74">
        <f>AVERAGE(Y2:Y26)</f>
        <v>1.2559999999999982</v>
      </c>
      <c r="R58" s="117">
        <f t="shared" si="16"/>
        <v>21.867930000000001</v>
      </c>
      <c r="S58" s="73">
        <f t="shared" si="19"/>
        <v>8.19489771822089</v>
      </c>
      <c r="T58" s="78">
        <f t="shared" si="6"/>
        <v>21.867930000000001</v>
      </c>
      <c r="U58" s="78">
        <f t="shared" si="20"/>
        <v>4.3977492779604921</v>
      </c>
      <c r="V58" s="84">
        <f t="shared" si="2"/>
        <v>21.867930000000001</v>
      </c>
      <c r="W58" s="12">
        <v>41</v>
      </c>
      <c r="X58">
        <v>21882.639999999999</v>
      </c>
      <c r="Y58">
        <v>-62.36</v>
      </c>
      <c r="Z58">
        <v>-9999</v>
      </c>
      <c r="AA58">
        <v>241.78</v>
      </c>
      <c r="AB58">
        <v>18.079999999999998</v>
      </c>
      <c r="AC58" s="125">
        <f t="shared" si="7"/>
        <v>6.2677696465364239</v>
      </c>
      <c r="AD58" s="80">
        <f t="shared" si="17"/>
        <v>5.5999999999999961</v>
      </c>
      <c r="AE58" s="81">
        <f t="shared" si="8"/>
        <v>28.484586308791251</v>
      </c>
      <c r="AF58" s="81">
        <f t="shared" si="3"/>
        <v>5.5999999999999961</v>
      </c>
      <c r="AG58" s="80">
        <f t="shared" si="9"/>
        <v>4.9969746971188389</v>
      </c>
      <c r="AH58" s="80">
        <f t="shared" si="10"/>
        <v>178.53482546038879</v>
      </c>
      <c r="AI58" s="80">
        <f t="shared" si="11"/>
        <v>31.319886331111999</v>
      </c>
      <c r="AJ58" s="80"/>
      <c r="AL58" s="1">
        <f t="shared" si="14"/>
        <v>5.5999999999999961</v>
      </c>
      <c r="AM58" s="1">
        <f t="shared" si="18"/>
        <v>26.696080504723231</v>
      </c>
      <c r="AN58" s="1">
        <f t="shared" si="4"/>
        <v>9.9323063728786174</v>
      </c>
      <c r="AO58" s="1">
        <f t="shared" si="5"/>
        <v>-2.3037948168547588</v>
      </c>
      <c r="AP58" s="1">
        <f t="shared" si="15"/>
        <v>19.043089725259076</v>
      </c>
      <c r="AQ58" s="63">
        <f>AVERAGE(AP$2:$AP58)</f>
        <v>11.722445377327377</v>
      </c>
      <c r="AR58" s="66"/>
      <c r="AS58" s="1"/>
      <c r="AW58" s="1"/>
      <c r="AY58" s="1"/>
    </row>
    <row r="59" spans="1:51" ht="18" thickBot="1" x14ac:dyDescent="0.3">
      <c r="A59" s="101">
        <f t="shared" si="27"/>
        <v>500</v>
      </c>
      <c r="B59" s="30">
        <f t="shared" si="21"/>
        <v>0</v>
      </c>
      <c r="C59" s="33">
        <f>SUM(B$54:$B59)</f>
        <v>102.56854923139696</v>
      </c>
      <c r="D59" s="29">
        <f t="shared" si="28"/>
        <v>500</v>
      </c>
      <c r="E59" s="32">
        <f t="shared" si="25"/>
        <v>9.1019200222553458</v>
      </c>
      <c r="F59" s="28">
        <f t="shared" si="22"/>
        <v>-0.34390818303536019</v>
      </c>
      <c r="G59" s="28">
        <f t="shared" si="23"/>
        <v>9.4272861543185957</v>
      </c>
      <c r="H59" s="6">
        <f t="shared" si="24"/>
        <v>0</v>
      </c>
      <c r="I59" s="37">
        <f t="shared" si="29"/>
        <v>600</v>
      </c>
      <c r="J59" s="128">
        <f>AVERAGE(H$54:$H59)</f>
        <v>2.2341929583116645E-2</v>
      </c>
      <c r="K59" s="173"/>
      <c r="L59" s="174"/>
      <c r="M59" s="31">
        <f t="shared" si="26"/>
        <v>0</v>
      </c>
      <c r="N59" s="29">
        <f t="shared" si="30"/>
        <v>600</v>
      </c>
      <c r="O59" s="6">
        <f>AVERAGE(M$54:$M59)</f>
        <v>2.2540230510119486E-2</v>
      </c>
      <c r="P59" s="85" t="s">
        <v>105</v>
      </c>
      <c r="Q59" s="84">
        <f>AVERAGE(Y2:Y21)</f>
        <v>9.7899999999999974</v>
      </c>
      <c r="R59" s="117">
        <f t="shared" si="16"/>
        <v>23.84873</v>
      </c>
      <c r="S59" s="73">
        <f t="shared" si="19"/>
        <v>9.9851471016603597</v>
      </c>
      <c r="T59" s="78">
        <f t="shared" si="6"/>
        <v>23.84873</v>
      </c>
      <c r="U59" s="78">
        <f t="shared" si="20"/>
        <v>-0.29984082795330774</v>
      </c>
      <c r="V59" s="84">
        <f t="shared" si="2"/>
        <v>23.84873</v>
      </c>
      <c r="W59" s="12">
        <v>29.8</v>
      </c>
      <c r="X59">
        <v>23863.439999999999</v>
      </c>
      <c r="Y59">
        <v>-59.76</v>
      </c>
      <c r="Z59">
        <v>-9999</v>
      </c>
      <c r="AA59">
        <v>271.72000000000003</v>
      </c>
      <c r="AB59">
        <v>19.420000000000002</v>
      </c>
      <c r="AC59" s="125">
        <f t="shared" si="7"/>
        <v>6.2677696465364239</v>
      </c>
      <c r="AD59" s="80">
        <f t="shared" si="17"/>
        <v>5.6999999999999957</v>
      </c>
      <c r="AE59" s="81">
        <f t="shared" si="8"/>
        <v>28.484586308791251</v>
      </c>
      <c r="AF59" s="81">
        <f t="shared" si="3"/>
        <v>5.6999999999999957</v>
      </c>
      <c r="AG59" s="80">
        <f t="shared" si="9"/>
        <v>4.9969746971188389</v>
      </c>
      <c r="AH59" s="80">
        <f t="shared" si="10"/>
        <v>178.53482546038879</v>
      </c>
      <c r="AI59" s="80">
        <f t="shared" si="11"/>
        <v>31.319886331111999</v>
      </c>
      <c r="AJ59" s="80"/>
      <c r="AL59" s="1">
        <f t="shared" si="14"/>
        <v>5.6999999999999957</v>
      </c>
      <c r="AM59" s="1">
        <f t="shared" si="18"/>
        <v>26.696080504723231</v>
      </c>
      <c r="AN59" s="1">
        <f t="shared" si="4"/>
        <v>9.9323063728786174</v>
      </c>
      <c r="AO59" s="1">
        <f t="shared" si="5"/>
        <v>-2.3037948168547588</v>
      </c>
      <c r="AP59" s="1">
        <f t="shared" si="15"/>
        <v>19.043089725259076</v>
      </c>
      <c r="AQ59" s="63">
        <f>AVERAGE(AP$2:$AP59)</f>
        <v>11.848663383326199</v>
      </c>
      <c r="AR59" s="66"/>
      <c r="AS59" s="1"/>
      <c r="AW59" s="1"/>
      <c r="AY59" s="1"/>
    </row>
    <row r="60" spans="1:51" ht="18" thickBot="1" x14ac:dyDescent="0.3">
      <c r="A60" s="101">
        <f t="shared" si="27"/>
        <v>600</v>
      </c>
      <c r="B60" s="30">
        <f t="shared" si="21"/>
        <v>20.080940751980354</v>
      </c>
      <c r="C60" s="33">
        <f>SUM(B$54:$B60)</f>
        <v>122.64948998337731</v>
      </c>
      <c r="D60" s="29">
        <f t="shared" si="28"/>
        <v>600</v>
      </c>
      <c r="E60" s="32">
        <f t="shared" si="25"/>
        <v>9.1484008982643825</v>
      </c>
      <c r="F60" s="28">
        <f t="shared" si="22"/>
        <v>-0.34390818303536019</v>
      </c>
      <c r="G60" s="28">
        <f t="shared" si="23"/>
        <v>9.4272861543185957</v>
      </c>
      <c r="H60" s="6">
        <f t="shared" si="24"/>
        <v>2.2995163658681261E-2</v>
      </c>
      <c r="I60" s="37">
        <f t="shared" si="29"/>
        <v>700</v>
      </c>
      <c r="J60" s="128">
        <f>AVERAGE(H$54:$H60)</f>
        <v>2.2435248736768731E-2</v>
      </c>
      <c r="K60" s="175"/>
      <c r="L60" s="176"/>
      <c r="M60" s="31">
        <f t="shared" si="26"/>
        <v>2.3003353810401164E-2</v>
      </c>
      <c r="N60" s="29">
        <f t="shared" si="30"/>
        <v>700</v>
      </c>
      <c r="O60" s="6">
        <f>AVERAGE(M$54:$M60)</f>
        <v>2.2606390981588297E-2</v>
      </c>
      <c r="P60" s="85" t="s">
        <v>106</v>
      </c>
      <c r="Q60" s="158">
        <f>AVERAGE(Y2:Y16)</f>
        <v>16.779999999999998</v>
      </c>
      <c r="R60" s="117">
        <f t="shared" si="16"/>
        <v>26.79007</v>
      </c>
      <c r="S60" s="73">
        <f t="shared" si="19"/>
        <v>11.890668711601256</v>
      </c>
      <c r="T60" s="78">
        <f t="shared" si="6"/>
        <v>26.79007</v>
      </c>
      <c r="U60" s="78">
        <f t="shared" si="20"/>
        <v>3.5967990781452994</v>
      </c>
      <c r="V60" s="84">
        <f t="shared" si="2"/>
        <v>26.79007</v>
      </c>
      <c r="W60" s="12">
        <v>18.7</v>
      </c>
      <c r="X60">
        <v>26804.78</v>
      </c>
      <c r="Y60">
        <v>-55.26</v>
      </c>
      <c r="Z60">
        <v>-9999</v>
      </c>
      <c r="AA60">
        <v>253.17</v>
      </c>
      <c r="AB60">
        <v>24.15</v>
      </c>
      <c r="AC60" s="125">
        <f t="shared" si="7"/>
        <v>6.2677696465364239</v>
      </c>
      <c r="AD60" s="80">
        <f t="shared" si="17"/>
        <v>5.7999999999999954</v>
      </c>
      <c r="AE60" s="81">
        <f t="shared" si="8"/>
        <v>28.484586308791251</v>
      </c>
      <c r="AF60" s="81">
        <f t="shared" si="3"/>
        <v>5.7999999999999954</v>
      </c>
      <c r="AG60" s="80">
        <f t="shared" si="9"/>
        <v>4.9969746971188389</v>
      </c>
      <c r="AH60" s="80">
        <f t="shared" si="10"/>
        <v>178.53482546038879</v>
      </c>
      <c r="AI60" s="80">
        <f t="shared" si="11"/>
        <v>31.319886331111999</v>
      </c>
      <c r="AJ60" s="80"/>
      <c r="AL60" s="1">
        <f t="shared" si="14"/>
        <v>5.7999999999999954</v>
      </c>
      <c r="AM60" s="1">
        <f t="shared" si="18"/>
        <v>26.696080504723231</v>
      </c>
      <c r="AN60" s="1">
        <f t="shared" si="4"/>
        <v>9.9323063728786174</v>
      </c>
      <c r="AO60" s="1">
        <f t="shared" si="5"/>
        <v>-2.3037948168547588</v>
      </c>
      <c r="AP60" s="1">
        <f t="shared" si="15"/>
        <v>19.043089725259076</v>
      </c>
      <c r="AQ60" s="63">
        <f>AVERAGE(AP$2:$AP60)</f>
        <v>11.970602812850485</v>
      </c>
      <c r="AR60" s="66"/>
      <c r="AS60" s="1"/>
      <c r="AW60" s="1"/>
      <c r="AY60" s="1"/>
    </row>
    <row r="61" spans="1:51" ht="18" thickBot="1" x14ac:dyDescent="0.3">
      <c r="A61" s="101">
        <f t="shared" si="27"/>
        <v>700</v>
      </c>
      <c r="B61" s="30">
        <f t="shared" si="21"/>
        <v>0</v>
      </c>
      <c r="C61" s="33">
        <f>SUM(B$54:$B61)</f>
        <v>122.64948998337731</v>
      </c>
      <c r="D61" s="29">
        <f t="shared" si="28"/>
        <v>700</v>
      </c>
      <c r="E61" s="32">
        <f t="shared" si="25"/>
        <v>9.1073358590433582</v>
      </c>
      <c r="F61" s="28">
        <f t="shared" si="22"/>
        <v>-9.99868330066747E-2</v>
      </c>
      <c r="G61" s="28">
        <f t="shared" si="23"/>
        <v>8.8198805844961843</v>
      </c>
      <c r="H61" s="6">
        <f t="shared" si="24"/>
        <v>0</v>
      </c>
      <c r="I61" s="37">
        <f t="shared" si="29"/>
        <v>800</v>
      </c>
      <c r="J61" s="128">
        <f>AVERAGE(H$54:$H61)</f>
        <v>1.9630842644672641E-2</v>
      </c>
      <c r="K61" s="173"/>
      <c r="L61" s="174"/>
      <c r="M61" s="31">
        <f t="shared" si="26"/>
        <v>0</v>
      </c>
      <c r="N61" s="29">
        <f t="shared" si="30"/>
        <v>800</v>
      </c>
      <c r="O61" s="6">
        <f>AVERAGE(M$54:$M61)</f>
        <v>1.9780592108889761E-2</v>
      </c>
      <c r="P61" s="85" t="s">
        <v>107</v>
      </c>
      <c r="Q61" s="84">
        <f>AVERAGE(Y2:Y8)</f>
        <v>21.58285714285714</v>
      </c>
      <c r="R61" s="117">
        <f t="shared" si="16"/>
        <v>32.693379999999998</v>
      </c>
      <c r="S61" s="73">
        <f t="shared" si="19"/>
        <v>35.569499365566706</v>
      </c>
      <c r="T61" s="78">
        <f t="shared" si="6"/>
        <v>32.693379999999998</v>
      </c>
      <c r="U61" s="78">
        <f t="shared" si="20"/>
        <v>3.7950040601197923</v>
      </c>
      <c r="V61" s="84">
        <f t="shared" si="2"/>
        <v>32.693379999999998</v>
      </c>
      <c r="W61" s="12">
        <v>7.6</v>
      </c>
      <c r="X61">
        <v>32708.09</v>
      </c>
      <c r="Y61">
        <v>-43.06</v>
      </c>
      <c r="Z61">
        <v>-9999</v>
      </c>
      <c r="AA61">
        <v>263.91000000000003</v>
      </c>
      <c r="AB61">
        <v>69.540000000000006</v>
      </c>
      <c r="AC61" s="125">
        <f t="shared" si="7"/>
        <v>6.2677696465364239</v>
      </c>
      <c r="AD61" s="80">
        <f t="shared" si="17"/>
        <v>5.899999999999995</v>
      </c>
      <c r="AE61" s="81">
        <f t="shared" si="8"/>
        <v>28.484586308791251</v>
      </c>
      <c r="AF61" s="81">
        <f t="shared" si="3"/>
        <v>5.899999999999995</v>
      </c>
      <c r="AG61" s="80">
        <f t="shared" si="9"/>
        <v>4.9969746971188389</v>
      </c>
      <c r="AH61" s="80">
        <f t="shared" si="10"/>
        <v>178.53482546038879</v>
      </c>
      <c r="AI61" s="80">
        <f t="shared" si="11"/>
        <v>31.319886331111999</v>
      </c>
      <c r="AL61" s="1">
        <f t="shared" si="14"/>
        <v>5.899999999999995</v>
      </c>
      <c r="AM61" s="1">
        <f t="shared" si="18"/>
        <v>26.696080504723231</v>
      </c>
      <c r="AN61" s="1">
        <f t="shared" si="4"/>
        <v>9.9323063728786174</v>
      </c>
      <c r="AO61" s="1">
        <f t="shared" si="5"/>
        <v>-2.3037948168547588</v>
      </c>
      <c r="AP61" s="1">
        <f t="shared" si="15"/>
        <v>19.043089725259076</v>
      </c>
      <c r="AQ61" s="63">
        <f>AVERAGE(AP$2:$AP61)</f>
        <v>12.088477594723962</v>
      </c>
      <c r="AR61" s="66"/>
      <c r="AW61" s="1"/>
      <c r="AY61" s="1"/>
    </row>
    <row r="62" spans="1:51" ht="18" thickBot="1" x14ac:dyDescent="0.3">
      <c r="A62" s="101">
        <f t="shared" si="27"/>
        <v>800</v>
      </c>
      <c r="B62" s="30">
        <f t="shared" si="21"/>
        <v>21.737606083815628</v>
      </c>
      <c r="C62" s="33">
        <f>SUM(B$54:$B62)</f>
        <v>144.38709606719294</v>
      </c>
      <c r="D62" s="29">
        <f t="shared" si="28"/>
        <v>800</v>
      </c>
      <c r="E62" s="32">
        <f t="shared" si="25"/>
        <v>9.075396384093672</v>
      </c>
      <c r="F62" s="28">
        <f t="shared" si="22"/>
        <v>-9.99868330066747E-2</v>
      </c>
      <c r="G62" s="28">
        <f t="shared" si="23"/>
        <v>8.8198805844961843</v>
      </c>
      <c r="H62" s="6">
        <f t="shared" si="24"/>
        <v>2.2682253013793809E-2</v>
      </c>
      <c r="I62" s="37">
        <f t="shared" si="29"/>
        <v>900</v>
      </c>
      <c r="J62" s="128">
        <f>AVERAGE(H$54:$H62)</f>
        <v>1.996988824124166E-2</v>
      </c>
      <c r="K62" s="175"/>
      <c r="L62" s="176"/>
      <c r="M62" s="31">
        <f t="shared" si="26"/>
        <v>2.5255507071187479E-2</v>
      </c>
      <c r="N62" s="29">
        <f t="shared" si="30"/>
        <v>900</v>
      </c>
      <c r="O62" s="6">
        <f>AVERAGE(M$54:$M62)</f>
        <v>2.038891599358951E-2</v>
      </c>
      <c r="P62" s="85" t="s">
        <v>108</v>
      </c>
      <c r="Q62" s="159">
        <f>AVERAGE(Q58,Q59,Q60,Q61)</f>
        <v>12.352214285714282</v>
      </c>
      <c r="R62" s="117">
        <f t="shared" si="16"/>
        <v>-1.4710000000000001E-2</v>
      </c>
      <c r="S62" s="73">
        <f t="shared" si="19"/>
        <v>0</v>
      </c>
      <c r="T62" s="78">
        <f t="shared" si="6"/>
        <v>-1.4710000000000001E-2</v>
      </c>
      <c r="U62" s="78">
        <f t="shared" si="20"/>
        <v>0</v>
      </c>
      <c r="V62" s="84">
        <f t="shared" si="2"/>
        <v>-1.4710000000000001E-2</v>
      </c>
      <c r="W62" s="12"/>
      <c r="AC62" s="125">
        <f t="shared" si="7"/>
        <v>6.1843550552511708</v>
      </c>
      <c r="AD62" s="80">
        <f t="shared" si="17"/>
        <v>5.9999999999999947</v>
      </c>
      <c r="AE62" s="81">
        <f t="shared" si="8"/>
        <v>26.885359868190008</v>
      </c>
      <c r="AF62" s="81">
        <f t="shared" si="3"/>
        <v>5.9999999999999947</v>
      </c>
      <c r="AG62" s="80">
        <f t="shared" si="9"/>
        <v>9.6952299097037464</v>
      </c>
      <c r="AH62" s="80">
        <f t="shared" si="10"/>
        <v>166.26861121308784</v>
      </c>
      <c r="AI62" s="80">
        <f t="shared" si="11"/>
        <v>59.958744103898717</v>
      </c>
      <c r="AL62" s="1">
        <f t="shared" si="14"/>
        <v>5.9999999999999947</v>
      </c>
      <c r="AM62" s="1">
        <f t="shared" si="18"/>
        <v>24.590723194315412</v>
      </c>
      <c r="AN62" s="1">
        <f t="shared" si="4"/>
        <v>8.333079932277375</v>
      </c>
      <c r="AO62" s="1">
        <f t="shared" si="5"/>
        <v>2.3944603957301487</v>
      </c>
      <c r="AP62" s="1">
        <f t="shared" si="15"/>
        <v>16.096850577113017</v>
      </c>
      <c r="AQ62" s="63">
        <f>AVERAGE(AP$2:$AP62)</f>
        <v>12.154188627222144</v>
      </c>
      <c r="AR62" s="66"/>
      <c r="AW62" s="1"/>
      <c r="AY62" s="1"/>
    </row>
    <row r="63" spans="1:51" ht="18" thickBot="1" x14ac:dyDescent="0.3">
      <c r="A63" s="101">
        <f t="shared" si="27"/>
        <v>900</v>
      </c>
      <c r="B63" s="30">
        <f t="shared" si="21"/>
        <v>0</v>
      </c>
      <c r="C63" s="33">
        <f>SUM(B$54:$B63)</f>
        <v>144.38709606719294</v>
      </c>
      <c r="D63" s="29">
        <f t="shared" si="28"/>
        <v>900</v>
      </c>
      <c r="E63" s="32">
        <f t="shared" si="25"/>
        <v>9.1368556928606743</v>
      </c>
      <c r="F63" s="28">
        <f t="shared" si="22"/>
        <v>0.15718505040482256</v>
      </c>
      <c r="G63" s="28">
        <f t="shared" si="23"/>
        <v>9.6899894717636776</v>
      </c>
      <c r="H63" s="6">
        <f t="shared" si="24"/>
        <v>0</v>
      </c>
      <c r="I63" s="37">
        <f t="shared" si="29"/>
        <v>1000</v>
      </c>
      <c r="J63" s="128">
        <f>AVERAGE(H$54:$H63)</f>
        <v>1.7972899417117494E-2</v>
      </c>
      <c r="K63" s="13"/>
      <c r="L63" s="13"/>
      <c r="M63" s="31">
        <f t="shared" si="26"/>
        <v>0</v>
      </c>
      <c r="N63" s="29">
        <f t="shared" si="30"/>
        <v>1000</v>
      </c>
      <c r="O63" s="6">
        <f>AVERAGE(M$54:$M63)</f>
        <v>1.8350024394230557E-2</v>
      </c>
      <c r="P63" s="85" t="s">
        <v>109</v>
      </c>
      <c r="Q63" s="159">
        <f>AVERAGE(Z2:Z26)</f>
        <v>-12.095599999999999</v>
      </c>
      <c r="R63" s="117">
        <f t="shared" si="16"/>
        <v>-1.4710000000000001E-2</v>
      </c>
      <c r="S63" s="73">
        <f t="shared" si="19"/>
        <v>0</v>
      </c>
      <c r="T63" s="78">
        <f t="shared" si="6"/>
        <v>-1.4710000000000001E-2</v>
      </c>
      <c r="U63" s="78">
        <f t="shared" si="20"/>
        <v>0</v>
      </c>
      <c r="V63" s="84">
        <f t="shared" si="2"/>
        <v>-1.4710000000000001E-2</v>
      </c>
      <c r="W63" s="12"/>
      <c r="AC63" s="125">
        <f t="shared" si="7"/>
        <v>6.1843550552511708</v>
      </c>
      <c r="AD63" s="80">
        <f t="shared" si="17"/>
        <v>6.0999999999999943</v>
      </c>
      <c r="AE63" s="81">
        <f t="shared" si="8"/>
        <v>26.885359868190008</v>
      </c>
      <c r="AF63" s="81">
        <f t="shared" si="3"/>
        <v>6.0999999999999943</v>
      </c>
      <c r="AG63" s="80">
        <f t="shared" si="9"/>
        <v>9.6952299097037464</v>
      </c>
      <c r="AH63" s="80">
        <f t="shared" si="10"/>
        <v>166.26861121308784</v>
      </c>
      <c r="AI63" s="80">
        <f t="shared" si="11"/>
        <v>59.958744103898717</v>
      </c>
      <c r="AL63" s="1">
        <f t="shared" si="14"/>
        <v>6.0999999999999943</v>
      </c>
      <c r="AM63" s="1">
        <f t="shared" si="18"/>
        <v>24.590723194315412</v>
      </c>
      <c r="AN63" s="1">
        <f t="shared" si="4"/>
        <v>8.333079932277375</v>
      </c>
      <c r="AO63" s="1">
        <f t="shared" si="5"/>
        <v>2.3944603957301487</v>
      </c>
      <c r="AP63" s="1">
        <f t="shared" si="15"/>
        <v>16.096850577113017</v>
      </c>
      <c r="AQ63" s="63">
        <f>AVERAGE(AP$2:$AP63)</f>
        <v>12.217779948994577</v>
      </c>
      <c r="AR63" s="66"/>
      <c r="AW63" s="1"/>
      <c r="AY63" s="1"/>
    </row>
    <row r="64" spans="1:51" ht="18" thickBot="1" x14ac:dyDescent="0.3">
      <c r="A64" s="101">
        <f t="shared" si="27"/>
        <v>1000</v>
      </c>
      <c r="B64" s="30">
        <f t="shared" si="21"/>
        <v>0</v>
      </c>
      <c r="C64" s="33">
        <f>SUM(B$54:$B64)</f>
        <v>144.38709606719294</v>
      </c>
      <c r="D64" s="29">
        <f t="shared" si="28"/>
        <v>1000</v>
      </c>
      <c r="E64" s="32">
        <f t="shared" si="25"/>
        <v>9.1871405818518568</v>
      </c>
      <c r="F64" s="28">
        <f t="shared" si="22"/>
        <v>0.15718505040482256</v>
      </c>
      <c r="G64" s="28">
        <f t="shared" si="23"/>
        <v>9.6899894717636776</v>
      </c>
      <c r="H64" s="6">
        <f t="shared" si="24"/>
        <v>0</v>
      </c>
      <c r="I64" s="37">
        <f t="shared" si="29"/>
        <v>1100</v>
      </c>
      <c r="J64" s="128">
        <f>AVERAGE(H$54:$H64)</f>
        <v>1.6338999470106811E-2</v>
      </c>
      <c r="K64" s="13"/>
      <c r="L64" s="13"/>
      <c r="M64" s="31">
        <f t="shared" si="26"/>
        <v>0</v>
      </c>
      <c r="N64" s="29">
        <f t="shared" si="30"/>
        <v>1100</v>
      </c>
      <c r="O64" s="6">
        <f>AVERAGE(M$54:$M64)</f>
        <v>1.6681840358391417E-2</v>
      </c>
      <c r="P64" s="85" t="s">
        <v>110</v>
      </c>
      <c r="Q64" s="159">
        <f>AVERAGE(Z2:Z21)</f>
        <v>-3.2454999999999998</v>
      </c>
      <c r="R64" s="117">
        <f t="shared" si="16"/>
        <v>-1.4710000000000001E-2</v>
      </c>
      <c r="S64" s="73">
        <f t="shared" si="19"/>
        <v>0</v>
      </c>
      <c r="T64" s="78">
        <f t="shared" si="6"/>
        <v>-1.4710000000000001E-2</v>
      </c>
      <c r="U64" s="78">
        <f t="shared" si="20"/>
        <v>0</v>
      </c>
      <c r="V64" s="84">
        <f t="shared" si="2"/>
        <v>-1.4710000000000001E-2</v>
      </c>
      <c r="W64" s="12"/>
      <c r="AC64" s="125">
        <f t="shared" si="7"/>
        <v>6.1843550552511708</v>
      </c>
      <c r="AD64" s="80">
        <f t="shared" si="17"/>
        <v>6.199999999999994</v>
      </c>
      <c r="AE64" s="81">
        <f t="shared" si="8"/>
        <v>26.885359868190008</v>
      </c>
      <c r="AF64" s="81">
        <f t="shared" si="3"/>
        <v>6.199999999999994</v>
      </c>
      <c r="AG64" s="80">
        <f t="shared" si="9"/>
        <v>9.6952299097037464</v>
      </c>
      <c r="AH64" s="80">
        <f t="shared" si="10"/>
        <v>166.26861121308784</v>
      </c>
      <c r="AI64" s="80">
        <f t="shared" si="11"/>
        <v>59.958744103898717</v>
      </c>
      <c r="AL64" s="1">
        <f t="shared" si="14"/>
        <v>6.199999999999994</v>
      </c>
      <c r="AM64" s="1">
        <f t="shared" si="18"/>
        <v>24.590723194315412</v>
      </c>
      <c r="AN64" s="1">
        <f t="shared" si="4"/>
        <v>8.333079932277375</v>
      </c>
      <c r="AO64" s="1">
        <f t="shared" si="5"/>
        <v>2.3944603957301487</v>
      </c>
      <c r="AP64" s="1">
        <f t="shared" si="15"/>
        <v>16.096850577113017</v>
      </c>
      <c r="AQ64" s="63">
        <f>AVERAGE(AP$2:$AP64)</f>
        <v>12.279352498647251</v>
      </c>
      <c r="AR64" s="66"/>
      <c r="AW64" s="1"/>
      <c r="AY64" s="1"/>
    </row>
    <row r="65" spans="1:51" ht="18" thickBot="1" x14ac:dyDescent="0.3">
      <c r="A65" s="101">
        <f t="shared" si="27"/>
        <v>1100</v>
      </c>
      <c r="B65" s="30">
        <f t="shared" si="21"/>
        <v>20.416377431531011</v>
      </c>
      <c r="C65" s="33">
        <f>SUM(B$54:$B65)</f>
        <v>164.80347349872395</v>
      </c>
      <c r="D65" s="29">
        <f t="shared" si="28"/>
        <v>1100</v>
      </c>
      <c r="E65" s="32">
        <f t="shared" si="25"/>
        <v>9.2290446560111743</v>
      </c>
      <c r="F65" s="28">
        <f t="shared" si="22"/>
        <v>0.15718505040482256</v>
      </c>
      <c r="G65" s="28">
        <f t="shared" si="23"/>
        <v>9.6899894717636776</v>
      </c>
      <c r="H65" s="6">
        <f t="shared" si="24"/>
        <v>1.9310214890129386E-2</v>
      </c>
      <c r="I65" s="37">
        <f t="shared" si="29"/>
        <v>1200</v>
      </c>
      <c r="J65" s="128">
        <f>AVERAGE(H$54:$H65)</f>
        <v>1.6586600755108694E-2</v>
      </c>
      <c r="K65" s="13"/>
      <c r="L65" s="13"/>
      <c r="M65" s="31">
        <f t="shared" si="26"/>
        <v>2.2339641056605353E-2</v>
      </c>
      <c r="N65" s="29">
        <f t="shared" si="30"/>
        <v>1200</v>
      </c>
      <c r="O65" s="6">
        <f>AVERAGE(M$54:$M65)</f>
        <v>1.7153323749909244E-2</v>
      </c>
      <c r="P65" s="85" t="s">
        <v>111</v>
      </c>
      <c r="Q65" s="159">
        <f>AVERAGE(Z2:Z16)</f>
        <v>10.379333333333335</v>
      </c>
      <c r="R65" s="117">
        <f t="shared" si="16"/>
        <v>-1.4710000000000001E-2</v>
      </c>
      <c r="S65" s="73">
        <f t="shared" si="19"/>
        <v>0</v>
      </c>
      <c r="T65" s="78">
        <f t="shared" si="6"/>
        <v>-1.4710000000000001E-2</v>
      </c>
      <c r="U65" s="78">
        <f t="shared" si="20"/>
        <v>0</v>
      </c>
      <c r="V65" s="84">
        <f t="shared" si="2"/>
        <v>-1.4710000000000001E-2</v>
      </c>
      <c r="W65" s="12"/>
      <c r="AC65" s="125">
        <f t="shared" si="7"/>
        <v>6.1843550552511708</v>
      </c>
      <c r="AD65" s="80">
        <f t="shared" si="17"/>
        <v>6.2999999999999936</v>
      </c>
      <c r="AE65" s="81">
        <f t="shared" si="8"/>
        <v>26.885359868190008</v>
      </c>
      <c r="AF65" s="81">
        <f t="shared" si="3"/>
        <v>6.2999999999999936</v>
      </c>
      <c r="AG65" s="80">
        <f t="shared" si="9"/>
        <v>9.6952299097037464</v>
      </c>
      <c r="AH65" s="80">
        <f t="shared" si="10"/>
        <v>166.26861121308784</v>
      </c>
      <c r="AI65" s="80">
        <f t="shared" si="11"/>
        <v>59.958744103898717</v>
      </c>
      <c r="AL65" s="1">
        <f t="shared" si="14"/>
        <v>6.2999999999999936</v>
      </c>
      <c r="AM65" s="1">
        <f t="shared" si="18"/>
        <v>24.590723194315412</v>
      </c>
      <c r="AN65" s="1">
        <f t="shared" si="4"/>
        <v>8.333079932277375</v>
      </c>
      <c r="AO65" s="1">
        <f t="shared" si="5"/>
        <v>2.3944603957301487</v>
      </c>
      <c r="AP65" s="1">
        <f t="shared" si="15"/>
        <v>16.096850577113017</v>
      </c>
      <c r="AQ65" s="63">
        <f>AVERAGE(AP$2:$AP65)</f>
        <v>12.33900090612328</v>
      </c>
      <c r="AR65" s="66"/>
      <c r="AW65" s="1"/>
      <c r="AY65" s="1"/>
    </row>
    <row r="66" spans="1:51" ht="18" thickBot="1" x14ac:dyDescent="0.3">
      <c r="A66" s="101">
        <f t="shared" si="27"/>
        <v>1200</v>
      </c>
      <c r="B66" s="30">
        <f t="shared" si="21"/>
        <v>0</v>
      </c>
      <c r="C66" s="33">
        <f>SUM(B$54:$B66)</f>
        <v>164.80347349872395</v>
      </c>
      <c r="D66" s="29">
        <f t="shared" si="28"/>
        <v>1200</v>
      </c>
      <c r="E66" s="32">
        <f t="shared" si="25"/>
        <v>9.337821424397994</v>
      </c>
      <c r="F66" s="28">
        <f t="shared" si="22"/>
        <v>0.35646509035118928</v>
      </c>
      <c r="G66" s="28">
        <f t="shared" si="23"/>
        <v>10.643142645039823</v>
      </c>
      <c r="H66" s="6">
        <f t="shared" si="24"/>
        <v>0</v>
      </c>
      <c r="I66" s="37">
        <f t="shared" si="29"/>
        <v>1300</v>
      </c>
      <c r="J66" s="128">
        <f>AVERAGE(H$54:$H66)</f>
        <v>1.5310708389331101E-2</v>
      </c>
      <c r="K66" s="13"/>
      <c r="L66" s="13"/>
      <c r="M66" s="31">
        <f t="shared" si="26"/>
        <v>0</v>
      </c>
      <c r="N66" s="29">
        <f t="shared" si="30"/>
        <v>1300</v>
      </c>
      <c r="O66" s="6">
        <f>AVERAGE(M$54:$M66)</f>
        <v>1.5833837307608532E-2</v>
      </c>
      <c r="P66" s="85" t="s">
        <v>112</v>
      </c>
      <c r="Q66" s="159">
        <f>AVERAGE(Z2:Z8)</f>
        <v>20.382857142857144</v>
      </c>
      <c r="R66" s="117">
        <f t="shared" si="16"/>
        <v>-1.4710000000000001E-2</v>
      </c>
      <c r="S66" s="73">
        <f t="shared" ref="S66:S94" si="31">SIN((360-AA66)*PI()/180)*AB66*0.5144</f>
        <v>0</v>
      </c>
      <c r="T66" s="78">
        <f t="shared" si="6"/>
        <v>-1.4710000000000001E-2</v>
      </c>
      <c r="U66" s="78">
        <f t="shared" ref="U66:U94" si="32">(COS((180-AA66)*PI()/180)*AB66*0.5144)</f>
        <v>0</v>
      </c>
      <c r="V66" s="84">
        <f t="shared" ref="V66:V94" si="33">T66</f>
        <v>-1.4710000000000001E-2</v>
      </c>
      <c r="W66" s="12"/>
      <c r="AC66" s="125">
        <f t="shared" si="7"/>
        <v>6.1843550552511708</v>
      </c>
      <c r="AD66" s="80">
        <f t="shared" si="17"/>
        <v>6.3999999999999932</v>
      </c>
      <c r="AE66" s="81">
        <f t="shared" si="8"/>
        <v>26.885359868190008</v>
      </c>
      <c r="AF66" s="81">
        <f t="shared" ref="AF66:AF129" si="34">AD66</f>
        <v>6.3999999999999932</v>
      </c>
      <c r="AG66" s="80">
        <f t="shared" si="9"/>
        <v>9.6952299097037464</v>
      </c>
      <c r="AH66" s="80">
        <f t="shared" si="10"/>
        <v>166.26861121308784</v>
      </c>
      <c r="AI66" s="80">
        <f t="shared" si="11"/>
        <v>59.958744103898717</v>
      </c>
      <c r="AL66" s="1">
        <f t="shared" si="14"/>
        <v>6.3999999999999932</v>
      </c>
      <c r="AM66" s="1">
        <f t="shared" si="18"/>
        <v>24.590723194315412</v>
      </c>
      <c r="AN66" s="1">
        <f t="shared" ref="AN66:AN129" si="35">AE66-AVERAGE($AE$2:$AE$212)*COS($Q$4)</f>
        <v>8.333079932277375</v>
      </c>
      <c r="AO66" s="1">
        <f t="shared" ref="AO66:AO129" si="36">AG66-AVERAGE($AG$2:$AG$212)*SIN($Q$4)</f>
        <v>2.3944603957301487</v>
      </c>
      <c r="AP66" s="1">
        <f t="shared" si="15"/>
        <v>16.096850577113017</v>
      </c>
      <c r="AQ66" s="63">
        <f>AVERAGE(AP$2:$AP66)</f>
        <v>12.396813977984662</v>
      </c>
      <c r="AR66" s="66"/>
      <c r="AW66" s="1"/>
      <c r="AY66" s="1"/>
    </row>
    <row r="67" spans="1:51" ht="18" thickBot="1" x14ac:dyDescent="0.3">
      <c r="A67" s="101">
        <f t="shared" si="27"/>
        <v>1300</v>
      </c>
      <c r="B67" s="30">
        <f t="shared" si="21"/>
        <v>9.088981642122377</v>
      </c>
      <c r="C67" s="33">
        <f>SUM(B$54:$B67)</f>
        <v>173.89245514084632</v>
      </c>
      <c r="D67" s="29">
        <f t="shared" si="28"/>
        <v>1300</v>
      </c>
      <c r="E67" s="32">
        <f t="shared" si="25"/>
        <v>9.4310586544438397</v>
      </c>
      <c r="F67" s="28">
        <f t="shared" si="22"/>
        <v>0.35646509035118928</v>
      </c>
      <c r="G67" s="28">
        <f t="shared" si="23"/>
        <v>10.643142645039823</v>
      </c>
      <c r="H67" s="6">
        <f t="shared" si="24"/>
        <v>8.5210909536453747E-3</v>
      </c>
      <c r="I67" s="37">
        <f t="shared" si="29"/>
        <v>1400</v>
      </c>
      <c r="J67" s="128">
        <f>AVERAGE(H$54:$H67)</f>
        <v>1.4825735715353549E-2</v>
      </c>
      <c r="K67" s="13"/>
      <c r="L67" s="13"/>
      <c r="M67" s="31">
        <f t="shared" si="26"/>
        <v>8.5397551911540644E-3</v>
      </c>
      <c r="N67" s="29">
        <f t="shared" si="30"/>
        <v>1400</v>
      </c>
      <c r="O67" s="6">
        <f>AVERAGE(M$54:$M67)</f>
        <v>1.53128314421475E-2</v>
      </c>
      <c r="P67" s="86" t="s">
        <v>113</v>
      </c>
      <c r="Q67" s="160">
        <f>AVERAGE(Q63,Q64,Q65,Q66)</f>
        <v>3.8552726190476201</v>
      </c>
      <c r="R67" s="117">
        <f t="shared" si="16"/>
        <v>-1.4710000000000001E-2</v>
      </c>
      <c r="S67" s="73">
        <f t="shared" si="31"/>
        <v>0</v>
      </c>
      <c r="T67" s="78">
        <f t="shared" ref="T67:T94" si="37">R67</f>
        <v>-1.4710000000000001E-2</v>
      </c>
      <c r="U67" s="78">
        <f t="shared" si="32"/>
        <v>0</v>
      </c>
      <c r="V67" s="84">
        <f t="shared" si="33"/>
        <v>-1.4710000000000001E-2</v>
      </c>
      <c r="W67" s="12"/>
      <c r="AC67" s="125">
        <f t="shared" ref="AC67:AC130" si="38">LN(VLOOKUP(AD67,$V$2:$W$61,2))</f>
        <v>6.1843550552511708</v>
      </c>
      <c r="AD67" s="80">
        <f t="shared" si="17"/>
        <v>6.4999999999999929</v>
      </c>
      <c r="AE67" s="81">
        <f t="shared" ref="AE67:AE130" si="39">VLOOKUP(AD67,$R$2:$S$61,2)</f>
        <v>26.885359868190008</v>
      </c>
      <c r="AF67" s="81">
        <f t="shared" si="34"/>
        <v>6.4999999999999929</v>
      </c>
      <c r="AG67" s="80">
        <f t="shared" ref="AG67:AG130" si="40">VLOOKUP(AD67,$T$2:$U$94,2)</f>
        <v>9.6952299097037464</v>
      </c>
      <c r="AH67" s="80">
        <f t="shared" ref="AH67:AH102" si="41">AE67*AC67</f>
        <v>166.26861121308784</v>
      </c>
      <c r="AI67" s="80">
        <f t="shared" ref="AI67:AI102" si="42">AG67*AC67</f>
        <v>59.958744103898717</v>
      </c>
      <c r="AL67" s="1">
        <f t="shared" ref="AL67:AL130" si="43">AD67</f>
        <v>6.4999999999999929</v>
      </c>
      <c r="AM67" s="1">
        <f t="shared" si="18"/>
        <v>24.590723194315412</v>
      </c>
      <c r="AN67" s="1">
        <f t="shared" si="35"/>
        <v>8.333079932277375</v>
      </c>
      <c r="AO67" s="1">
        <f t="shared" si="36"/>
        <v>2.3944603957301487</v>
      </c>
      <c r="AP67" s="1">
        <f t="shared" ref="AP67:AP102" si="44">SQRT((AE67-$Q$24)^2+(AG67-$Q$25)^2)</f>
        <v>16.096850577113017</v>
      </c>
      <c r="AQ67" s="63">
        <f>AVERAGE(AP$2:$AP67)</f>
        <v>12.452875138577516</v>
      </c>
      <c r="AR67" s="66"/>
      <c r="AW67" s="1"/>
      <c r="AY67" s="1"/>
    </row>
    <row r="68" spans="1:51" ht="17" thickBot="1" x14ac:dyDescent="0.25">
      <c r="A68" s="101">
        <f t="shared" si="27"/>
        <v>1400</v>
      </c>
      <c r="B68" s="30">
        <f t="shared" si="21"/>
        <v>0</v>
      </c>
      <c r="C68" s="33">
        <f>SUM(B$54:$B68)</f>
        <v>173.89245514084632</v>
      </c>
      <c r="D68" s="29">
        <f t="shared" si="28"/>
        <v>1400</v>
      </c>
      <c r="E68" s="32">
        <f t="shared" si="25"/>
        <v>9.5141785235201546</v>
      </c>
      <c r="F68" s="28">
        <f t="shared" si="22"/>
        <v>0.43652688448317511</v>
      </c>
      <c r="G68" s="28">
        <f t="shared" si="23"/>
        <v>10.677856690588596</v>
      </c>
      <c r="H68" s="6">
        <f t="shared" si="24"/>
        <v>0</v>
      </c>
      <c r="I68" s="37">
        <f t="shared" si="29"/>
        <v>1500</v>
      </c>
      <c r="J68" s="128">
        <f>AVERAGE(H$54:$H68)</f>
        <v>1.3837353334329979E-2</v>
      </c>
      <c r="K68" s="13"/>
      <c r="L68" s="13"/>
      <c r="M68" s="31">
        <f t="shared" si="26"/>
        <v>0</v>
      </c>
      <c r="N68" s="29">
        <f t="shared" si="30"/>
        <v>1500</v>
      </c>
      <c r="O68" s="6">
        <f>AVERAGE(M$54:$M68)</f>
        <v>1.4291976012670999E-2</v>
      </c>
      <c r="P68" s="13"/>
      <c r="Q68" s="11"/>
      <c r="R68" s="117">
        <f t="shared" ref="R68:R94" si="45">(X68-$X$2)/1000</f>
        <v>-1.4710000000000001E-2</v>
      </c>
      <c r="S68" s="73">
        <f t="shared" si="31"/>
        <v>0</v>
      </c>
      <c r="T68" s="78">
        <f t="shared" si="37"/>
        <v>-1.4710000000000001E-2</v>
      </c>
      <c r="U68" s="78">
        <f t="shared" si="32"/>
        <v>0</v>
      </c>
      <c r="V68" s="84">
        <f t="shared" si="33"/>
        <v>-1.4710000000000001E-2</v>
      </c>
      <c r="AC68" s="125">
        <f t="shared" si="38"/>
        <v>6.1032295104388021</v>
      </c>
      <c r="AD68" s="80">
        <f t="shared" ref="AD68:AD131" si="46">AD67+0.1</f>
        <v>6.5999999999999925</v>
      </c>
      <c r="AE68" s="81">
        <f t="shared" si="39"/>
        <v>24.384772024845152</v>
      </c>
      <c r="AF68" s="81">
        <f t="shared" si="34"/>
        <v>6.5999999999999925</v>
      </c>
      <c r="AG68" s="80">
        <f t="shared" si="40"/>
        <v>13.389019984070268</v>
      </c>
      <c r="AH68" s="80">
        <f t="shared" si="41"/>
        <v>148.82586022735748</v>
      </c>
      <c r="AI68" s="80">
        <f t="shared" si="42"/>
        <v>81.716261882632523</v>
      </c>
      <c r="AL68" s="1">
        <f t="shared" si="43"/>
        <v>6.5999999999999925</v>
      </c>
      <c r="AM68" s="1">
        <f t="shared" ref="AM68:AM102" si="47">SQRT((AE68-$AE$2)^2+(AG68-$AG$2)^2)</f>
        <v>22.314584902083354</v>
      </c>
      <c r="AN68" s="1">
        <f t="shared" si="35"/>
        <v>5.8324920889325185</v>
      </c>
      <c r="AO68" s="1">
        <f t="shared" si="36"/>
        <v>6.0882504700966704</v>
      </c>
      <c r="AP68" s="1">
        <f t="shared" si="44"/>
        <v>13.328808298413851</v>
      </c>
      <c r="AQ68" s="63">
        <f>AVERAGE(AP$2:$AP68)</f>
        <v>12.465948767828804</v>
      </c>
      <c r="AR68" s="66"/>
      <c r="AW68" s="1"/>
      <c r="AY68" s="1"/>
    </row>
    <row r="69" spans="1:51" ht="17" thickBot="1" x14ac:dyDescent="0.25">
      <c r="A69" s="101">
        <f t="shared" si="27"/>
        <v>1500</v>
      </c>
      <c r="B69" s="30">
        <f t="shared" si="21"/>
        <v>0</v>
      </c>
      <c r="C69" s="33">
        <f>SUM(B$54:$B69)</f>
        <v>173.89245514084632</v>
      </c>
      <c r="D69" s="29">
        <f t="shared" si="28"/>
        <v>1500</v>
      </c>
      <c r="E69" s="32">
        <f t="shared" si="25"/>
        <v>9.5869084089619321</v>
      </c>
      <c r="F69" s="28">
        <f t="shared" si="22"/>
        <v>0.43652688448317511</v>
      </c>
      <c r="G69" s="28">
        <f t="shared" si="23"/>
        <v>10.677856690588596</v>
      </c>
      <c r="H69" s="6">
        <f t="shared" si="24"/>
        <v>0</v>
      </c>
      <c r="I69" s="37">
        <f t="shared" si="29"/>
        <v>1600</v>
      </c>
      <c r="J69" s="128">
        <f>AVERAGE(H$54:$H69)</f>
        <v>1.2972518750934355E-2</v>
      </c>
      <c r="K69" s="13"/>
      <c r="L69" s="13"/>
      <c r="M69" s="31">
        <f t="shared" si="26"/>
        <v>0</v>
      </c>
      <c r="N69" s="29">
        <f t="shared" si="30"/>
        <v>1600</v>
      </c>
      <c r="O69" s="6">
        <f>AVERAGE(M$54:$M69)</f>
        <v>1.3398727511879063E-2</v>
      </c>
      <c r="P69" s="13"/>
      <c r="Q69" s="11"/>
      <c r="R69" s="117">
        <f t="shared" si="45"/>
        <v>-1.4710000000000001E-2</v>
      </c>
      <c r="S69" s="73">
        <f t="shared" si="31"/>
        <v>0</v>
      </c>
      <c r="T69" s="78">
        <f t="shared" si="37"/>
        <v>-1.4710000000000001E-2</v>
      </c>
      <c r="U69" s="78">
        <f t="shared" si="32"/>
        <v>0</v>
      </c>
      <c r="V69" s="84">
        <f t="shared" si="33"/>
        <v>-1.4710000000000001E-2</v>
      </c>
      <c r="AC69" s="125">
        <f t="shared" si="38"/>
        <v>6.1032295104388021</v>
      </c>
      <c r="AD69" s="80">
        <f t="shared" si="46"/>
        <v>6.6999999999999922</v>
      </c>
      <c r="AE69" s="81">
        <f t="shared" si="39"/>
        <v>24.384772024845152</v>
      </c>
      <c r="AF69" s="81">
        <f t="shared" si="34"/>
        <v>6.6999999999999922</v>
      </c>
      <c r="AG69" s="80">
        <f t="shared" si="40"/>
        <v>13.389019984070268</v>
      </c>
      <c r="AH69" s="80">
        <f t="shared" si="41"/>
        <v>148.82586022735748</v>
      </c>
      <c r="AI69" s="80">
        <f t="shared" si="42"/>
        <v>81.716261882632523</v>
      </c>
      <c r="AL69" s="1">
        <f t="shared" si="43"/>
        <v>6.6999999999999922</v>
      </c>
      <c r="AM69" s="1">
        <f t="shared" si="47"/>
        <v>22.314584902083354</v>
      </c>
      <c r="AN69" s="1">
        <f t="shared" si="35"/>
        <v>5.8324920889325185</v>
      </c>
      <c r="AO69" s="1">
        <f t="shared" si="36"/>
        <v>6.0882504700966704</v>
      </c>
      <c r="AP69" s="1">
        <f t="shared" si="44"/>
        <v>13.328808298413851</v>
      </c>
      <c r="AQ69" s="63">
        <f>AVERAGE(AP$2:$AP69)</f>
        <v>12.478637878572702</v>
      </c>
      <c r="AR69" s="66"/>
      <c r="AW69" s="1"/>
      <c r="AY69" s="1"/>
    </row>
    <row r="70" spans="1:51" ht="17" thickBot="1" x14ac:dyDescent="0.25">
      <c r="A70" s="101">
        <f t="shared" si="27"/>
        <v>1600</v>
      </c>
      <c r="B70" s="30">
        <f t="shared" si="21"/>
        <v>0</v>
      </c>
      <c r="C70" s="33">
        <f>SUM(B$54:$B70)</f>
        <v>173.89245514084632</v>
      </c>
      <c r="D70" s="29">
        <f t="shared" si="28"/>
        <v>1600</v>
      </c>
      <c r="E70" s="32">
        <f t="shared" si="25"/>
        <v>9.6510818372929119</v>
      </c>
      <c r="F70" s="28">
        <f t="shared" si="22"/>
        <v>0.43652688448317511</v>
      </c>
      <c r="G70" s="28">
        <f t="shared" si="23"/>
        <v>10.677856690588596</v>
      </c>
      <c r="H70" s="6">
        <f t="shared" si="24"/>
        <v>0</v>
      </c>
      <c r="I70" s="37">
        <f t="shared" si="29"/>
        <v>1700</v>
      </c>
      <c r="J70" s="128">
        <f>AVERAGE(H$54:$H70)</f>
        <v>1.2209429412644099E-2</v>
      </c>
      <c r="K70" s="13"/>
      <c r="L70" s="13"/>
      <c r="M70" s="31">
        <f t="shared" si="26"/>
        <v>0</v>
      </c>
      <c r="N70" s="29">
        <f t="shared" si="30"/>
        <v>1700</v>
      </c>
      <c r="O70" s="6">
        <f>AVERAGE(M$54:$M70)</f>
        <v>1.2610567070003824E-2</v>
      </c>
      <c r="P70" s="13"/>
      <c r="Q70" s="11"/>
      <c r="R70" s="117">
        <f t="shared" si="45"/>
        <v>-1.4710000000000001E-2</v>
      </c>
      <c r="S70" s="73">
        <f t="shared" si="31"/>
        <v>0</v>
      </c>
      <c r="T70" s="78">
        <f t="shared" si="37"/>
        <v>-1.4710000000000001E-2</v>
      </c>
      <c r="U70" s="78">
        <f t="shared" si="32"/>
        <v>0</v>
      </c>
      <c r="V70" s="84">
        <f t="shared" si="33"/>
        <v>-1.4710000000000001E-2</v>
      </c>
      <c r="AC70" s="125">
        <f t="shared" si="38"/>
        <v>6.1032295104388021</v>
      </c>
      <c r="AD70" s="80">
        <f t="shared" si="46"/>
        <v>6.7999999999999918</v>
      </c>
      <c r="AE70" s="81">
        <f t="shared" si="39"/>
        <v>24.384772024845152</v>
      </c>
      <c r="AF70" s="81">
        <f t="shared" si="34"/>
        <v>6.7999999999999918</v>
      </c>
      <c r="AG70" s="80">
        <f t="shared" si="40"/>
        <v>13.389019984070268</v>
      </c>
      <c r="AH70" s="80">
        <f t="shared" si="41"/>
        <v>148.82586022735748</v>
      </c>
      <c r="AI70" s="80">
        <f t="shared" si="42"/>
        <v>81.716261882632523</v>
      </c>
      <c r="AL70" s="1">
        <f t="shared" si="43"/>
        <v>6.7999999999999918</v>
      </c>
      <c r="AM70" s="1">
        <f t="shared" si="47"/>
        <v>22.314584902083354</v>
      </c>
      <c r="AN70" s="1">
        <f t="shared" si="35"/>
        <v>5.8324920889325185</v>
      </c>
      <c r="AO70" s="1">
        <f t="shared" si="36"/>
        <v>6.0882504700966704</v>
      </c>
      <c r="AP70" s="1">
        <f t="shared" si="44"/>
        <v>13.328808298413851</v>
      </c>
      <c r="AQ70" s="63">
        <f>AVERAGE(AP$2:$AP70)</f>
        <v>12.490959189005181</v>
      </c>
      <c r="AR70" s="66"/>
      <c r="AW70" s="1"/>
      <c r="AY70" s="1"/>
    </row>
    <row r="71" spans="1:51" ht="17" thickBot="1" x14ac:dyDescent="0.25">
      <c r="A71" s="101">
        <f t="shared" si="27"/>
        <v>1700</v>
      </c>
      <c r="B71" s="30">
        <f t="shared" si="21"/>
        <v>5.64320822654593</v>
      </c>
      <c r="C71" s="33">
        <f>SUM(B$54:$B71)</f>
        <v>179.53566336739226</v>
      </c>
      <c r="D71" s="29">
        <f t="shared" si="28"/>
        <v>1700</v>
      </c>
      <c r="E71" s="32">
        <f t="shared" si="25"/>
        <v>9.7081248846982273</v>
      </c>
      <c r="F71" s="28">
        <f t="shared" si="22"/>
        <v>0.43652688448317511</v>
      </c>
      <c r="G71" s="28">
        <f t="shared" si="23"/>
        <v>10.677856690588596</v>
      </c>
      <c r="H71" s="6">
        <f t="shared" si="24"/>
        <v>5.4975414117436356E-3</v>
      </c>
      <c r="I71" s="37">
        <f t="shared" si="29"/>
        <v>1800</v>
      </c>
      <c r="J71" s="128">
        <f>AVERAGE(H$54:$H71)</f>
        <v>1.1836546745927407E-2</v>
      </c>
      <c r="K71" s="13"/>
      <c r="L71" s="13"/>
      <c r="M71" s="31">
        <f t="shared" si="26"/>
        <v>6.762836048087739E-3</v>
      </c>
      <c r="N71" s="29">
        <f t="shared" si="30"/>
        <v>1800</v>
      </c>
      <c r="O71" s="6">
        <f>AVERAGE(M$54:$M71)</f>
        <v>1.228569312434182E-2</v>
      </c>
      <c r="P71" s="13"/>
      <c r="Q71" s="11"/>
      <c r="R71" s="117">
        <f t="shared" si="45"/>
        <v>-1.4710000000000001E-2</v>
      </c>
      <c r="S71" s="73">
        <f t="shared" si="31"/>
        <v>0</v>
      </c>
      <c r="T71" s="78">
        <f t="shared" si="37"/>
        <v>-1.4710000000000001E-2</v>
      </c>
      <c r="U71" s="78">
        <f t="shared" si="32"/>
        <v>0</v>
      </c>
      <c r="V71" s="84">
        <f t="shared" si="33"/>
        <v>-1.4710000000000001E-2</v>
      </c>
      <c r="AC71" s="125">
        <f t="shared" si="38"/>
        <v>6.1032295104388021</v>
      </c>
      <c r="AD71" s="80">
        <f t="shared" si="46"/>
        <v>6.8999999999999915</v>
      </c>
      <c r="AE71" s="81">
        <f t="shared" si="39"/>
        <v>24.384772024845152</v>
      </c>
      <c r="AF71" s="81">
        <f t="shared" si="34"/>
        <v>6.8999999999999915</v>
      </c>
      <c r="AG71" s="80">
        <f t="shared" si="40"/>
        <v>13.389019984070268</v>
      </c>
      <c r="AH71" s="80">
        <f t="shared" si="41"/>
        <v>148.82586022735748</v>
      </c>
      <c r="AI71" s="80">
        <f t="shared" si="42"/>
        <v>81.716261882632523</v>
      </c>
      <c r="AL71" s="1">
        <f t="shared" si="43"/>
        <v>6.8999999999999915</v>
      </c>
      <c r="AM71" s="1">
        <f t="shared" si="47"/>
        <v>22.314584902083354</v>
      </c>
      <c r="AN71" s="1">
        <f t="shared" si="35"/>
        <v>5.8324920889325185</v>
      </c>
      <c r="AO71" s="1">
        <f t="shared" si="36"/>
        <v>6.0882504700966704</v>
      </c>
      <c r="AP71" s="1">
        <f t="shared" si="44"/>
        <v>13.328808298413851</v>
      </c>
      <c r="AQ71" s="63">
        <f>AVERAGE(AP$2:$AP71)</f>
        <v>12.502928461996733</v>
      </c>
      <c r="AR71" s="66"/>
      <c r="AW71" s="1"/>
      <c r="AY71" s="1"/>
    </row>
    <row r="72" spans="1:51" ht="17" thickBot="1" x14ac:dyDescent="0.25">
      <c r="A72" s="101">
        <f t="shared" si="27"/>
        <v>1800</v>
      </c>
      <c r="B72" s="30">
        <f t="shared" si="21"/>
        <v>0</v>
      </c>
      <c r="C72" s="33">
        <f>SUM(B$54:$B72)</f>
        <v>179.53566336739226</v>
      </c>
      <c r="D72" s="29">
        <f t="shared" si="28"/>
        <v>1800</v>
      </c>
      <c r="E72" s="32">
        <f t="shared" si="25"/>
        <v>9.7376711317857296</v>
      </c>
      <c r="F72" s="28">
        <f t="shared" si="22"/>
        <v>0.48801232365927061</v>
      </c>
      <c r="G72" s="28">
        <f t="shared" si="23"/>
        <v>10.2695035793608</v>
      </c>
      <c r="H72" s="6">
        <f t="shared" si="24"/>
        <v>0</v>
      </c>
      <c r="I72" s="37">
        <f t="shared" si="29"/>
        <v>1900</v>
      </c>
      <c r="J72" s="128">
        <f>AVERAGE(H$54:$H72)</f>
        <v>1.1213570601404911E-2</v>
      </c>
      <c r="K72" s="13"/>
      <c r="L72" s="13"/>
      <c r="M72" s="31">
        <f t="shared" si="26"/>
        <v>0</v>
      </c>
      <c r="N72" s="29">
        <f t="shared" si="30"/>
        <v>1900</v>
      </c>
      <c r="O72" s="6">
        <f>AVERAGE(M$54:$M72)</f>
        <v>1.1639077696744882E-2</v>
      </c>
      <c r="P72" s="13"/>
      <c r="Q72" s="11"/>
      <c r="R72" s="117">
        <f t="shared" si="45"/>
        <v>-1.4710000000000001E-2</v>
      </c>
      <c r="S72" s="73">
        <f t="shared" si="31"/>
        <v>0</v>
      </c>
      <c r="T72" s="78">
        <f t="shared" si="37"/>
        <v>-1.4710000000000001E-2</v>
      </c>
      <c r="U72" s="78">
        <f t="shared" si="32"/>
        <v>0</v>
      </c>
      <c r="V72" s="84">
        <f t="shared" si="33"/>
        <v>-1.4710000000000001E-2</v>
      </c>
      <c r="AC72" s="125">
        <f t="shared" si="38"/>
        <v>6.1032295104388021</v>
      </c>
      <c r="AD72" s="80">
        <f t="shared" si="46"/>
        <v>6.9999999999999911</v>
      </c>
      <c r="AE72" s="81">
        <f t="shared" si="39"/>
        <v>24.384772024845152</v>
      </c>
      <c r="AF72" s="81">
        <f t="shared" si="34"/>
        <v>6.9999999999999911</v>
      </c>
      <c r="AG72" s="80">
        <f t="shared" si="40"/>
        <v>13.389019984070268</v>
      </c>
      <c r="AH72" s="80">
        <f t="shared" si="41"/>
        <v>148.82586022735748</v>
      </c>
      <c r="AI72" s="80">
        <f t="shared" si="42"/>
        <v>81.716261882632523</v>
      </c>
      <c r="AL72" s="1">
        <f t="shared" si="43"/>
        <v>6.9999999999999911</v>
      </c>
      <c r="AM72" s="1">
        <f t="shared" si="47"/>
        <v>22.314584902083354</v>
      </c>
      <c r="AN72" s="1">
        <f t="shared" si="35"/>
        <v>5.8324920889325185</v>
      </c>
      <c r="AO72" s="1">
        <f t="shared" si="36"/>
        <v>6.0882504700966704</v>
      </c>
      <c r="AP72" s="1">
        <f t="shared" si="44"/>
        <v>13.328808298413851</v>
      </c>
      <c r="AQ72" s="63">
        <f>AVERAGE(AP$2:$AP72)</f>
        <v>12.514560572368806</v>
      </c>
      <c r="AR72" s="66"/>
      <c r="AW72" s="1"/>
      <c r="AY72" s="1"/>
    </row>
    <row r="73" spans="1:51" ht="17" thickBot="1" x14ac:dyDescent="0.25">
      <c r="A73" s="101">
        <f t="shared" si="27"/>
        <v>1900</v>
      </c>
      <c r="B73" s="30">
        <f t="shared" si="21"/>
        <v>0</v>
      </c>
      <c r="C73" s="33">
        <f>SUM(B$54:$B73)</f>
        <v>179.53566336739226</v>
      </c>
      <c r="D73" s="29">
        <f t="shared" si="28"/>
        <v>1900</v>
      </c>
      <c r="E73" s="32">
        <f t="shared" si="25"/>
        <v>9.7642627541644824</v>
      </c>
      <c r="F73" s="28">
        <f t="shared" si="22"/>
        <v>0.48801232365927061</v>
      </c>
      <c r="G73" s="28">
        <f t="shared" si="23"/>
        <v>10.2695035793608</v>
      </c>
      <c r="H73" s="6">
        <f t="shared" si="24"/>
        <v>0</v>
      </c>
      <c r="I73" s="37">
        <f t="shared" si="29"/>
        <v>2000</v>
      </c>
      <c r="J73" s="128">
        <f>AVERAGE(H$54:$H73)</f>
        <v>1.0652892071334666E-2</v>
      </c>
      <c r="K73" s="13"/>
      <c r="L73" s="13"/>
      <c r="M73" s="31">
        <f t="shared" si="26"/>
        <v>0</v>
      </c>
      <c r="N73" s="29">
        <f t="shared" si="30"/>
        <v>2000</v>
      </c>
      <c r="O73" s="6">
        <f>AVERAGE(M$54:$M73)</f>
        <v>1.1057123811907637E-2</v>
      </c>
      <c r="P73" s="13"/>
      <c r="Q73" s="11"/>
      <c r="R73" s="117">
        <f t="shared" si="45"/>
        <v>-1.4710000000000001E-2</v>
      </c>
      <c r="S73" s="73">
        <f t="shared" si="31"/>
        <v>0</v>
      </c>
      <c r="T73" s="78">
        <f t="shared" si="37"/>
        <v>-1.4710000000000001E-2</v>
      </c>
      <c r="U73" s="78">
        <f t="shared" si="32"/>
        <v>0</v>
      </c>
      <c r="V73" s="84">
        <f t="shared" si="33"/>
        <v>-1.4710000000000001E-2</v>
      </c>
      <c r="AC73" s="125">
        <f t="shared" si="38"/>
        <v>6.1032295104388021</v>
      </c>
      <c r="AD73" s="80">
        <f t="shared" si="46"/>
        <v>7.0999999999999908</v>
      </c>
      <c r="AE73" s="81">
        <f t="shared" si="39"/>
        <v>24.384772024845152</v>
      </c>
      <c r="AF73" s="81">
        <f t="shared" si="34"/>
        <v>7.0999999999999908</v>
      </c>
      <c r="AG73" s="80">
        <f t="shared" si="40"/>
        <v>13.389019984070268</v>
      </c>
      <c r="AH73" s="80">
        <f t="shared" si="41"/>
        <v>148.82586022735748</v>
      </c>
      <c r="AI73" s="80">
        <f t="shared" si="42"/>
        <v>81.716261882632523</v>
      </c>
      <c r="AL73" s="1">
        <f t="shared" si="43"/>
        <v>7.0999999999999908</v>
      </c>
      <c r="AM73" s="1">
        <f t="shared" si="47"/>
        <v>22.314584902083354</v>
      </c>
      <c r="AN73" s="1">
        <f t="shared" si="35"/>
        <v>5.8324920889325185</v>
      </c>
      <c r="AO73" s="1">
        <f t="shared" si="36"/>
        <v>6.0882504700966704</v>
      </c>
      <c r="AP73" s="1">
        <f t="shared" si="44"/>
        <v>13.328808298413851</v>
      </c>
      <c r="AQ73" s="63">
        <f>AVERAGE(AP$2:$AP73)</f>
        <v>12.525869568563875</v>
      </c>
      <c r="AR73" s="66"/>
      <c r="AW73" s="1"/>
      <c r="AY73" s="1"/>
    </row>
    <row r="74" spans="1:51" ht="17" thickBot="1" x14ac:dyDescent="0.25">
      <c r="A74" s="101">
        <f t="shared" si="27"/>
        <v>2000</v>
      </c>
      <c r="B74" s="30">
        <f t="shared" si="21"/>
        <v>31.275879627321984</v>
      </c>
      <c r="C74" s="33">
        <f>SUM(B$54:$B74)</f>
        <v>210.81154299471424</v>
      </c>
      <c r="D74" s="29">
        <f t="shared" si="28"/>
        <v>2000</v>
      </c>
      <c r="E74" s="32">
        <f t="shared" si="25"/>
        <v>9.7883218410785933</v>
      </c>
      <c r="F74" s="28">
        <f t="shared" si="22"/>
        <v>0.48801232365927061</v>
      </c>
      <c r="G74" s="28">
        <f t="shared" si="23"/>
        <v>10.2695035793608</v>
      </c>
      <c r="H74" s="6">
        <f t="shared" si="24"/>
        <v>2.5991513055699904E-2</v>
      </c>
      <c r="I74" s="37">
        <f t="shared" si="29"/>
        <v>2100</v>
      </c>
      <c r="J74" s="128">
        <f>AVERAGE(H$54:$H74)</f>
        <v>1.1383302594399677E-2</v>
      </c>
      <c r="K74" s="169"/>
      <c r="L74" s="169"/>
      <c r="M74" s="31">
        <f t="shared" si="26"/>
        <v>3.3973339489047578E-2</v>
      </c>
      <c r="N74" s="29">
        <f t="shared" si="30"/>
        <v>2100</v>
      </c>
      <c r="O74" s="6">
        <f>AVERAGE(M$54:$M74)</f>
        <v>1.214837217748573E-2</v>
      </c>
      <c r="P74" s="13"/>
      <c r="Q74" s="11"/>
      <c r="R74" s="117">
        <f t="shared" si="45"/>
        <v>-1.4710000000000001E-2</v>
      </c>
      <c r="S74" s="73">
        <f t="shared" si="31"/>
        <v>0</v>
      </c>
      <c r="T74" s="78">
        <f t="shared" si="37"/>
        <v>-1.4710000000000001E-2</v>
      </c>
      <c r="U74" s="78">
        <f t="shared" si="32"/>
        <v>0</v>
      </c>
      <c r="V74" s="84">
        <f t="shared" si="33"/>
        <v>-1.4710000000000001E-2</v>
      </c>
      <c r="AC74" s="125">
        <f t="shared" si="38"/>
        <v>6.0241737215176867</v>
      </c>
      <c r="AD74" s="80">
        <f t="shared" si="46"/>
        <v>7.1999999999999904</v>
      </c>
      <c r="AE74" s="81">
        <f t="shared" si="39"/>
        <v>20.581341504804278</v>
      </c>
      <c r="AF74" s="81">
        <f t="shared" si="34"/>
        <v>7.1999999999999904</v>
      </c>
      <c r="AG74" s="80">
        <f t="shared" si="40"/>
        <v>16.785732538003963</v>
      </c>
      <c r="AH74" s="80">
        <f t="shared" si="41"/>
        <v>123.98557664682322</v>
      </c>
      <c r="AI74" s="80">
        <f t="shared" si="42"/>
        <v>101.12016885186786</v>
      </c>
      <c r="AL74" s="1">
        <f t="shared" si="43"/>
        <v>7.1999999999999904</v>
      </c>
      <c r="AM74" s="1">
        <f t="shared" si="47"/>
        <v>19.432833104755272</v>
      </c>
      <c r="AN74" s="1">
        <f t="shared" si="35"/>
        <v>2.0290615688916454</v>
      </c>
      <c r="AO74" s="1">
        <f t="shared" si="36"/>
        <v>9.484963024030364</v>
      </c>
      <c r="AP74" s="1">
        <f t="shared" si="44"/>
        <v>10.344914498139035</v>
      </c>
      <c r="AQ74" s="63">
        <f>AVERAGE(AP$2:$AP74)</f>
        <v>12.49599347170874</v>
      </c>
      <c r="AR74" s="66"/>
      <c r="AW74" s="1"/>
      <c r="AY74" s="1"/>
    </row>
    <row r="75" spans="1:51" ht="17" thickBot="1" x14ac:dyDescent="0.25">
      <c r="A75" s="101">
        <f t="shared" si="27"/>
        <v>2100</v>
      </c>
      <c r="B75" s="30">
        <f t="shared" si="21"/>
        <v>0</v>
      </c>
      <c r="C75" s="33">
        <f>SUM(B$54:$B75)</f>
        <v>210.81154299471424</v>
      </c>
      <c r="D75" s="29">
        <f t="shared" si="28"/>
        <v>2100</v>
      </c>
      <c r="E75" s="32">
        <f t="shared" si="25"/>
        <v>9.8962411091238121</v>
      </c>
      <c r="F75" s="28">
        <f t="shared" si="22"/>
        <v>0.74110647621340686</v>
      </c>
      <c r="G75" s="28">
        <f t="shared" si="23"/>
        <v>12.162545738073407</v>
      </c>
      <c r="H75" s="6">
        <f t="shared" si="24"/>
        <v>0</v>
      </c>
      <c r="I75" s="37">
        <f t="shared" si="29"/>
        <v>2200</v>
      </c>
      <c r="J75" s="128">
        <f>AVERAGE(H$54:$H75)</f>
        <v>1.0865879749199692E-2</v>
      </c>
      <c r="K75" s="13"/>
      <c r="L75" s="13"/>
      <c r="M75" s="31">
        <f t="shared" si="26"/>
        <v>0</v>
      </c>
      <c r="N75" s="29">
        <f t="shared" si="30"/>
        <v>2200</v>
      </c>
      <c r="O75" s="6">
        <f>AVERAGE(M$54:$M75)</f>
        <v>1.1596173442145469E-2</v>
      </c>
      <c r="P75" s="13"/>
      <c r="Q75" s="11"/>
      <c r="R75" s="117">
        <f t="shared" si="45"/>
        <v>-1.4710000000000001E-2</v>
      </c>
      <c r="S75" s="73">
        <f t="shared" si="31"/>
        <v>0</v>
      </c>
      <c r="T75" s="78">
        <f t="shared" si="37"/>
        <v>-1.4710000000000001E-2</v>
      </c>
      <c r="U75" s="78">
        <f t="shared" si="32"/>
        <v>0</v>
      </c>
      <c r="V75" s="84">
        <f t="shared" si="33"/>
        <v>-1.4710000000000001E-2</v>
      </c>
      <c r="AC75" s="125">
        <f t="shared" si="38"/>
        <v>6.0241737215176867</v>
      </c>
      <c r="AD75" s="80">
        <f t="shared" si="46"/>
        <v>7.2999999999999901</v>
      </c>
      <c r="AE75" s="81">
        <f t="shared" si="39"/>
        <v>20.581341504804278</v>
      </c>
      <c r="AF75" s="81">
        <f t="shared" si="34"/>
        <v>7.2999999999999901</v>
      </c>
      <c r="AG75" s="80">
        <f t="shared" si="40"/>
        <v>16.785732538003963</v>
      </c>
      <c r="AH75" s="80">
        <f t="shared" si="41"/>
        <v>123.98557664682322</v>
      </c>
      <c r="AI75" s="80">
        <f t="shared" si="42"/>
        <v>101.12016885186786</v>
      </c>
      <c r="AL75" s="1">
        <f t="shared" si="43"/>
        <v>7.2999999999999901</v>
      </c>
      <c r="AM75" s="1">
        <f t="shared" si="47"/>
        <v>19.432833104755272</v>
      </c>
      <c r="AN75" s="1">
        <f t="shared" si="35"/>
        <v>2.0290615688916454</v>
      </c>
      <c r="AO75" s="1">
        <f t="shared" si="36"/>
        <v>9.484963024030364</v>
      </c>
      <c r="AP75" s="1">
        <f t="shared" si="44"/>
        <v>10.344914498139035</v>
      </c>
      <c r="AQ75" s="63">
        <f>AVERAGE(AP$2:$AP75)</f>
        <v>12.466924836930771</v>
      </c>
      <c r="AR75" s="66"/>
      <c r="AW75" s="1"/>
      <c r="AY75" s="1"/>
    </row>
    <row r="76" spans="1:51" ht="17" thickBot="1" x14ac:dyDescent="0.25">
      <c r="A76" s="101">
        <f t="shared" si="27"/>
        <v>2200</v>
      </c>
      <c r="B76" s="30">
        <f t="shared" si="21"/>
        <v>0</v>
      </c>
      <c r="C76" s="33">
        <f>SUM(B$54:$B76)</f>
        <v>210.81154299471424</v>
      </c>
      <c r="D76" s="29">
        <f t="shared" si="28"/>
        <v>2200</v>
      </c>
      <c r="E76" s="32">
        <f t="shared" si="25"/>
        <v>9.9947760929911862</v>
      </c>
      <c r="F76" s="28">
        <f t="shared" si="22"/>
        <v>0.74110647621340686</v>
      </c>
      <c r="G76" s="28">
        <f t="shared" si="23"/>
        <v>12.162545738073407</v>
      </c>
      <c r="H76" s="6">
        <f t="shared" si="24"/>
        <v>0</v>
      </c>
      <c r="I76" s="37">
        <f t="shared" si="29"/>
        <v>2300</v>
      </c>
      <c r="J76" s="128">
        <f>AVERAGE(H$54:$H76)</f>
        <v>1.0393450194886663E-2</v>
      </c>
      <c r="K76" s="13"/>
      <c r="L76" s="13"/>
      <c r="M76" s="31">
        <f t="shared" si="26"/>
        <v>0</v>
      </c>
      <c r="N76" s="29">
        <f t="shared" si="30"/>
        <v>2300</v>
      </c>
      <c r="O76" s="6">
        <f>AVERAGE(M$54:$M76)</f>
        <v>1.1091991988139144E-2</v>
      </c>
      <c r="P76" s="13"/>
      <c r="Q76" s="11"/>
      <c r="R76" s="117">
        <f t="shared" si="45"/>
        <v>-1.4710000000000001E-2</v>
      </c>
      <c r="S76" s="73">
        <f t="shared" si="31"/>
        <v>0</v>
      </c>
      <c r="T76" s="78">
        <f t="shared" si="37"/>
        <v>-1.4710000000000001E-2</v>
      </c>
      <c r="U76" s="78">
        <f t="shared" si="32"/>
        <v>0</v>
      </c>
      <c r="V76" s="84">
        <f t="shared" si="33"/>
        <v>-1.4710000000000001E-2</v>
      </c>
      <c r="AC76" s="125">
        <f t="shared" si="38"/>
        <v>6.0241737215176867</v>
      </c>
      <c r="AD76" s="80">
        <f t="shared" si="46"/>
        <v>7.3999999999999897</v>
      </c>
      <c r="AE76" s="81">
        <f t="shared" si="39"/>
        <v>20.581341504804278</v>
      </c>
      <c r="AF76" s="81">
        <f t="shared" si="34"/>
        <v>7.3999999999999897</v>
      </c>
      <c r="AG76" s="80">
        <f t="shared" si="40"/>
        <v>16.785732538003963</v>
      </c>
      <c r="AH76" s="80">
        <f t="shared" si="41"/>
        <v>123.98557664682322</v>
      </c>
      <c r="AI76" s="80">
        <f t="shared" si="42"/>
        <v>101.12016885186786</v>
      </c>
      <c r="AL76" s="1">
        <f t="shared" si="43"/>
        <v>7.3999999999999897</v>
      </c>
      <c r="AM76" s="1">
        <f t="shared" si="47"/>
        <v>19.432833104755272</v>
      </c>
      <c r="AN76" s="1">
        <f t="shared" si="35"/>
        <v>2.0290615688916454</v>
      </c>
      <c r="AO76" s="1">
        <f t="shared" si="36"/>
        <v>9.484963024030364</v>
      </c>
      <c r="AP76" s="1">
        <f t="shared" si="44"/>
        <v>10.344914498139035</v>
      </c>
      <c r="AQ76" s="63">
        <f>AVERAGE(AP$2:$AP76)</f>
        <v>12.438631365746881</v>
      </c>
      <c r="AR76" s="66"/>
      <c r="AW76" s="1"/>
      <c r="AY76" s="1"/>
    </row>
    <row r="77" spans="1:51" ht="17" thickBot="1" x14ac:dyDescent="0.25">
      <c r="A77" s="101">
        <f t="shared" si="27"/>
        <v>2300</v>
      </c>
      <c r="B77" s="30">
        <f t="shared" si="21"/>
        <v>0</v>
      </c>
      <c r="C77" s="33">
        <f>SUM(B$54:$B77)</f>
        <v>210.81154299471424</v>
      </c>
      <c r="D77" s="29">
        <f t="shared" si="28"/>
        <v>2300</v>
      </c>
      <c r="E77" s="32">
        <f t="shared" si="25"/>
        <v>10.085099828202946</v>
      </c>
      <c r="F77" s="28">
        <f t="shared" si="22"/>
        <v>0.74110647621340686</v>
      </c>
      <c r="G77" s="28">
        <f t="shared" si="23"/>
        <v>12.162545738073407</v>
      </c>
      <c r="H77" s="6">
        <f t="shared" si="24"/>
        <v>0</v>
      </c>
      <c r="I77" s="37">
        <f t="shared" si="29"/>
        <v>2400</v>
      </c>
      <c r="J77" s="128">
        <f>AVERAGE(H$54:$H77)</f>
        <v>9.9603897700997184E-3</v>
      </c>
      <c r="K77" s="13"/>
      <c r="L77" s="13"/>
      <c r="M77" s="31">
        <f t="shared" si="26"/>
        <v>0</v>
      </c>
      <c r="N77" s="29">
        <f t="shared" si="30"/>
        <v>2400</v>
      </c>
      <c r="O77" s="6">
        <f>AVERAGE(M$54:$M77)</f>
        <v>1.0629825655300013E-2</v>
      </c>
      <c r="P77" s="13"/>
      <c r="Q77" s="11"/>
      <c r="R77" s="117">
        <f t="shared" si="45"/>
        <v>-1.4710000000000001E-2</v>
      </c>
      <c r="S77" s="73">
        <f t="shared" si="31"/>
        <v>0</v>
      </c>
      <c r="T77" s="78">
        <f t="shared" si="37"/>
        <v>-1.4710000000000001E-2</v>
      </c>
      <c r="U77" s="78">
        <f t="shared" si="32"/>
        <v>0</v>
      </c>
      <c r="V77" s="84">
        <f t="shared" si="33"/>
        <v>-1.4710000000000001E-2</v>
      </c>
      <c r="AC77" s="125">
        <f t="shared" si="38"/>
        <v>6.0241737215176867</v>
      </c>
      <c r="AD77" s="80">
        <f t="shared" si="46"/>
        <v>7.4999999999999893</v>
      </c>
      <c r="AE77" s="81">
        <f t="shared" si="39"/>
        <v>20.581341504804278</v>
      </c>
      <c r="AF77" s="81">
        <f t="shared" si="34"/>
        <v>7.4999999999999893</v>
      </c>
      <c r="AG77" s="80">
        <f t="shared" si="40"/>
        <v>16.785732538003963</v>
      </c>
      <c r="AH77" s="80">
        <f t="shared" si="41"/>
        <v>123.98557664682322</v>
      </c>
      <c r="AI77" s="80">
        <f t="shared" si="42"/>
        <v>101.12016885186786</v>
      </c>
      <c r="AL77" s="1">
        <f t="shared" si="43"/>
        <v>7.4999999999999893</v>
      </c>
      <c r="AM77" s="1">
        <f t="shared" si="47"/>
        <v>19.432833104755272</v>
      </c>
      <c r="AN77" s="1">
        <f t="shared" si="35"/>
        <v>2.0290615688916454</v>
      </c>
      <c r="AO77" s="1">
        <f t="shared" si="36"/>
        <v>9.484963024030364</v>
      </c>
      <c r="AP77" s="1">
        <f t="shared" si="44"/>
        <v>10.344914498139035</v>
      </c>
      <c r="AQ77" s="63">
        <f>AVERAGE(AP$2:$AP77)</f>
        <v>12.411082459594146</v>
      </c>
      <c r="AR77" s="66"/>
      <c r="AW77" s="1"/>
      <c r="AY77" s="1"/>
    </row>
    <row r="78" spans="1:51" ht="17" thickBot="1" x14ac:dyDescent="0.25">
      <c r="A78" s="101">
        <f t="shared" si="27"/>
        <v>2400</v>
      </c>
      <c r="B78" s="30">
        <f t="shared" si="21"/>
        <v>-8.534109872861805</v>
      </c>
      <c r="C78" s="33">
        <f>SUM(B$54:$B78)</f>
        <v>202.27743312185243</v>
      </c>
      <c r="D78" s="29">
        <f t="shared" si="28"/>
        <v>2400</v>
      </c>
      <c r="E78" s="32">
        <f t="shared" si="25"/>
        <v>10.168197664597765</v>
      </c>
      <c r="F78" s="28">
        <f t="shared" si="22"/>
        <v>0.74110647621340686</v>
      </c>
      <c r="G78" s="28">
        <f t="shared" si="23"/>
        <v>12.162545738073407</v>
      </c>
      <c r="H78" s="6">
        <f t="shared" si="24"/>
        <v>7.9547872372365668E-3</v>
      </c>
      <c r="I78" s="37">
        <f t="shared" si="29"/>
        <v>2500</v>
      </c>
      <c r="J78" s="128">
        <f>AVERAGE(H$54:$H78)</f>
        <v>9.8801656687851919E-3</v>
      </c>
      <c r="K78" s="13"/>
      <c r="L78" s="13"/>
      <c r="M78" s="31">
        <f t="shared" si="26"/>
        <v>1.6104719478722732E-2</v>
      </c>
      <c r="N78" s="29">
        <f t="shared" si="30"/>
        <v>2500</v>
      </c>
      <c r="O78" s="6">
        <f>AVERAGE(M$54:$M78)</f>
        <v>1.0848821408236922E-2</v>
      </c>
      <c r="P78" s="13"/>
      <c r="Q78" s="11"/>
      <c r="R78" s="117">
        <f t="shared" si="45"/>
        <v>-1.4710000000000001E-2</v>
      </c>
      <c r="S78" s="73">
        <f t="shared" si="31"/>
        <v>0</v>
      </c>
      <c r="T78" s="78">
        <f t="shared" si="37"/>
        <v>-1.4710000000000001E-2</v>
      </c>
      <c r="U78" s="78">
        <f t="shared" si="32"/>
        <v>0</v>
      </c>
      <c r="V78" s="84">
        <f t="shared" si="33"/>
        <v>-1.4710000000000001E-2</v>
      </c>
      <c r="AC78" s="125">
        <f t="shared" si="38"/>
        <v>6.0241737215176867</v>
      </c>
      <c r="AD78" s="80">
        <f t="shared" si="46"/>
        <v>7.599999999999989</v>
      </c>
      <c r="AE78" s="81">
        <f t="shared" si="39"/>
        <v>20.581341504804278</v>
      </c>
      <c r="AF78" s="81">
        <f t="shared" si="34"/>
        <v>7.599999999999989</v>
      </c>
      <c r="AG78" s="80">
        <f t="shared" si="40"/>
        <v>16.785732538003963</v>
      </c>
      <c r="AH78" s="80">
        <f t="shared" si="41"/>
        <v>123.98557664682322</v>
      </c>
      <c r="AI78" s="80">
        <f t="shared" si="42"/>
        <v>101.12016885186786</v>
      </c>
      <c r="AL78" s="1">
        <f t="shared" si="43"/>
        <v>7.599999999999989</v>
      </c>
      <c r="AM78" s="1">
        <f t="shared" si="47"/>
        <v>19.432833104755272</v>
      </c>
      <c r="AN78" s="1">
        <f t="shared" si="35"/>
        <v>2.0290615688916454</v>
      </c>
      <c r="AO78" s="1">
        <f t="shared" si="36"/>
        <v>9.484963024030364</v>
      </c>
      <c r="AP78" s="1">
        <f t="shared" si="44"/>
        <v>10.344914498139035</v>
      </c>
      <c r="AQ78" s="63">
        <f>AVERAGE(AP$2:$AP78)</f>
        <v>12.384249109445378</v>
      </c>
      <c r="AR78" s="66"/>
      <c r="AW78" s="1"/>
      <c r="AY78" s="1"/>
    </row>
    <row r="79" spans="1:51" ht="17" thickBot="1" x14ac:dyDescent="0.25">
      <c r="A79" s="101">
        <f t="shared" si="27"/>
        <v>2500</v>
      </c>
      <c r="B79" s="30">
        <f t="shared" si="21"/>
        <v>0</v>
      </c>
      <c r="C79" s="33">
        <f>SUM(B$54:$B79)</f>
        <v>202.27743312185243</v>
      </c>
      <c r="D79" s="29">
        <f t="shared" si="28"/>
        <v>2500</v>
      </c>
      <c r="E79" s="32">
        <f t="shared" si="25"/>
        <v>10.190033203558725</v>
      </c>
      <c r="F79" s="28">
        <f t="shared" si="22"/>
        <v>0.67570251055895469</v>
      </c>
      <c r="G79" s="28">
        <f t="shared" si="23"/>
        <v>10.735921677582727</v>
      </c>
      <c r="H79" s="6">
        <f t="shared" si="24"/>
        <v>0</v>
      </c>
      <c r="I79" s="37">
        <f t="shared" si="29"/>
        <v>2600</v>
      </c>
      <c r="J79" s="128">
        <f>AVERAGE(H$54:$H79)</f>
        <v>9.5001592969088371E-3</v>
      </c>
      <c r="K79" s="13"/>
      <c r="L79" s="13"/>
      <c r="M79" s="31">
        <f t="shared" si="26"/>
        <v>0</v>
      </c>
      <c r="N79" s="29">
        <f t="shared" si="30"/>
        <v>2600</v>
      </c>
      <c r="O79" s="6">
        <f>AVERAGE(M$54:$M79)</f>
        <v>1.0431559046381655E-2</v>
      </c>
      <c r="P79" s="13"/>
      <c r="Q79" s="11"/>
      <c r="R79" s="117">
        <f t="shared" si="45"/>
        <v>-1.4710000000000001E-2</v>
      </c>
      <c r="S79" s="73">
        <f t="shared" si="31"/>
        <v>0</v>
      </c>
      <c r="T79" s="78">
        <f t="shared" si="37"/>
        <v>-1.4710000000000001E-2</v>
      </c>
      <c r="U79" s="78">
        <f t="shared" si="32"/>
        <v>0</v>
      </c>
      <c r="V79" s="84">
        <f t="shared" si="33"/>
        <v>-1.4710000000000001E-2</v>
      </c>
      <c r="AC79" s="125">
        <f t="shared" si="38"/>
        <v>5.9469900570061522</v>
      </c>
      <c r="AD79" s="80">
        <f t="shared" si="46"/>
        <v>7.6999999999999886</v>
      </c>
      <c r="AE79" s="81">
        <f t="shared" si="39"/>
        <v>19.883615889562154</v>
      </c>
      <c r="AF79" s="81">
        <f t="shared" si="34"/>
        <v>7.6999999999999886</v>
      </c>
      <c r="AG79" s="80">
        <f t="shared" si="40"/>
        <v>19.580546917702566</v>
      </c>
      <c r="AH79" s="80">
        <f t="shared" si="41"/>
        <v>118.24766599255567</v>
      </c>
      <c r="AI79" s="80">
        <f t="shared" si="42"/>
        <v>116.44531783031962</v>
      </c>
      <c r="AL79" s="1">
        <f t="shared" si="43"/>
        <v>7.6999999999999886</v>
      </c>
      <c r="AM79" s="1">
        <f t="shared" si="47"/>
        <v>19.931212133824872</v>
      </c>
      <c r="AN79" s="1">
        <f t="shared" si="35"/>
        <v>1.3313359536495213</v>
      </c>
      <c r="AO79" s="1">
        <f t="shared" si="36"/>
        <v>12.279777403728968</v>
      </c>
      <c r="AP79" s="1">
        <f t="shared" si="44"/>
        <v>11.172762578111303</v>
      </c>
      <c r="AQ79" s="63">
        <f>AVERAGE(AP$2:$AP79)</f>
        <v>12.368717230838532</v>
      </c>
      <c r="AR79" s="66"/>
      <c r="AW79" s="1"/>
      <c r="AY79" s="1"/>
    </row>
    <row r="80" spans="1:51" ht="17" thickBot="1" x14ac:dyDescent="0.25">
      <c r="A80" s="101">
        <f t="shared" si="27"/>
        <v>2600</v>
      </c>
      <c r="B80" s="30">
        <f t="shared" si="21"/>
        <v>0</v>
      </c>
      <c r="C80" s="33">
        <f>SUM(B$54:$B80)</f>
        <v>202.27743312185243</v>
      </c>
      <c r="D80" s="29">
        <f t="shared" si="28"/>
        <v>2600</v>
      </c>
      <c r="E80" s="32">
        <f t="shared" si="25"/>
        <v>10.210251295189243</v>
      </c>
      <c r="F80" s="28">
        <f t="shared" si="22"/>
        <v>0.67570251055895469</v>
      </c>
      <c r="G80" s="28">
        <f t="shared" si="23"/>
        <v>10.735921677582727</v>
      </c>
      <c r="H80" s="6">
        <f t="shared" si="24"/>
        <v>0</v>
      </c>
      <c r="I80" s="37">
        <f t="shared" si="29"/>
        <v>2700</v>
      </c>
      <c r="J80" s="128">
        <f>AVERAGE(H$54:$H80)</f>
        <v>9.1483015451714732E-3</v>
      </c>
      <c r="K80" s="13"/>
      <c r="L80" s="13"/>
      <c r="M80" s="31">
        <f t="shared" si="26"/>
        <v>0</v>
      </c>
      <c r="N80" s="29">
        <f t="shared" si="30"/>
        <v>2700</v>
      </c>
      <c r="O80" s="6">
        <f>AVERAGE(M$54:$M80)</f>
        <v>1.0045205007626779E-2</v>
      </c>
      <c r="P80" s="13"/>
      <c r="Q80" s="11"/>
      <c r="R80" s="117">
        <f t="shared" si="45"/>
        <v>-1.4710000000000001E-2</v>
      </c>
      <c r="S80" s="73">
        <f t="shared" si="31"/>
        <v>0</v>
      </c>
      <c r="T80" s="78">
        <f t="shared" si="37"/>
        <v>-1.4710000000000001E-2</v>
      </c>
      <c r="U80" s="78">
        <f t="shared" si="32"/>
        <v>0</v>
      </c>
      <c r="V80" s="84">
        <f t="shared" si="33"/>
        <v>-1.4710000000000001E-2</v>
      </c>
      <c r="AC80" s="125">
        <f t="shared" si="38"/>
        <v>5.9469900570061522</v>
      </c>
      <c r="AD80" s="80">
        <f t="shared" si="46"/>
        <v>7.7999999999999883</v>
      </c>
      <c r="AE80" s="81">
        <f t="shared" si="39"/>
        <v>19.883615889562154</v>
      </c>
      <c r="AF80" s="81">
        <f t="shared" si="34"/>
        <v>7.7999999999999883</v>
      </c>
      <c r="AG80" s="80">
        <f t="shared" si="40"/>
        <v>19.580546917702566</v>
      </c>
      <c r="AH80" s="80">
        <f t="shared" si="41"/>
        <v>118.24766599255567</v>
      </c>
      <c r="AI80" s="80">
        <f t="shared" si="42"/>
        <v>116.44531783031962</v>
      </c>
      <c r="AL80" s="1">
        <f t="shared" si="43"/>
        <v>7.7999999999999883</v>
      </c>
      <c r="AM80" s="1">
        <f t="shared" si="47"/>
        <v>19.931212133824872</v>
      </c>
      <c r="AN80" s="1">
        <f t="shared" si="35"/>
        <v>1.3313359536495213</v>
      </c>
      <c r="AO80" s="1">
        <f t="shared" si="36"/>
        <v>12.279777403728968</v>
      </c>
      <c r="AP80" s="1">
        <f t="shared" si="44"/>
        <v>11.172762578111303</v>
      </c>
      <c r="AQ80" s="63">
        <f>AVERAGE(AP$2:$AP80)</f>
        <v>12.353578564348314</v>
      </c>
      <c r="AR80" s="66"/>
      <c r="AW80" s="1"/>
      <c r="AY80" s="1"/>
    </row>
    <row r="81" spans="1:51" ht="17" thickBot="1" x14ac:dyDescent="0.25">
      <c r="A81" s="101">
        <f t="shared" si="27"/>
        <v>2700</v>
      </c>
      <c r="B81" s="30">
        <f t="shared" si="21"/>
        <v>0</v>
      </c>
      <c r="C81" s="33">
        <f>SUM(B$54:$B81)</f>
        <v>202.27743312185243</v>
      </c>
      <c r="D81" s="29">
        <f t="shared" si="28"/>
        <v>2700</v>
      </c>
      <c r="E81" s="32">
        <f t="shared" si="25"/>
        <v>10.229025237417583</v>
      </c>
      <c r="F81" s="28">
        <f t="shared" si="22"/>
        <v>0.67570251055895469</v>
      </c>
      <c r="G81" s="28">
        <f t="shared" si="23"/>
        <v>10.735921677582727</v>
      </c>
      <c r="H81" s="6">
        <f t="shared" si="24"/>
        <v>0</v>
      </c>
      <c r="I81" s="37">
        <f t="shared" si="29"/>
        <v>2800</v>
      </c>
      <c r="J81" s="128">
        <f>AVERAGE(H$54:$H81)</f>
        <v>8.821576489986778E-3</v>
      </c>
      <c r="K81" s="13"/>
      <c r="L81" s="13"/>
      <c r="M81" s="31">
        <f t="shared" si="26"/>
        <v>0</v>
      </c>
      <c r="N81" s="29">
        <f t="shared" si="30"/>
        <v>2800</v>
      </c>
      <c r="O81" s="6">
        <f>AVERAGE(M$54:$M81)</f>
        <v>9.6864476859258222E-3</v>
      </c>
      <c r="P81" s="13"/>
      <c r="Q81" s="11"/>
      <c r="R81" s="117">
        <f t="shared" si="45"/>
        <v>-1.4710000000000001E-2</v>
      </c>
      <c r="S81" s="73">
        <f t="shared" si="31"/>
        <v>0</v>
      </c>
      <c r="T81" s="78">
        <f t="shared" si="37"/>
        <v>-1.4710000000000001E-2</v>
      </c>
      <c r="U81" s="78">
        <f t="shared" si="32"/>
        <v>0</v>
      </c>
      <c r="V81" s="84">
        <f t="shared" si="33"/>
        <v>-1.4710000000000001E-2</v>
      </c>
      <c r="AC81" s="125">
        <f t="shared" si="38"/>
        <v>5.9469900570061522</v>
      </c>
      <c r="AD81" s="80">
        <f t="shared" si="46"/>
        <v>7.8999999999999879</v>
      </c>
      <c r="AE81" s="81">
        <f t="shared" si="39"/>
        <v>19.883615889562154</v>
      </c>
      <c r="AF81" s="81">
        <f t="shared" si="34"/>
        <v>7.8999999999999879</v>
      </c>
      <c r="AG81" s="80">
        <f t="shared" si="40"/>
        <v>19.580546917702566</v>
      </c>
      <c r="AH81" s="80">
        <f t="shared" si="41"/>
        <v>118.24766599255567</v>
      </c>
      <c r="AI81" s="80">
        <f t="shared" si="42"/>
        <v>116.44531783031962</v>
      </c>
      <c r="AL81" s="1">
        <f t="shared" si="43"/>
        <v>7.8999999999999879</v>
      </c>
      <c r="AM81" s="1">
        <f t="shared" si="47"/>
        <v>19.931212133824872</v>
      </c>
      <c r="AN81" s="1">
        <f t="shared" si="35"/>
        <v>1.3313359536495213</v>
      </c>
      <c r="AO81" s="1">
        <f t="shared" si="36"/>
        <v>12.279777403728968</v>
      </c>
      <c r="AP81" s="1">
        <f t="shared" si="44"/>
        <v>11.172762578111303</v>
      </c>
      <c r="AQ81" s="63">
        <f>AVERAGE(AP$2:$AP81)</f>
        <v>12.338818364520353</v>
      </c>
      <c r="AR81" s="66"/>
      <c r="AW81" s="1"/>
      <c r="AY81" s="1"/>
    </row>
    <row r="82" spans="1:51" ht="17" thickBot="1" x14ac:dyDescent="0.25">
      <c r="A82" s="101">
        <f t="shared" si="27"/>
        <v>2800</v>
      </c>
      <c r="B82" s="30">
        <f t="shared" si="21"/>
        <v>0</v>
      </c>
      <c r="C82" s="33">
        <f>SUM(B$54:$B82)</f>
        <v>202.27743312185243</v>
      </c>
      <c r="D82" s="29">
        <f t="shared" si="28"/>
        <v>2800</v>
      </c>
      <c r="E82" s="32">
        <f t="shared" si="25"/>
        <v>10.246504425009483</v>
      </c>
      <c r="F82" s="28">
        <f t="shared" si="22"/>
        <v>0.67570251055895469</v>
      </c>
      <c r="G82" s="28">
        <f t="shared" si="23"/>
        <v>10.735921677582727</v>
      </c>
      <c r="H82" s="6">
        <f t="shared" si="24"/>
        <v>0</v>
      </c>
      <c r="I82" s="37">
        <f t="shared" si="29"/>
        <v>2900</v>
      </c>
      <c r="J82" s="128">
        <f>AVERAGE(H$54:$H82)</f>
        <v>8.517384197228613E-3</v>
      </c>
      <c r="K82" s="13"/>
      <c r="L82" s="13"/>
      <c r="M82" s="31">
        <f t="shared" si="26"/>
        <v>0</v>
      </c>
      <c r="N82" s="29">
        <f t="shared" si="30"/>
        <v>2900</v>
      </c>
      <c r="O82" s="6">
        <f>AVERAGE(M$54:$M82)</f>
        <v>9.3524322484801053E-3</v>
      </c>
      <c r="P82" s="13"/>
      <c r="Q82" s="11"/>
      <c r="R82" s="117">
        <f t="shared" si="45"/>
        <v>-1.4710000000000001E-2</v>
      </c>
      <c r="S82" s="73">
        <f t="shared" si="31"/>
        <v>0</v>
      </c>
      <c r="T82" s="78">
        <f t="shared" si="37"/>
        <v>-1.4710000000000001E-2</v>
      </c>
      <c r="U82" s="78">
        <f t="shared" si="32"/>
        <v>0</v>
      </c>
      <c r="V82" s="84">
        <f t="shared" si="33"/>
        <v>-1.4710000000000001E-2</v>
      </c>
      <c r="AC82" s="125">
        <f t="shared" si="38"/>
        <v>5.9469900570061522</v>
      </c>
      <c r="AD82" s="80">
        <f t="shared" si="46"/>
        <v>7.9999999999999876</v>
      </c>
      <c r="AE82" s="81">
        <f t="shared" si="39"/>
        <v>19.883615889562154</v>
      </c>
      <c r="AF82" s="81">
        <f t="shared" si="34"/>
        <v>7.9999999999999876</v>
      </c>
      <c r="AG82" s="80">
        <f t="shared" si="40"/>
        <v>19.580546917702566</v>
      </c>
      <c r="AH82" s="80">
        <f t="shared" si="41"/>
        <v>118.24766599255567</v>
      </c>
      <c r="AI82" s="80">
        <f t="shared" si="42"/>
        <v>116.44531783031962</v>
      </c>
      <c r="AL82" s="1">
        <f t="shared" si="43"/>
        <v>7.9999999999999876</v>
      </c>
      <c r="AM82" s="1">
        <f t="shared" si="47"/>
        <v>19.931212133824872</v>
      </c>
      <c r="AN82" s="1">
        <f t="shared" si="35"/>
        <v>1.3313359536495213</v>
      </c>
      <c r="AO82" s="1">
        <f t="shared" si="36"/>
        <v>12.279777403728968</v>
      </c>
      <c r="AP82" s="1">
        <f t="shared" si="44"/>
        <v>11.172762578111303</v>
      </c>
      <c r="AQ82" s="63">
        <f>AVERAGE(AP$2:$AP82)</f>
        <v>12.324422614070858</v>
      </c>
      <c r="AR82" s="66"/>
      <c r="AW82" s="1"/>
      <c r="AY82" s="1"/>
    </row>
    <row r="83" spans="1:51" ht="17" thickBot="1" x14ac:dyDescent="0.25">
      <c r="A83" s="101">
        <f t="shared" si="27"/>
        <v>2900</v>
      </c>
      <c r="B83" s="30">
        <f t="shared" si="21"/>
        <v>-17.571427282370284</v>
      </c>
      <c r="C83" s="33">
        <f>SUM(B$54:$B83)</f>
        <v>184.70600583948215</v>
      </c>
      <c r="D83" s="29">
        <f t="shared" si="28"/>
        <v>2900</v>
      </c>
      <c r="E83" s="32">
        <f t="shared" si="25"/>
        <v>10.262818333428591</v>
      </c>
      <c r="F83" s="28">
        <f t="shared" si="22"/>
        <v>0.67570251055895469</v>
      </c>
      <c r="G83" s="28">
        <f t="shared" si="23"/>
        <v>10.735921677582727</v>
      </c>
      <c r="H83" s="6">
        <f t="shared" si="24"/>
        <v>2.3064191634399062E-2</v>
      </c>
      <c r="I83" s="37">
        <f t="shared" si="29"/>
        <v>3000</v>
      </c>
      <c r="J83" s="128">
        <f>AVERAGE(H$54:$H83)</f>
        <v>9.0022777784676284E-3</v>
      </c>
      <c r="K83" s="13"/>
      <c r="L83" s="13"/>
      <c r="M83" s="31">
        <f t="shared" si="26"/>
        <v>3.6254651726808126E-2</v>
      </c>
      <c r="N83" s="29">
        <f t="shared" si="30"/>
        <v>3000</v>
      </c>
      <c r="O83" s="6">
        <f>AVERAGE(M$54:$M83)</f>
        <v>1.0249172897757706E-2</v>
      </c>
      <c r="P83" s="13"/>
      <c r="Q83" s="11"/>
      <c r="R83" s="117">
        <f t="shared" si="45"/>
        <v>-1.4710000000000001E-2</v>
      </c>
      <c r="S83" s="73">
        <f t="shared" si="31"/>
        <v>0</v>
      </c>
      <c r="T83" s="78">
        <f t="shared" si="37"/>
        <v>-1.4710000000000001E-2</v>
      </c>
      <c r="U83" s="78">
        <f t="shared" si="32"/>
        <v>0</v>
      </c>
      <c r="V83" s="84">
        <f t="shared" si="33"/>
        <v>-1.4710000000000001E-2</v>
      </c>
      <c r="AC83" s="125">
        <f t="shared" si="38"/>
        <v>5.9469900570061522</v>
      </c>
      <c r="AD83" s="80">
        <f t="shared" si="46"/>
        <v>8.0999999999999872</v>
      </c>
      <c r="AE83" s="81">
        <f t="shared" si="39"/>
        <v>19.883615889562154</v>
      </c>
      <c r="AF83" s="81">
        <f t="shared" si="34"/>
        <v>8.0999999999999872</v>
      </c>
      <c r="AG83" s="80">
        <f t="shared" si="40"/>
        <v>19.580546917702566</v>
      </c>
      <c r="AH83" s="80">
        <f t="shared" si="41"/>
        <v>118.24766599255567</v>
      </c>
      <c r="AI83" s="80">
        <f t="shared" si="42"/>
        <v>116.44531783031962</v>
      </c>
      <c r="AL83" s="1">
        <f t="shared" si="43"/>
        <v>8.0999999999999872</v>
      </c>
      <c r="AM83" s="1">
        <f t="shared" si="47"/>
        <v>19.931212133824872</v>
      </c>
      <c r="AN83" s="1">
        <f t="shared" si="35"/>
        <v>1.3313359536495213</v>
      </c>
      <c r="AO83" s="1">
        <f t="shared" si="36"/>
        <v>12.279777403728968</v>
      </c>
      <c r="AP83" s="1">
        <f t="shared" si="44"/>
        <v>11.172762578111303</v>
      </c>
      <c r="AQ83" s="63">
        <f>AVERAGE(AP$2:$AP83)</f>
        <v>12.310377979485986</v>
      </c>
      <c r="AR83" s="66"/>
      <c r="AW83" s="1"/>
      <c r="AY83" s="1"/>
    </row>
    <row r="84" spans="1:51" ht="17" thickBot="1" x14ac:dyDescent="0.25">
      <c r="A84" s="101">
        <f t="shared" si="27"/>
        <v>3000</v>
      </c>
      <c r="B84" s="30">
        <f t="shared" si="21"/>
        <v>0</v>
      </c>
      <c r="C84" s="33">
        <f>SUM(B$54:$B84)</f>
        <v>184.70600583948215</v>
      </c>
      <c r="D84" s="29">
        <f t="shared" si="28"/>
        <v>3000</v>
      </c>
      <c r="E84" s="32">
        <f t="shared" si="25"/>
        <v>10.179417991217353</v>
      </c>
      <c r="F84" s="28">
        <f t="shared" si="22"/>
        <v>0.46087054431465424</v>
      </c>
      <c r="G84" s="28">
        <f t="shared" si="23"/>
        <v>7.6774077248802</v>
      </c>
      <c r="H84" s="6">
        <f t="shared" si="24"/>
        <v>0</v>
      </c>
      <c r="I84" s="37">
        <f t="shared" si="29"/>
        <v>3100</v>
      </c>
      <c r="J84" s="128">
        <f>AVERAGE(H$54:$H84)</f>
        <v>8.7118817210977053E-3</v>
      </c>
      <c r="K84" s="13"/>
      <c r="L84" s="13"/>
      <c r="M84" s="31">
        <f t="shared" si="26"/>
        <v>0</v>
      </c>
      <c r="N84" s="29">
        <f t="shared" si="30"/>
        <v>3100</v>
      </c>
      <c r="O84" s="6">
        <f>AVERAGE(M$54:$M84)</f>
        <v>9.9185544171848765E-3</v>
      </c>
      <c r="P84" s="13"/>
      <c r="Q84" s="11"/>
      <c r="R84" s="117">
        <f t="shared" si="45"/>
        <v>-1.4710000000000001E-2</v>
      </c>
      <c r="S84" s="73">
        <f t="shared" si="31"/>
        <v>0</v>
      </c>
      <c r="T84" s="78">
        <f t="shared" si="37"/>
        <v>-1.4710000000000001E-2</v>
      </c>
      <c r="U84" s="78">
        <f t="shared" si="32"/>
        <v>0</v>
      </c>
      <c r="V84" s="84">
        <f t="shared" si="33"/>
        <v>-1.4710000000000001E-2</v>
      </c>
      <c r="AC84" s="125">
        <f t="shared" si="38"/>
        <v>5.9469900570061522</v>
      </c>
      <c r="AD84" s="80">
        <f t="shared" si="46"/>
        <v>8.1999999999999869</v>
      </c>
      <c r="AE84" s="81">
        <f t="shared" si="39"/>
        <v>19.883615889562154</v>
      </c>
      <c r="AF84" s="81">
        <f t="shared" si="34"/>
        <v>8.1999999999999869</v>
      </c>
      <c r="AG84" s="80">
        <f t="shared" si="40"/>
        <v>19.580546917702566</v>
      </c>
      <c r="AH84" s="80">
        <f t="shared" si="41"/>
        <v>118.24766599255567</v>
      </c>
      <c r="AI84" s="80">
        <f t="shared" si="42"/>
        <v>116.44531783031962</v>
      </c>
      <c r="AL84" s="1">
        <f t="shared" si="43"/>
        <v>8.1999999999999869</v>
      </c>
      <c r="AM84" s="1">
        <f t="shared" si="47"/>
        <v>19.931212133824872</v>
      </c>
      <c r="AN84" s="1">
        <f t="shared" si="35"/>
        <v>1.3313359536495213</v>
      </c>
      <c r="AO84" s="1">
        <f t="shared" si="36"/>
        <v>12.279777403728968</v>
      </c>
      <c r="AP84" s="1">
        <f t="shared" si="44"/>
        <v>11.172762578111303</v>
      </c>
      <c r="AQ84" s="63">
        <f>AVERAGE(AP$2:$AP84)</f>
        <v>12.296671769830871</v>
      </c>
      <c r="AR84" s="66"/>
      <c r="AW84" s="1"/>
      <c r="AY84" s="1"/>
    </row>
    <row r="85" spans="1:51" ht="17" thickBot="1" x14ac:dyDescent="0.25">
      <c r="A85" s="101">
        <f t="shared" si="27"/>
        <v>3100</v>
      </c>
      <c r="B85" s="30">
        <f t="shared" si="21"/>
        <v>0</v>
      </c>
      <c r="C85" s="33">
        <f>SUM(B$54:$B85)</f>
        <v>184.70600583948215</v>
      </c>
      <c r="D85" s="29">
        <f t="shared" si="28"/>
        <v>3100</v>
      </c>
      <c r="E85" s="32">
        <f t="shared" si="25"/>
        <v>10.101230170394317</v>
      </c>
      <c r="F85" s="28">
        <f t="shared" si="22"/>
        <v>0.46087054431465424</v>
      </c>
      <c r="G85" s="28">
        <f t="shared" si="23"/>
        <v>7.6774077248802</v>
      </c>
      <c r="H85" s="6">
        <f t="shared" si="24"/>
        <v>0</v>
      </c>
      <c r="I85" s="37">
        <f t="shared" si="29"/>
        <v>3200</v>
      </c>
      <c r="J85" s="128">
        <f>AVERAGE(H$54:$H85)</f>
        <v>8.4396354173134017E-3</v>
      </c>
      <c r="K85" s="13"/>
      <c r="L85" s="13"/>
      <c r="M85" s="31">
        <f t="shared" si="26"/>
        <v>0</v>
      </c>
      <c r="N85" s="29">
        <f t="shared" si="30"/>
        <v>3200</v>
      </c>
      <c r="O85" s="6">
        <f>AVERAGE(M$54:$M85)</f>
        <v>9.6085995916478494E-3</v>
      </c>
      <c r="P85" s="13"/>
      <c r="Q85" s="11"/>
      <c r="R85" s="117">
        <f t="shared" si="45"/>
        <v>-1.4710000000000001E-2</v>
      </c>
      <c r="S85" s="73">
        <f t="shared" si="31"/>
        <v>0</v>
      </c>
      <c r="T85" s="78">
        <f t="shared" si="37"/>
        <v>-1.4710000000000001E-2</v>
      </c>
      <c r="U85" s="78">
        <f t="shared" si="32"/>
        <v>0</v>
      </c>
      <c r="V85" s="84">
        <f t="shared" si="33"/>
        <v>-1.4710000000000001E-2</v>
      </c>
      <c r="AC85" s="125">
        <f t="shared" si="38"/>
        <v>5.871836059652451</v>
      </c>
      <c r="AD85" s="80">
        <f t="shared" si="46"/>
        <v>8.2999999999999865</v>
      </c>
      <c r="AE85" s="81">
        <f t="shared" si="39"/>
        <v>21.682680913577464</v>
      </c>
      <c r="AF85" s="81">
        <f t="shared" si="34"/>
        <v>8.2999999999999865</v>
      </c>
      <c r="AG85" s="80">
        <f t="shared" si="40"/>
        <v>19.882444738594891</v>
      </c>
      <c r="AH85" s="80">
        <f t="shared" si="41"/>
        <v>127.3171476582821</v>
      </c>
      <c r="AI85" s="80">
        <f t="shared" si="42"/>
        <v>116.74645597012864</v>
      </c>
      <c r="AL85" s="1">
        <f t="shared" si="43"/>
        <v>8.2999999999999865</v>
      </c>
      <c r="AM85" s="1">
        <f t="shared" si="47"/>
        <v>21.6683203055901</v>
      </c>
      <c r="AN85" s="1">
        <f t="shared" si="35"/>
        <v>3.1304009776648307</v>
      </c>
      <c r="AO85" s="1">
        <f t="shared" si="36"/>
        <v>12.581675224621293</v>
      </c>
      <c r="AP85" s="1">
        <f t="shared" si="44"/>
        <v>12.806549344136265</v>
      </c>
      <c r="AQ85" s="63">
        <f>AVERAGE(AP$2:$AP85)</f>
        <v>12.302741740953556</v>
      </c>
      <c r="AR85" s="66"/>
      <c r="AW85" s="1"/>
      <c r="AY85" s="1"/>
    </row>
    <row r="86" spans="1:51" ht="17" thickBot="1" x14ac:dyDescent="0.25">
      <c r="A86" s="101">
        <f t="shared" si="27"/>
        <v>3200</v>
      </c>
      <c r="B86" s="30">
        <f t="shared" si="21"/>
        <v>0</v>
      </c>
      <c r="C86" s="33">
        <f>SUM(B$54:$B86)</f>
        <v>184.70600583948215</v>
      </c>
      <c r="D86" s="29">
        <f t="shared" si="28"/>
        <v>3200</v>
      </c>
      <c r="E86" s="32">
        <f t="shared" si="25"/>
        <v>10.027781005378737</v>
      </c>
      <c r="F86" s="28">
        <f t="shared" si="22"/>
        <v>0.46087054431465424</v>
      </c>
      <c r="G86" s="28">
        <f t="shared" si="23"/>
        <v>7.6774077248802</v>
      </c>
      <c r="H86" s="6">
        <f t="shared" si="24"/>
        <v>0</v>
      </c>
      <c r="I86" s="37">
        <f t="shared" si="29"/>
        <v>3300</v>
      </c>
      <c r="J86" s="128">
        <f>AVERAGE(H$54:$H86)</f>
        <v>8.1838888895160253E-3</v>
      </c>
      <c r="K86" s="13"/>
      <c r="L86" s="13"/>
      <c r="M86" s="31">
        <f t="shared" si="26"/>
        <v>0</v>
      </c>
      <c r="N86" s="29">
        <f t="shared" si="30"/>
        <v>3300</v>
      </c>
      <c r="O86" s="6">
        <f>AVERAGE(M$54:$M86)</f>
        <v>9.3174299070524595E-3</v>
      </c>
      <c r="P86" s="13"/>
      <c r="Q86" s="11"/>
      <c r="R86" s="117">
        <f t="shared" si="45"/>
        <v>-1.4710000000000001E-2</v>
      </c>
      <c r="S86" s="73">
        <f t="shared" si="31"/>
        <v>0</v>
      </c>
      <c r="T86" s="78">
        <f t="shared" si="37"/>
        <v>-1.4710000000000001E-2</v>
      </c>
      <c r="U86" s="78">
        <f t="shared" si="32"/>
        <v>0</v>
      </c>
      <c r="V86" s="84">
        <f t="shared" si="33"/>
        <v>-1.4710000000000001E-2</v>
      </c>
      <c r="AC86" s="125">
        <f t="shared" si="38"/>
        <v>5.871836059652451</v>
      </c>
      <c r="AD86" s="80">
        <f t="shared" si="46"/>
        <v>8.3999999999999861</v>
      </c>
      <c r="AE86" s="81">
        <f t="shared" si="39"/>
        <v>21.682680913577464</v>
      </c>
      <c r="AF86" s="81">
        <f t="shared" si="34"/>
        <v>8.3999999999999861</v>
      </c>
      <c r="AG86" s="80">
        <f t="shared" si="40"/>
        <v>19.882444738594891</v>
      </c>
      <c r="AH86" s="80">
        <f t="shared" si="41"/>
        <v>127.3171476582821</v>
      </c>
      <c r="AI86" s="80">
        <f t="shared" si="42"/>
        <v>116.74645597012864</v>
      </c>
      <c r="AL86" s="1">
        <f t="shared" si="43"/>
        <v>8.3999999999999861</v>
      </c>
      <c r="AM86" s="1">
        <f t="shared" si="47"/>
        <v>21.6683203055901</v>
      </c>
      <c r="AN86" s="1">
        <f t="shared" si="35"/>
        <v>3.1304009776648307</v>
      </c>
      <c r="AO86" s="1">
        <f t="shared" si="36"/>
        <v>12.581675224621293</v>
      </c>
      <c r="AP86" s="1">
        <f t="shared" si="44"/>
        <v>12.806549344136265</v>
      </c>
      <c r="AQ86" s="63">
        <f>AVERAGE(AP$2:$AP86)</f>
        <v>12.308668889226293</v>
      </c>
      <c r="AR86" s="66"/>
      <c r="AW86" s="1"/>
      <c r="AY86" s="1"/>
    </row>
    <row r="87" spans="1:51" ht="17" thickBot="1" x14ac:dyDescent="0.25">
      <c r="A87" s="101">
        <f t="shared" si="27"/>
        <v>3300</v>
      </c>
      <c r="B87" s="30">
        <f t="shared" si="21"/>
        <v>0</v>
      </c>
      <c r="C87" s="33">
        <f>SUM(B$54:$B87)</f>
        <v>184.70600583948215</v>
      </c>
      <c r="D87" s="29">
        <f t="shared" si="28"/>
        <v>3300</v>
      </c>
      <c r="E87" s="32">
        <f t="shared" si="25"/>
        <v>9.9586523794817214</v>
      </c>
      <c r="F87" s="28">
        <f t="shared" si="22"/>
        <v>0.46087054431465424</v>
      </c>
      <c r="G87" s="28">
        <f t="shared" si="23"/>
        <v>7.6774077248802</v>
      </c>
      <c r="H87" s="6">
        <f t="shared" si="24"/>
        <v>0</v>
      </c>
      <c r="I87" s="37">
        <f t="shared" si="29"/>
        <v>3400</v>
      </c>
      <c r="J87" s="128">
        <f>AVERAGE(H$54:$H87)</f>
        <v>7.9431862751184953E-3</v>
      </c>
      <c r="K87" s="13"/>
      <c r="L87" s="13"/>
      <c r="M87" s="31">
        <f t="shared" si="26"/>
        <v>0</v>
      </c>
      <c r="N87" s="29">
        <f t="shared" si="30"/>
        <v>3400</v>
      </c>
      <c r="O87" s="6">
        <f>AVERAGE(M$54:$M87)</f>
        <v>9.0433878509626822E-3</v>
      </c>
      <c r="P87" s="13"/>
      <c r="Q87" s="11"/>
      <c r="R87" s="117">
        <f t="shared" si="45"/>
        <v>-1.4710000000000001E-2</v>
      </c>
      <c r="S87" s="73">
        <f t="shared" si="31"/>
        <v>0</v>
      </c>
      <c r="T87" s="78">
        <f t="shared" si="37"/>
        <v>-1.4710000000000001E-2</v>
      </c>
      <c r="U87" s="78">
        <f t="shared" si="32"/>
        <v>0</v>
      </c>
      <c r="V87" s="84">
        <f t="shared" si="33"/>
        <v>-1.4710000000000001E-2</v>
      </c>
      <c r="AC87" s="125">
        <f t="shared" si="38"/>
        <v>5.871836059652451</v>
      </c>
      <c r="AD87" s="80">
        <f t="shared" si="46"/>
        <v>8.4999999999999858</v>
      </c>
      <c r="AE87" s="81">
        <f t="shared" si="39"/>
        <v>21.682680913577464</v>
      </c>
      <c r="AF87" s="81">
        <f t="shared" si="34"/>
        <v>8.4999999999999858</v>
      </c>
      <c r="AG87" s="80">
        <f t="shared" si="40"/>
        <v>19.882444738594891</v>
      </c>
      <c r="AH87" s="80">
        <f t="shared" si="41"/>
        <v>127.3171476582821</v>
      </c>
      <c r="AI87" s="80">
        <f t="shared" si="42"/>
        <v>116.74645597012864</v>
      </c>
      <c r="AL87" s="1">
        <f t="shared" si="43"/>
        <v>8.4999999999999858</v>
      </c>
      <c r="AM87" s="1">
        <f t="shared" si="47"/>
        <v>21.6683203055901</v>
      </c>
      <c r="AN87" s="1">
        <f t="shared" si="35"/>
        <v>3.1304009776648307</v>
      </c>
      <c r="AO87" s="1">
        <f t="shared" si="36"/>
        <v>12.581675224621293</v>
      </c>
      <c r="AP87" s="1">
        <f t="shared" si="44"/>
        <v>12.806549344136265</v>
      </c>
      <c r="AQ87" s="63">
        <f>AVERAGE(AP$2:$AP87)</f>
        <v>12.314458196841526</v>
      </c>
      <c r="AR87" s="66"/>
      <c r="AW87" s="1"/>
      <c r="AY87" s="1"/>
    </row>
    <row r="88" spans="1:51" ht="17" thickBot="1" x14ac:dyDescent="0.25">
      <c r="A88" s="101">
        <f t="shared" si="27"/>
        <v>3400</v>
      </c>
      <c r="B88" s="30">
        <f t="shared" si="21"/>
        <v>31.226943208902902</v>
      </c>
      <c r="C88" s="33">
        <f>SUM(B$54:$B88)</f>
        <v>215.93294904838504</v>
      </c>
      <c r="D88" s="29">
        <f t="shared" si="28"/>
        <v>3400</v>
      </c>
      <c r="E88" s="32">
        <f t="shared" si="25"/>
        <v>9.8934739607788202</v>
      </c>
      <c r="F88" s="28">
        <f t="shared" si="22"/>
        <v>0.46087054431465424</v>
      </c>
      <c r="G88" s="28">
        <f t="shared" si="23"/>
        <v>7.6774077248802</v>
      </c>
      <c r="H88" s="6">
        <f t="shared" si="24"/>
        <v>3.8808002032047255E-2</v>
      </c>
      <c r="I88" s="37">
        <f t="shared" si="29"/>
        <v>3500</v>
      </c>
      <c r="J88" s="128">
        <f>AVERAGE(H$54:$H88)</f>
        <v>8.8250381538878889E-3</v>
      </c>
      <c r="K88" s="13"/>
      <c r="L88" s="13"/>
      <c r="M88" s="31">
        <f t="shared" si="26"/>
        <v>4.0805995733021891E-2</v>
      </c>
      <c r="N88" s="29">
        <f t="shared" si="30"/>
        <v>3500</v>
      </c>
      <c r="O88" s="6">
        <f>AVERAGE(M$54:$M88)</f>
        <v>9.9508909333072305E-3</v>
      </c>
      <c r="P88" s="13"/>
      <c r="Q88" s="11"/>
      <c r="R88" s="117">
        <f t="shared" si="45"/>
        <v>-1.4710000000000001E-2</v>
      </c>
      <c r="S88" s="73">
        <f t="shared" si="31"/>
        <v>0</v>
      </c>
      <c r="T88" s="78">
        <f t="shared" si="37"/>
        <v>-1.4710000000000001E-2</v>
      </c>
      <c r="U88" s="78">
        <f t="shared" si="32"/>
        <v>0</v>
      </c>
      <c r="V88" s="84">
        <f t="shared" si="33"/>
        <v>-1.4710000000000001E-2</v>
      </c>
      <c r="AC88" s="125">
        <f t="shared" si="38"/>
        <v>5.871836059652451</v>
      </c>
      <c r="AD88" s="80">
        <f t="shared" si="46"/>
        <v>8.5999999999999854</v>
      </c>
      <c r="AE88" s="81">
        <f t="shared" si="39"/>
        <v>21.682680913577464</v>
      </c>
      <c r="AF88" s="81">
        <f t="shared" si="34"/>
        <v>8.5999999999999854</v>
      </c>
      <c r="AG88" s="80">
        <f t="shared" si="40"/>
        <v>19.882444738594891</v>
      </c>
      <c r="AH88" s="80">
        <f t="shared" si="41"/>
        <v>127.3171476582821</v>
      </c>
      <c r="AI88" s="80">
        <f t="shared" si="42"/>
        <v>116.74645597012864</v>
      </c>
      <c r="AL88" s="1">
        <f t="shared" si="43"/>
        <v>8.5999999999999854</v>
      </c>
      <c r="AM88" s="1">
        <f t="shared" si="47"/>
        <v>21.6683203055901</v>
      </c>
      <c r="AN88" s="1">
        <f t="shared" si="35"/>
        <v>3.1304009776648307</v>
      </c>
      <c r="AO88" s="1">
        <f t="shared" si="36"/>
        <v>12.581675224621293</v>
      </c>
      <c r="AP88" s="1">
        <f t="shared" si="44"/>
        <v>12.806549344136265</v>
      </c>
      <c r="AQ88" s="63">
        <f>AVERAGE(AP$2:$AP88)</f>
        <v>12.320114416925374</v>
      </c>
      <c r="AR88" s="66"/>
      <c r="AW88" s="1"/>
      <c r="AY88" s="1"/>
    </row>
    <row r="89" spans="1:51" ht="17" thickBot="1" x14ac:dyDescent="0.25">
      <c r="A89" s="101">
        <f t="shared" si="27"/>
        <v>3500</v>
      </c>
      <c r="B89" s="30">
        <f t="shared" si="21"/>
        <v>0</v>
      </c>
      <c r="C89" s="33">
        <f>SUM(B$54:$B89)</f>
        <v>215.93294904838504</v>
      </c>
      <c r="D89" s="29">
        <f t="shared" si="28"/>
        <v>3500</v>
      </c>
      <c r="E89" s="32">
        <f t="shared" si="25"/>
        <v>9.8519798115430071</v>
      </c>
      <c r="F89" s="28">
        <f t="shared" si="22"/>
        <v>0.96635368944295097</v>
      </c>
      <c r="G89" s="28">
        <f t="shared" si="23"/>
        <v>8.3996845882895066</v>
      </c>
      <c r="H89" s="6">
        <f t="shared" si="24"/>
        <v>0</v>
      </c>
      <c r="I89" s="37">
        <f t="shared" si="29"/>
        <v>3600</v>
      </c>
      <c r="J89" s="128">
        <f>AVERAGE(H$54:$H89)</f>
        <v>8.5798982051687803E-3</v>
      </c>
      <c r="K89" s="13"/>
      <c r="L89" s="13"/>
      <c r="M89" s="31">
        <f t="shared" si="26"/>
        <v>0</v>
      </c>
      <c r="N89" s="29">
        <f t="shared" si="30"/>
        <v>3600</v>
      </c>
      <c r="O89" s="6">
        <f>AVERAGE(M$54:$M89)</f>
        <v>9.6744772962709183E-3</v>
      </c>
      <c r="P89" s="13"/>
      <c r="Q89" s="11"/>
      <c r="R89" s="117">
        <f t="shared" si="45"/>
        <v>-1.4710000000000001E-2</v>
      </c>
      <c r="S89" s="73">
        <f t="shared" si="31"/>
        <v>0</v>
      </c>
      <c r="T89" s="78">
        <f t="shared" si="37"/>
        <v>-1.4710000000000001E-2</v>
      </c>
      <c r="U89" s="78">
        <f t="shared" si="32"/>
        <v>0</v>
      </c>
      <c r="V89" s="84">
        <f t="shared" si="33"/>
        <v>-1.4710000000000001E-2</v>
      </c>
      <c r="AC89" s="125">
        <f t="shared" si="38"/>
        <v>5.871836059652451</v>
      </c>
      <c r="AD89" s="80">
        <f t="shared" si="46"/>
        <v>8.6999999999999851</v>
      </c>
      <c r="AE89" s="81">
        <f t="shared" si="39"/>
        <v>21.682680913577464</v>
      </c>
      <c r="AF89" s="81">
        <f t="shared" si="34"/>
        <v>8.6999999999999851</v>
      </c>
      <c r="AG89" s="80">
        <f t="shared" si="40"/>
        <v>19.882444738594891</v>
      </c>
      <c r="AH89" s="80">
        <f t="shared" si="41"/>
        <v>127.3171476582821</v>
      </c>
      <c r="AI89" s="80">
        <f t="shared" si="42"/>
        <v>116.74645597012864</v>
      </c>
      <c r="AL89" s="1">
        <f t="shared" si="43"/>
        <v>8.6999999999999851</v>
      </c>
      <c r="AM89" s="1">
        <f t="shared" si="47"/>
        <v>21.6683203055901</v>
      </c>
      <c r="AN89" s="1">
        <f t="shared" si="35"/>
        <v>3.1304009776648307</v>
      </c>
      <c r="AO89" s="1">
        <f t="shared" si="36"/>
        <v>12.581675224621293</v>
      </c>
      <c r="AP89" s="1">
        <f t="shared" si="44"/>
        <v>12.806549344136265</v>
      </c>
      <c r="AQ89" s="63">
        <f>AVERAGE(AP$2:$AP89)</f>
        <v>12.325642086552772</v>
      </c>
      <c r="AR89" s="66"/>
      <c r="AW89" s="1"/>
      <c r="AY89" s="1"/>
    </row>
    <row r="90" spans="1:51" ht="17" thickBot="1" x14ac:dyDescent="0.25">
      <c r="A90" s="101">
        <f t="shared" si="27"/>
        <v>3600</v>
      </c>
      <c r="B90" s="30">
        <f t="shared" si="21"/>
        <v>0</v>
      </c>
      <c r="C90" s="33">
        <f>SUM(B$54:$B90)</f>
        <v>215.93294904838504</v>
      </c>
      <c r="D90" s="29">
        <f t="shared" si="28"/>
        <v>3600</v>
      </c>
      <c r="E90" s="32">
        <f t="shared" si="25"/>
        <v>9.812728589292913</v>
      </c>
      <c r="F90" s="28">
        <f t="shared" si="22"/>
        <v>0.96635368944295097</v>
      </c>
      <c r="G90" s="28">
        <f t="shared" si="23"/>
        <v>8.3996845882895066</v>
      </c>
      <c r="H90" s="6">
        <f t="shared" si="24"/>
        <v>0</v>
      </c>
      <c r="I90" s="37">
        <f t="shared" si="29"/>
        <v>3700</v>
      </c>
      <c r="J90" s="128">
        <f>AVERAGE(H$54:$H90)</f>
        <v>8.348009064488543E-3</v>
      </c>
      <c r="K90" s="13"/>
      <c r="L90" s="13"/>
      <c r="M90" s="31">
        <f t="shared" si="26"/>
        <v>0</v>
      </c>
      <c r="N90" s="29">
        <f t="shared" si="30"/>
        <v>3700</v>
      </c>
      <c r="O90" s="6">
        <f>AVERAGE(M$54:$M90)</f>
        <v>9.4130049369122448E-3</v>
      </c>
      <c r="P90" s="13"/>
      <c r="Q90" s="11"/>
      <c r="R90" s="117">
        <f t="shared" si="45"/>
        <v>-1.4710000000000001E-2</v>
      </c>
      <c r="S90" s="73">
        <f t="shared" si="31"/>
        <v>0</v>
      </c>
      <c r="T90" s="78">
        <f t="shared" si="37"/>
        <v>-1.4710000000000001E-2</v>
      </c>
      <c r="U90" s="78">
        <f t="shared" si="32"/>
        <v>0</v>
      </c>
      <c r="V90" s="84">
        <f t="shared" si="33"/>
        <v>-1.4710000000000001E-2</v>
      </c>
      <c r="AC90" s="125">
        <f t="shared" si="38"/>
        <v>5.7993956388591474</v>
      </c>
      <c r="AD90" s="80">
        <f t="shared" si="46"/>
        <v>8.7999999999999847</v>
      </c>
      <c r="AE90" s="81">
        <f t="shared" si="39"/>
        <v>24.28388752559999</v>
      </c>
      <c r="AF90" s="81">
        <f t="shared" si="34"/>
        <v>8.7999999999999847</v>
      </c>
      <c r="AG90" s="80">
        <f t="shared" si="40"/>
        <v>22.48712640872607</v>
      </c>
      <c r="AH90" s="80">
        <f t="shared" si="41"/>
        <v>140.83187141051064</v>
      </c>
      <c r="AI90" s="80">
        <f t="shared" si="42"/>
        <v>130.41174282524034</v>
      </c>
      <c r="AL90" s="1">
        <f t="shared" si="43"/>
        <v>8.7999999999999847</v>
      </c>
      <c r="AM90" s="1">
        <f t="shared" si="47"/>
        <v>25.186553954065914</v>
      </c>
      <c r="AN90" s="1">
        <f t="shared" si="35"/>
        <v>5.7316075896873571</v>
      </c>
      <c r="AO90" s="1">
        <f t="shared" si="36"/>
        <v>15.186356894752471</v>
      </c>
      <c r="AP90" s="1">
        <f t="shared" si="44"/>
        <v>16.435276253534663</v>
      </c>
      <c r="AQ90" s="63">
        <f>AVERAGE(AP$2:$AP90)</f>
        <v>12.371817751350322</v>
      </c>
      <c r="AR90" s="66"/>
      <c r="AW90" s="1"/>
      <c r="AY90" s="1"/>
    </row>
    <row r="91" spans="1:51" ht="17" thickBot="1" x14ac:dyDescent="0.25">
      <c r="A91" s="101">
        <f t="shared" si="27"/>
        <v>3700</v>
      </c>
      <c r="B91" s="30">
        <f t="shared" si="21"/>
        <v>0</v>
      </c>
      <c r="C91" s="33">
        <f>SUM(B$54:$B91)</f>
        <v>215.93294904838504</v>
      </c>
      <c r="D91" s="29">
        <f t="shared" si="28"/>
        <v>3700</v>
      </c>
      <c r="E91" s="32">
        <f t="shared" si="25"/>
        <v>9.7755432208454547</v>
      </c>
      <c r="F91" s="28">
        <f t="shared" si="22"/>
        <v>0.96635368944295097</v>
      </c>
      <c r="G91" s="28">
        <f t="shared" si="23"/>
        <v>8.3996845882895066</v>
      </c>
      <c r="H91" s="6">
        <f t="shared" si="24"/>
        <v>0</v>
      </c>
      <c r="I91" s="37">
        <f t="shared" si="29"/>
        <v>3800</v>
      </c>
      <c r="J91" s="128">
        <f>AVERAGE(H$54:$H91)</f>
        <v>8.1283246154230555E-3</v>
      </c>
      <c r="K91" s="13"/>
      <c r="L91" s="13"/>
      <c r="M91" s="31">
        <f t="shared" si="26"/>
        <v>0</v>
      </c>
      <c r="N91" s="29">
        <f t="shared" si="30"/>
        <v>3800</v>
      </c>
      <c r="O91" s="6">
        <f>AVERAGE(M$54:$M91)</f>
        <v>9.1652942806777129E-3</v>
      </c>
      <c r="P91" s="13"/>
      <c r="Q91" s="11"/>
      <c r="R91" s="117">
        <f t="shared" si="45"/>
        <v>-1.4710000000000001E-2</v>
      </c>
      <c r="S91" s="73">
        <f t="shared" si="31"/>
        <v>0</v>
      </c>
      <c r="T91" s="78">
        <f t="shared" si="37"/>
        <v>-1.4710000000000001E-2</v>
      </c>
      <c r="U91" s="78">
        <f t="shared" si="32"/>
        <v>0</v>
      </c>
      <c r="V91" s="84">
        <f t="shared" si="33"/>
        <v>-1.4710000000000001E-2</v>
      </c>
      <c r="AC91" s="125">
        <f t="shared" si="38"/>
        <v>5.7993956388591474</v>
      </c>
      <c r="AD91" s="80">
        <f t="shared" si="46"/>
        <v>8.8999999999999844</v>
      </c>
      <c r="AE91" s="81">
        <f t="shared" si="39"/>
        <v>24.28388752559999</v>
      </c>
      <c r="AF91" s="81">
        <f t="shared" si="34"/>
        <v>8.8999999999999844</v>
      </c>
      <c r="AG91" s="80">
        <f t="shared" si="40"/>
        <v>22.48712640872607</v>
      </c>
      <c r="AH91" s="80">
        <f t="shared" si="41"/>
        <v>140.83187141051064</v>
      </c>
      <c r="AI91" s="80">
        <f t="shared" si="42"/>
        <v>130.41174282524034</v>
      </c>
      <c r="AL91" s="1">
        <f t="shared" si="43"/>
        <v>8.8999999999999844</v>
      </c>
      <c r="AM91" s="1">
        <f t="shared" si="47"/>
        <v>25.186553954065914</v>
      </c>
      <c r="AN91" s="1">
        <f t="shared" si="35"/>
        <v>5.7316075896873571</v>
      </c>
      <c r="AO91" s="1">
        <f t="shared" si="36"/>
        <v>15.186356894752471</v>
      </c>
      <c r="AP91" s="1">
        <f t="shared" si="44"/>
        <v>16.435276253534663</v>
      </c>
      <c r="AQ91" s="63">
        <f>AVERAGE(AP$2:$AP91)</f>
        <v>12.416967290263482</v>
      </c>
      <c r="AR91" s="66"/>
      <c r="AW91" s="1"/>
      <c r="AY91" s="1"/>
    </row>
    <row r="92" spans="1:51" ht="17" thickBot="1" x14ac:dyDescent="0.25">
      <c r="A92" s="101">
        <f t="shared" si="27"/>
        <v>3800</v>
      </c>
      <c r="B92" s="30">
        <f t="shared" si="21"/>
        <v>0</v>
      </c>
      <c r="C92" s="33">
        <f>SUM(B$54:$B92)</f>
        <v>215.93294904838504</v>
      </c>
      <c r="D92" s="29">
        <f t="shared" si="28"/>
        <v>3800</v>
      </c>
      <c r="E92" s="32">
        <f t="shared" si="25"/>
        <v>9.7402647943696614</v>
      </c>
      <c r="F92" s="28">
        <f t="shared" si="22"/>
        <v>0.96635368944295097</v>
      </c>
      <c r="G92" s="28">
        <f t="shared" si="23"/>
        <v>8.3996845882895066</v>
      </c>
      <c r="H92" s="6">
        <f t="shared" si="24"/>
        <v>0</v>
      </c>
      <c r="I92" s="37">
        <f t="shared" si="29"/>
        <v>3900</v>
      </c>
      <c r="J92" s="128">
        <f>AVERAGE(H$54:$H92)</f>
        <v>7.9199060355404135E-3</v>
      </c>
      <c r="K92" s="13"/>
      <c r="L92" s="13"/>
      <c r="M92" s="31">
        <f t="shared" si="26"/>
        <v>0</v>
      </c>
      <c r="N92" s="29">
        <f t="shared" si="30"/>
        <v>3900</v>
      </c>
      <c r="O92" s="6">
        <f>AVERAGE(M$54:$M92)</f>
        <v>8.9302867350193101E-3</v>
      </c>
      <c r="P92" s="13"/>
      <c r="Q92" s="11"/>
      <c r="R92" s="117">
        <f t="shared" si="45"/>
        <v>-1.4710000000000001E-2</v>
      </c>
      <c r="S92" s="73">
        <f t="shared" si="31"/>
        <v>0</v>
      </c>
      <c r="T92" s="78">
        <f t="shared" si="37"/>
        <v>-1.4710000000000001E-2</v>
      </c>
      <c r="U92" s="78">
        <f t="shared" si="32"/>
        <v>0</v>
      </c>
      <c r="V92" s="84">
        <f t="shared" si="33"/>
        <v>-1.4710000000000001E-2</v>
      </c>
      <c r="AC92" s="125">
        <f t="shared" si="38"/>
        <v>5.7993956388591474</v>
      </c>
      <c r="AD92" s="80">
        <f t="shared" si="46"/>
        <v>8.999999999999984</v>
      </c>
      <c r="AE92" s="81">
        <f t="shared" si="39"/>
        <v>24.28388752559999</v>
      </c>
      <c r="AF92" s="81">
        <f t="shared" si="34"/>
        <v>8.999999999999984</v>
      </c>
      <c r="AG92" s="80">
        <f t="shared" si="40"/>
        <v>22.48712640872607</v>
      </c>
      <c r="AH92" s="80">
        <f t="shared" si="41"/>
        <v>140.83187141051064</v>
      </c>
      <c r="AI92" s="80">
        <f t="shared" si="42"/>
        <v>130.41174282524034</v>
      </c>
      <c r="AL92" s="1">
        <f t="shared" si="43"/>
        <v>8.999999999999984</v>
      </c>
      <c r="AM92" s="1">
        <f t="shared" si="47"/>
        <v>25.186553954065914</v>
      </c>
      <c r="AN92" s="1">
        <f t="shared" si="35"/>
        <v>5.7316075896873571</v>
      </c>
      <c r="AO92" s="1">
        <f t="shared" si="36"/>
        <v>15.186356894752471</v>
      </c>
      <c r="AP92" s="1">
        <f t="shared" si="44"/>
        <v>16.435276253534663</v>
      </c>
      <c r="AQ92" s="63">
        <f>AVERAGE(AP$2:$AP92)</f>
        <v>12.461124531618113</v>
      </c>
      <c r="AR92" s="66"/>
      <c r="AW92" s="1"/>
      <c r="AY92" s="1"/>
    </row>
    <row r="93" spans="1:51" ht="17" thickBot="1" x14ac:dyDescent="0.25">
      <c r="A93" s="101">
        <f t="shared" si="27"/>
        <v>3900</v>
      </c>
      <c r="B93" s="30">
        <f t="shared" si="21"/>
        <v>0</v>
      </c>
      <c r="C93" s="33">
        <f>SUM(B$54:$B93)</f>
        <v>215.93294904838504</v>
      </c>
      <c r="D93" s="29">
        <f t="shared" si="28"/>
        <v>3900</v>
      </c>
      <c r="E93" s="32">
        <f t="shared" si="25"/>
        <v>9.7067502892176574</v>
      </c>
      <c r="F93" s="28">
        <f t="shared" si="22"/>
        <v>0.96635368944295097</v>
      </c>
      <c r="G93" s="28">
        <f t="shared" si="23"/>
        <v>8.3996845882895066</v>
      </c>
      <c r="H93" s="6">
        <f t="shared" si="24"/>
        <v>0</v>
      </c>
      <c r="I93" s="37">
        <f t="shared" si="29"/>
        <v>4000</v>
      </c>
      <c r="J93" s="128">
        <f>AVERAGE(H$54:$H93)</f>
        <v>7.7219083846519028E-3</v>
      </c>
      <c r="K93" s="13"/>
      <c r="L93" s="13"/>
      <c r="M93" s="31">
        <f t="shared" si="26"/>
        <v>0</v>
      </c>
      <c r="N93" s="29">
        <f t="shared" si="30"/>
        <v>4000</v>
      </c>
      <c r="O93" s="6">
        <f>AVERAGE(M$54:$M93)</f>
        <v>8.7070295666438272E-3</v>
      </c>
      <c r="P93" s="13"/>
      <c r="Q93" s="11"/>
      <c r="R93" s="117">
        <f t="shared" si="45"/>
        <v>-1.4710000000000001E-2</v>
      </c>
      <c r="S93" s="73">
        <f t="shared" si="31"/>
        <v>0</v>
      </c>
      <c r="T93" s="78">
        <f t="shared" si="37"/>
        <v>-1.4710000000000001E-2</v>
      </c>
      <c r="U93" s="78">
        <f t="shared" si="32"/>
        <v>0</v>
      </c>
      <c r="V93" s="84">
        <f t="shared" si="33"/>
        <v>-1.4710000000000001E-2</v>
      </c>
      <c r="AC93" s="125">
        <f t="shared" si="38"/>
        <v>5.7993956388591474</v>
      </c>
      <c r="AD93" s="80">
        <f t="shared" si="46"/>
        <v>9.0999999999999837</v>
      </c>
      <c r="AE93" s="81">
        <f t="shared" si="39"/>
        <v>24.28388752559999</v>
      </c>
      <c r="AF93" s="81">
        <f t="shared" si="34"/>
        <v>9.0999999999999837</v>
      </c>
      <c r="AG93" s="80">
        <f t="shared" si="40"/>
        <v>22.48712640872607</v>
      </c>
      <c r="AH93" s="80">
        <f t="shared" si="41"/>
        <v>140.83187141051064</v>
      </c>
      <c r="AI93" s="80">
        <f t="shared" si="42"/>
        <v>130.41174282524034</v>
      </c>
      <c r="AL93" s="1">
        <f t="shared" si="43"/>
        <v>9.0999999999999837</v>
      </c>
      <c r="AM93" s="1">
        <f t="shared" si="47"/>
        <v>25.186553954065914</v>
      </c>
      <c r="AN93" s="1">
        <f t="shared" si="35"/>
        <v>5.7316075896873571</v>
      </c>
      <c r="AO93" s="1">
        <f t="shared" si="36"/>
        <v>15.186356894752471</v>
      </c>
      <c r="AP93" s="1">
        <f t="shared" si="44"/>
        <v>16.435276253534663</v>
      </c>
      <c r="AQ93" s="63">
        <f>AVERAGE(AP$2:$AP93)</f>
        <v>12.504321832943294</v>
      </c>
      <c r="AR93" s="66"/>
      <c r="AW93" s="1"/>
      <c r="AY93" s="1"/>
    </row>
    <row r="94" spans="1:51" ht="17" thickBot="1" x14ac:dyDescent="0.25">
      <c r="A94" s="101">
        <f t="shared" si="27"/>
        <v>4000</v>
      </c>
      <c r="B94" s="30">
        <f t="shared" si="21"/>
        <v>77.260499956164963</v>
      </c>
      <c r="C94" s="33">
        <f>SUM(B$54:$B94)</f>
        <v>293.19344900455002</v>
      </c>
      <c r="D94" s="29">
        <f t="shared" si="28"/>
        <v>4000</v>
      </c>
      <c r="E94" s="32">
        <f t="shared" si="25"/>
        <v>9.6748706379755074</v>
      </c>
      <c r="F94" s="28">
        <f t="shared" si="22"/>
        <v>0.96635368944295097</v>
      </c>
      <c r="G94" s="28">
        <f t="shared" si="23"/>
        <v>8.3996845882895066</v>
      </c>
      <c r="H94" s="6">
        <f t="shared" si="24"/>
        <v>5.6588675774171565E-2</v>
      </c>
      <c r="I94" s="37">
        <f t="shared" si="29"/>
        <v>4100</v>
      </c>
      <c r="J94" s="128">
        <f>AVERAGE(H$54:$H94)</f>
        <v>8.9137807600060404E-3</v>
      </c>
      <c r="K94" s="13"/>
      <c r="L94" s="13"/>
      <c r="M94" s="31">
        <f t="shared" si="26"/>
        <v>9.7135524667023035E-2</v>
      </c>
      <c r="N94" s="29">
        <f t="shared" si="30"/>
        <v>4100</v>
      </c>
      <c r="O94" s="6">
        <f>AVERAGE(M$54:$M94)</f>
        <v>1.086382213006771E-2</v>
      </c>
      <c r="P94" s="13"/>
      <c r="Q94" s="11"/>
      <c r="R94" s="117">
        <f t="shared" si="45"/>
        <v>-1.4710000000000001E-2</v>
      </c>
      <c r="S94" s="73">
        <f t="shared" si="31"/>
        <v>0</v>
      </c>
      <c r="T94" s="77">
        <f t="shared" si="37"/>
        <v>-1.4710000000000001E-2</v>
      </c>
      <c r="U94" s="78">
        <f t="shared" si="32"/>
        <v>0</v>
      </c>
      <c r="V94" s="87">
        <f t="shared" si="33"/>
        <v>-1.4710000000000001E-2</v>
      </c>
      <c r="AC94" s="125">
        <f t="shared" si="38"/>
        <v>5.7993956388591474</v>
      </c>
      <c r="AD94" s="80">
        <f t="shared" si="46"/>
        <v>9.1999999999999833</v>
      </c>
      <c r="AE94" s="81">
        <f t="shared" si="39"/>
        <v>24.28388752559999</v>
      </c>
      <c r="AF94" s="81">
        <f t="shared" si="34"/>
        <v>9.1999999999999833</v>
      </c>
      <c r="AG94" s="80">
        <f t="shared" si="40"/>
        <v>22.48712640872607</v>
      </c>
      <c r="AH94" s="80">
        <f t="shared" si="41"/>
        <v>140.83187141051064</v>
      </c>
      <c r="AI94" s="80">
        <f t="shared" si="42"/>
        <v>130.41174282524034</v>
      </c>
      <c r="AL94" s="1">
        <f t="shared" si="43"/>
        <v>9.1999999999999833</v>
      </c>
      <c r="AM94" s="1">
        <f t="shared" si="47"/>
        <v>25.186553954065914</v>
      </c>
      <c r="AN94" s="1">
        <f t="shared" si="35"/>
        <v>5.7316075896873571</v>
      </c>
      <c r="AO94" s="1">
        <f t="shared" si="36"/>
        <v>15.186356894752471</v>
      </c>
      <c r="AP94" s="1">
        <f t="shared" si="44"/>
        <v>16.435276253534663</v>
      </c>
      <c r="AQ94" s="63">
        <f>AVERAGE(AP$2:$AP94)</f>
        <v>12.546590160046428</v>
      </c>
      <c r="AR94" s="66"/>
      <c r="AW94" s="1"/>
      <c r="AY94" s="1"/>
    </row>
    <row r="95" spans="1:51" x14ac:dyDescent="0.2">
      <c r="A95" s="101">
        <f t="shared" si="27"/>
        <v>4100</v>
      </c>
      <c r="B95" s="30">
        <f t="shared" si="21"/>
        <v>0</v>
      </c>
      <c r="C95" s="33">
        <f>SUM(B$54:$B95)</f>
        <v>293.19344900455002</v>
      </c>
      <c r="D95" s="29">
        <f t="shared" si="28"/>
        <v>4100</v>
      </c>
      <c r="E95" s="32">
        <f t="shared" si="25"/>
        <v>9.7955454771535315</v>
      </c>
      <c r="F95" s="28">
        <f t="shared" si="22"/>
        <v>1.6400536978107074</v>
      </c>
      <c r="G95" s="28">
        <f t="shared" si="23"/>
        <v>14.743213883452464</v>
      </c>
      <c r="H95" s="6">
        <f t="shared" si="24"/>
        <v>0</v>
      </c>
      <c r="I95" s="37">
        <f t="shared" si="29"/>
        <v>4200</v>
      </c>
      <c r="J95" s="128">
        <f>AVERAGE(H$54:$H95)</f>
        <v>8.7015478847678011E-3</v>
      </c>
      <c r="K95" s="13"/>
      <c r="L95" s="13"/>
      <c r="M95" s="31">
        <f t="shared" si="26"/>
        <v>0</v>
      </c>
      <c r="N95" s="29">
        <f t="shared" si="30"/>
        <v>4200</v>
      </c>
      <c r="O95" s="6">
        <f>AVERAGE(M$54:$M95)</f>
        <v>1.0605159698399431E-2</v>
      </c>
      <c r="Q95" s="1"/>
      <c r="S95" s="68"/>
      <c r="V95" s="116"/>
      <c r="AC95" s="125">
        <f t="shared" si="38"/>
        <v>5.7291252823279963</v>
      </c>
      <c r="AD95" s="80">
        <f t="shared" si="46"/>
        <v>9.2999999999999829</v>
      </c>
      <c r="AE95" s="81">
        <f t="shared" si="39"/>
        <v>28.780535753720773</v>
      </c>
      <c r="AF95" s="81">
        <f t="shared" si="34"/>
        <v>9.2999999999999829</v>
      </c>
      <c r="AG95" s="80">
        <f t="shared" si="40"/>
        <v>24.183996580811527</v>
      </c>
      <c r="AH95" s="80">
        <f t="shared" si="41"/>
        <v>164.88729502558652</v>
      </c>
      <c r="AI95" s="80">
        <f t="shared" si="42"/>
        <v>138.55314623886113</v>
      </c>
      <c r="AL95" s="1">
        <f t="shared" si="43"/>
        <v>9.2999999999999829</v>
      </c>
      <c r="AM95" s="1">
        <f t="shared" si="47"/>
        <v>29.948002993468489</v>
      </c>
      <c r="AN95" s="1">
        <f t="shared" si="35"/>
        <v>10.22825581780814</v>
      </c>
      <c r="AO95" s="1">
        <f t="shared" si="36"/>
        <v>16.883227066837929</v>
      </c>
      <c r="AP95" s="1">
        <f t="shared" si="44"/>
        <v>21.099916119061856</v>
      </c>
      <c r="AQ95" s="63">
        <f>AVERAGE(AP$2:$AP95)</f>
        <v>12.637582989397655</v>
      </c>
      <c r="AR95" s="66"/>
      <c r="AW95" s="1"/>
      <c r="AY95" s="1"/>
    </row>
    <row r="96" spans="1:51" ht="17" thickBot="1" x14ac:dyDescent="0.25">
      <c r="A96" s="127">
        <f t="shared" si="27"/>
        <v>4200</v>
      </c>
      <c r="B96" s="30">
        <f t="shared" si="21"/>
        <v>0</v>
      </c>
      <c r="C96" s="103">
        <f>SUM(B$54:$B96)</f>
        <v>293.19344900455002</v>
      </c>
      <c r="D96" s="104">
        <f t="shared" si="28"/>
        <v>4200</v>
      </c>
      <c r="E96" s="105">
        <f t="shared" si="25"/>
        <v>9.9106075331139714</v>
      </c>
      <c r="F96" s="28">
        <f t="shared" si="22"/>
        <v>1.6400536978107074</v>
      </c>
      <c r="G96" s="28">
        <f t="shared" si="23"/>
        <v>14.743213883452464</v>
      </c>
      <c r="H96" s="106"/>
      <c r="I96" s="107">
        <f t="shared" si="29"/>
        <v>4300</v>
      </c>
      <c r="J96" s="129">
        <f>AVERAGE(H$54:$H96)</f>
        <v>8.7015478847678011E-3</v>
      </c>
      <c r="K96" s="13"/>
      <c r="L96" s="13"/>
      <c r="M96" s="108">
        <f t="shared" si="26"/>
        <v>0</v>
      </c>
      <c r="N96" s="104">
        <f t="shared" si="30"/>
        <v>4300</v>
      </c>
      <c r="O96" s="106">
        <f>AVERAGE(M$54:$M96)</f>
        <v>1.0358528077506422E-2</v>
      </c>
      <c r="Q96" s="1"/>
      <c r="S96" s="68"/>
      <c r="AC96" s="125">
        <f t="shared" si="38"/>
        <v>5.7291252823279963</v>
      </c>
      <c r="AD96" s="80">
        <f t="shared" si="46"/>
        <v>9.3999999999999826</v>
      </c>
      <c r="AE96" s="81">
        <f t="shared" si="39"/>
        <v>28.780535753720773</v>
      </c>
      <c r="AF96" s="81">
        <f t="shared" si="34"/>
        <v>9.3999999999999826</v>
      </c>
      <c r="AG96" s="80">
        <f t="shared" si="40"/>
        <v>24.183996580811527</v>
      </c>
      <c r="AH96" s="80">
        <f t="shared" si="41"/>
        <v>164.88729502558652</v>
      </c>
      <c r="AI96" s="80">
        <f t="shared" si="42"/>
        <v>138.55314623886113</v>
      </c>
      <c r="AL96" s="1">
        <f t="shared" si="43"/>
        <v>9.3999999999999826</v>
      </c>
      <c r="AM96" s="1">
        <f t="shared" si="47"/>
        <v>29.948002993468489</v>
      </c>
      <c r="AN96" s="1">
        <f t="shared" si="35"/>
        <v>10.22825581780814</v>
      </c>
      <c r="AO96" s="1">
        <f t="shared" si="36"/>
        <v>16.883227066837929</v>
      </c>
      <c r="AP96" s="1">
        <f t="shared" si="44"/>
        <v>21.099916119061856</v>
      </c>
      <c r="AQ96" s="63">
        <f>AVERAGE(AP$2:$AP96)</f>
        <v>12.726660180236227</v>
      </c>
      <c r="AR96" s="66"/>
      <c r="AW96" s="1"/>
      <c r="AY96" s="1"/>
    </row>
    <row r="97" spans="1:51" x14ac:dyDescent="0.2">
      <c r="A97" s="135" t="str">
        <f>A53</f>
        <v>z</v>
      </c>
      <c r="B97" s="136" t="str">
        <f>C53</f>
        <v>SRH SUM</v>
      </c>
      <c r="D97" s="26"/>
      <c r="E97" s="2"/>
      <c r="F97" s="2"/>
      <c r="G97" s="2"/>
      <c r="H97" s="2"/>
      <c r="I97" s="7"/>
      <c r="J97" s="2"/>
      <c r="Q97" s="1"/>
      <c r="S97" s="68"/>
      <c r="AC97" s="125">
        <f t="shared" si="38"/>
        <v>5.7291252823279963</v>
      </c>
      <c r="AD97" s="80">
        <f t="shared" si="46"/>
        <v>9.4999999999999822</v>
      </c>
      <c r="AE97" s="81">
        <f t="shared" si="39"/>
        <v>28.780535753720773</v>
      </c>
      <c r="AF97" s="81">
        <f t="shared" si="34"/>
        <v>9.4999999999999822</v>
      </c>
      <c r="AG97" s="80">
        <f t="shared" si="40"/>
        <v>24.183996580811527</v>
      </c>
      <c r="AH97" s="80">
        <f t="shared" si="41"/>
        <v>164.88729502558652</v>
      </c>
      <c r="AI97" s="80">
        <f t="shared" si="42"/>
        <v>138.55314623886113</v>
      </c>
      <c r="AL97" s="1">
        <f t="shared" si="43"/>
        <v>9.4999999999999822</v>
      </c>
      <c r="AM97" s="1">
        <f t="shared" si="47"/>
        <v>29.948002993468489</v>
      </c>
      <c r="AN97" s="1">
        <f t="shared" si="35"/>
        <v>10.22825581780814</v>
      </c>
      <c r="AO97" s="1">
        <f t="shared" si="36"/>
        <v>16.883227066837929</v>
      </c>
      <c r="AP97" s="1">
        <f t="shared" si="44"/>
        <v>21.099916119061856</v>
      </c>
      <c r="AQ97" s="63">
        <f>AVERAGE(AP$2:$AP97)</f>
        <v>12.813881596265659</v>
      </c>
      <c r="AR97" s="66"/>
      <c r="AW97" s="1"/>
      <c r="AY97" s="1"/>
    </row>
    <row r="98" spans="1:51" x14ac:dyDescent="0.2">
      <c r="A98" s="101">
        <f t="shared" ref="A98:A140" si="48">A54</f>
        <v>0</v>
      </c>
      <c r="B98" s="137">
        <f t="shared" ref="B98:B140" si="49">C54</f>
        <v>53.020433887007961</v>
      </c>
      <c r="D98" s="2"/>
      <c r="F98" s="2"/>
      <c r="H98" s="2"/>
      <c r="I98" s="7"/>
      <c r="J98" s="2"/>
      <c r="Q98" s="1"/>
      <c r="S98" s="68"/>
      <c r="AC98" s="125">
        <f t="shared" si="38"/>
        <v>5.7291252823279963</v>
      </c>
      <c r="AD98" s="80">
        <f t="shared" si="46"/>
        <v>9.5999999999999819</v>
      </c>
      <c r="AE98" s="81">
        <f t="shared" si="39"/>
        <v>28.780535753720773</v>
      </c>
      <c r="AF98" s="81">
        <f t="shared" si="34"/>
        <v>9.5999999999999819</v>
      </c>
      <c r="AG98" s="80">
        <f t="shared" si="40"/>
        <v>24.183996580811527</v>
      </c>
      <c r="AH98" s="80">
        <f t="shared" si="41"/>
        <v>164.88729502558652</v>
      </c>
      <c r="AI98" s="80">
        <f t="shared" si="42"/>
        <v>138.55314623886113</v>
      </c>
      <c r="AL98" s="1">
        <f t="shared" si="43"/>
        <v>9.5999999999999819</v>
      </c>
      <c r="AM98" s="1">
        <f t="shared" si="47"/>
        <v>29.948002993468489</v>
      </c>
      <c r="AN98" s="1">
        <f t="shared" si="35"/>
        <v>10.22825581780814</v>
      </c>
      <c r="AO98" s="1">
        <f t="shared" si="36"/>
        <v>16.883227066837929</v>
      </c>
      <c r="AP98" s="1">
        <f t="shared" si="44"/>
        <v>21.099916119061856</v>
      </c>
      <c r="AQ98" s="63">
        <f>AVERAGE(AP$2:$AP98)</f>
        <v>12.899304632583146</v>
      </c>
      <c r="AR98" s="66"/>
      <c r="AW98" s="1"/>
      <c r="AY98" s="1"/>
    </row>
    <row r="99" spans="1:51" x14ac:dyDescent="0.2">
      <c r="A99" s="101">
        <f t="shared" si="48"/>
        <v>100</v>
      </c>
      <c r="B99" s="137">
        <f t="shared" si="49"/>
        <v>69.547771010061609</v>
      </c>
      <c r="D99" s="26"/>
      <c r="F99" s="2"/>
      <c r="H99" s="2"/>
      <c r="I99" s="7"/>
      <c r="J99" s="2"/>
      <c r="Q99" s="1"/>
      <c r="S99" s="68"/>
      <c r="AC99" s="125">
        <f t="shared" si="38"/>
        <v>5.6612228602374053</v>
      </c>
      <c r="AD99" s="80">
        <f t="shared" si="46"/>
        <v>9.6999999999999815</v>
      </c>
      <c r="AE99" s="81">
        <f t="shared" si="39"/>
        <v>30.680909030884312</v>
      </c>
      <c r="AF99" s="81">
        <f t="shared" si="34"/>
        <v>9.6999999999999815</v>
      </c>
      <c r="AG99" s="80">
        <f t="shared" si="40"/>
        <v>20.984069250136823</v>
      </c>
      <c r="AH99" s="80">
        <f t="shared" si="41"/>
        <v>173.69146357850653</v>
      </c>
      <c r="AI99" s="80">
        <f t="shared" si="42"/>
        <v>118.79549253967937</v>
      </c>
      <c r="AL99" s="1">
        <f t="shared" si="43"/>
        <v>9.6999999999999815</v>
      </c>
      <c r="AM99" s="1">
        <f t="shared" si="47"/>
        <v>30.362189115656566</v>
      </c>
      <c r="AN99" s="1">
        <f t="shared" si="35"/>
        <v>12.128629094971679</v>
      </c>
      <c r="AO99" s="1">
        <f t="shared" si="36"/>
        <v>13.683299736163224</v>
      </c>
      <c r="AP99" s="1">
        <f t="shared" si="44"/>
        <v>21.282017296248792</v>
      </c>
      <c r="AQ99" s="63">
        <f>AVERAGE(AP$2:$AP99)</f>
        <v>12.984842516906264</v>
      </c>
      <c r="AR99" s="66"/>
      <c r="AW99" s="1"/>
      <c r="AY99" s="1"/>
    </row>
    <row r="100" spans="1:51" x14ac:dyDescent="0.2">
      <c r="A100" s="101">
        <f t="shared" si="48"/>
        <v>200</v>
      </c>
      <c r="B100" s="137">
        <f t="shared" si="49"/>
        <v>86.4933975752771</v>
      </c>
      <c r="C100" s="26"/>
      <c r="D100" s="26"/>
      <c r="F100" s="2"/>
      <c r="H100" s="2"/>
      <c r="I100" s="7"/>
      <c r="J100" s="2"/>
      <c r="Q100" s="1"/>
      <c r="S100" s="68"/>
      <c r="AC100" s="125">
        <f t="shared" si="38"/>
        <v>5.6612228602374053</v>
      </c>
      <c r="AD100" s="80">
        <f t="shared" si="46"/>
        <v>9.7999999999999812</v>
      </c>
      <c r="AE100" s="81">
        <f t="shared" si="39"/>
        <v>30.680909030884312</v>
      </c>
      <c r="AF100" s="81">
        <f t="shared" si="34"/>
        <v>9.7999999999999812</v>
      </c>
      <c r="AG100" s="80">
        <f t="shared" si="40"/>
        <v>20.984069250136823</v>
      </c>
      <c r="AH100" s="80">
        <f t="shared" si="41"/>
        <v>173.69146357850653</v>
      </c>
      <c r="AI100" s="80">
        <f t="shared" si="42"/>
        <v>118.79549253967937</v>
      </c>
      <c r="AL100" s="1">
        <f t="shared" si="43"/>
        <v>9.7999999999999812</v>
      </c>
      <c r="AM100" s="1">
        <f t="shared" si="47"/>
        <v>30.362189115656566</v>
      </c>
      <c r="AN100" s="1">
        <f t="shared" si="35"/>
        <v>12.128629094971679</v>
      </c>
      <c r="AO100" s="1">
        <f t="shared" si="36"/>
        <v>13.683299736163224</v>
      </c>
      <c r="AP100" s="1">
        <f t="shared" si="44"/>
        <v>21.282017296248792</v>
      </c>
      <c r="AQ100" s="63">
        <f>AVERAGE(AP$2:$AP100)</f>
        <v>13.068652363162251</v>
      </c>
      <c r="AR100" s="66"/>
      <c r="AW100" s="1"/>
      <c r="AY100" s="1"/>
    </row>
    <row r="101" spans="1:51" x14ac:dyDescent="0.2">
      <c r="A101" s="101">
        <f t="shared" si="48"/>
        <v>300</v>
      </c>
      <c r="B101" s="137">
        <f t="shared" si="49"/>
        <v>86.4933975752771</v>
      </c>
      <c r="C101" s="26"/>
      <c r="D101" s="26"/>
      <c r="F101" s="2"/>
      <c r="H101" s="2"/>
      <c r="I101" s="7"/>
      <c r="J101" s="2"/>
      <c r="S101" s="68"/>
      <c r="AC101" s="125">
        <f t="shared" si="38"/>
        <v>5.6612228602374053</v>
      </c>
      <c r="AD101" s="80">
        <f t="shared" si="46"/>
        <v>9.8999999999999808</v>
      </c>
      <c r="AE101" s="81">
        <f t="shared" si="39"/>
        <v>30.680909030884312</v>
      </c>
      <c r="AF101" s="81">
        <f t="shared" si="34"/>
        <v>9.8999999999999808</v>
      </c>
      <c r="AG101" s="80">
        <f t="shared" si="40"/>
        <v>20.984069250136823</v>
      </c>
      <c r="AH101" s="80">
        <f t="shared" si="41"/>
        <v>173.69146357850653</v>
      </c>
      <c r="AI101" s="80">
        <f t="shared" si="42"/>
        <v>118.79549253967937</v>
      </c>
      <c r="AL101" s="1">
        <f t="shared" si="43"/>
        <v>9.8999999999999808</v>
      </c>
      <c r="AM101" s="1">
        <f t="shared" si="47"/>
        <v>30.362189115656566</v>
      </c>
      <c r="AN101" s="1">
        <f t="shared" si="35"/>
        <v>12.128629094971679</v>
      </c>
      <c r="AO101" s="1">
        <f t="shared" si="36"/>
        <v>13.683299736163224</v>
      </c>
      <c r="AP101" s="1">
        <f t="shared" si="44"/>
        <v>21.282017296248792</v>
      </c>
      <c r="AQ101" s="63">
        <f>AVERAGE(AP$2:$AP101)</f>
        <v>13.150786012493116</v>
      </c>
      <c r="AR101" s="66"/>
      <c r="AW101" s="1"/>
      <c r="AY101" s="1"/>
    </row>
    <row r="102" spans="1:51" ht="17" thickBot="1" x14ac:dyDescent="0.25">
      <c r="A102" s="101">
        <f t="shared" si="48"/>
        <v>400</v>
      </c>
      <c r="B102" s="137">
        <f t="shared" si="49"/>
        <v>102.56854923139696</v>
      </c>
      <c r="C102" s="26"/>
      <c r="D102" s="26"/>
      <c r="F102" s="2"/>
      <c r="H102" s="2"/>
      <c r="I102" s="7"/>
      <c r="J102" s="2"/>
      <c r="S102" s="68"/>
      <c r="AC102" s="125">
        <f t="shared" si="38"/>
        <v>5.6612228602374053</v>
      </c>
      <c r="AD102" s="80">
        <f t="shared" si="46"/>
        <v>9.9999999999999805</v>
      </c>
      <c r="AE102" s="81">
        <f t="shared" si="39"/>
        <v>30.680909030884312</v>
      </c>
      <c r="AF102" s="81">
        <f t="shared" si="34"/>
        <v>9.9999999999999805</v>
      </c>
      <c r="AG102" s="80">
        <f t="shared" si="40"/>
        <v>20.984069250136823</v>
      </c>
      <c r="AH102" s="80">
        <f t="shared" si="41"/>
        <v>173.69146357850653</v>
      </c>
      <c r="AI102" s="80">
        <f t="shared" si="42"/>
        <v>118.79549253967937</v>
      </c>
      <c r="AL102" s="1">
        <f t="shared" si="43"/>
        <v>9.9999999999999805</v>
      </c>
      <c r="AM102" s="1">
        <f t="shared" si="47"/>
        <v>30.362189115656566</v>
      </c>
      <c r="AN102" s="1">
        <f t="shared" si="35"/>
        <v>12.128629094971679</v>
      </c>
      <c r="AO102" s="1">
        <f t="shared" si="36"/>
        <v>13.683299736163224</v>
      </c>
      <c r="AP102" s="1">
        <f t="shared" si="44"/>
        <v>21.282017296248792</v>
      </c>
      <c r="AQ102" s="63">
        <f>AVERAGE(AP$2:$AP102)</f>
        <v>13.23129325292634</v>
      </c>
      <c r="AR102" s="66"/>
      <c r="AW102" s="1"/>
      <c r="AY102" s="1"/>
    </row>
    <row r="103" spans="1:51" x14ac:dyDescent="0.2">
      <c r="A103" s="101">
        <f t="shared" si="48"/>
        <v>500</v>
      </c>
      <c r="B103" s="137">
        <f t="shared" si="49"/>
        <v>102.56854923139696</v>
      </c>
      <c r="C103" s="26"/>
      <c r="D103" s="26"/>
      <c r="F103" s="2"/>
      <c r="H103" s="2"/>
      <c r="I103" s="7"/>
      <c r="J103" s="2"/>
      <c r="S103" s="68"/>
      <c r="AC103" s="125">
        <f t="shared" si="38"/>
        <v>5.5965683903490522</v>
      </c>
      <c r="AD103" s="80">
        <f t="shared" si="46"/>
        <v>10.09999999999998</v>
      </c>
      <c r="AE103" s="81">
        <f t="shared" si="39"/>
        <v>27.878155756021453</v>
      </c>
      <c r="AF103" s="81">
        <f t="shared" si="34"/>
        <v>10.09999999999998</v>
      </c>
      <c r="AG103" s="80">
        <f t="shared" si="40"/>
        <v>13.386899714758151</v>
      </c>
      <c r="AH103" s="67">
        <f>(SUM(AH2:AH102))/(SUM(AC2:AC102))</f>
        <v>20.539138376681095</v>
      </c>
      <c r="AI103" s="90">
        <f>(SUM(AI2:AI102))/(SUM(AC2:AC102))</f>
        <v>16.986805479697637</v>
      </c>
      <c r="AL103" s="1">
        <f t="shared" si="43"/>
        <v>10.09999999999998</v>
      </c>
      <c r="AM103" s="1">
        <f>$AM$102</f>
        <v>30.362189115656566</v>
      </c>
      <c r="AN103" s="1">
        <f t="shared" si="35"/>
        <v>9.3258758201088199</v>
      </c>
      <c r="AO103" s="1">
        <f t="shared" si="36"/>
        <v>6.0861302007845532</v>
      </c>
      <c r="AQ103" s="8"/>
      <c r="AR103" s="66"/>
      <c r="AW103" s="1"/>
      <c r="AY103" s="1"/>
    </row>
    <row r="104" spans="1:51" x14ac:dyDescent="0.2">
      <c r="A104" s="101">
        <f t="shared" si="48"/>
        <v>600</v>
      </c>
      <c r="B104" s="137">
        <f t="shared" si="49"/>
        <v>122.64948998337731</v>
      </c>
      <c r="C104" s="26"/>
      <c r="D104" s="26"/>
      <c r="F104" s="2"/>
      <c r="H104" s="2"/>
      <c r="I104" s="7"/>
      <c r="J104" s="2"/>
      <c r="S104" s="68"/>
      <c r="AC104" s="125">
        <f t="shared" si="38"/>
        <v>5.5965683903490522</v>
      </c>
      <c r="AD104" s="80">
        <f t="shared" si="46"/>
        <v>10.19999999999998</v>
      </c>
      <c r="AE104" s="81">
        <f t="shared" si="39"/>
        <v>27.878155756021453</v>
      </c>
      <c r="AF104" s="81">
        <f t="shared" si="34"/>
        <v>10.19999999999998</v>
      </c>
      <c r="AG104" s="80">
        <f t="shared" si="40"/>
        <v>13.386899714758151</v>
      </c>
      <c r="AH104" s="99">
        <f>(SUM(AH2:AH102))/(SUM(AC2:AC102))</f>
        <v>20.539138376681095</v>
      </c>
      <c r="AI104" s="63">
        <f>(SUM(AI2:AI102))/(SUM(AC2:AC102))</f>
        <v>16.986805479697637</v>
      </c>
      <c r="AL104" s="1">
        <f t="shared" si="43"/>
        <v>10.19999999999998</v>
      </c>
      <c r="AM104" s="1">
        <f t="shared" ref="AM104:AM167" si="50">$AM$102</f>
        <v>30.362189115656566</v>
      </c>
      <c r="AN104" s="1">
        <f t="shared" si="35"/>
        <v>9.3258758201088199</v>
      </c>
      <c r="AO104" s="1">
        <f t="shared" si="36"/>
        <v>6.0861302007845532</v>
      </c>
      <c r="AQ104" s="8"/>
      <c r="AR104" s="66"/>
      <c r="AW104" s="1"/>
      <c r="AY104" s="1"/>
    </row>
    <row r="105" spans="1:51" ht="17" thickBot="1" x14ac:dyDescent="0.25">
      <c r="A105" s="101">
        <f t="shared" si="48"/>
        <v>700</v>
      </c>
      <c r="B105" s="137">
        <f t="shared" si="49"/>
        <v>122.64948998337731</v>
      </c>
      <c r="C105" s="26"/>
      <c r="D105" s="26"/>
      <c r="F105" s="2"/>
      <c r="H105" s="2"/>
      <c r="I105" s="7"/>
      <c r="J105" s="2"/>
      <c r="S105" s="68"/>
      <c r="AC105" s="125">
        <f t="shared" si="38"/>
        <v>5.5965683903490522</v>
      </c>
      <c r="AD105" s="80">
        <f t="shared" si="46"/>
        <v>10.299999999999979</v>
      </c>
      <c r="AE105" s="81">
        <f t="shared" si="39"/>
        <v>27.878155756021453</v>
      </c>
      <c r="AF105" s="81">
        <f t="shared" si="34"/>
        <v>10.299999999999979</v>
      </c>
      <c r="AG105" s="80">
        <f t="shared" si="40"/>
        <v>13.386899714758151</v>
      </c>
      <c r="AH105" s="92">
        <f>AVERAGE(AH103,AH104)</f>
        <v>20.539138376681095</v>
      </c>
      <c r="AI105" s="64">
        <f>AVERAGE(AI103,AI104)</f>
        <v>16.986805479697637</v>
      </c>
      <c r="AL105" s="1">
        <f t="shared" si="43"/>
        <v>10.299999999999979</v>
      </c>
      <c r="AM105" s="1">
        <f t="shared" si="50"/>
        <v>30.362189115656566</v>
      </c>
      <c r="AN105" s="1">
        <f t="shared" si="35"/>
        <v>9.3258758201088199</v>
      </c>
      <c r="AO105" s="1">
        <f t="shared" si="36"/>
        <v>6.0861302007845532</v>
      </c>
      <c r="AQ105" s="8"/>
      <c r="AR105" s="66"/>
      <c r="AW105" s="1"/>
      <c r="AY105" s="1"/>
    </row>
    <row r="106" spans="1:51" x14ac:dyDescent="0.2">
      <c r="A106" s="101">
        <f t="shared" si="48"/>
        <v>800</v>
      </c>
      <c r="B106" s="137">
        <f t="shared" si="49"/>
        <v>144.38709606719294</v>
      </c>
      <c r="C106" s="26"/>
      <c r="D106" s="26"/>
      <c r="F106" s="2"/>
      <c r="H106" s="2"/>
      <c r="I106" s="7"/>
      <c r="J106" s="2"/>
      <c r="S106" s="68"/>
      <c r="AC106" s="125">
        <f t="shared" si="38"/>
        <v>5.5965683903490522</v>
      </c>
      <c r="AD106" s="80">
        <f t="shared" si="46"/>
        <v>10.399999999999979</v>
      </c>
      <c r="AE106" s="81">
        <f t="shared" si="39"/>
        <v>27.878155756021453</v>
      </c>
      <c r="AF106" s="81">
        <f t="shared" si="34"/>
        <v>10.399999999999979</v>
      </c>
      <c r="AG106" s="80">
        <f t="shared" si="40"/>
        <v>13.386899714758151</v>
      </c>
      <c r="AL106" s="1">
        <f t="shared" si="43"/>
        <v>10.399999999999979</v>
      </c>
      <c r="AM106" s="1">
        <f t="shared" si="50"/>
        <v>30.362189115656566</v>
      </c>
      <c r="AN106" s="1">
        <f t="shared" si="35"/>
        <v>9.3258758201088199</v>
      </c>
      <c r="AO106" s="1">
        <f t="shared" si="36"/>
        <v>6.0861302007845532</v>
      </c>
      <c r="AQ106" s="8"/>
      <c r="AR106" s="66"/>
      <c r="AW106" s="1"/>
      <c r="AY106" s="1"/>
    </row>
    <row r="107" spans="1:51" x14ac:dyDescent="0.2">
      <c r="A107" s="101">
        <f t="shared" si="48"/>
        <v>900</v>
      </c>
      <c r="B107" s="137">
        <f t="shared" si="49"/>
        <v>144.38709606719294</v>
      </c>
      <c r="D107" s="26"/>
      <c r="F107" s="2"/>
      <c r="H107" s="2"/>
      <c r="I107" s="7"/>
      <c r="J107" s="2"/>
      <c r="S107" s="68"/>
      <c r="AC107" s="125">
        <f t="shared" si="38"/>
        <v>5.5965683903490522</v>
      </c>
      <c r="AD107" s="80">
        <f t="shared" si="46"/>
        <v>10.499999999999979</v>
      </c>
      <c r="AE107" s="81">
        <f t="shared" si="39"/>
        <v>27.878155756021453</v>
      </c>
      <c r="AF107" s="81">
        <f t="shared" si="34"/>
        <v>10.499999999999979</v>
      </c>
      <c r="AG107" s="80">
        <f t="shared" si="40"/>
        <v>13.386899714758151</v>
      </c>
      <c r="AL107" s="1">
        <f t="shared" si="43"/>
        <v>10.499999999999979</v>
      </c>
      <c r="AM107" s="1">
        <f t="shared" si="50"/>
        <v>30.362189115656566</v>
      </c>
      <c r="AN107" s="1">
        <f t="shared" si="35"/>
        <v>9.3258758201088199</v>
      </c>
      <c r="AO107" s="1">
        <f t="shared" si="36"/>
        <v>6.0861302007845532</v>
      </c>
      <c r="AQ107" s="8"/>
      <c r="AR107" s="66"/>
      <c r="AW107" s="1"/>
      <c r="AY107" s="1"/>
    </row>
    <row r="108" spans="1:51" x14ac:dyDescent="0.2">
      <c r="A108" s="101">
        <f t="shared" si="48"/>
        <v>1000</v>
      </c>
      <c r="B108" s="137">
        <f t="shared" si="49"/>
        <v>144.38709606719294</v>
      </c>
      <c r="C108" s="26"/>
      <c r="D108" s="26"/>
      <c r="F108" s="2"/>
      <c r="H108" s="2"/>
      <c r="I108" s="7"/>
      <c r="J108" s="2"/>
      <c r="S108" s="68"/>
      <c r="AC108" s="125">
        <f t="shared" si="38"/>
        <v>5.5318072099163906</v>
      </c>
      <c r="AD108" s="80">
        <f t="shared" si="46"/>
        <v>10.599999999999978</v>
      </c>
      <c r="AE108" s="81">
        <f t="shared" si="39"/>
        <v>26.179182812076569</v>
      </c>
      <c r="AF108" s="81">
        <f t="shared" si="34"/>
        <v>10.599999999999978</v>
      </c>
      <c r="AG108" s="80">
        <f t="shared" si="40"/>
        <v>9.6943638030568575</v>
      </c>
      <c r="AL108" s="1">
        <f t="shared" si="43"/>
        <v>10.599999999999978</v>
      </c>
      <c r="AM108" s="1">
        <f t="shared" si="50"/>
        <v>30.362189115656566</v>
      </c>
      <c r="AN108" s="1">
        <f t="shared" si="35"/>
        <v>7.6269028761639355</v>
      </c>
      <c r="AO108" s="1">
        <f t="shared" si="36"/>
        <v>2.3935942890832598</v>
      </c>
      <c r="AQ108" s="8"/>
      <c r="AR108" s="66"/>
      <c r="AW108" s="1"/>
      <c r="AY108" s="1"/>
    </row>
    <row r="109" spans="1:51" x14ac:dyDescent="0.2">
      <c r="A109" s="101">
        <f t="shared" si="48"/>
        <v>1100</v>
      </c>
      <c r="B109" s="137">
        <f t="shared" si="49"/>
        <v>164.80347349872395</v>
      </c>
      <c r="F109" s="2"/>
      <c r="H109" s="2"/>
      <c r="I109" s="7"/>
      <c r="J109" s="2"/>
      <c r="S109" s="68"/>
      <c r="AC109" s="125">
        <f t="shared" si="38"/>
        <v>5.5318072099163906</v>
      </c>
      <c r="AD109" s="80">
        <f t="shared" si="46"/>
        <v>10.699999999999978</v>
      </c>
      <c r="AE109" s="81">
        <f t="shared" si="39"/>
        <v>26.179182812076569</v>
      </c>
      <c r="AF109" s="81">
        <f t="shared" si="34"/>
        <v>10.699999999999978</v>
      </c>
      <c r="AG109" s="80">
        <f t="shared" si="40"/>
        <v>9.6943638030568575</v>
      </c>
      <c r="AL109" s="1">
        <f t="shared" si="43"/>
        <v>10.699999999999978</v>
      </c>
      <c r="AM109" s="1">
        <f t="shared" si="50"/>
        <v>30.362189115656566</v>
      </c>
      <c r="AN109" s="1">
        <f t="shared" si="35"/>
        <v>7.6269028761639355</v>
      </c>
      <c r="AO109" s="1">
        <f t="shared" si="36"/>
        <v>2.3935942890832598</v>
      </c>
      <c r="AQ109" s="8"/>
      <c r="AR109" s="66"/>
      <c r="AW109" s="1"/>
      <c r="AY109" s="1"/>
    </row>
    <row r="110" spans="1:51" x14ac:dyDescent="0.2">
      <c r="A110" s="101">
        <f t="shared" si="48"/>
        <v>1200</v>
      </c>
      <c r="B110" s="137">
        <f t="shared" si="49"/>
        <v>164.80347349872395</v>
      </c>
      <c r="F110" s="2"/>
      <c r="H110" s="2"/>
      <c r="I110" s="7"/>
      <c r="J110" s="2"/>
      <c r="AC110" s="125">
        <f t="shared" si="38"/>
        <v>5.5318072099163906</v>
      </c>
      <c r="AD110" s="80">
        <f t="shared" si="46"/>
        <v>10.799999999999978</v>
      </c>
      <c r="AE110" s="81">
        <f t="shared" si="39"/>
        <v>26.179182812076569</v>
      </c>
      <c r="AF110" s="81">
        <f t="shared" si="34"/>
        <v>10.799999999999978</v>
      </c>
      <c r="AG110" s="80">
        <f t="shared" si="40"/>
        <v>9.6943638030568575</v>
      </c>
      <c r="AL110" s="1">
        <f t="shared" si="43"/>
        <v>10.799999999999978</v>
      </c>
      <c r="AM110" s="1">
        <f t="shared" si="50"/>
        <v>30.362189115656566</v>
      </c>
      <c r="AN110" s="1">
        <f t="shared" si="35"/>
        <v>7.6269028761639355</v>
      </c>
      <c r="AO110" s="1">
        <f t="shared" si="36"/>
        <v>2.3935942890832598</v>
      </c>
      <c r="AQ110" s="8"/>
      <c r="AR110" s="66"/>
      <c r="AW110" s="1"/>
      <c r="AY110" s="1"/>
    </row>
    <row r="111" spans="1:51" x14ac:dyDescent="0.2">
      <c r="A111" s="101">
        <f t="shared" si="48"/>
        <v>1300</v>
      </c>
      <c r="B111" s="137">
        <f t="shared" si="49"/>
        <v>173.89245514084632</v>
      </c>
      <c r="F111" s="2"/>
      <c r="H111" s="2"/>
      <c r="I111" s="7"/>
      <c r="J111" s="2"/>
      <c r="AC111" s="125">
        <f t="shared" si="38"/>
        <v>5.5318072099163906</v>
      </c>
      <c r="AD111" s="80">
        <f t="shared" si="46"/>
        <v>10.899999999999977</v>
      </c>
      <c r="AE111" s="81">
        <f t="shared" si="39"/>
        <v>26.179182812076569</v>
      </c>
      <c r="AF111" s="81">
        <f t="shared" si="34"/>
        <v>10.899999999999977</v>
      </c>
      <c r="AG111" s="80">
        <f t="shared" si="40"/>
        <v>9.6943638030568575</v>
      </c>
      <c r="AL111" s="1">
        <f t="shared" si="43"/>
        <v>10.899999999999977</v>
      </c>
      <c r="AM111" s="1">
        <f t="shared" si="50"/>
        <v>30.362189115656566</v>
      </c>
      <c r="AN111" s="1">
        <f t="shared" si="35"/>
        <v>7.6269028761639355</v>
      </c>
      <c r="AO111" s="1">
        <f t="shared" si="36"/>
        <v>2.3935942890832598</v>
      </c>
      <c r="AQ111" s="8"/>
      <c r="AR111" s="66"/>
      <c r="AW111" s="1"/>
      <c r="AY111" s="1"/>
    </row>
    <row r="112" spans="1:51" x14ac:dyDescent="0.2">
      <c r="A112" s="101">
        <f t="shared" si="48"/>
        <v>1400</v>
      </c>
      <c r="B112" s="137">
        <f t="shared" si="49"/>
        <v>173.89245514084632</v>
      </c>
      <c r="F112" s="2"/>
      <c r="H112" s="2"/>
      <c r="I112" s="7"/>
      <c r="J112" s="2"/>
      <c r="AC112" s="125">
        <f t="shared" si="38"/>
        <v>5.4701676234746959</v>
      </c>
      <c r="AD112" s="80">
        <f t="shared" si="46"/>
        <v>10.999999999999977</v>
      </c>
      <c r="AE112" s="81">
        <f t="shared" si="39"/>
        <v>28.672731513858455</v>
      </c>
      <c r="AF112" s="81">
        <f t="shared" si="34"/>
        <v>10.999999999999977</v>
      </c>
      <c r="AG112" s="80">
        <f t="shared" si="40"/>
        <v>10.589301449769586</v>
      </c>
      <c r="AL112" s="1">
        <f t="shared" si="43"/>
        <v>10.999999999999977</v>
      </c>
      <c r="AM112" s="1">
        <f t="shared" si="50"/>
        <v>30.362189115656566</v>
      </c>
      <c r="AN112" s="1">
        <f t="shared" si="35"/>
        <v>10.120451577945822</v>
      </c>
      <c r="AO112" s="1">
        <f t="shared" si="36"/>
        <v>3.2885319357959881</v>
      </c>
      <c r="AQ112" s="8"/>
      <c r="AR112" s="66"/>
      <c r="AW112" s="1"/>
      <c r="AY112" s="1"/>
    </row>
    <row r="113" spans="1:51" x14ac:dyDescent="0.2">
      <c r="A113" s="101">
        <f t="shared" si="48"/>
        <v>1500</v>
      </c>
      <c r="B113" s="137">
        <f t="shared" si="49"/>
        <v>173.89245514084632</v>
      </c>
      <c r="F113" s="2"/>
      <c r="H113" s="2"/>
      <c r="I113" s="7"/>
      <c r="J113" s="2"/>
      <c r="AC113" s="125">
        <f t="shared" si="38"/>
        <v>5.4701676234746959</v>
      </c>
      <c r="AD113" s="80">
        <f t="shared" si="46"/>
        <v>11.099999999999977</v>
      </c>
      <c r="AE113" s="81">
        <f t="shared" si="39"/>
        <v>28.672731513858455</v>
      </c>
      <c r="AF113" s="81">
        <f t="shared" si="34"/>
        <v>11.099999999999977</v>
      </c>
      <c r="AG113" s="80">
        <f t="shared" si="40"/>
        <v>10.589301449769586</v>
      </c>
      <c r="AL113" s="1">
        <f t="shared" si="43"/>
        <v>11.099999999999977</v>
      </c>
      <c r="AM113" s="1">
        <f t="shared" si="50"/>
        <v>30.362189115656566</v>
      </c>
      <c r="AN113" s="1">
        <f t="shared" si="35"/>
        <v>10.120451577945822</v>
      </c>
      <c r="AO113" s="1">
        <f t="shared" si="36"/>
        <v>3.2885319357959881</v>
      </c>
      <c r="AQ113" s="8"/>
      <c r="AR113" s="66"/>
      <c r="AW113" s="1"/>
      <c r="AY113" s="1"/>
    </row>
    <row r="114" spans="1:51" x14ac:dyDescent="0.2">
      <c r="A114" s="101">
        <f t="shared" si="48"/>
        <v>1600</v>
      </c>
      <c r="B114" s="137">
        <f t="shared" si="49"/>
        <v>173.89245514084632</v>
      </c>
      <c r="F114" s="2"/>
      <c r="H114" s="2"/>
      <c r="I114" s="7"/>
      <c r="J114" s="2"/>
      <c r="AC114" s="125">
        <f t="shared" si="38"/>
        <v>5.4701676234746959</v>
      </c>
      <c r="AD114" s="80">
        <f t="shared" si="46"/>
        <v>11.199999999999976</v>
      </c>
      <c r="AE114" s="81">
        <f t="shared" si="39"/>
        <v>28.672731513858455</v>
      </c>
      <c r="AF114" s="81">
        <f t="shared" si="34"/>
        <v>11.199999999999976</v>
      </c>
      <c r="AG114" s="80">
        <f t="shared" si="40"/>
        <v>10.589301449769586</v>
      </c>
      <c r="AL114" s="1">
        <f t="shared" si="43"/>
        <v>11.199999999999976</v>
      </c>
      <c r="AM114" s="1">
        <f t="shared" si="50"/>
        <v>30.362189115656566</v>
      </c>
      <c r="AN114" s="1">
        <f t="shared" si="35"/>
        <v>10.120451577945822</v>
      </c>
      <c r="AO114" s="1">
        <f t="shared" si="36"/>
        <v>3.2885319357959881</v>
      </c>
      <c r="AQ114" s="8"/>
      <c r="AR114" s="66"/>
      <c r="AW114" s="1"/>
      <c r="AY114" s="1"/>
    </row>
    <row r="115" spans="1:51" x14ac:dyDescent="0.2">
      <c r="A115" s="101">
        <f t="shared" si="48"/>
        <v>1700</v>
      </c>
      <c r="B115" s="137">
        <f t="shared" si="49"/>
        <v>179.53566336739226</v>
      </c>
      <c r="F115" s="2"/>
      <c r="H115" s="2"/>
      <c r="I115" s="7"/>
      <c r="J115" s="2"/>
      <c r="AC115" s="125">
        <f t="shared" si="38"/>
        <v>5.4701676234746959</v>
      </c>
      <c r="AD115" s="80">
        <f t="shared" si="46"/>
        <v>11.299999999999976</v>
      </c>
      <c r="AE115" s="81">
        <f t="shared" si="39"/>
        <v>28.672731513858455</v>
      </c>
      <c r="AF115" s="81">
        <f t="shared" si="34"/>
        <v>11.299999999999976</v>
      </c>
      <c r="AG115" s="80">
        <f t="shared" si="40"/>
        <v>10.589301449769586</v>
      </c>
      <c r="AL115" s="1">
        <f t="shared" si="43"/>
        <v>11.299999999999976</v>
      </c>
      <c r="AM115" s="1">
        <f t="shared" si="50"/>
        <v>30.362189115656566</v>
      </c>
      <c r="AN115" s="1">
        <f t="shared" si="35"/>
        <v>10.120451577945822</v>
      </c>
      <c r="AO115" s="1">
        <f t="shared" si="36"/>
        <v>3.2885319357959881</v>
      </c>
      <c r="AQ115" s="8"/>
      <c r="AR115" s="66"/>
      <c r="AW115" s="1"/>
      <c r="AY115" s="1"/>
    </row>
    <row r="116" spans="1:51" x14ac:dyDescent="0.2">
      <c r="A116" s="101">
        <f t="shared" si="48"/>
        <v>1800</v>
      </c>
      <c r="B116" s="137">
        <f t="shared" si="49"/>
        <v>179.53566336739226</v>
      </c>
      <c r="F116" s="2"/>
      <c r="H116" s="2"/>
      <c r="I116" s="7"/>
      <c r="J116" s="2"/>
      <c r="AC116" s="125">
        <f t="shared" si="38"/>
        <v>5.409858741280944</v>
      </c>
      <c r="AD116" s="80">
        <f t="shared" si="46"/>
        <v>11.399999999999975</v>
      </c>
      <c r="AE116" s="81">
        <f t="shared" si="39"/>
        <v>31.670872175851468</v>
      </c>
      <c r="AF116" s="81">
        <f t="shared" si="34"/>
        <v>11.399999999999975</v>
      </c>
      <c r="AG116" s="80">
        <f t="shared" si="40"/>
        <v>14.788563815708317</v>
      </c>
      <c r="AL116" s="1">
        <f t="shared" si="43"/>
        <v>11.399999999999975</v>
      </c>
      <c r="AM116" s="1">
        <f t="shared" si="50"/>
        <v>30.362189115656566</v>
      </c>
      <c r="AN116" s="1">
        <f t="shared" si="35"/>
        <v>13.118592239938835</v>
      </c>
      <c r="AO116" s="1">
        <f t="shared" si="36"/>
        <v>7.487794301734719</v>
      </c>
      <c r="AQ116" s="8"/>
      <c r="AR116" s="66"/>
      <c r="AW116" s="1"/>
      <c r="AY116" s="1"/>
    </row>
    <row r="117" spans="1:51" x14ac:dyDescent="0.2">
      <c r="A117" s="101">
        <f t="shared" si="48"/>
        <v>1900</v>
      </c>
      <c r="B117" s="137">
        <f t="shared" si="49"/>
        <v>179.53566336739226</v>
      </c>
      <c r="F117" s="2"/>
      <c r="H117" s="2"/>
      <c r="I117" s="7"/>
      <c r="J117" s="2"/>
      <c r="AC117" s="125">
        <f t="shared" si="38"/>
        <v>5.409858741280944</v>
      </c>
      <c r="AD117" s="80">
        <f t="shared" si="46"/>
        <v>11.499999999999975</v>
      </c>
      <c r="AE117" s="81">
        <f t="shared" si="39"/>
        <v>31.670872175851468</v>
      </c>
      <c r="AF117" s="81">
        <f t="shared" si="34"/>
        <v>11.499999999999975</v>
      </c>
      <c r="AG117" s="80">
        <f t="shared" si="40"/>
        <v>14.788563815708317</v>
      </c>
      <c r="AL117" s="1">
        <f t="shared" si="43"/>
        <v>11.499999999999975</v>
      </c>
      <c r="AM117" s="1">
        <f t="shared" si="50"/>
        <v>30.362189115656566</v>
      </c>
      <c r="AN117" s="1">
        <f t="shared" si="35"/>
        <v>13.118592239938835</v>
      </c>
      <c r="AO117" s="1">
        <f t="shared" si="36"/>
        <v>7.487794301734719</v>
      </c>
      <c r="AQ117" s="8"/>
      <c r="AR117" s="66"/>
      <c r="AW117" s="1"/>
      <c r="AY117" s="1"/>
    </row>
    <row r="118" spans="1:51" x14ac:dyDescent="0.2">
      <c r="A118" s="101">
        <f t="shared" si="48"/>
        <v>2000</v>
      </c>
      <c r="B118" s="137">
        <f t="shared" si="49"/>
        <v>210.81154299471424</v>
      </c>
      <c r="F118" s="2"/>
      <c r="H118" s="2"/>
      <c r="I118" s="7"/>
      <c r="J118" s="2"/>
      <c r="AC118" s="125">
        <f t="shared" si="38"/>
        <v>5.409858741280944</v>
      </c>
      <c r="AD118" s="80">
        <f t="shared" si="46"/>
        <v>11.599999999999975</v>
      </c>
      <c r="AE118" s="81">
        <f t="shared" si="39"/>
        <v>31.670872175851468</v>
      </c>
      <c r="AF118" s="81">
        <f t="shared" si="34"/>
        <v>11.599999999999975</v>
      </c>
      <c r="AG118" s="80">
        <f t="shared" si="40"/>
        <v>14.788563815708317</v>
      </c>
      <c r="AL118" s="1">
        <f t="shared" si="43"/>
        <v>11.599999999999975</v>
      </c>
      <c r="AM118" s="1">
        <f t="shared" si="50"/>
        <v>30.362189115656566</v>
      </c>
      <c r="AN118" s="1">
        <f t="shared" si="35"/>
        <v>13.118592239938835</v>
      </c>
      <c r="AO118" s="1">
        <f t="shared" si="36"/>
        <v>7.487794301734719</v>
      </c>
      <c r="AQ118" s="8"/>
      <c r="AR118" s="66"/>
      <c r="AW118" s="1"/>
      <c r="AY118" s="1"/>
    </row>
    <row r="119" spans="1:51" x14ac:dyDescent="0.2">
      <c r="A119" s="101">
        <f t="shared" si="48"/>
        <v>2100</v>
      </c>
      <c r="B119" s="137">
        <f t="shared" si="49"/>
        <v>210.81154299471424</v>
      </c>
      <c r="I119" s="7"/>
      <c r="J119" s="2"/>
      <c r="AC119" s="125">
        <f t="shared" si="38"/>
        <v>5.409858741280944</v>
      </c>
      <c r="AD119" s="80">
        <f t="shared" si="46"/>
        <v>11.699999999999974</v>
      </c>
      <c r="AE119" s="81">
        <f t="shared" si="39"/>
        <v>31.670872175851468</v>
      </c>
      <c r="AF119" s="81">
        <f t="shared" si="34"/>
        <v>11.699999999999974</v>
      </c>
      <c r="AG119" s="80">
        <f t="shared" si="40"/>
        <v>14.788563815708317</v>
      </c>
      <c r="AL119" s="1">
        <f t="shared" si="43"/>
        <v>11.699999999999974</v>
      </c>
      <c r="AM119" s="1">
        <f t="shared" si="50"/>
        <v>30.362189115656566</v>
      </c>
      <c r="AN119" s="1">
        <f t="shared" si="35"/>
        <v>13.118592239938835</v>
      </c>
      <c r="AO119" s="1">
        <f t="shared" si="36"/>
        <v>7.487794301734719</v>
      </c>
      <c r="AQ119" s="8"/>
      <c r="AR119" s="66"/>
      <c r="AW119" s="1"/>
      <c r="AY119" s="1"/>
    </row>
    <row r="120" spans="1:51" x14ac:dyDescent="0.2">
      <c r="A120" s="101">
        <f t="shared" si="48"/>
        <v>2200</v>
      </c>
      <c r="B120" s="137">
        <f t="shared" si="49"/>
        <v>210.81154299471424</v>
      </c>
      <c r="I120" s="7"/>
      <c r="J120" s="2"/>
      <c r="AC120" s="125">
        <f t="shared" si="38"/>
        <v>5.3456779379078743</v>
      </c>
      <c r="AD120" s="80">
        <f t="shared" si="46"/>
        <v>11.799999999999974</v>
      </c>
      <c r="AE120" s="81">
        <f t="shared" si="39"/>
        <v>36.271570033996987</v>
      </c>
      <c r="AF120" s="81">
        <f t="shared" si="34"/>
        <v>11.799999999999974</v>
      </c>
      <c r="AG120" s="80">
        <f t="shared" si="40"/>
        <v>18.187209676837064</v>
      </c>
      <c r="AL120" s="1">
        <f t="shared" si="43"/>
        <v>11.799999999999974</v>
      </c>
      <c r="AM120" s="1">
        <f t="shared" si="50"/>
        <v>30.362189115656566</v>
      </c>
      <c r="AN120" s="1">
        <f t="shared" si="35"/>
        <v>17.719290098084354</v>
      </c>
      <c r="AO120" s="1">
        <f t="shared" si="36"/>
        <v>10.886440162863465</v>
      </c>
      <c r="AQ120" s="8"/>
      <c r="AR120" s="66"/>
      <c r="AW120" s="1"/>
      <c r="AY120" s="1"/>
    </row>
    <row r="121" spans="1:51" x14ac:dyDescent="0.2">
      <c r="A121" s="101">
        <f t="shared" si="48"/>
        <v>2300</v>
      </c>
      <c r="B121" s="137">
        <f t="shared" si="49"/>
        <v>210.81154299471424</v>
      </c>
      <c r="I121" s="7"/>
      <c r="J121" s="2"/>
      <c r="AC121" s="125">
        <f t="shared" si="38"/>
        <v>5.3456779379078743</v>
      </c>
      <c r="AD121" s="80">
        <f t="shared" si="46"/>
        <v>11.899999999999974</v>
      </c>
      <c r="AE121" s="81">
        <f t="shared" si="39"/>
        <v>36.271570033996987</v>
      </c>
      <c r="AF121" s="81">
        <f t="shared" si="34"/>
        <v>11.899999999999974</v>
      </c>
      <c r="AG121" s="80">
        <f t="shared" si="40"/>
        <v>18.187209676837064</v>
      </c>
      <c r="AL121" s="1">
        <f t="shared" si="43"/>
        <v>11.899999999999974</v>
      </c>
      <c r="AM121" s="1">
        <f t="shared" si="50"/>
        <v>30.362189115656566</v>
      </c>
      <c r="AN121" s="1">
        <f t="shared" si="35"/>
        <v>17.719290098084354</v>
      </c>
      <c r="AO121" s="1">
        <f t="shared" si="36"/>
        <v>10.886440162863465</v>
      </c>
      <c r="AQ121" s="8"/>
      <c r="AR121" s="66"/>
      <c r="AW121" s="1"/>
      <c r="AY121" s="1"/>
    </row>
    <row r="122" spans="1:51" x14ac:dyDescent="0.2">
      <c r="A122" s="101">
        <f t="shared" si="48"/>
        <v>2400</v>
      </c>
      <c r="B122" s="137">
        <f t="shared" si="49"/>
        <v>202.27743312185243</v>
      </c>
      <c r="I122" s="7"/>
      <c r="J122" s="2"/>
      <c r="AC122" s="125">
        <f t="shared" si="38"/>
        <v>5.3456779379078743</v>
      </c>
      <c r="AD122" s="80">
        <f t="shared" si="46"/>
        <v>11.999999999999973</v>
      </c>
      <c r="AE122" s="81">
        <f t="shared" si="39"/>
        <v>36.271570033996987</v>
      </c>
      <c r="AF122" s="81">
        <f t="shared" si="34"/>
        <v>11.999999999999973</v>
      </c>
      <c r="AG122" s="80">
        <f t="shared" si="40"/>
        <v>18.187209676837064</v>
      </c>
      <c r="AL122" s="1">
        <f t="shared" si="43"/>
        <v>11.999999999999973</v>
      </c>
      <c r="AM122" s="1">
        <f t="shared" si="50"/>
        <v>30.362189115656566</v>
      </c>
      <c r="AN122" s="1">
        <f t="shared" si="35"/>
        <v>17.719290098084354</v>
      </c>
      <c r="AO122" s="1">
        <f t="shared" si="36"/>
        <v>10.886440162863465</v>
      </c>
      <c r="AQ122" s="8"/>
      <c r="AR122" s="66"/>
      <c r="AW122" s="1"/>
      <c r="AY122" s="1"/>
    </row>
    <row r="123" spans="1:51" x14ac:dyDescent="0.2">
      <c r="A123" s="101">
        <f t="shared" si="48"/>
        <v>2500</v>
      </c>
      <c r="B123" s="137">
        <f t="shared" si="49"/>
        <v>202.27743312185243</v>
      </c>
      <c r="I123" s="7"/>
      <c r="J123" s="2"/>
      <c r="AC123" s="125">
        <f t="shared" si="38"/>
        <v>5.3456779379078743</v>
      </c>
      <c r="AD123" s="80">
        <f t="shared" si="46"/>
        <v>12.099999999999973</v>
      </c>
      <c r="AE123" s="81">
        <f t="shared" si="39"/>
        <v>36.271570033996987</v>
      </c>
      <c r="AF123" s="81">
        <f t="shared" si="34"/>
        <v>12.099999999999973</v>
      </c>
      <c r="AG123" s="80">
        <f t="shared" si="40"/>
        <v>18.187209676837064</v>
      </c>
      <c r="AL123" s="1">
        <f t="shared" si="43"/>
        <v>12.099999999999973</v>
      </c>
      <c r="AM123" s="1">
        <f t="shared" si="50"/>
        <v>30.362189115656566</v>
      </c>
      <c r="AN123" s="1">
        <f t="shared" si="35"/>
        <v>17.719290098084354</v>
      </c>
      <c r="AO123" s="1">
        <f t="shared" si="36"/>
        <v>10.886440162863465</v>
      </c>
      <c r="AQ123" s="8"/>
      <c r="AR123" s="66"/>
      <c r="AW123" s="1"/>
      <c r="AY123" s="1"/>
    </row>
    <row r="124" spans="1:51" x14ac:dyDescent="0.2">
      <c r="A124" s="101">
        <f t="shared" si="48"/>
        <v>2600</v>
      </c>
      <c r="B124" s="137">
        <f t="shared" si="49"/>
        <v>202.27743312185243</v>
      </c>
      <c r="I124" s="7"/>
      <c r="J124" s="2"/>
      <c r="AC124" s="125">
        <f t="shared" si="38"/>
        <v>5.2770937300964098</v>
      </c>
      <c r="AD124" s="80">
        <f t="shared" si="46"/>
        <v>12.199999999999973</v>
      </c>
      <c r="AE124" s="81">
        <f t="shared" si="39"/>
        <v>35.07407465057311</v>
      </c>
      <c r="AF124" s="81">
        <f t="shared" si="34"/>
        <v>12.199999999999973</v>
      </c>
      <c r="AG124" s="80">
        <f t="shared" si="40"/>
        <v>14.989310451906219</v>
      </c>
      <c r="AL124" s="1">
        <f t="shared" si="43"/>
        <v>12.199999999999973</v>
      </c>
      <c r="AM124" s="1">
        <f t="shared" si="50"/>
        <v>30.362189115656566</v>
      </c>
      <c r="AN124" s="1">
        <f t="shared" si="35"/>
        <v>16.521794714660476</v>
      </c>
      <c r="AO124" s="1">
        <f t="shared" si="36"/>
        <v>7.6885409379326211</v>
      </c>
      <c r="AQ124" s="8"/>
      <c r="AR124" s="66"/>
      <c r="AW124" s="1"/>
      <c r="AY124" s="1"/>
    </row>
    <row r="125" spans="1:51" x14ac:dyDescent="0.2">
      <c r="A125" s="101">
        <f t="shared" si="48"/>
        <v>2700</v>
      </c>
      <c r="B125" s="137">
        <f t="shared" si="49"/>
        <v>202.27743312185243</v>
      </c>
      <c r="I125" s="7"/>
      <c r="J125" s="2"/>
      <c r="AC125" s="125">
        <f t="shared" si="38"/>
        <v>5.2770937300964098</v>
      </c>
      <c r="AD125" s="80">
        <f t="shared" si="46"/>
        <v>12.299999999999972</v>
      </c>
      <c r="AE125" s="81">
        <f t="shared" si="39"/>
        <v>35.07407465057311</v>
      </c>
      <c r="AF125" s="81">
        <f t="shared" si="34"/>
        <v>12.299999999999972</v>
      </c>
      <c r="AG125" s="80">
        <f t="shared" si="40"/>
        <v>14.989310451906219</v>
      </c>
      <c r="AL125" s="1">
        <f t="shared" si="43"/>
        <v>12.299999999999972</v>
      </c>
      <c r="AM125" s="1">
        <f t="shared" si="50"/>
        <v>30.362189115656566</v>
      </c>
      <c r="AN125" s="1">
        <f t="shared" si="35"/>
        <v>16.521794714660476</v>
      </c>
      <c r="AO125" s="1">
        <f t="shared" si="36"/>
        <v>7.6885409379326211</v>
      </c>
      <c r="AQ125" s="8"/>
      <c r="AR125" s="66"/>
      <c r="AW125" s="1"/>
      <c r="AY125" s="1"/>
    </row>
    <row r="126" spans="1:51" x14ac:dyDescent="0.2">
      <c r="A126" s="101">
        <f t="shared" si="48"/>
        <v>2800</v>
      </c>
      <c r="B126" s="137">
        <f t="shared" si="49"/>
        <v>202.27743312185243</v>
      </c>
      <c r="I126" s="7"/>
      <c r="J126" s="2"/>
      <c r="AC126" s="125">
        <f t="shared" si="38"/>
        <v>5.2770937300964098</v>
      </c>
      <c r="AD126" s="80">
        <f t="shared" si="46"/>
        <v>12.399999999999972</v>
      </c>
      <c r="AE126" s="81">
        <f t="shared" si="39"/>
        <v>35.07407465057311</v>
      </c>
      <c r="AF126" s="81">
        <f t="shared" si="34"/>
        <v>12.399999999999972</v>
      </c>
      <c r="AG126" s="80">
        <f t="shared" si="40"/>
        <v>14.989310451906219</v>
      </c>
      <c r="AL126" s="1">
        <f t="shared" si="43"/>
        <v>12.399999999999972</v>
      </c>
      <c r="AM126" s="1">
        <f t="shared" si="50"/>
        <v>30.362189115656566</v>
      </c>
      <c r="AN126" s="1">
        <f t="shared" si="35"/>
        <v>16.521794714660476</v>
      </c>
      <c r="AO126" s="1">
        <f t="shared" si="36"/>
        <v>7.6885409379326211</v>
      </c>
      <c r="AQ126" s="8"/>
      <c r="AR126" s="66"/>
      <c r="AW126" s="1"/>
      <c r="AY126" s="1"/>
    </row>
    <row r="127" spans="1:51" x14ac:dyDescent="0.2">
      <c r="A127" s="101">
        <f t="shared" si="48"/>
        <v>2900</v>
      </c>
      <c r="B127" s="137">
        <f t="shared" si="49"/>
        <v>184.70600583948215</v>
      </c>
      <c r="I127" s="7"/>
      <c r="J127" s="2"/>
      <c r="AC127" s="125">
        <f t="shared" si="38"/>
        <v>5.2770937300964098</v>
      </c>
      <c r="AD127" s="80">
        <f t="shared" si="46"/>
        <v>12.499999999999972</v>
      </c>
      <c r="AE127" s="81">
        <f t="shared" si="39"/>
        <v>35.07407465057311</v>
      </c>
      <c r="AF127" s="81">
        <f t="shared" si="34"/>
        <v>12.499999999999972</v>
      </c>
      <c r="AG127" s="80">
        <f t="shared" si="40"/>
        <v>14.989310451906219</v>
      </c>
      <c r="AL127" s="1">
        <f t="shared" si="43"/>
        <v>12.499999999999972</v>
      </c>
      <c r="AM127" s="1">
        <f t="shared" si="50"/>
        <v>30.362189115656566</v>
      </c>
      <c r="AN127" s="1">
        <f t="shared" si="35"/>
        <v>16.521794714660476</v>
      </c>
      <c r="AO127" s="1">
        <f t="shared" si="36"/>
        <v>7.6885409379326211</v>
      </c>
      <c r="AQ127" s="8"/>
      <c r="AR127" s="66"/>
      <c r="AW127" s="1"/>
      <c r="AY127" s="1"/>
    </row>
    <row r="128" spans="1:51" x14ac:dyDescent="0.2">
      <c r="A128" s="101">
        <f t="shared" si="48"/>
        <v>3000</v>
      </c>
      <c r="B128" s="137">
        <f t="shared" si="49"/>
        <v>184.70600583948215</v>
      </c>
      <c r="I128" s="7"/>
      <c r="J128" s="2"/>
      <c r="AC128" s="125">
        <f t="shared" si="38"/>
        <v>5.2770937300964098</v>
      </c>
      <c r="AD128" s="80">
        <f t="shared" si="46"/>
        <v>12.599999999999971</v>
      </c>
      <c r="AE128" s="81">
        <f t="shared" si="39"/>
        <v>35.07407465057311</v>
      </c>
      <c r="AF128" s="81">
        <f t="shared" si="34"/>
        <v>12.599999999999971</v>
      </c>
      <c r="AG128" s="80">
        <f t="shared" si="40"/>
        <v>14.989310451906219</v>
      </c>
      <c r="AL128" s="1">
        <f t="shared" si="43"/>
        <v>12.599999999999971</v>
      </c>
      <c r="AM128" s="1">
        <f t="shared" si="50"/>
        <v>30.362189115656566</v>
      </c>
      <c r="AN128" s="1">
        <f t="shared" si="35"/>
        <v>16.521794714660476</v>
      </c>
      <c r="AO128" s="1">
        <f t="shared" si="36"/>
        <v>7.6885409379326211</v>
      </c>
      <c r="AQ128" s="8"/>
      <c r="AR128" s="66"/>
      <c r="AW128" s="1"/>
      <c r="AY128" s="1"/>
    </row>
    <row r="129" spans="1:51" x14ac:dyDescent="0.2">
      <c r="A129" s="101">
        <f t="shared" si="48"/>
        <v>3100</v>
      </c>
      <c r="B129" s="137">
        <f t="shared" si="49"/>
        <v>184.70600583948215</v>
      </c>
      <c r="I129" s="7"/>
      <c r="J129" s="2"/>
      <c r="AC129" s="125">
        <f t="shared" si="38"/>
        <v>5.2034570855240769</v>
      </c>
      <c r="AD129" s="80">
        <f t="shared" si="46"/>
        <v>12.699999999999971</v>
      </c>
      <c r="AE129" s="81">
        <f t="shared" si="39"/>
        <v>28.27299844893389</v>
      </c>
      <c r="AF129" s="81">
        <f t="shared" si="34"/>
        <v>12.699999999999971</v>
      </c>
      <c r="AG129" s="80">
        <f t="shared" si="40"/>
        <v>13.985668106838723</v>
      </c>
      <c r="AL129" s="1">
        <f t="shared" si="43"/>
        <v>12.699999999999971</v>
      </c>
      <c r="AM129" s="1">
        <f t="shared" si="50"/>
        <v>30.362189115656566</v>
      </c>
      <c r="AN129" s="1">
        <f t="shared" si="35"/>
        <v>9.7207185130212572</v>
      </c>
      <c r="AO129" s="1">
        <f t="shared" si="36"/>
        <v>6.6848985928651254</v>
      </c>
      <c r="AQ129" s="8"/>
      <c r="AR129" s="66"/>
      <c r="AW129" s="1"/>
      <c r="AY129" s="1"/>
    </row>
    <row r="130" spans="1:51" x14ac:dyDescent="0.2">
      <c r="A130" s="101">
        <f t="shared" si="48"/>
        <v>3200</v>
      </c>
      <c r="B130" s="137">
        <f t="shared" si="49"/>
        <v>184.70600583948215</v>
      </c>
      <c r="I130" s="7"/>
      <c r="J130" s="2"/>
      <c r="AC130" s="125">
        <f t="shared" si="38"/>
        <v>5.2034570855240769</v>
      </c>
      <c r="AD130" s="80">
        <f t="shared" si="46"/>
        <v>12.799999999999971</v>
      </c>
      <c r="AE130" s="81">
        <f t="shared" si="39"/>
        <v>28.27299844893389</v>
      </c>
      <c r="AF130" s="81">
        <f t="shared" ref="AF130:AF193" si="51">AD130</f>
        <v>12.799999999999971</v>
      </c>
      <c r="AG130" s="80">
        <f t="shared" si="40"/>
        <v>13.985668106838723</v>
      </c>
      <c r="AL130" s="1">
        <f t="shared" si="43"/>
        <v>12.799999999999971</v>
      </c>
      <c r="AM130" s="1">
        <f t="shared" si="50"/>
        <v>30.362189115656566</v>
      </c>
      <c r="AN130" s="1">
        <f t="shared" ref="AN130:AN193" si="52">AE130-AVERAGE($AE$2:$AE$212)*COS($Q$4)</f>
        <v>9.7207185130212572</v>
      </c>
      <c r="AO130" s="1">
        <f t="shared" ref="AO130:AO193" si="53">AG130-AVERAGE($AG$2:$AG$212)*SIN($Q$4)</f>
        <v>6.6848985928651254</v>
      </c>
      <c r="AQ130" s="8"/>
      <c r="AR130" s="66"/>
      <c r="AW130" s="1"/>
      <c r="AY130" s="1"/>
    </row>
    <row r="131" spans="1:51" x14ac:dyDescent="0.2">
      <c r="A131" s="101">
        <f t="shared" si="48"/>
        <v>3300</v>
      </c>
      <c r="B131" s="137">
        <f t="shared" si="49"/>
        <v>184.70600583948215</v>
      </c>
      <c r="I131" s="7"/>
      <c r="J131" s="2"/>
      <c r="AC131" s="125">
        <f t="shared" ref="AC131:AC194" si="54">LN(VLOOKUP(AD131,$V$2:$W$61,2))</f>
        <v>5.2034570855240769</v>
      </c>
      <c r="AD131" s="80">
        <f t="shared" si="46"/>
        <v>12.89999999999997</v>
      </c>
      <c r="AE131" s="81">
        <f t="shared" ref="AE131:AE194" si="55">VLOOKUP(AD131,$R$2:$S$61,2)</f>
        <v>28.27299844893389</v>
      </c>
      <c r="AF131" s="81">
        <f t="shared" si="51"/>
        <v>12.89999999999997</v>
      </c>
      <c r="AG131" s="80">
        <f t="shared" ref="AG131:AG194" si="56">VLOOKUP(AD131,$T$2:$U$94,2)</f>
        <v>13.985668106838723</v>
      </c>
      <c r="AL131" s="1">
        <f t="shared" ref="AL131:AL194" si="57">AD131</f>
        <v>12.89999999999997</v>
      </c>
      <c r="AM131" s="1">
        <f t="shared" si="50"/>
        <v>30.362189115656566</v>
      </c>
      <c r="AN131" s="1">
        <f t="shared" si="52"/>
        <v>9.7207185130212572</v>
      </c>
      <c r="AO131" s="1">
        <f t="shared" si="53"/>
        <v>6.6848985928651254</v>
      </c>
      <c r="AQ131" s="8"/>
      <c r="AR131" s="66"/>
      <c r="AW131" s="1"/>
      <c r="AY131" s="1"/>
    </row>
    <row r="132" spans="1:51" x14ac:dyDescent="0.2">
      <c r="A132" s="101">
        <f t="shared" si="48"/>
        <v>3400</v>
      </c>
      <c r="B132" s="137">
        <f t="shared" si="49"/>
        <v>215.93294904838504</v>
      </c>
      <c r="I132" s="7"/>
      <c r="J132" s="2"/>
      <c r="AC132" s="125">
        <f t="shared" si="54"/>
        <v>5.2034570855240769</v>
      </c>
      <c r="AD132" s="80">
        <f t="shared" ref="AD132:AD195" si="58">AD131+0.1</f>
        <v>12.99999999999997</v>
      </c>
      <c r="AE132" s="81">
        <f t="shared" si="55"/>
        <v>28.27299844893389</v>
      </c>
      <c r="AF132" s="81">
        <f t="shared" si="51"/>
        <v>12.99999999999997</v>
      </c>
      <c r="AG132" s="80">
        <f t="shared" si="56"/>
        <v>13.985668106838723</v>
      </c>
      <c r="AL132" s="1">
        <f t="shared" si="57"/>
        <v>12.99999999999997</v>
      </c>
      <c r="AM132" s="1">
        <f t="shared" si="50"/>
        <v>30.362189115656566</v>
      </c>
      <c r="AN132" s="1">
        <f t="shared" si="52"/>
        <v>9.7207185130212572</v>
      </c>
      <c r="AO132" s="1">
        <f t="shared" si="53"/>
        <v>6.6848985928651254</v>
      </c>
      <c r="AQ132" s="8"/>
      <c r="AR132" s="66"/>
      <c r="AW132" s="1"/>
      <c r="AY132" s="1"/>
    </row>
    <row r="133" spans="1:51" x14ac:dyDescent="0.2">
      <c r="A133" s="101">
        <f t="shared" si="48"/>
        <v>3500</v>
      </c>
      <c r="B133" s="137">
        <f t="shared" si="49"/>
        <v>215.93294904838504</v>
      </c>
      <c r="I133" s="7"/>
      <c r="J133" s="2"/>
      <c r="AC133" s="125">
        <f t="shared" si="54"/>
        <v>5.2034570855240769</v>
      </c>
      <c r="AD133" s="80">
        <f t="shared" si="58"/>
        <v>13.099999999999969</v>
      </c>
      <c r="AE133" s="81">
        <f t="shared" si="55"/>
        <v>28.27299844893389</v>
      </c>
      <c r="AF133" s="81">
        <f t="shared" si="51"/>
        <v>13.099999999999969</v>
      </c>
      <c r="AG133" s="80">
        <f t="shared" si="56"/>
        <v>13.985668106838723</v>
      </c>
      <c r="AL133" s="1">
        <f t="shared" si="57"/>
        <v>13.099999999999969</v>
      </c>
      <c r="AM133" s="1">
        <f t="shared" si="50"/>
        <v>30.362189115656566</v>
      </c>
      <c r="AN133" s="1">
        <f t="shared" si="52"/>
        <v>9.7207185130212572</v>
      </c>
      <c r="AO133" s="1">
        <f t="shared" si="53"/>
        <v>6.6848985928651254</v>
      </c>
      <c r="AQ133" s="8"/>
      <c r="AR133" s="66"/>
      <c r="AW133" s="1"/>
      <c r="AY133" s="1"/>
    </row>
    <row r="134" spans="1:51" x14ac:dyDescent="0.2">
      <c r="A134" s="101">
        <f t="shared" si="48"/>
        <v>3600</v>
      </c>
      <c r="B134" s="137">
        <f t="shared" si="49"/>
        <v>215.93294904838504</v>
      </c>
      <c r="I134" s="7"/>
      <c r="J134" s="2"/>
      <c r="AC134" s="125">
        <f t="shared" si="54"/>
        <v>5.1239639794032588</v>
      </c>
      <c r="AD134" s="80">
        <f t="shared" si="58"/>
        <v>13.199999999999969</v>
      </c>
      <c r="AE134" s="81">
        <f t="shared" si="55"/>
        <v>24.383245742990951</v>
      </c>
      <c r="AF134" s="81">
        <f t="shared" si="51"/>
        <v>13.199999999999969</v>
      </c>
      <c r="AG134" s="80">
        <f t="shared" si="56"/>
        <v>14.790294630121792</v>
      </c>
      <c r="AL134" s="1">
        <f t="shared" si="57"/>
        <v>13.199999999999969</v>
      </c>
      <c r="AM134" s="1">
        <f t="shared" si="50"/>
        <v>30.362189115656566</v>
      </c>
      <c r="AN134" s="1">
        <f t="shared" si="52"/>
        <v>5.8309658070783179</v>
      </c>
      <c r="AO134" s="1">
        <f t="shared" si="53"/>
        <v>7.4895251161481946</v>
      </c>
      <c r="AQ134" s="8"/>
      <c r="AR134" s="66"/>
      <c r="AW134" s="1"/>
      <c r="AY134" s="1"/>
    </row>
    <row r="135" spans="1:51" x14ac:dyDescent="0.2">
      <c r="A135" s="101">
        <f t="shared" si="48"/>
        <v>3700</v>
      </c>
      <c r="B135" s="137">
        <f t="shared" si="49"/>
        <v>215.93294904838504</v>
      </c>
      <c r="I135" s="7"/>
      <c r="J135" s="2"/>
      <c r="AC135" s="125">
        <f t="shared" si="54"/>
        <v>5.1239639794032588</v>
      </c>
      <c r="AD135" s="80">
        <f t="shared" si="58"/>
        <v>13.299999999999969</v>
      </c>
      <c r="AE135" s="81">
        <f t="shared" si="55"/>
        <v>24.383245742990951</v>
      </c>
      <c r="AF135" s="81">
        <f t="shared" si="51"/>
        <v>13.299999999999969</v>
      </c>
      <c r="AG135" s="80">
        <f t="shared" si="56"/>
        <v>14.790294630121792</v>
      </c>
      <c r="AL135" s="1">
        <f t="shared" si="57"/>
        <v>13.299999999999969</v>
      </c>
      <c r="AM135" s="1">
        <f t="shared" si="50"/>
        <v>30.362189115656566</v>
      </c>
      <c r="AN135" s="1">
        <f t="shared" si="52"/>
        <v>5.8309658070783179</v>
      </c>
      <c r="AO135" s="1">
        <f t="shared" si="53"/>
        <v>7.4895251161481946</v>
      </c>
      <c r="AQ135" s="8"/>
      <c r="AR135" s="66"/>
      <c r="AW135" s="1"/>
      <c r="AY135" s="1"/>
    </row>
    <row r="136" spans="1:51" x14ac:dyDescent="0.2">
      <c r="A136" s="101">
        <f t="shared" si="48"/>
        <v>3800</v>
      </c>
      <c r="B136" s="137">
        <f t="shared" si="49"/>
        <v>215.93294904838504</v>
      </c>
      <c r="I136" s="7"/>
      <c r="J136" s="2"/>
      <c r="AC136" s="125">
        <f t="shared" si="54"/>
        <v>5.1239639794032588</v>
      </c>
      <c r="AD136" s="80">
        <f t="shared" si="58"/>
        <v>13.399999999999968</v>
      </c>
      <c r="AE136" s="81">
        <f t="shared" si="55"/>
        <v>24.383245742990951</v>
      </c>
      <c r="AF136" s="81">
        <f t="shared" si="51"/>
        <v>13.399999999999968</v>
      </c>
      <c r="AG136" s="80">
        <f t="shared" si="56"/>
        <v>14.790294630121792</v>
      </c>
      <c r="AL136" s="1">
        <f t="shared" si="57"/>
        <v>13.399999999999968</v>
      </c>
      <c r="AM136" s="1">
        <f t="shared" si="50"/>
        <v>30.362189115656566</v>
      </c>
      <c r="AN136" s="1">
        <f t="shared" si="52"/>
        <v>5.8309658070783179</v>
      </c>
      <c r="AO136" s="1">
        <f t="shared" si="53"/>
        <v>7.4895251161481946</v>
      </c>
      <c r="AQ136" s="8"/>
      <c r="AR136" s="66"/>
      <c r="AW136" s="1"/>
      <c r="AY136" s="1"/>
    </row>
    <row r="137" spans="1:51" x14ac:dyDescent="0.2">
      <c r="A137" s="101">
        <f t="shared" si="48"/>
        <v>3900</v>
      </c>
      <c r="B137" s="137">
        <f t="shared" si="49"/>
        <v>215.93294904838504</v>
      </c>
      <c r="I137" s="7"/>
      <c r="J137" s="2"/>
      <c r="AC137" s="125">
        <f t="shared" si="54"/>
        <v>5.1239639794032588</v>
      </c>
      <c r="AD137" s="80">
        <f t="shared" si="58"/>
        <v>13.499999999999968</v>
      </c>
      <c r="AE137" s="81">
        <f t="shared" si="55"/>
        <v>24.383245742990951</v>
      </c>
      <c r="AF137" s="81">
        <f t="shared" si="51"/>
        <v>13.499999999999968</v>
      </c>
      <c r="AG137" s="80">
        <f t="shared" si="56"/>
        <v>14.790294630121792</v>
      </c>
      <c r="AL137" s="1">
        <f t="shared" si="57"/>
        <v>13.499999999999968</v>
      </c>
      <c r="AM137" s="1">
        <f t="shared" si="50"/>
        <v>30.362189115656566</v>
      </c>
      <c r="AN137" s="1">
        <f t="shared" si="52"/>
        <v>5.8309658070783179</v>
      </c>
      <c r="AO137" s="1">
        <f t="shared" si="53"/>
        <v>7.4895251161481946</v>
      </c>
      <c r="AQ137" s="8"/>
      <c r="AR137" s="66"/>
      <c r="AW137" s="1"/>
      <c r="AY137" s="1"/>
    </row>
    <row r="138" spans="1:51" x14ac:dyDescent="0.2">
      <c r="A138" s="101">
        <f t="shared" si="48"/>
        <v>4000</v>
      </c>
      <c r="B138" s="137">
        <f t="shared" si="49"/>
        <v>293.19344900455002</v>
      </c>
      <c r="I138" s="7"/>
      <c r="J138" s="2"/>
      <c r="AC138" s="125">
        <f t="shared" si="54"/>
        <v>5.1239639794032588</v>
      </c>
      <c r="AD138" s="80">
        <f t="shared" si="58"/>
        <v>13.599999999999968</v>
      </c>
      <c r="AE138" s="81">
        <f t="shared" si="55"/>
        <v>24.383245742990951</v>
      </c>
      <c r="AF138" s="81">
        <f t="shared" si="51"/>
        <v>13.599999999999968</v>
      </c>
      <c r="AG138" s="80">
        <f t="shared" si="56"/>
        <v>14.790294630121792</v>
      </c>
      <c r="AL138" s="1">
        <f t="shared" si="57"/>
        <v>13.599999999999968</v>
      </c>
      <c r="AM138" s="1">
        <f t="shared" si="50"/>
        <v>30.362189115656566</v>
      </c>
      <c r="AN138" s="1">
        <f t="shared" si="52"/>
        <v>5.8309658070783179</v>
      </c>
      <c r="AO138" s="1">
        <f t="shared" si="53"/>
        <v>7.4895251161481946</v>
      </c>
      <c r="AQ138" s="8"/>
      <c r="AR138" s="66"/>
      <c r="AW138" s="1"/>
      <c r="AY138" s="1"/>
    </row>
    <row r="139" spans="1:51" x14ac:dyDescent="0.2">
      <c r="A139" s="101">
        <f t="shared" si="48"/>
        <v>4100</v>
      </c>
      <c r="B139" s="137">
        <f t="shared" si="49"/>
        <v>293.19344900455002</v>
      </c>
      <c r="I139" s="7"/>
      <c r="J139" s="2"/>
      <c r="AC139" s="125">
        <f t="shared" si="54"/>
        <v>5.0376017423260704</v>
      </c>
      <c r="AD139" s="80">
        <f t="shared" si="58"/>
        <v>13.699999999999967</v>
      </c>
      <c r="AE139" s="81">
        <f t="shared" si="55"/>
        <v>21.482742435269387</v>
      </c>
      <c r="AF139" s="81">
        <f t="shared" si="51"/>
        <v>13.699999999999967</v>
      </c>
      <c r="AG139" s="80">
        <f t="shared" si="56"/>
        <v>16.288567071031508</v>
      </c>
      <c r="AL139" s="1">
        <f t="shared" si="57"/>
        <v>13.699999999999967</v>
      </c>
      <c r="AM139" s="1">
        <f t="shared" si="50"/>
        <v>30.362189115656566</v>
      </c>
      <c r="AN139" s="1">
        <f t="shared" si="52"/>
        <v>2.9304624993567536</v>
      </c>
      <c r="AO139" s="1">
        <f t="shared" si="53"/>
        <v>8.9877975570579096</v>
      </c>
      <c r="AQ139" s="8"/>
      <c r="AR139" s="66"/>
      <c r="AW139" s="1"/>
      <c r="AY139" s="1"/>
    </row>
    <row r="140" spans="1:51" ht="17" thickBot="1" x14ac:dyDescent="0.25">
      <c r="A140" s="102">
        <f t="shared" si="48"/>
        <v>4200</v>
      </c>
      <c r="B140" s="138">
        <f t="shared" si="49"/>
        <v>293.19344900455002</v>
      </c>
      <c r="I140" s="7"/>
      <c r="AC140" s="125">
        <f t="shared" si="54"/>
        <v>5.0376017423260704</v>
      </c>
      <c r="AD140" s="80">
        <f t="shared" si="58"/>
        <v>13.799999999999967</v>
      </c>
      <c r="AE140" s="81">
        <f t="shared" si="55"/>
        <v>21.482742435269387</v>
      </c>
      <c r="AF140" s="81">
        <f t="shared" si="51"/>
        <v>13.799999999999967</v>
      </c>
      <c r="AG140" s="80">
        <f t="shared" si="56"/>
        <v>16.288567071031508</v>
      </c>
      <c r="AL140" s="1">
        <f t="shared" si="57"/>
        <v>13.799999999999967</v>
      </c>
      <c r="AM140" s="1">
        <f t="shared" si="50"/>
        <v>30.362189115656566</v>
      </c>
      <c r="AN140" s="1">
        <f t="shared" si="52"/>
        <v>2.9304624993567536</v>
      </c>
      <c r="AO140" s="1">
        <f t="shared" si="53"/>
        <v>8.9877975570579096</v>
      </c>
      <c r="AQ140" s="8"/>
      <c r="AR140" s="66"/>
      <c r="AW140" s="1"/>
      <c r="AY140" s="1"/>
    </row>
    <row r="141" spans="1:51" x14ac:dyDescent="0.2">
      <c r="A141" s="134"/>
      <c r="I141" s="7"/>
      <c r="AC141" s="125">
        <f t="shared" si="54"/>
        <v>5.0376017423260704</v>
      </c>
      <c r="AD141" s="80">
        <f t="shared" si="58"/>
        <v>13.899999999999967</v>
      </c>
      <c r="AE141" s="81">
        <f t="shared" si="55"/>
        <v>21.482742435269387</v>
      </c>
      <c r="AF141" s="81">
        <f t="shared" si="51"/>
        <v>13.899999999999967</v>
      </c>
      <c r="AG141" s="80">
        <f t="shared" si="56"/>
        <v>16.288567071031508</v>
      </c>
      <c r="AL141" s="1">
        <f t="shared" si="57"/>
        <v>13.899999999999967</v>
      </c>
      <c r="AM141" s="1">
        <f t="shared" si="50"/>
        <v>30.362189115656566</v>
      </c>
      <c r="AN141" s="1">
        <f t="shared" si="52"/>
        <v>2.9304624993567536</v>
      </c>
      <c r="AO141" s="1">
        <f t="shared" si="53"/>
        <v>8.9877975570579096</v>
      </c>
      <c r="AQ141" s="8"/>
      <c r="AR141" s="66"/>
      <c r="AW141" s="1"/>
      <c r="AY141" s="1"/>
    </row>
    <row r="142" spans="1:51" x14ac:dyDescent="0.2">
      <c r="A142" s="134"/>
      <c r="I142" s="7"/>
      <c r="AC142" s="125">
        <f t="shared" si="54"/>
        <v>5.0376017423260704</v>
      </c>
      <c r="AD142" s="80">
        <f t="shared" si="58"/>
        <v>13.999999999999966</v>
      </c>
      <c r="AE142" s="81">
        <f t="shared" si="55"/>
        <v>21.482742435269387</v>
      </c>
      <c r="AF142" s="81">
        <f t="shared" si="51"/>
        <v>13.999999999999966</v>
      </c>
      <c r="AG142" s="80">
        <f t="shared" si="56"/>
        <v>16.288567071031508</v>
      </c>
      <c r="AL142" s="1">
        <f t="shared" si="57"/>
        <v>13.999999999999966</v>
      </c>
      <c r="AM142" s="1">
        <f t="shared" si="50"/>
        <v>30.362189115656566</v>
      </c>
      <c r="AN142" s="1">
        <f t="shared" si="52"/>
        <v>2.9304624993567536</v>
      </c>
      <c r="AO142" s="1">
        <f t="shared" si="53"/>
        <v>8.9877975570579096</v>
      </c>
      <c r="AQ142" s="8"/>
      <c r="AR142" s="66"/>
      <c r="AW142" s="1"/>
      <c r="AY142" s="1"/>
    </row>
    <row r="143" spans="1:51" x14ac:dyDescent="0.2">
      <c r="A143" s="134"/>
      <c r="I143" s="7"/>
      <c r="AC143" s="125">
        <f t="shared" si="54"/>
        <v>5.0376017423260704</v>
      </c>
      <c r="AD143" s="80">
        <f t="shared" si="58"/>
        <v>14.099999999999966</v>
      </c>
      <c r="AE143" s="81">
        <f t="shared" si="55"/>
        <v>21.482742435269387</v>
      </c>
      <c r="AF143" s="81">
        <f t="shared" si="51"/>
        <v>14.099999999999966</v>
      </c>
      <c r="AG143" s="80">
        <f t="shared" si="56"/>
        <v>16.288567071031508</v>
      </c>
      <c r="AL143" s="1">
        <f t="shared" si="57"/>
        <v>14.099999999999966</v>
      </c>
      <c r="AM143" s="1">
        <f t="shared" si="50"/>
        <v>30.362189115656566</v>
      </c>
      <c r="AN143" s="1">
        <f t="shared" si="52"/>
        <v>2.9304624993567536</v>
      </c>
      <c r="AO143" s="1">
        <f t="shared" si="53"/>
        <v>8.9877975570579096</v>
      </c>
      <c r="AQ143" s="8"/>
      <c r="AR143" s="66"/>
      <c r="AW143" s="1"/>
      <c r="AY143" s="1"/>
    </row>
    <row r="144" spans="1:51" x14ac:dyDescent="0.2">
      <c r="A144" s="134"/>
      <c r="AC144" s="125">
        <f t="shared" si="54"/>
        <v>5.0376017423260704</v>
      </c>
      <c r="AD144" s="80">
        <f t="shared" si="58"/>
        <v>14.199999999999966</v>
      </c>
      <c r="AE144" s="81">
        <f t="shared" si="55"/>
        <v>21.482742435269387</v>
      </c>
      <c r="AF144" s="81">
        <f t="shared" si="51"/>
        <v>14.199999999999966</v>
      </c>
      <c r="AG144" s="80">
        <f t="shared" si="56"/>
        <v>16.288567071031508</v>
      </c>
      <c r="AL144" s="1">
        <f t="shared" si="57"/>
        <v>14.199999999999966</v>
      </c>
      <c r="AM144" s="1">
        <f t="shared" si="50"/>
        <v>30.362189115656566</v>
      </c>
      <c r="AN144" s="1">
        <f t="shared" si="52"/>
        <v>2.9304624993567536</v>
      </c>
      <c r="AO144" s="1">
        <f t="shared" si="53"/>
        <v>8.9877975570579096</v>
      </c>
      <c r="AQ144" s="8"/>
      <c r="AR144" s="66"/>
      <c r="AW144" s="1"/>
      <c r="AY144" s="1"/>
    </row>
    <row r="145" spans="1:51" x14ac:dyDescent="0.2">
      <c r="A145" s="134"/>
      <c r="AC145" s="125">
        <f t="shared" si="54"/>
        <v>4.9430699746004896</v>
      </c>
      <c r="AD145" s="80">
        <f t="shared" si="58"/>
        <v>14.299999999999965</v>
      </c>
      <c r="AE145" s="81">
        <f t="shared" si="55"/>
        <v>19.48489481260108</v>
      </c>
      <c r="AF145" s="81">
        <f t="shared" si="51"/>
        <v>14.299999999999965</v>
      </c>
      <c r="AG145" s="80">
        <f t="shared" si="56"/>
        <v>18.587665208074725</v>
      </c>
      <c r="AL145" s="1">
        <f t="shared" si="57"/>
        <v>14.299999999999965</v>
      </c>
      <c r="AM145" s="1">
        <f t="shared" si="50"/>
        <v>30.362189115656566</v>
      </c>
      <c r="AN145" s="1">
        <f t="shared" si="52"/>
        <v>0.93261487668844723</v>
      </c>
      <c r="AO145" s="1">
        <f t="shared" si="53"/>
        <v>11.286895694101126</v>
      </c>
      <c r="AQ145" s="8"/>
      <c r="AR145" s="66"/>
      <c r="AW145" s="1"/>
      <c r="AY145" s="1"/>
    </row>
    <row r="146" spans="1:51" x14ac:dyDescent="0.2">
      <c r="A146" s="134"/>
      <c r="AC146" s="125">
        <f t="shared" si="54"/>
        <v>4.9430699746004896</v>
      </c>
      <c r="AD146" s="80">
        <f t="shared" si="58"/>
        <v>14.399999999999965</v>
      </c>
      <c r="AE146" s="81">
        <f t="shared" si="55"/>
        <v>19.48489481260108</v>
      </c>
      <c r="AF146" s="81">
        <f t="shared" si="51"/>
        <v>14.399999999999965</v>
      </c>
      <c r="AG146" s="80">
        <f t="shared" si="56"/>
        <v>18.587665208074725</v>
      </c>
      <c r="AL146" s="1">
        <f t="shared" si="57"/>
        <v>14.399999999999965</v>
      </c>
      <c r="AM146" s="1">
        <f t="shared" si="50"/>
        <v>30.362189115656566</v>
      </c>
      <c r="AN146" s="1">
        <f t="shared" si="52"/>
        <v>0.93261487668844723</v>
      </c>
      <c r="AO146" s="1">
        <f t="shared" si="53"/>
        <v>11.286895694101126</v>
      </c>
      <c r="AQ146" s="8"/>
      <c r="AR146" s="66"/>
      <c r="AW146" s="1"/>
      <c r="AY146" s="1"/>
    </row>
    <row r="147" spans="1:51" x14ac:dyDescent="0.2">
      <c r="A147" s="134"/>
      <c r="AC147" s="125">
        <f t="shared" si="54"/>
        <v>4.9430699746004896</v>
      </c>
      <c r="AD147" s="80">
        <f t="shared" si="58"/>
        <v>14.499999999999964</v>
      </c>
      <c r="AE147" s="81">
        <f t="shared" si="55"/>
        <v>19.48489481260108</v>
      </c>
      <c r="AF147" s="81">
        <f t="shared" si="51"/>
        <v>14.499999999999964</v>
      </c>
      <c r="AG147" s="80">
        <f t="shared" si="56"/>
        <v>18.587665208074725</v>
      </c>
      <c r="AL147" s="1">
        <f t="shared" si="57"/>
        <v>14.499999999999964</v>
      </c>
      <c r="AM147" s="1">
        <f t="shared" si="50"/>
        <v>30.362189115656566</v>
      </c>
      <c r="AN147" s="1">
        <f t="shared" si="52"/>
        <v>0.93261487668844723</v>
      </c>
      <c r="AO147" s="1">
        <f t="shared" si="53"/>
        <v>11.286895694101126</v>
      </c>
      <c r="AQ147" s="8"/>
      <c r="AR147" s="66"/>
      <c r="AW147" s="1"/>
      <c r="AY147" s="1"/>
    </row>
    <row r="148" spans="1:51" x14ac:dyDescent="0.2">
      <c r="A148" s="134"/>
      <c r="AC148" s="125">
        <f t="shared" si="54"/>
        <v>4.9430699746004896</v>
      </c>
      <c r="AD148" s="80">
        <f t="shared" si="58"/>
        <v>14.599999999999964</v>
      </c>
      <c r="AE148" s="81">
        <f t="shared" si="55"/>
        <v>19.48489481260108</v>
      </c>
      <c r="AF148" s="81">
        <f t="shared" si="51"/>
        <v>14.599999999999964</v>
      </c>
      <c r="AG148" s="80">
        <f t="shared" si="56"/>
        <v>18.587665208074725</v>
      </c>
      <c r="AL148" s="1">
        <f t="shared" si="57"/>
        <v>14.599999999999964</v>
      </c>
      <c r="AM148" s="1">
        <f t="shared" si="50"/>
        <v>30.362189115656566</v>
      </c>
      <c r="AN148" s="1">
        <f t="shared" si="52"/>
        <v>0.93261487668844723</v>
      </c>
      <c r="AO148" s="1">
        <f t="shared" si="53"/>
        <v>11.286895694101126</v>
      </c>
      <c r="AQ148" s="8"/>
      <c r="AR148" s="66"/>
      <c r="AW148" s="1"/>
      <c r="AY148" s="1"/>
    </row>
    <row r="149" spans="1:51" x14ac:dyDescent="0.2">
      <c r="A149" s="134"/>
      <c r="AC149" s="125">
        <f t="shared" si="54"/>
        <v>4.9430699746004896</v>
      </c>
      <c r="AD149" s="80">
        <f t="shared" si="58"/>
        <v>14.699999999999964</v>
      </c>
      <c r="AE149" s="81">
        <f t="shared" si="55"/>
        <v>19.48489481260108</v>
      </c>
      <c r="AF149" s="81">
        <f t="shared" si="51"/>
        <v>14.699999999999964</v>
      </c>
      <c r="AG149" s="80">
        <f t="shared" si="56"/>
        <v>18.587665208074725</v>
      </c>
      <c r="AL149" s="1">
        <f t="shared" si="57"/>
        <v>14.699999999999964</v>
      </c>
      <c r="AM149" s="1">
        <f t="shared" si="50"/>
        <v>30.362189115656566</v>
      </c>
      <c r="AN149" s="1">
        <f t="shared" si="52"/>
        <v>0.93261487668844723</v>
      </c>
      <c r="AO149" s="1">
        <f t="shared" si="53"/>
        <v>11.286895694101126</v>
      </c>
      <c r="AQ149" s="8"/>
      <c r="AR149" s="66"/>
      <c r="AW149" s="1"/>
      <c r="AY149" s="1"/>
    </row>
    <row r="150" spans="1:51" x14ac:dyDescent="0.2">
      <c r="A150" s="134"/>
      <c r="AC150" s="125">
        <f t="shared" si="54"/>
        <v>4.9430699746004896</v>
      </c>
      <c r="AD150" s="80">
        <f t="shared" si="58"/>
        <v>14.799999999999963</v>
      </c>
      <c r="AE150" s="81">
        <f t="shared" si="55"/>
        <v>19.48489481260108</v>
      </c>
      <c r="AF150" s="81">
        <f t="shared" si="51"/>
        <v>14.799999999999963</v>
      </c>
      <c r="AG150" s="80">
        <f t="shared" si="56"/>
        <v>18.587665208074725</v>
      </c>
      <c r="AL150" s="1">
        <f t="shared" si="57"/>
        <v>14.799999999999963</v>
      </c>
      <c r="AM150" s="1">
        <f t="shared" si="50"/>
        <v>30.362189115656566</v>
      </c>
      <c r="AN150" s="1">
        <f t="shared" si="52"/>
        <v>0.93261487668844723</v>
      </c>
      <c r="AO150" s="1">
        <f t="shared" si="53"/>
        <v>11.286895694101126</v>
      </c>
      <c r="AQ150" s="8"/>
      <c r="AR150" s="66"/>
      <c r="AW150" s="1"/>
      <c r="AY150" s="1"/>
    </row>
    <row r="151" spans="1:51" x14ac:dyDescent="0.2">
      <c r="A151" s="134"/>
      <c r="AC151" s="125">
        <f t="shared" si="54"/>
        <v>4.8394514817127572</v>
      </c>
      <c r="AD151" s="80">
        <f t="shared" si="58"/>
        <v>14.899999999999963</v>
      </c>
      <c r="AE151" s="81">
        <f t="shared" si="55"/>
        <v>21.280743812788174</v>
      </c>
      <c r="AF151" s="81">
        <f t="shared" si="51"/>
        <v>14.899999999999963</v>
      </c>
      <c r="AG151" s="80">
        <f t="shared" si="56"/>
        <v>19.384364991751827</v>
      </c>
      <c r="AL151" s="1">
        <f t="shared" si="57"/>
        <v>14.899999999999963</v>
      </c>
      <c r="AM151" s="1">
        <f t="shared" si="50"/>
        <v>30.362189115656566</v>
      </c>
      <c r="AN151" s="1">
        <f t="shared" si="52"/>
        <v>2.7284638768755407</v>
      </c>
      <c r="AO151" s="1">
        <f t="shared" si="53"/>
        <v>12.083595477778228</v>
      </c>
      <c r="AQ151" s="8"/>
      <c r="AR151" s="66"/>
      <c r="AW151" s="1"/>
      <c r="AY151" s="1"/>
    </row>
    <row r="152" spans="1:51" x14ac:dyDescent="0.2">
      <c r="A152" s="134"/>
      <c r="AC152" s="125">
        <f t="shared" si="54"/>
        <v>4.8394514817127572</v>
      </c>
      <c r="AD152" s="80">
        <f t="shared" si="58"/>
        <v>14.999999999999963</v>
      </c>
      <c r="AE152" s="81">
        <f t="shared" si="55"/>
        <v>21.280743812788174</v>
      </c>
      <c r="AF152" s="81">
        <f t="shared" si="51"/>
        <v>14.999999999999963</v>
      </c>
      <c r="AG152" s="80">
        <f t="shared" si="56"/>
        <v>19.384364991751827</v>
      </c>
      <c r="AL152" s="1">
        <f t="shared" si="57"/>
        <v>14.999999999999963</v>
      </c>
      <c r="AM152" s="1">
        <f t="shared" si="50"/>
        <v>30.362189115656566</v>
      </c>
      <c r="AN152" s="1">
        <f t="shared" si="52"/>
        <v>2.7284638768755407</v>
      </c>
      <c r="AO152" s="1">
        <f t="shared" si="53"/>
        <v>12.083595477778228</v>
      </c>
      <c r="AQ152" s="8"/>
      <c r="AR152" s="66"/>
      <c r="AW152" s="1"/>
      <c r="AY152" s="1"/>
    </row>
    <row r="153" spans="1:51" x14ac:dyDescent="0.2">
      <c r="A153" s="134"/>
      <c r="AC153" s="125">
        <f t="shared" si="54"/>
        <v>4.8394514817127572</v>
      </c>
      <c r="AD153" s="80">
        <f t="shared" si="58"/>
        <v>15.099999999999962</v>
      </c>
      <c r="AE153" s="81">
        <f t="shared" si="55"/>
        <v>21.280743812788174</v>
      </c>
      <c r="AF153" s="81">
        <f t="shared" si="51"/>
        <v>15.099999999999962</v>
      </c>
      <c r="AG153" s="80">
        <f t="shared" si="56"/>
        <v>19.384364991751827</v>
      </c>
      <c r="AL153" s="1">
        <f t="shared" si="57"/>
        <v>15.099999999999962</v>
      </c>
      <c r="AM153" s="1">
        <f t="shared" si="50"/>
        <v>30.362189115656566</v>
      </c>
      <c r="AN153" s="1">
        <f t="shared" si="52"/>
        <v>2.7284638768755407</v>
      </c>
      <c r="AO153" s="1">
        <f t="shared" si="53"/>
        <v>12.083595477778228</v>
      </c>
      <c r="AQ153" s="8"/>
      <c r="AR153" s="66"/>
      <c r="AW153" s="1"/>
      <c r="AY153" s="1"/>
    </row>
    <row r="154" spans="1:51" x14ac:dyDescent="0.2">
      <c r="A154" s="134"/>
      <c r="AC154" s="125">
        <f t="shared" si="54"/>
        <v>4.8394514817127572</v>
      </c>
      <c r="AD154" s="80">
        <f t="shared" si="58"/>
        <v>15.199999999999962</v>
      </c>
      <c r="AE154" s="81">
        <f t="shared" si="55"/>
        <v>21.280743812788174</v>
      </c>
      <c r="AF154" s="81">
        <f t="shared" si="51"/>
        <v>15.199999999999962</v>
      </c>
      <c r="AG154" s="80">
        <f t="shared" si="56"/>
        <v>19.384364991751827</v>
      </c>
      <c r="AL154" s="1">
        <f t="shared" si="57"/>
        <v>15.199999999999962</v>
      </c>
      <c r="AM154" s="1">
        <f t="shared" si="50"/>
        <v>30.362189115656566</v>
      </c>
      <c r="AN154" s="1">
        <f t="shared" si="52"/>
        <v>2.7284638768755407</v>
      </c>
      <c r="AO154" s="1">
        <f t="shared" si="53"/>
        <v>12.083595477778228</v>
      </c>
      <c r="AQ154" s="8"/>
      <c r="AR154" s="66"/>
      <c r="AW154" s="1"/>
      <c r="AY154" s="1"/>
    </row>
    <row r="155" spans="1:51" x14ac:dyDescent="0.2">
      <c r="A155" s="134"/>
      <c r="AC155" s="125">
        <f t="shared" si="54"/>
        <v>4.8394514817127572</v>
      </c>
      <c r="AD155" s="80">
        <f t="shared" si="58"/>
        <v>15.299999999999962</v>
      </c>
      <c r="AE155" s="81">
        <f t="shared" si="55"/>
        <v>21.280743812788174</v>
      </c>
      <c r="AF155" s="81">
        <f t="shared" si="51"/>
        <v>15.299999999999962</v>
      </c>
      <c r="AG155" s="80">
        <f t="shared" si="56"/>
        <v>19.384364991751827</v>
      </c>
      <c r="AL155" s="1">
        <f t="shared" si="57"/>
        <v>15.299999999999962</v>
      </c>
      <c r="AM155" s="1">
        <f t="shared" si="50"/>
        <v>30.362189115656566</v>
      </c>
      <c r="AN155" s="1">
        <f t="shared" si="52"/>
        <v>2.7284638768755407</v>
      </c>
      <c r="AO155" s="1">
        <f t="shared" si="53"/>
        <v>12.083595477778228</v>
      </c>
      <c r="AQ155" s="8"/>
      <c r="AR155" s="66"/>
      <c r="AW155" s="1"/>
      <c r="AY155" s="1"/>
    </row>
    <row r="156" spans="1:51" x14ac:dyDescent="0.2">
      <c r="A156" s="134"/>
      <c r="AC156" s="125">
        <f t="shared" si="54"/>
        <v>4.8394514817127572</v>
      </c>
      <c r="AD156" s="80">
        <f t="shared" si="58"/>
        <v>15.399999999999961</v>
      </c>
      <c r="AE156" s="81">
        <f t="shared" si="55"/>
        <v>21.280743812788174</v>
      </c>
      <c r="AF156" s="81">
        <f t="shared" si="51"/>
        <v>15.399999999999961</v>
      </c>
      <c r="AG156" s="80">
        <f t="shared" si="56"/>
        <v>19.384364991751827</v>
      </c>
      <c r="AL156" s="1">
        <f t="shared" si="57"/>
        <v>15.399999999999961</v>
      </c>
      <c r="AM156" s="1">
        <f t="shared" si="50"/>
        <v>30.362189115656566</v>
      </c>
      <c r="AN156" s="1">
        <f t="shared" si="52"/>
        <v>2.7284638768755407</v>
      </c>
      <c r="AO156" s="1">
        <f t="shared" si="53"/>
        <v>12.083595477778228</v>
      </c>
      <c r="AQ156" s="8"/>
      <c r="AR156" s="66"/>
      <c r="AW156" s="1"/>
      <c r="AY156" s="1"/>
    </row>
    <row r="157" spans="1:51" x14ac:dyDescent="0.2">
      <c r="A157" s="134"/>
      <c r="AC157" s="125">
        <f t="shared" si="54"/>
        <v>4.8394514817127572</v>
      </c>
      <c r="AD157" s="80">
        <f t="shared" si="58"/>
        <v>15.499999999999961</v>
      </c>
      <c r="AE157" s="81">
        <f t="shared" si="55"/>
        <v>21.280743812788174</v>
      </c>
      <c r="AF157" s="81">
        <f t="shared" si="51"/>
        <v>15.499999999999961</v>
      </c>
      <c r="AG157" s="80">
        <f t="shared" si="56"/>
        <v>19.384364991751827</v>
      </c>
      <c r="AL157" s="1">
        <f t="shared" si="57"/>
        <v>15.499999999999961</v>
      </c>
      <c r="AM157" s="1">
        <f t="shared" si="50"/>
        <v>30.362189115656566</v>
      </c>
      <c r="AN157" s="1">
        <f t="shared" si="52"/>
        <v>2.7284638768755407</v>
      </c>
      <c r="AO157" s="1">
        <f t="shared" si="53"/>
        <v>12.083595477778228</v>
      </c>
      <c r="AQ157" s="8"/>
      <c r="AR157" s="66"/>
      <c r="AW157" s="1"/>
      <c r="AY157" s="1"/>
    </row>
    <row r="158" spans="1:51" x14ac:dyDescent="0.2">
      <c r="A158" s="134"/>
      <c r="AC158" s="125">
        <f t="shared" si="54"/>
        <v>4.7229532216444747</v>
      </c>
      <c r="AD158" s="80">
        <f t="shared" si="58"/>
        <v>15.599999999999961</v>
      </c>
      <c r="AE158" s="81">
        <f t="shared" si="55"/>
        <v>23.180389367049074</v>
      </c>
      <c r="AF158" s="81">
        <f t="shared" si="51"/>
        <v>15.599999999999961</v>
      </c>
      <c r="AG158" s="80">
        <f t="shared" si="56"/>
        <v>19.285771548796852</v>
      </c>
      <c r="AL158" s="1">
        <f t="shared" si="57"/>
        <v>15.599999999999961</v>
      </c>
      <c r="AM158" s="1">
        <f t="shared" si="50"/>
        <v>30.362189115656566</v>
      </c>
      <c r="AN158" s="1">
        <f t="shared" si="52"/>
        <v>4.6281094311364406</v>
      </c>
      <c r="AO158" s="1">
        <f t="shared" si="53"/>
        <v>11.985002034823253</v>
      </c>
      <c r="AQ158" s="8"/>
      <c r="AR158" s="66"/>
      <c r="AW158" s="1"/>
      <c r="AY158" s="1"/>
    </row>
    <row r="159" spans="1:51" x14ac:dyDescent="0.2">
      <c r="A159" s="134"/>
      <c r="AC159" s="125">
        <f t="shared" si="54"/>
        <v>4.7229532216444747</v>
      </c>
      <c r="AD159" s="80">
        <f t="shared" si="58"/>
        <v>15.69999999999996</v>
      </c>
      <c r="AE159" s="81">
        <f t="shared" si="55"/>
        <v>23.180389367049074</v>
      </c>
      <c r="AF159" s="81">
        <f t="shared" si="51"/>
        <v>15.69999999999996</v>
      </c>
      <c r="AG159" s="80">
        <f t="shared" si="56"/>
        <v>19.285771548796852</v>
      </c>
      <c r="AL159" s="1">
        <f t="shared" si="57"/>
        <v>15.69999999999996</v>
      </c>
      <c r="AM159" s="1">
        <f t="shared" si="50"/>
        <v>30.362189115656566</v>
      </c>
      <c r="AN159" s="1">
        <f t="shared" si="52"/>
        <v>4.6281094311364406</v>
      </c>
      <c r="AO159" s="1">
        <f t="shared" si="53"/>
        <v>11.985002034823253</v>
      </c>
      <c r="AQ159" s="8"/>
      <c r="AR159" s="66"/>
      <c r="AW159" s="1"/>
      <c r="AY159" s="1"/>
    </row>
    <row r="160" spans="1:51" x14ac:dyDescent="0.2">
      <c r="A160" s="134"/>
      <c r="AC160" s="125">
        <f t="shared" si="54"/>
        <v>4.7229532216444747</v>
      </c>
      <c r="AD160" s="80">
        <f t="shared" si="58"/>
        <v>15.79999999999996</v>
      </c>
      <c r="AE160" s="81">
        <f t="shared" si="55"/>
        <v>23.180389367049074</v>
      </c>
      <c r="AF160" s="81">
        <f t="shared" si="51"/>
        <v>15.79999999999996</v>
      </c>
      <c r="AG160" s="80">
        <f t="shared" si="56"/>
        <v>19.285771548796852</v>
      </c>
      <c r="AL160" s="1">
        <f t="shared" si="57"/>
        <v>15.79999999999996</v>
      </c>
      <c r="AM160" s="1">
        <f t="shared" si="50"/>
        <v>30.362189115656566</v>
      </c>
      <c r="AN160" s="1">
        <f t="shared" si="52"/>
        <v>4.6281094311364406</v>
      </c>
      <c r="AO160" s="1">
        <f t="shared" si="53"/>
        <v>11.985002034823253</v>
      </c>
      <c r="AQ160" s="8"/>
      <c r="AR160" s="66"/>
      <c r="AW160" s="1"/>
      <c r="AY160" s="1"/>
    </row>
    <row r="161" spans="1:51" x14ac:dyDescent="0.2">
      <c r="A161" s="134"/>
      <c r="AC161" s="125">
        <f t="shared" si="54"/>
        <v>4.7229532216444747</v>
      </c>
      <c r="AD161" s="80">
        <f t="shared" si="58"/>
        <v>15.899999999999959</v>
      </c>
      <c r="AE161" s="81">
        <f t="shared" si="55"/>
        <v>23.180389367049074</v>
      </c>
      <c r="AF161" s="81">
        <f t="shared" si="51"/>
        <v>15.899999999999959</v>
      </c>
      <c r="AG161" s="80">
        <f t="shared" si="56"/>
        <v>19.285771548796852</v>
      </c>
      <c r="AL161" s="1">
        <f t="shared" si="57"/>
        <v>15.899999999999959</v>
      </c>
      <c r="AM161" s="1">
        <f t="shared" si="50"/>
        <v>30.362189115656566</v>
      </c>
      <c r="AN161" s="1">
        <f t="shared" si="52"/>
        <v>4.6281094311364406</v>
      </c>
      <c r="AO161" s="1">
        <f t="shared" si="53"/>
        <v>11.985002034823253</v>
      </c>
      <c r="AQ161" s="8"/>
      <c r="AR161" s="66"/>
      <c r="AW161" s="1"/>
      <c r="AY161" s="1"/>
    </row>
    <row r="162" spans="1:51" x14ac:dyDescent="0.2">
      <c r="A162" s="134"/>
      <c r="AC162" s="125">
        <f t="shared" si="54"/>
        <v>4.7229532216444747</v>
      </c>
      <c r="AD162" s="80">
        <f t="shared" si="58"/>
        <v>15.999999999999959</v>
      </c>
      <c r="AE162" s="81">
        <f t="shared" si="55"/>
        <v>23.180389367049074</v>
      </c>
      <c r="AF162" s="81">
        <f t="shared" si="51"/>
        <v>15.999999999999959</v>
      </c>
      <c r="AG162" s="80">
        <f t="shared" si="56"/>
        <v>19.285771548796852</v>
      </c>
      <c r="AL162" s="1">
        <f t="shared" si="57"/>
        <v>15.999999999999959</v>
      </c>
      <c r="AM162" s="1">
        <f t="shared" si="50"/>
        <v>30.362189115656566</v>
      </c>
      <c r="AN162" s="1">
        <f t="shared" si="52"/>
        <v>4.6281094311364406</v>
      </c>
      <c r="AO162" s="1">
        <f t="shared" si="53"/>
        <v>11.985002034823253</v>
      </c>
      <c r="AQ162" s="8"/>
      <c r="AR162" s="66"/>
      <c r="AW162" s="1"/>
      <c r="AY162" s="1"/>
    </row>
    <row r="163" spans="1:51" x14ac:dyDescent="0.2">
      <c r="A163" s="134"/>
      <c r="AC163" s="125">
        <f t="shared" si="54"/>
        <v>4.7229532216444747</v>
      </c>
      <c r="AD163" s="80">
        <f t="shared" si="58"/>
        <v>16.099999999999959</v>
      </c>
      <c r="AE163" s="81">
        <f t="shared" si="55"/>
        <v>23.180389367049074</v>
      </c>
      <c r="AF163" s="81">
        <f t="shared" si="51"/>
        <v>16.099999999999959</v>
      </c>
      <c r="AG163" s="80">
        <f t="shared" si="56"/>
        <v>19.285771548796852</v>
      </c>
      <c r="AL163" s="1">
        <f t="shared" si="57"/>
        <v>16.099999999999959</v>
      </c>
      <c r="AM163" s="1">
        <f t="shared" si="50"/>
        <v>30.362189115656566</v>
      </c>
      <c r="AN163" s="1">
        <f t="shared" si="52"/>
        <v>4.6281094311364406</v>
      </c>
      <c r="AO163" s="1">
        <f t="shared" si="53"/>
        <v>11.985002034823253</v>
      </c>
      <c r="AQ163" s="8"/>
      <c r="AR163" s="66"/>
    </row>
    <row r="164" spans="1:51" x14ac:dyDescent="0.2">
      <c r="A164" s="134"/>
      <c r="AC164" s="125">
        <f t="shared" si="54"/>
        <v>4.7229532216444747</v>
      </c>
      <c r="AD164" s="80">
        <f t="shared" si="58"/>
        <v>16.19999999999996</v>
      </c>
      <c r="AE164" s="81">
        <f t="shared" si="55"/>
        <v>23.180389367049074</v>
      </c>
      <c r="AF164" s="81">
        <f t="shared" si="51"/>
        <v>16.19999999999996</v>
      </c>
      <c r="AG164" s="80">
        <f t="shared" si="56"/>
        <v>19.285771548796852</v>
      </c>
      <c r="AL164" s="1">
        <f t="shared" si="57"/>
        <v>16.19999999999996</v>
      </c>
      <c r="AM164" s="1">
        <f t="shared" si="50"/>
        <v>30.362189115656566</v>
      </c>
      <c r="AN164" s="1">
        <f t="shared" si="52"/>
        <v>4.6281094311364406</v>
      </c>
      <c r="AO164" s="1">
        <f t="shared" si="53"/>
        <v>11.985002034823253</v>
      </c>
      <c r="AQ164" s="8"/>
      <c r="AR164" s="66"/>
    </row>
    <row r="165" spans="1:51" x14ac:dyDescent="0.2">
      <c r="A165" s="134"/>
      <c r="AC165" s="125">
        <f t="shared" si="54"/>
        <v>4.7229532216444747</v>
      </c>
      <c r="AD165" s="80">
        <f t="shared" si="58"/>
        <v>16.299999999999962</v>
      </c>
      <c r="AE165" s="81">
        <f t="shared" si="55"/>
        <v>23.180389367049074</v>
      </c>
      <c r="AF165" s="81">
        <f t="shared" si="51"/>
        <v>16.299999999999962</v>
      </c>
      <c r="AG165" s="80">
        <f t="shared" si="56"/>
        <v>19.285771548796852</v>
      </c>
      <c r="AL165" s="1">
        <f t="shared" si="57"/>
        <v>16.299999999999962</v>
      </c>
      <c r="AM165" s="1">
        <f t="shared" si="50"/>
        <v>30.362189115656566</v>
      </c>
      <c r="AN165" s="1">
        <f t="shared" si="52"/>
        <v>4.6281094311364406</v>
      </c>
      <c r="AO165" s="1">
        <f t="shared" si="53"/>
        <v>11.985002034823253</v>
      </c>
      <c r="AQ165" s="8"/>
      <c r="AR165" s="66"/>
    </row>
    <row r="166" spans="1:51" x14ac:dyDescent="0.2">
      <c r="A166" s="134"/>
      <c r="AC166" s="125">
        <f t="shared" si="54"/>
        <v>4.7229532216444747</v>
      </c>
      <c r="AD166" s="80">
        <f t="shared" si="58"/>
        <v>16.399999999999963</v>
      </c>
      <c r="AE166" s="81">
        <f t="shared" si="55"/>
        <v>23.180389367049074</v>
      </c>
      <c r="AF166" s="81">
        <f t="shared" si="51"/>
        <v>16.399999999999963</v>
      </c>
      <c r="AG166" s="80">
        <f t="shared" si="56"/>
        <v>19.285771548796852</v>
      </c>
      <c r="AL166" s="1">
        <f t="shared" si="57"/>
        <v>16.399999999999963</v>
      </c>
      <c r="AM166" s="1">
        <f t="shared" si="50"/>
        <v>30.362189115656566</v>
      </c>
      <c r="AN166" s="1">
        <f t="shared" si="52"/>
        <v>4.6281094311364406</v>
      </c>
      <c r="AO166" s="1">
        <f t="shared" si="53"/>
        <v>11.985002034823253</v>
      </c>
      <c r="AQ166" s="8"/>
      <c r="AR166" s="66"/>
    </row>
    <row r="167" spans="1:51" x14ac:dyDescent="0.2">
      <c r="A167" s="134"/>
      <c r="AC167" s="125">
        <f t="shared" si="54"/>
        <v>4.5910712616085894</v>
      </c>
      <c r="AD167" s="80">
        <f t="shared" si="58"/>
        <v>16.499999999999964</v>
      </c>
      <c r="AE167" s="81">
        <f t="shared" si="55"/>
        <v>22.084901119944316</v>
      </c>
      <c r="AF167" s="81">
        <f t="shared" si="51"/>
        <v>16.499999999999964</v>
      </c>
      <c r="AG167" s="80">
        <f t="shared" si="56"/>
        <v>17.385345788339627</v>
      </c>
      <c r="AL167" s="1">
        <f t="shared" si="57"/>
        <v>16.499999999999964</v>
      </c>
      <c r="AM167" s="1">
        <f t="shared" si="50"/>
        <v>30.362189115656566</v>
      </c>
      <c r="AN167" s="1">
        <f t="shared" si="52"/>
        <v>3.532621184031683</v>
      </c>
      <c r="AO167" s="1">
        <f t="shared" si="53"/>
        <v>10.084576274366029</v>
      </c>
      <c r="AQ167" s="8"/>
      <c r="AR167" s="66"/>
    </row>
    <row r="168" spans="1:51" x14ac:dyDescent="0.2">
      <c r="A168" s="134"/>
      <c r="AC168" s="125">
        <f t="shared" si="54"/>
        <v>4.5910712616085894</v>
      </c>
      <c r="AD168" s="80">
        <f t="shared" si="58"/>
        <v>16.599999999999966</v>
      </c>
      <c r="AE168" s="81">
        <f t="shared" si="55"/>
        <v>22.084901119944316</v>
      </c>
      <c r="AF168" s="81">
        <f t="shared" si="51"/>
        <v>16.599999999999966</v>
      </c>
      <c r="AG168" s="80">
        <f t="shared" si="56"/>
        <v>17.385345788339627</v>
      </c>
      <c r="AL168" s="1">
        <f t="shared" si="57"/>
        <v>16.599999999999966</v>
      </c>
      <c r="AM168" s="1">
        <f t="shared" ref="AM168:AM212" si="59">$AM$102</f>
        <v>30.362189115656566</v>
      </c>
      <c r="AN168" s="1">
        <f t="shared" si="52"/>
        <v>3.532621184031683</v>
      </c>
      <c r="AO168" s="1">
        <f t="shared" si="53"/>
        <v>10.084576274366029</v>
      </c>
      <c r="AQ168" s="8"/>
      <c r="AR168" s="66"/>
    </row>
    <row r="169" spans="1:51" x14ac:dyDescent="0.2">
      <c r="A169" s="134"/>
      <c r="AC169" s="125">
        <f t="shared" si="54"/>
        <v>4.5910712616085894</v>
      </c>
      <c r="AD169" s="80">
        <f t="shared" si="58"/>
        <v>16.699999999999967</v>
      </c>
      <c r="AE169" s="81">
        <f t="shared" si="55"/>
        <v>22.084901119944316</v>
      </c>
      <c r="AF169" s="81">
        <f t="shared" si="51"/>
        <v>16.699999999999967</v>
      </c>
      <c r="AG169" s="80">
        <f t="shared" si="56"/>
        <v>17.385345788339627</v>
      </c>
      <c r="AL169" s="1">
        <f t="shared" si="57"/>
        <v>16.699999999999967</v>
      </c>
      <c r="AM169" s="1">
        <f t="shared" si="59"/>
        <v>30.362189115656566</v>
      </c>
      <c r="AN169" s="1">
        <f t="shared" si="52"/>
        <v>3.532621184031683</v>
      </c>
      <c r="AO169" s="1">
        <f t="shared" si="53"/>
        <v>10.084576274366029</v>
      </c>
      <c r="AQ169" s="8"/>
      <c r="AR169" s="66"/>
    </row>
    <row r="170" spans="1:51" x14ac:dyDescent="0.2">
      <c r="A170" s="134"/>
      <c r="AC170" s="125">
        <f t="shared" si="54"/>
        <v>4.5910712616085894</v>
      </c>
      <c r="AD170" s="80">
        <f t="shared" si="58"/>
        <v>16.799999999999969</v>
      </c>
      <c r="AE170" s="81">
        <f t="shared" si="55"/>
        <v>22.084901119944316</v>
      </c>
      <c r="AF170" s="81">
        <f t="shared" si="51"/>
        <v>16.799999999999969</v>
      </c>
      <c r="AG170" s="80">
        <f t="shared" si="56"/>
        <v>17.385345788339627</v>
      </c>
      <c r="AL170" s="1">
        <f t="shared" si="57"/>
        <v>16.799999999999969</v>
      </c>
      <c r="AM170" s="1">
        <f t="shared" si="59"/>
        <v>30.362189115656566</v>
      </c>
      <c r="AN170" s="1">
        <f t="shared" si="52"/>
        <v>3.532621184031683</v>
      </c>
      <c r="AO170" s="1">
        <f t="shared" si="53"/>
        <v>10.084576274366029</v>
      </c>
      <c r="AQ170" s="8"/>
      <c r="AR170" s="66"/>
    </row>
    <row r="171" spans="1:51" x14ac:dyDescent="0.2">
      <c r="A171" s="134"/>
      <c r="AC171" s="125">
        <f t="shared" si="54"/>
        <v>4.5910712616085894</v>
      </c>
      <c r="AD171" s="80">
        <f t="shared" si="58"/>
        <v>16.89999999999997</v>
      </c>
      <c r="AE171" s="81">
        <f t="shared" si="55"/>
        <v>22.084901119944316</v>
      </c>
      <c r="AF171" s="81">
        <f t="shared" si="51"/>
        <v>16.89999999999997</v>
      </c>
      <c r="AG171" s="80">
        <f t="shared" si="56"/>
        <v>17.385345788339627</v>
      </c>
      <c r="AL171" s="1">
        <f t="shared" si="57"/>
        <v>16.89999999999997</v>
      </c>
      <c r="AM171" s="1">
        <f t="shared" si="59"/>
        <v>30.362189115656566</v>
      </c>
      <c r="AN171" s="1">
        <f t="shared" si="52"/>
        <v>3.532621184031683</v>
      </c>
      <c r="AO171" s="1">
        <f t="shared" si="53"/>
        <v>10.084576274366029</v>
      </c>
      <c r="AQ171" s="8"/>
      <c r="AR171" s="66"/>
    </row>
    <row r="172" spans="1:51" x14ac:dyDescent="0.2">
      <c r="A172" s="134"/>
      <c r="AC172" s="125">
        <f t="shared" si="54"/>
        <v>4.5910712616085894</v>
      </c>
      <c r="AD172" s="80">
        <f t="shared" si="58"/>
        <v>16.999999999999972</v>
      </c>
      <c r="AE172" s="81">
        <f t="shared" si="55"/>
        <v>22.084901119944316</v>
      </c>
      <c r="AF172" s="81">
        <f t="shared" si="51"/>
        <v>16.999999999999972</v>
      </c>
      <c r="AG172" s="80">
        <f t="shared" si="56"/>
        <v>17.385345788339627</v>
      </c>
      <c r="AL172" s="1">
        <f t="shared" si="57"/>
        <v>16.999999999999972</v>
      </c>
      <c r="AM172" s="1">
        <f t="shared" si="59"/>
        <v>30.362189115656566</v>
      </c>
      <c r="AN172" s="1">
        <f t="shared" si="52"/>
        <v>3.532621184031683</v>
      </c>
      <c r="AO172" s="1">
        <f t="shared" si="53"/>
        <v>10.084576274366029</v>
      </c>
      <c r="AQ172" s="8"/>
      <c r="AR172" s="66"/>
    </row>
    <row r="173" spans="1:51" x14ac:dyDescent="0.2">
      <c r="A173" s="134"/>
      <c r="AC173" s="125">
        <f t="shared" si="54"/>
        <v>4.5910712616085894</v>
      </c>
      <c r="AD173" s="80">
        <f t="shared" si="58"/>
        <v>17.099999999999973</v>
      </c>
      <c r="AE173" s="81">
        <f t="shared" si="55"/>
        <v>22.084901119944316</v>
      </c>
      <c r="AF173" s="81">
        <f t="shared" si="51"/>
        <v>17.099999999999973</v>
      </c>
      <c r="AG173" s="80">
        <f t="shared" si="56"/>
        <v>17.385345788339627</v>
      </c>
      <c r="AL173" s="1">
        <f t="shared" si="57"/>
        <v>17.099999999999973</v>
      </c>
      <c r="AM173" s="1">
        <f t="shared" si="59"/>
        <v>30.362189115656566</v>
      </c>
      <c r="AN173" s="1">
        <f t="shared" si="52"/>
        <v>3.532621184031683</v>
      </c>
      <c r="AO173" s="1">
        <f t="shared" si="53"/>
        <v>10.084576274366029</v>
      </c>
      <c r="AQ173" s="8"/>
      <c r="AR173" s="66"/>
    </row>
    <row r="174" spans="1:51" x14ac:dyDescent="0.2">
      <c r="A174" s="134"/>
      <c r="AC174" s="125">
        <f t="shared" si="54"/>
        <v>4.5910712616085894</v>
      </c>
      <c r="AD174" s="80">
        <f t="shared" si="58"/>
        <v>17.199999999999974</v>
      </c>
      <c r="AE174" s="81">
        <f t="shared" si="55"/>
        <v>22.084901119944316</v>
      </c>
      <c r="AF174" s="81">
        <f t="shared" si="51"/>
        <v>17.199999999999974</v>
      </c>
      <c r="AG174" s="80">
        <f t="shared" si="56"/>
        <v>17.385345788339627</v>
      </c>
      <c r="AL174" s="1">
        <f t="shared" si="57"/>
        <v>17.199999999999974</v>
      </c>
      <c r="AM174" s="1">
        <f t="shared" si="59"/>
        <v>30.362189115656566</v>
      </c>
      <c r="AN174" s="1">
        <f t="shared" si="52"/>
        <v>3.532621184031683</v>
      </c>
      <c r="AO174" s="1">
        <f t="shared" si="53"/>
        <v>10.084576274366029</v>
      </c>
      <c r="AQ174" s="8"/>
      <c r="AR174" s="66"/>
    </row>
    <row r="175" spans="1:51" x14ac:dyDescent="0.2">
      <c r="A175" s="134"/>
      <c r="AC175" s="125">
        <f t="shared" si="54"/>
        <v>4.4508528256037341</v>
      </c>
      <c r="AD175" s="80">
        <f t="shared" si="58"/>
        <v>17.299999999999976</v>
      </c>
      <c r="AE175" s="81">
        <f t="shared" si="55"/>
        <v>20.585322671820737</v>
      </c>
      <c r="AF175" s="81">
        <f t="shared" si="51"/>
        <v>17.299999999999976</v>
      </c>
      <c r="AG175" s="80">
        <f t="shared" si="56"/>
        <v>11.689339059261096</v>
      </c>
      <c r="AL175" s="1">
        <f t="shared" si="57"/>
        <v>17.299999999999976</v>
      </c>
      <c r="AM175" s="1">
        <f t="shared" si="59"/>
        <v>30.362189115656566</v>
      </c>
      <c r="AN175" s="1">
        <f t="shared" si="52"/>
        <v>2.0330427359081042</v>
      </c>
      <c r="AO175" s="1">
        <f t="shared" si="53"/>
        <v>4.3885695452874982</v>
      </c>
      <c r="AQ175" s="8"/>
      <c r="AR175" s="66"/>
    </row>
    <row r="176" spans="1:51" x14ac:dyDescent="0.2">
      <c r="A176" s="134"/>
      <c r="AC176" s="125">
        <f t="shared" si="54"/>
        <v>4.4508528256037341</v>
      </c>
      <c r="AD176" s="80">
        <f t="shared" si="58"/>
        <v>17.399999999999977</v>
      </c>
      <c r="AE176" s="81">
        <f t="shared" si="55"/>
        <v>20.585322671820737</v>
      </c>
      <c r="AF176" s="81">
        <f t="shared" si="51"/>
        <v>17.399999999999977</v>
      </c>
      <c r="AG176" s="80">
        <f t="shared" si="56"/>
        <v>11.689339059261096</v>
      </c>
      <c r="AL176" s="1">
        <f t="shared" si="57"/>
        <v>17.399999999999977</v>
      </c>
      <c r="AM176" s="1">
        <f t="shared" si="59"/>
        <v>30.362189115656566</v>
      </c>
      <c r="AN176" s="1">
        <f t="shared" si="52"/>
        <v>2.0330427359081042</v>
      </c>
      <c r="AO176" s="1">
        <f t="shared" si="53"/>
        <v>4.3885695452874982</v>
      </c>
      <c r="AQ176" s="8"/>
      <c r="AR176" s="66"/>
    </row>
    <row r="177" spans="1:44" x14ac:dyDescent="0.2">
      <c r="A177" s="134"/>
      <c r="AC177" s="125">
        <f t="shared" si="54"/>
        <v>4.4508528256037341</v>
      </c>
      <c r="AD177" s="80">
        <f t="shared" si="58"/>
        <v>17.499999999999979</v>
      </c>
      <c r="AE177" s="81">
        <f t="shared" si="55"/>
        <v>20.585322671820737</v>
      </c>
      <c r="AF177" s="81">
        <f t="shared" si="51"/>
        <v>17.499999999999979</v>
      </c>
      <c r="AG177" s="80">
        <f t="shared" si="56"/>
        <v>11.689339059261096</v>
      </c>
      <c r="AL177" s="1">
        <f t="shared" si="57"/>
        <v>17.499999999999979</v>
      </c>
      <c r="AM177" s="1">
        <f t="shared" si="59"/>
        <v>30.362189115656566</v>
      </c>
      <c r="AN177" s="1">
        <f t="shared" si="52"/>
        <v>2.0330427359081042</v>
      </c>
      <c r="AO177" s="1">
        <f t="shared" si="53"/>
        <v>4.3885695452874982</v>
      </c>
      <c r="AQ177" s="8"/>
      <c r="AR177" s="66"/>
    </row>
    <row r="178" spans="1:44" x14ac:dyDescent="0.2">
      <c r="A178" s="134"/>
      <c r="AC178" s="125">
        <f t="shared" si="54"/>
        <v>4.4508528256037341</v>
      </c>
      <c r="AD178" s="80">
        <f t="shared" si="58"/>
        <v>17.59999999999998</v>
      </c>
      <c r="AE178" s="81">
        <f t="shared" si="55"/>
        <v>20.585322671820737</v>
      </c>
      <c r="AF178" s="81">
        <f t="shared" si="51"/>
        <v>17.59999999999998</v>
      </c>
      <c r="AG178" s="80">
        <f t="shared" si="56"/>
        <v>11.689339059261096</v>
      </c>
      <c r="AL178" s="1">
        <f t="shared" si="57"/>
        <v>17.59999999999998</v>
      </c>
      <c r="AM178" s="1">
        <f t="shared" si="59"/>
        <v>30.362189115656566</v>
      </c>
      <c r="AN178" s="1">
        <f t="shared" si="52"/>
        <v>2.0330427359081042</v>
      </c>
      <c r="AO178" s="1">
        <f t="shared" si="53"/>
        <v>4.3885695452874982</v>
      </c>
      <c r="AQ178" s="8"/>
      <c r="AR178" s="66"/>
    </row>
    <row r="179" spans="1:44" x14ac:dyDescent="0.2">
      <c r="A179" s="134"/>
      <c r="AC179" s="125">
        <f t="shared" si="54"/>
        <v>4.4508528256037341</v>
      </c>
      <c r="AD179" s="80">
        <f t="shared" si="58"/>
        <v>17.699999999999982</v>
      </c>
      <c r="AE179" s="81">
        <f t="shared" si="55"/>
        <v>20.585322671820737</v>
      </c>
      <c r="AF179" s="81">
        <f t="shared" si="51"/>
        <v>17.699999999999982</v>
      </c>
      <c r="AG179" s="80">
        <f t="shared" si="56"/>
        <v>11.689339059261096</v>
      </c>
      <c r="AL179" s="1">
        <f t="shared" si="57"/>
        <v>17.699999999999982</v>
      </c>
      <c r="AM179" s="1">
        <f t="shared" si="59"/>
        <v>30.362189115656566</v>
      </c>
      <c r="AN179" s="1">
        <f t="shared" si="52"/>
        <v>2.0330427359081042</v>
      </c>
      <c r="AO179" s="1">
        <f t="shared" si="53"/>
        <v>4.3885695452874982</v>
      </c>
      <c r="AQ179" s="8"/>
      <c r="AR179" s="66"/>
    </row>
    <row r="180" spans="1:44" x14ac:dyDescent="0.2">
      <c r="A180" s="134"/>
      <c r="AC180" s="125">
        <f t="shared" si="54"/>
        <v>4.4508528256037341</v>
      </c>
      <c r="AD180" s="80">
        <f t="shared" si="58"/>
        <v>17.799999999999983</v>
      </c>
      <c r="AE180" s="81">
        <f t="shared" si="55"/>
        <v>20.585322671820737</v>
      </c>
      <c r="AF180" s="81">
        <f t="shared" si="51"/>
        <v>17.799999999999983</v>
      </c>
      <c r="AG180" s="80">
        <f t="shared" si="56"/>
        <v>11.689339059261096</v>
      </c>
      <c r="AL180" s="1">
        <f t="shared" si="57"/>
        <v>17.799999999999983</v>
      </c>
      <c r="AM180" s="1">
        <f t="shared" si="59"/>
        <v>30.362189115656566</v>
      </c>
      <c r="AN180" s="1">
        <f t="shared" si="52"/>
        <v>2.0330427359081042</v>
      </c>
      <c r="AO180" s="1">
        <f t="shared" si="53"/>
        <v>4.3885695452874982</v>
      </c>
      <c r="AQ180" s="8"/>
      <c r="AR180" s="66"/>
    </row>
    <row r="181" spans="1:44" x14ac:dyDescent="0.2">
      <c r="A181" s="134"/>
      <c r="AC181" s="125">
        <f t="shared" si="54"/>
        <v>4.4508528256037341</v>
      </c>
      <c r="AD181" s="80">
        <f t="shared" si="58"/>
        <v>17.899999999999984</v>
      </c>
      <c r="AE181" s="81">
        <f t="shared" si="55"/>
        <v>20.585322671820737</v>
      </c>
      <c r="AF181" s="81">
        <f t="shared" si="51"/>
        <v>17.899999999999984</v>
      </c>
      <c r="AG181" s="80">
        <f t="shared" si="56"/>
        <v>11.689339059261096</v>
      </c>
      <c r="AL181" s="1">
        <f t="shared" si="57"/>
        <v>17.899999999999984</v>
      </c>
      <c r="AM181" s="1">
        <f t="shared" si="59"/>
        <v>30.362189115656566</v>
      </c>
      <c r="AN181" s="1">
        <f t="shared" si="52"/>
        <v>2.0330427359081042</v>
      </c>
      <c r="AO181" s="1">
        <f t="shared" si="53"/>
        <v>4.3885695452874982</v>
      </c>
      <c r="AQ181" s="8"/>
      <c r="AR181" s="66"/>
    </row>
    <row r="182" spans="1:44" x14ac:dyDescent="0.2">
      <c r="A182" s="134"/>
      <c r="AC182" s="125">
        <f t="shared" si="54"/>
        <v>4.4508528256037341</v>
      </c>
      <c r="AD182" s="80">
        <f t="shared" si="58"/>
        <v>17.999999999999986</v>
      </c>
      <c r="AE182" s="81">
        <f t="shared" si="55"/>
        <v>20.585322671820737</v>
      </c>
      <c r="AF182" s="81">
        <f t="shared" si="51"/>
        <v>17.999999999999986</v>
      </c>
      <c r="AG182" s="80">
        <f t="shared" si="56"/>
        <v>11.689339059261096</v>
      </c>
      <c r="AL182" s="1">
        <f t="shared" si="57"/>
        <v>17.999999999999986</v>
      </c>
      <c r="AM182" s="1">
        <f t="shared" si="59"/>
        <v>30.362189115656566</v>
      </c>
      <c r="AN182" s="1">
        <f t="shared" si="52"/>
        <v>2.0330427359081042</v>
      </c>
      <c r="AO182" s="1">
        <f t="shared" si="53"/>
        <v>4.3885695452874982</v>
      </c>
      <c r="AQ182" s="8"/>
      <c r="AR182" s="66"/>
    </row>
    <row r="183" spans="1:44" x14ac:dyDescent="0.2">
      <c r="A183" s="134"/>
      <c r="AC183" s="125">
        <f t="shared" si="54"/>
        <v>4.3214801348058476</v>
      </c>
      <c r="AD183" s="80">
        <f t="shared" si="58"/>
        <v>18.099999999999987</v>
      </c>
      <c r="AE183" s="81">
        <f t="shared" si="55"/>
        <v>18.087795355741822</v>
      </c>
      <c r="AF183" s="81">
        <f t="shared" si="51"/>
        <v>18.099999999999987</v>
      </c>
      <c r="AG183" s="80">
        <f t="shared" si="56"/>
        <v>5.4954924082200867</v>
      </c>
      <c r="AL183" s="1">
        <f t="shared" si="57"/>
        <v>18.099999999999987</v>
      </c>
      <c r="AM183" s="1">
        <f t="shared" si="59"/>
        <v>30.362189115656566</v>
      </c>
      <c r="AN183" s="1">
        <f t="shared" si="52"/>
        <v>-0.46448458017081151</v>
      </c>
      <c r="AO183" s="1">
        <f t="shared" si="53"/>
        <v>-1.8052771057535111</v>
      </c>
      <c r="AQ183" s="8"/>
      <c r="AR183" s="66"/>
    </row>
    <row r="184" spans="1:44" x14ac:dyDescent="0.2">
      <c r="A184" s="134"/>
      <c r="AC184" s="125">
        <f t="shared" si="54"/>
        <v>4.3214801348058476</v>
      </c>
      <c r="AD184" s="80">
        <f t="shared" si="58"/>
        <v>18.199999999999989</v>
      </c>
      <c r="AE184" s="81">
        <f t="shared" si="55"/>
        <v>18.087795355741822</v>
      </c>
      <c r="AF184" s="81">
        <f t="shared" si="51"/>
        <v>18.199999999999989</v>
      </c>
      <c r="AG184" s="80">
        <f t="shared" si="56"/>
        <v>5.4954924082200867</v>
      </c>
      <c r="AL184" s="1">
        <f t="shared" si="57"/>
        <v>18.199999999999989</v>
      </c>
      <c r="AM184" s="1">
        <f t="shared" si="59"/>
        <v>30.362189115656566</v>
      </c>
      <c r="AN184" s="1">
        <f t="shared" si="52"/>
        <v>-0.46448458017081151</v>
      </c>
      <c r="AO184" s="1">
        <f t="shared" si="53"/>
        <v>-1.8052771057535111</v>
      </c>
      <c r="AQ184" s="8"/>
      <c r="AR184" s="66"/>
    </row>
    <row r="185" spans="1:44" x14ac:dyDescent="0.2">
      <c r="A185" s="134"/>
      <c r="AC185" s="125">
        <f t="shared" si="54"/>
        <v>4.3214801348058476</v>
      </c>
      <c r="AD185" s="80">
        <f t="shared" si="58"/>
        <v>18.29999999999999</v>
      </c>
      <c r="AE185" s="81">
        <f t="shared" si="55"/>
        <v>18.087795355741822</v>
      </c>
      <c r="AF185" s="81">
        <f t="shared" si="51"/>
        <v>18.29999999999999</v>
      </c>
      <c r="AG185" s="80">
        <f t="shared" si="56"/>
        <v>5.4954924082200867</v>
      </c>
      <c r="AL185" s="1">
        <f t="shared" si="57"/>
        <v>18.29999999999999</v>
      </c>
      <c r="AM185" s="1">
        <f t="shared" si="59"/>
        <v>30.362189115656566</v>
      </c>
      <c r="AN185" s="1">
        <f t="shared" si="52"/>
        <v>-0.46448458017081151</v>
      </c>
      <c r="AO185" s="1">
        <f t="shared" si="53"/>
        <v>-1.8052771057535111</v>
      </c>
      <c r="AQ185" s="8"/>
      <c r="AR185" s="66"/>
    </row>
    <row r="186" spans="1:44" x14ac:dyDescent="0.2">
      <c r="A186" s="134"/>
      <c r="AC186" s="125">
        <f t="shared" si="54"/>
        <v>4.3214801348058476</v>
      </c>
      <c r="AD186" s="80">
        <f t="shared" si="58"/>
        <v>18.399999999999991</v>
      </c>
      <c r="AE186" s="81">
        <f t="shared" si="55"/>
        <v>18.087795355741822</v>
      </c>
      <c r="AF186" s="81">
        <f t="shared" si="51"/>
        <v>18.399999999999991</v>
      </c>
      <c r="AG186" s="80">
        <f t="shared" si="56"/>
        <v>5.4954924082200867</v>
      </c>
      <c r="AL186" s="1">
        <f t="shared" si="57"/>
        <v>18.399999999999991</v>
      </c>
      <c r="AM186" s="1">
        <f t="shared" si="59"/>
        <v>30.362189115656566</v>
      </c>
      <c r="AN186" s="1">
        <f t="shared" si="52"/>
        <v>-0.46448458017081151</v>
      </c>
      <c r="AO186" s="1">
        <f t="shared" si="53"/>
        <v>-1.8052771057535111</v>
      </c>
      <c r="AQ186" s="8"/>
      <c r="AR186" s="66"/>
    </row>
    <row r="187" spans="1:44" x14ac:dyDescent="0.2">
      <c r="A187" s="134"/>
      <c r="AC187" s="125">
        <f t="shared" si="54"/>
        <v>4.3214801348058476</v>
      </c>
      <c r="AD187" s="80">
        <f t="shared" si="58"/>
        <v>18.499999999999993</v>
      </c>
      <c r="AE187" s="81">
        <f t="shared" si="55"/>
        <v>18.087795355741822</v>
      </c>
      <c r="AF187" s="81">
        <f t="shared" si="51"/>
        <v>18.499999999999993</v>
      </c>
      <c r="AG187" s="80">
        <f t="shared" si="56"/>
        <v>5.4954924082200867</v>
      </c>
      <c r="AL187" s="1">
        <f t="shared" si="57"/>
        <v>18.499999999999993</v>
      </c>
      <c r="AM187" s="1">
        <f t="shared" si="59"/>
        <v>30.362189115656566</v>
      </c>
      <c r="AN187" s="1">
        <f t="shared" si="52"/>
        <v>-0.46448458017081151</v>
      </c>
      <c r="AO187" s="1">
        <f t="shared" si="53"/>
        <v>-1.8052771057535111</v>
      </c>
      <c r="AQ187" s="8"/>
      <c r="AR187" s="66"/>
    </row>
    <row r="188" spans="1:44" x14ac:dyDescent="0.2">
      <c r="A188" s="134"/>
      <c r="AC188" s="125">
        <f t="shared" si="54"/>
        <v>4.3214801348058476</v>
      </c>
      <c r="AD188" s="80">
        <f t="shared" si="58"/>
        <v>18.599999999999994</v>
      </c>
      <c r="AE188" s="81">
        <f t="shared" si="55"/>
        <v>18.087795355741822</v>
      </c>
      <c r="AF188" s="81">
        <f t="shared" si="51"/>
        <v>18.599999999999994</v>
      </c>
      <c r="AG188" s="80">
        <f t="shared" si="56"/>
        <v>5.4954924082200867</v>
      </c>
      <c r="AL188" s="1">
        <f t="shared" si="57"/>
        <v>18.599999999999994</v>
      </c>
      <c r="AM188" s="1">
        <f t="shared" si="59"/>
        <v>30.362189115656566</v>
      </c>
      <c r="AN188" s="1">
        <f t="shared" si="52"/>
        <v>-0.46448458017081151</v>
      </c>
      <c r="AO188" s="1">
        <f t="shared" si="53"/>
        <v>-1.8052771057535111</v>
      </c>
      <c r="AQ188" s="8"/>
      <c r="AR188" s="66"/>
    </row>
    <row r="189" spans="1:44" x14ac:dyDescent="0.2">
      <c r="A189" s="134"/>
      <c r="AC189" s="125">
        <f t="shared" si="54"/>
        <v>4.3214801348058476</v>
      </c>
      <c r="AD189" s="80">
        <f t="shared" si="58"/>
        <v>18.699999999999996</v>
      </c>
      <c r="AE189" s="81">
        <f t="shared" si="55"/>
        <v>18.087795355741822</v>
      </c>
      <c r="AF189" s="81">
        <f t="shared" si="51"/>
        <v>18.699999999999996</v>
      </c>
      <c r="AG189" s="80">
        <f t="shared" si="56"/>
        <v>5.4954924082200867</v>
      </c>
      <c r="AL189" s="1">
        <f t="shared" si="57"/>
        <v>18.699999999999996</v>
      </c>
      <c r="AM189" s="1">
        <f t="shared" si="59"/>
        <v>30.362189115656566</v>
      </c>
      <c r="AN189" s="1">
        <f t="shared" si="52"/>
        <v>-0.46448458017081151</v>
      </c>
      <c r="AO189" s="1">
        <f t="shared" si="53"/>
        <v>-1.8052771057535111</v>
      </c>
      <c r="AQ189" s="8"/>
      <c r="AR189" s="66"/>
    </row>
    <row r="190" spans="1:44" x14ac:dyDescent="0.2">
      <c r="A190" s="134"/>
      <c r="AC190" s="125">
        <f t="shared" si="54"/>
        <v>4.3214801348058476</v>
      </c>
      <c r="AD190" s="80">
        <f t="shared" si="58"/>
        <v>18.799999999999997</v>
      </c>
      <c r="AE190" s="81">
        <f t="shared" si="55"/>
        <v>18.087795355741822</v>
      </c>
      <c r="AF190" s="81">
        <f t="shared" si="51"/>
        <v>18.799999999999997</v>
      </c>
      <c r="AG190" s="80">
        <f t="shared" si="56"/>
        <v>5.4954924082200867</v>
      </c>
      <c r="AL190" s="1">
        <f t="shared" si="57"/>
        <v>18.799999999999997</v>
      </c>
      <c r="AM190" s="1">
        <f t="shared" si="59"/>
        <v>30.362189115656566</v>
      </c>
      <c r="AN190" s="1">
        <f t="shared" si="52"/>
        <v>-0.46448458017081151</v>
      </c>
      <c r="AO190" s="1">
        <f t="shared" si="53"/>
        <v>-1.8052771057535111</v>
      </c>
      <c r="AQ190" s="8"/>
      <c r="AR190" s="66"/>
    </row>
    <row r="191" spans="1:44" x14ac:dyDescent="0.2">
      <c r="AC191" s="125">
        <f t="shared" si="54"/>
        <v>4.203198967134183</v>
      </c>
      <c r="AD191" s="80">
        <f t="shared" si="58"/>
        <v>18.899999999999999</v>
      </c>
      <c r="AE191" s="81">
        <f t="shared" si="55"/>
        <v>14.884137550560247</v>
      </c>
      <c r="AF191" s="81">
        <f t="shared" si="51"/>
        <v>18.899999999999999</v>
      </c>
      <c r="AG191" s="80">
        <f t="shared" si="56"/>
        <v>3.896451841306193</v>
      </c>
      <c r="AL191" s="1">
        <f t="shared" si="57"/>
        <v>18.899999999999999</v>
      </c>
      <c r="AM191" s="1">
        <f t="shared" si="59"/>
        <v>30.362189115656566</v>
      </c>
      <c r="AN191" s="1">
        <f t="shared" si="52"/>
        <v>-3.668142385352386</v>
      </c>
      <c r="AO191" s="1">
        <f t="shared" si="53"/>
        <v>-3.4043176726674047</v>
      </c>
      <c r="AQ191" s="8"/>
      <c r="AR191" s="66"/>
    </row>
    <row r="192" spans="1:44" x14ac:dyDescent="0.2">
      <c r="AC192" s="125">
        <f t="shared" si="54"/>
        <v>4.203198967134183</v>
      </c>
      <c r="AD192" s="80">
        <f t="shared" si="58"/>
        <v>19</v>
      </c>
      <c r="AE192" s="81">
        <f t="shared" si="55"/>
        <v>14.884137550560247</v>
      </c>
      <c r="AF192" s="81">
        <f t="shared" si="51"/>
        <v>19</v>
      </c>
      <c r="AG192" s="80">
        <f t="shared" si="56"/>
        <v>3.896451841306193</v>
      </c>
      <c r="AL192" s="1">
        <f t="shared" si="57"/>
        <v>19</v>
      </c>
      <c r="AM192" s="1">
        <f t="shared" si="59"/>
        <v>30.362189115656566</v>
      </c>
      <c r="AN192" s="1">
        <f t="shared" si="52"/>
        <v>-3.668142385352386</v>
      </c>
      <c r="AO192" s="1">
        <f t="shared" si="53"/>
        <v>-3.4043176726674047</v>
      </c>
      <c r="AQ192" s="8"/>
      <c r="AR192" s="66"/>
    </row>
    <row r="193" spans="29:44" x14ac:dyDescent="0.2">
      <c r="AC193" s="125">
        <f t="shared" si="54"/>
        <v>4.203198967134183</v>
      </c>
      <c r="AD193" s="80">
        <f t="shared" si="58"/>
        <v>19.100000000000001</v>
      </c>
      <c r="AE193" s="81">
        <f t="shared" si="55"/>
        <v>14.884137550560247</v>
      </c>
      <c r="AF193" s="81">
        <f t="shared" si="51"/>
        <v>19.100000000000001</v>
      </c>
      <c r="AG193" s="80">
        <f t="shared" si="56"/>
        <v>3.896451841306193</v>
      </c>
      <c r="AL193" s="1">
        <f t="shared" si="57"/>
        <v>19.100000000000001</v>
      </c>
      <c r="AM193" s="1">
        <f t="shared" si="59"/>
        <v>30.362189115656566</v>
      </c>
      <c r="AN193" s="1">
        <f t="shared" si="52"/>
        <v>-3.668142385352386</v>
      </c>
      <c r="AO193" s="1">
        <f t="shared" si="53"/>
        <v>-3.4043176726674047</v>
      </c>
      <c r="AQ193" s="8"/>
      <c r="AR193" s="66"/>
    </row>
    <row r="194" spans="29:44" x14ac:dyDescent="0.2">
      <c r="AC194" s="125">
        <f t="shared" si="54"/>
        <v>4.203198967134183</v>
      </c>
      <c r="AD194" s="80">
        <f t="shared" si="58"/>
        <v>19.200000000000003</v>
      </c>
      <c r="AE194" s="81">
        <f t="shared" si="55"/>
        <v>14.884137550560247</v>
      </c>
      <c r="AF194" s="81">
        <f t="shared" ref="AF194:AF212" si="60">AD194</f>
        <v>19.200000000000003</v>
      </c>
      <c r="AG194" s="80">
        <f t="shared" si="56"/>
        <v>3.896451841306193</v>
      </c>
      <c r="AL194" s="1">
        <f t="shared" si="57"/>
        <v>19.200000000000003</v>
      </c>
      <c r="AM194" s="1">
        <f t="shared" si="59"/>
        <v>30.362189115656566</v>
      </c>
      <c r="AN194" s="1">
        <f t="shared" ref="AN194:AN212" si="61">AE194-AVERAGE($AE$2:$AE$212)*COS($Q$4)</f>
        <v>-3.668142385352386</v>
      </c>
      <c r="AO194" s="1">
        <f t="shared" ref="AO194:AO212" si="62">AG194-AVERAGE($AG$2:$AG$212)*SIN($Q$4)</f>
        <v>-3.4043176726674047</v>
      </c>
      <c r="AQ194" s="8"/>
      <c r="AR194" s="66"/>
    </row>
    <row r="195" spans="29:44" x14ac:dyDescent="0.2">
      <c r="AC195" s="125">
        <f t="shared" ref="AC195:AC212" si="63">LN(VLOOKUP(AD195,$V$2:$W$61,2))</f>
        <v>4.203198967134183</v>
      </c>
      <c r="AD195" s="80">
        <f t="shared" si="58"/>
        <v>19.300000000000004</v>
      </c>
      <c r="AE195" s="81">
        <f t="shared" ref="AE195:AE212" si="64">VLOOKUP(AD195,$R$2:$S$61,2)</f>
        <v>14.884137550560247</v>
      </c>
      <c r="AF195" s="81">
        <f t="shared" si="60"/>
        <v>19.300000000000004</v>
      </c>
      <c r="AG195" s="80">
        <f t="shared" ref="AG195:AG212" si="65">VLOOKUP(AD195,$T$2:$U$94,2)</f>
        <v>3.896451841306193</v>
      </c>
      <c r="AL195" s="1">
        <f t="shared" ref="AL195:AL212" si="66">AD195</f>
        <v>19.300000000000004</v>
      </c>
      <c r="AM195" s="1">
        <f t="shared" si="59"/>
        <v>30.362189115656566</v>
      </c>
      <c r="AN195" s="1">
        <f t="shared" si="61"/>
        <v>-3.668142385352386</v>
      </c>
      <c r="AO195" s="1">
        <f t="shared" si="62"/>
        <v>-3.4043176726674047</v>
      </c>
      <c r="AQ195" s="8"/>
      <c r="AR195" s="66"/>
    </row>
    <row r="196" spans="29:44" x14ac:dyDescent="0.2">
      <c r="AC196" s="125">
        <f t="shared" si="63"/>
        <v>4.203198967134183</v>
      </c>
      <c r="AD196" s="80">
        <f t="shared" ref="AD196:AD212" si="67">AD195+0.1</f>
        <v>19.400000000000006</v>
      </c>
      <c r="AE196" s="81">
        <f t="shared" si="64"/>
        <v>14.884137550560247</v>
      </c>
      <c r="AF196" s="81">
        <f t="shared" si="60"/>
        <v>19.400000000000006</v>
      </c>
      <c r="AG196" s="80">
        <f t="shared" si="65"/>
        <v>3.896451841306193</v>
      </c>
      <c r="AL196" s="1">
        <f t="shared" si="66"/>
        <v>19.400000000000006</v>
      </c>
      <c r="AM196" s="1">
        <f t="shared" si="59"/>
        <v>30.362189115656566</v>
      </c>
      <c r="AN196" s="1">
        <f t="shared" si="61"/>
        <v>-3.668142385352386</v>
      </c>
      <c r="AO196" s="1">
        <f t="shared" si="62"/>
        <v>-3.4043176726674047</v>
      </c>
      <c r="AQ196" s="8"/>
      <c r="AR196" s="66"/>
    </row>
    <row r="197" spans="29:44" x14ac:dyDescent="0.2">
      <c r="AC197" s="125">
        <f t="shared" si="63"/>
        <v>4.203198967134183</v>
      </c>
      <c r="AD197" s="80">
        <f t="shared" si="67"/>
        <v>19.500000000000007</v>
      </c>
      <c r="AE197" s="81">
        <f t="shared" si="64"/>
        <v>14.884137550560247</v>
      </c>
      <c r="AF197" s="81">
        <f t="shared" si="60"/>
        <v>19.500000000000007</v>
      </c>
      <c r="AG197" s="80">
        <f t="shared" si="65"/>
        <v>3.896451841306193</v>
      </c>
      <c r="AL197" s="1">
        <f t="shared" si="66"/>
        <v>19.500000000000007</v>
      </c>
      <c r="AM197" s="1">
        <f t="shared" si="59"/>
        <v>30.362189115656566</v>
      </c>
      <c r="AN197" s="1">
        <f t="shared" si="61"/>
        <v>-3.668142385352386</v>
      </c>
      <c r="AO197" s="1">
        <f t="shared" si="62"/>
        <v>-3.4043176726674047</v>
      </c>
      <c r="AQ197" s="8"/>
      <c r="AR197" s="66"/>
    </row>
    <row r="198" spans="29:44" x14ac:dyDescent="0.2">
      <c r="AC198" s="125">
        <f t="shared" si="63"/>
        <v>4.0792309244120526</v>
      </c>
      <c r="AD198" s="80">
        <f t="shared" si="67"/>
        <v>19.600000000000009</v>
      </c>
      <c r="AE198" s="81">
        <f t="shared" si="64"/>
        <v>11.187928286436563</v>
      </c>
      <c r="AF198" s="81">
        <f t="shared" si="60"/>
        <v>19.600000000000009</v>
      </c>
      <c r="AG198" s="80">
        <f t="shared" si="65"/>
        <v>4.894863391585984</v>
      </c>
      <c r="AL198" s="1">
        <f t="shared" si="66"/>
        <v>19.600000000000009</v>
      </c>
      <c r="AM198" s="1">
        <f t="shared" si="59"/>
        <v>30.362189115656566</v>
      </c>
      <c r="AN198" s="1">
        <f t="shared" si="61"/>
        <v>-7.3643516494760703</v>
      </c>
      <c r="AO198" s="1">
        <f t="shared" si="62"/>
        <v>-2.4059061223876137</v>
      </c>
      <c r="AQ198" s="8"/>
      <c r="AR198" s="66"/>
    </row>
    <row r="199" spans="29:44" x14ac:dyDescent="0.2">
      <c r="AC199" s="125">
        <f t="shared" si="63"/>
        <v>4.0792309244120526</v>
      </c>
      <c r="AD199" s="80">
        <f t="shared" si="67"/>
        <v>19.70000000000001</v>
      </c>
      <c r="AE199" s="81">
        <f t="shared" si="64"/>
        <v>11.187928286436563</v>
      </c>
      <c r="AF199" s="81">
        <f t="shared" si="60"/>
        <v>19.70000000000001</v>
      </c>
      <c r="AG199" s="80">
        <f t="shared" si="65"/>
        <v>4.894863391585984</v>
      </c>
      <c r="AL199" s="1">
        <f t="shared" si="66"/>
        <v>19.70000000000001</v>
      </c>
      <c r="AM199" s="1">
        <f t="shared" si="59"/>
        <v>30.362189115656566</v>
      </c>
      <c r="AN199" s="1">
        <f t="shared" si="61"/>
        <v>-7.3643516494760703</v>
      </c>
      <c r="AO199" s="1">
        <f t="shared" si="62"/>
        <v>-2.4059061223876137</v>
      </c>
      <c r="AQ199" s="8"/>
      <c r="AR199" s="66"/>
    </row>
    <row r="200" spans="29:44" x14ac:dyDescent="0.2">
      <c r="AC200" s="125">
        <f t="shared" si="63"/>
        <v>4.0792309244120526</v>
      </c>
      <c r="AD200" s="80">
        <f t="shared" si="67"/>
        <v>19.800000000000011</v>
      </c>
      <c r="AE200" s="81">
        <f t="shared" si="64"/>
        <v>11.187928286436563</v>
      </c>
      <c r="AF200" s="81">
        <f t="shared" si="60"/>
        <v>19.800000000000011</v>
      </c>
      <c r="AG200" s="80">
        <f t="shared" si="65"/>
        <v>4.894863391585984</v>
      </c>
      <c r="AL200" s="1">
        <f t="shared" si="66"/>
        <v>19.800000000000011</v>
      </c>
      <c r="AM200" s="1">
        <f t="shared" si="59"/>
        <v>30.362189115656566</v>
      </c>
      <c r="AN200" s="1">
        <f t="shared" si="61"/>
        <v>-7.3643516494760703</v>
      </c>
      <c r="AO200" s="1">
        <f t="shared" si="62"/>
        <v>-2.4059061223876137</v>
      </c>
      <c r="AQ200" s="8"/>
      <c r="AR200" s="66"/>
    </row>
    <row r="201" spans="29:44" x14ac:dyDescent="0.2">
      <c r="AC201" s="125">
        <f t="shared" si="63"/>
        <v>4.0792309244120526</v>
      </c>
      <c r="AD201" s="80">
        <f t="shared" si="67"/>
        <v>19.900000000000013</v>
      </c>
      <c r="AE201" s="81">
        <f t="shared" si="64"/>
        <v>11.187928286436563</v>
      </c>
      <c r="AF201" s="81">
        <f t="shared" si="60"/>
        <v>19.900000000000013</v>
      </c>
      <c r="AG201" s="80">
        <f t="shared" si="65"/>
        <v>4.894863391585984</v>
      </c>
      <c r="AL201" s="1">
        <f t="shared" si="66"/>
        <v>19.900000000000013</v>
      </c>
      <c r="AM201" s="1">
        <f t="shared" si="59"/>
        <v>30.362189115656566</v>
      </c>
      <c r="AN201" s="1">
        <f t="shared" si="61"/>
        <v>-7.3643516494760703</v>
      </c>
      <c r="AO201" s="1">
        <f t="shared" si="62"/>
        <v>-2.4059061223876137</v>
      </c>
      <c r="AQ201" s="8"/>
      <c r="AR201" s="66"/>
    </row>
    <row r="202" spans="29:44" x14ac:dyDescent="0.2">
      <c r="AC202" s="125">
        <f t="shared" si="63"/>
        <v>4.0792309244120526</v>
      </c>
      <c r="AD202" s="80">
        <f t="shared" si="67"/>
        <v>20.000000000000014</v>
      </c>
      <c r="AE202" s="81">
        <f t="shared" si="64"/>
        <v>11.187928286436563</v>
      </c>
      <c r="AF202" s="81">
        <f t="shared" si="60"/>
        <v>20.000000000000014</v>
      </c>
      <c r="AG202" s="80">
        <f t="shared" si="65"/>
        <v>4.894863391585984</v>
      </c>
      <c r="AL202" s="1">
        <f t="shared" si="66"/>
        <v>20.000000000000014</v>
      </c>
      <c r="AM202" s="1">
        <f t="shared" si="59"/>
        <v>30.362189115656566</v>
      </c>
      <c r="AN202" s="1">
        <f t="shared" si="61"/>
        <v>-7.3643516494760703</v>
      </c>
      <c r="AO202" s="1">
        <f t="shared" si="62"/>
        <v>-2.4059061223876137</v>
      </c>
      <c r="AQ202" s="8"/>
      <c r="AR202" s="66"/>
    </row>
    <row r="203" spans="29:44" x14ac:dyDescent="0.2">
      <c r="AC203" s="125">
        <f t="shared" si="63"/>
        <v>4.0792309244120526</v>
      </c>
      <c r="AD203" s="80">
        <f t="shared" si="67"/>
        <v>20.100000000000016</v>
      </c>
      <c r="AE203" s="81">
        <f t="shared" si="64"/>
        <v>11.187928286436563</v>
      </c>
      <c r="AF203" s="81">
        <f t="shared" si="60"/>
        <v>20.100000000000016</v>
      </c>
      <c r="AG203" s="80">
        <f t="shared" si="65"/>
        <v>4.894863391585984</v>
      </c>
      <c r="AL203" s="1">
        <f t="shared" si="66"/>
        <v>20.100000000000016</v>
      </c>
      <c r="AM203" s="1">
        <f t="shared" si="59"/>
        <v>30.362189115656566</v>
      </c>
      <c r="AN203" s="1">
        <f t="shared" si="61"/>
        <v>-7.3643516494760703</v>
      </c>
      <c r="AO203" s="1">
        <f t="shared" si="62"/>
        <v>-2.4059061223876137</v>
      </c>
      <c r="AQ203" s="8"/>
      <c r="AR203" s="66"/>
    </row>
    <row r="204" spans="29:44" x14ac:dyDescent="0.2">
      <c r="AC204" s="125">
        <f t="shared" si="63"/>
        <v>4.0792309244120526</v>
      </c>
      <c r="AD204" s="80">
        <f t="shared" si="67"/>
        <v>20.200000000000017</v>
      </c>
      <c r="AE204" s="81">
        <f t="shared" si="64"/>
        <v>11.187928286436563</v>
      </c>
      <c r="AF204" s="81">
        <f t="shared" si="60"/>
        <v>20.200000000000017</v>
      </c>
      <c r="AG204" s="80">
        <f t="shared" si="65"/>
        <v>4.894863391585984</v>
      </c>
      <c r="AL204" s="1">
        <f t="shared" si="66"/>
        <v>20.200000000000017</v>
      </c>
      <c r="AM204" s="1">
        <f t="shared" si="59"/>
        <v>30.362189115656566</v>
      </c>
      <c r="AN204" s="1">
        <f t="shared" si="61"/>
        <v>-7.3643516494760703</v>
      </c>
      <c r="AO204" s="1">
        <f t="shared" si="62"/>
        <v>-2.4059061223876137</v>
      </c>
      <c r="AQ204" s="8"/>
      <c r="AR204" s="66"/>
    </row>
    <row r="205" spans="29:44" x14ac:dyDescent="0.2">
      <c r="AC205" s="125">
        <f t="shared" si="63"/>
        <v>4.0792309244120526</v>
      </c>
      <c r="AD205" s="80">
        <f t="shared" si="67"/>
        <v>20.300000000000018</v>
      </c>
      <c r="AE205" s="81">
        <f t="shared" si="64"/>
        <v>11.187928286436563</v>
      </c>
      <c r="AF205" s="81">
        <f t="shared" si="60"/>
        <v>20.300000000000018</v>
      </c>
      <c r="AG205" s="80">
        <f t="shared" si="65"/>
        <v>4.894863391585984</v>
      </c>
      <c r="AL205" s="1">
        <f t="shared" si="66"/>
        <v>20.300000000000018</v>
      </c>
      <c r="AM205" s="1">
        <f t="shared" si="59"/>
        <v>30.362189115656566</v>
      </c>
      <c r="AN205" s="1">
        <f t="shared" si="61"/>
        <v>-7.3643516494760703</v>
      </c>
      <c r="AO205" s="1">
        <f t="shared" si="62"/>
        <v>-2.4059061223876137</v>
      </c>
      <c r="AQ205" s="8"/>
      <c r="AR205" s="66"/>
    </row>
    <row r="206" spans="29:44" x14ac:dyDescent="0.2">
      <c r="AC206" s="125">
        <f t="shared" si="63"/>
        <v>3.9454577815143836</v>
      </c>
      <c r="AD206" s="80">
        <f t="shared" si="67"/>
        <v>20.40000000000002</v>
      </c>
      <c r="AE206" s="81">
        <f t="shared" si="64"/>
        <v>8.3889111252236628</v>
      </c>
      <c r="AF206" s="81">
        <f t="shared" si="60"/>
        <v>20.40000000000002</v>
      </c>
      <c r="AG206" s="80">
        <f t="shared" si="65"/>
        <v>2.6966152058984285</v>
      </c>
      <c r="AL206" s="1">
        <f t="shared" si="66"/>
        <v>20.40000000000002</v>
      </c>
      <c r="AM206" s="1">
        <f t="shared" si="59"/>
        <v>30.362189115656566</v>
      </c>
      <c r="AN206" s="1">
        <f t="shared" si="61"/>
        <v>-10.16336881068897</v>
      </c>
      <c r="AO206" s="1">
        <f t="shared" si="62"/>
        <v>-4.6041543080751692</v>
      </c>
      <c r="AQ206" s="8"/>
      <c r="AR206" s="66"/>
    </row>
    <row r="207" spans="29:44" x14ac:dyDescent="0.2">
      <c r="AC207" s="125">
        <f t="shared" si="63"/>
        <v>3.9454577815143836</v>
      </c>
      <c r="AD207" s="80">
        <f t="shared" si="67"/>
        <v>20.500000000000021</v>
      </c>
      <c r="AE207" s="81">
        <f t="shared" si="64"/>
        <v>8.3889111252236628</v>
      </c>
      <c r="AF207" s="81">
        <f t="shared" si="60"/>
        <v>20.500000000000021</v>
      </c>
      <c r="AG207" s="80">
        <f t="shared" si="65"/>
        <v>2.6966152058984285</v>
      </c>
      <c r="AL207" s="1">
        <f t="shared" si="66"/>
        <v>20.500000000000021</v>
      </c>
      <c r="AM207" s="1">
        <f t="shared" si="59"/>
        <v>30.362189115656566</v>
      </c>
      <c r="AN207" s="1">
        <f t="shared" si="61"/>
        <v>-10.16336881068897</v>
      </c>
      <c r="AO207" s="1">
        <f t="shared" si="62"/>
        <v>-4.6041543080751692</v>
      </c>
      <c r="AQ207" s="8"/>
      <c r="AR207" s="66"/>
    </row>
    <row r="208" spans="29:44" x14ac:dyDescent="0.2">
      <c r="AC208" s="125">
        <f t="shared" si="63"/>
        <v>3.9454577815143836</v>
      </c>
      <c r="AD208" s="80">
        <f t="shared" si="67"/>
        <v>20.600000000000023</v>
      </c>
      <c r="AE208" s="81">
        <f t="shared" si="64"/>
        <v>8.3889111252236628</v>
      </c>
      <c r="AF208" s="81">
        <f t="shared" si="60"/>
        <v>20.600000000000023</v>
      </c>
      <c r="AG208" s="80">
        <f t="shared" si="65"/>
        <v>2.6966152058984285</v>
      </c>
      <c r="AL208" s="1">
        <f t="shared" si="66"/>
        <v>20.600000000000023</v>
      </c>
      <c r="AM208" s="1">
        <f t="shared" si="59"/>
        <v>30.362189115656566</v>
      </c>
      <c r="AN208" s="1">
        <f t="shared" si="61"/>
        <v>-10.16336881068897</v>
      </c>
      <c r="AO208" s="1">
        <f t="shared" si="62"/>
        <v>-4.6041543080751692</v>
      </c>
      <c r="AQ208" s="8"/>
      <c r="AR208" s="66"/>
    </row>
    <row r="209" spans="29:44" x14ac:dyDescent="0.2">
      <c r="AC209" s="125">
        <f t="shared" si="63"/>
        <v>3.9454577815143836</v>
      </c>
      <c r="AD209" s="80">
        <f t="shared" si="67"/>
        <v>20.700000000000024</v>
      </c>
      <c r="AE209" s="81">
        <f t="shared" si="64"/>
        <v>8.3889111252236628</v>
      </c>
      <c r="AF209" s="81">
        <f t="shared" si="60"/>
        <v>20.700000000000024</v>
      </c>
      <c r="AG209" s="80">
        <f t="shared" si="65"/>
        <v>2.6966152058984285</v>
      </c>
      <c r="AL209" s="1">
        <f t="shared" si="66"/>
        <v>20.700000000000024</v>
      </c>
      <c r="AM209" s="1">
        <f t="shared" si="59"/>
        <v>30.362189115656566</v>
      </c>
      <c r="AN209" s="1">
        <f t="shared" si="61"/>
        <v>-10.16336881068897</v>
      </c>
      <c r="AO209" s="1">
        <f t="shared" si="62"/>
        <v>-4.6041543080751692</v>
      </c>
      <c r="AQ209" s="8"/>
      <c r="AR209" s="66"/>
    </row>
    <row r="210" spans="29:44" x14ac:dyDescent="0.2">
      <c r="AC210" s="125">
        <f t="shared" si="63"/>
        <v>3.9454577815143836</v>
      </c>
      <c r="AD210" s="80">
        <f t="shared" si="67"/>
        <v>20.800000000000026</v>
      </c>
      <c r="AE210" s="81">
        <f t="shared" si="64"/>
        <v>8.3889111252236628</v>
      </c>
      <c r="AF210" s="81">
        <f t="shared" si="60"/>
        <v>20.800000000000026</v>
      </c>
      <c r="AG210" s="80">
        <f t="shared" si="65"/>
        <v>2.6966152058984285</v>
      </c>
      <c r="AL210" s="1">
        <f t="shared" si="66"/>
        <v>20.800000000000026</v>
      </c>
      <c r="AM210" s="1">
        <f t="shared" si="59"/>
        <v>30.362189115656566</v>
      </c>
      <c r="AN210" s="1">
        <f t="shared" si="61"/>
        <v>-10.16336881068897</v>
      </c>
      <c r="AO210" s="1">
        <f t="shared" si="62"/>
        <v>-4.6041543080751692</v>
      </c>
      <c r="AQ210" s="8"/>
      <c r="AR210" s="66"/>
    </row>
    <row r="211" spans="29:44" x14ac:dyDescent="0.2">
      <c r="AC211" s="125">
        <f t="shared" si="63"/>
        <v>3.9454577815143836</v>
      </c>
      <c r="AD211" s="80">
        <f t="shared" si="67"/>
        <v>20.900000000000027</v>
      </c>
      <c r="AE211" s="81">
        <f t="shared" si="64"/>
        <v>8.3889111252236628</v>
      </c>
      <c r="AF211" s="81">
        <f t="shared" si="60"/>
        <v>20.900000000000027</v>
      </c>
      <c r="AG211" s="80">
        <f t="shared" si="65"/>
        <v>2.6966152058984285</v>
      </c>
      <c r="AL211" s="1">
        <f t="shared" si="66"/>
        <v>20.900000000000027</v>
      </c>
      <c r="AM211" s="1">
        <f t="shared" si="59"/>
        <v>30.362189115656566</v>
      </c>
      <c r="AN211" s="1">
        <f t="shared" si="61"/>
        <v>-10.16336881068897</v>
      </c>
      <c r="AO211" s="1">
        <f t="shared" si="62"/>
        <v>-4.6041543080751692</v>
      </c>
      <c r="AQ211" s="8"/>
      <c r="AR211" s="66"/>
    </row>
    <row r="212" spans="29:44" ht="17" thickBot="1" x14ac:dyDescent="0.25">
      <c r="AC212" s="125">
        <f t="shared" si="63"/>
        <v>3.9454577815143836</v>
      </c>
      <c r="AD212" s="80">
        <f t="shared" si="67"/>
        <v>21.000000000000028</v>
      </c>
      <c r="AE212" s="81">
        <f t="shared" si="64"/>
        <v>8.3889111252236628</v>
      </c>
      <c r="AF212" s="81">
        <f t="shared" si="60"/>
        <v>21.000000000000028</v>
      </c>
      <c r="AG212" s="80">
        <f t="shared" si="65"/>
        <v>2.6966152058984285</v>
      </c>
      <c r="AL212" s="1">
        <f t="shared" si="66"/>
        <v>21.000000000000028</v>
      </c>
      <c r="AM212" s="1">
        <f t="shared" si="59"/>
        <v>30.362189115656566</v>
      </c>
      <c r="AN212" s="1">
        <f t="shared" si="61"/>
        <v>-10.16336881068897</v>
      </c>
      <c r="AO212" s="1">
        <f t="shared" si="62"/>
        <v>-4.6041543080751692</v>
      </c>
      <c r="AQ212" s="8"/>
      <c r="AR212" s="66"/>
    </row>
    <row r="213" spans="29:44" ht="17" thickBot="1" x14ac:dyDescent="0.25">
      <c r="AC213" s="67"/>
      <c r="AD213" s="95"/>
      <c r="AE213" s="34">
        <f>AVERAGE(AE2:AE62)</f>
        <v>18.565056916083272</v>
      </c>
      <c r="AF213" s="65"/>
      <c r="AG213" s="34">
        <f>AVERAGE(AG2:AG62)</f>
        <v>16.249307130602908</v>
      </c>
      <c r="AM213" s="34">
        <f t="shared" ref="AM213" si="68">SQRT((AE213-$AE$2)^2+(AG213-$AG$2)^2)</f>
        <v>17.355030193292816</v>
      </c>
      <c r="AN213" s="67">
        <f>AVERAGE(AN2:AN212)</f>
        <v>2.8419578905553733</v>
      </c>
      <c r="AO213" s="34">
        <f>AVERAGE(AO2:AO212)</f>
        <v>7.3586635393047137</v>
      </c>
      <c r="AQ213" s="8"/>
      <c r="AR213" s="66"/>
    </row>
    <row r="214" spans="29:44" ht="17" thickBot="1" x14ac:dyDescent="0.25">
      <c r="AC214" s="92"/>
      <c r="AD214" s="96"/>
      <c r="AE214" s="35"/>
      <c r="AF214" s="97"/>
      <c r="AG214" s="35"/>
      <c r="AH214" s="97"/>
      <c r="AI214" s="97"/>
      <c r="AJ214" s="97"/>
      <c r="AK214" s="97"/>
      <c r="AL214" s="97"/>
      <c r="AM214" s="35"/>
      <c r="AN214" s="94">
        <f>SQRT(AN213^2+AO213^2)</f>
        <v>7.8883872709434417</v>
      </c>
      <c r="AO214" s="64"/>
      <c r="AP214" s="97"/>
      <c r="AQ214" s="126"/>
      <c r="AR214" s="66"/>
    </row>
    <row r="215" spans="29:44" x14ac:dyDescent="0.2">
      <c r="AD215" s="80"/>
      <c r="AR215" s="66"/>
    </row>
    <row r="216" spans="29:44" x14ac:dyDescent="0.2">
      <c r="AD216" s="80"/>
      <c r="AR216" s="66"/>
    </row>
    <row r="217" spans="29:44" x14ac:dyDescent="0.2">
      <c r="AD217" s="80"/>
      <c r="AR217" s="66"/>
    </row>
    <row r="218" spans="29:44" x14ac:dyDescent="0.2">
      <c r="AD218" s="80"/>
      <c r="AR218" s="66"/>
    </row>
    <row r="219" spans="29:44" x14ac:dyDescent="0.2">
      <c r="AD219" s="80"/>
      <c r="AR219" s="66"/>
    </row>
    <row r="220" spans="29:44" x14ac:dyDescent="0.2">
      <c r="AD220" s="80"/>
      <c r="AR220" s="66"/>
    </row>
    <row r="221" spans="29:44" x14ac:dyDescent="0.2">
      <c r="AD221" s="80"/>
      <c r="AR221" s="66"/>
    </row>
    <row r="222" spans="29:44" x14ac:dyDescent="0.2">
      <c r="AR222" s="66"/>
    </row>
    <row r="223" spans="29:44" x14ac:dyDescent="0.2">
      <c r="AR223" s="66"/>
    </row>
    <row r="224" spans="29:44" x14ac:dyDescent="0.2">
      <c r="AR224" s="66"/>
    </row>
    <row r="225" spans="44:44" x14ac:dyDescent="0.2">
      <c r="AR225" s="66"/>
    </row>
    <row r="226" spans="44:44" x14ac:dyDescent="0.2">
      <c r="AR226" s="66"/>
    </row>
    <row r="227" spans="44:44" x14ac:dyDescent="0.2">
      <c r="AR227" s="66"/>
    </row>
    <row r="228" spans="44:44" x14ac:dyDescent="0.2">
      <c r="AR228" s="66"/>
    </row>
    <row r="229" spans="44:44" x14ac:dyDescent="0.2">
      <c r="AR229" s="66"/>
    </row>
    <row r="230" spans="44:44" x14ac:dyDescent="0.2">
      <c r="AR230" s="66"/>
    </row>
    <row r="231" spans="44:44" x14ac:dyDescent="0.2">
      <c r="AR231" s="66"/>
    </row>
    <row r="232" spans="44:44" x14ac:dyDescent="0.2">
      <c r="AR232" s="66"/>
    </row>
    <row r="233" spans="44:44" x14ac:dyDescent="0.2">
      <c r="AR233" s="66"/>
    </row>
    <row r="234" spans="44:44" x14ac:dyDescent="0.2">
      <c r="AR234" s="66"/>
    </row>
    <row r="235" spans="44:44" x14ac:dyDescent="0.2">
      <c r="AR235" s="66"/>
    </row>
    <row r="236" spans="44:44" x14ac:dyDescent="0.2">
      <c r="AR236" s="66"/>
    </row>
    <row r="237" spans="44:44" x14ac:dyDescent="0.2">
      <c r="AR237" s="66"/>
    </row>
    <row r="238" spans="44:44" x14ac:dyDescent="0.2">
      <c r="AR238" s="66"/>
    </row>
    <row r="239" spans="44:44" x14ac:dyDescent="0.2">
      <c r="AR239" s="66"/>
    </row>
    <row r="240" spans="44:44" x14ac:dyDescent="0.2">
      <c r="AR240" s="66"/>
    </row>
    <row r="241" spans="44:44" x14ac:dyDescent="0.2">
      <c r="AR241" s="66"/>
    </row>
    <row r="242" spans="44:44" x14ac:dyDescent="0.2">
      <c r="AR242" s="66"/>
    </row>
    <row r="243" spans="44:44" x14ac:dyDescent="0.2">
      <c r="AR243" s="66"/>
    </row>
    <row r="244" spans="44:44" x14ac:dyDescent="0.2">
      <c r="AR244" s="66"/>
    </row>
    <row r="245" spans="44:44" x14ac:dyDescent="0.2">
      <c r="AR245" s="66"/>
    </row>
    <row r="246" spans="44:44" x14ac:dyDescent="0.2">
      <c r="AR246" s="66"/>
    </row>
    <row r="247" spans="44:44" x14ac:dyDescent="0.2">
      <c r="AR247" s="66"/>
    </row>
    <row r="248" spans="44:44" x14ac:dyDescent="0.2">
      <c r="AR248" s="66"/>
    </row>
    <row r="249" spans="44:44" x14ac:dyDescent="0.2">
      <c r="AR249" s="66"/>
    </row>
    <row r="250" spans="44:44" x14ac:dyDescent="0.2">
      <c r="AR250" s="66"/>
    </row>
    <row r="251" spans="44:44" x14ac:dyDescent="0.2">
      <c r="AR251" s="66"/>
    </row>
    <row r="252" spans="44:44" x14ac:dyDescent="0.2">
      <c r="AR252" s="6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ERA5</vt:lpstr>
      <vt:lpstr>SHARPPY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Garner</dc:creator>
  <cp:lastModifiedBy>Jonathan Garner</cp:lastModifiedBy>
  <dcterms:created xsi:type="dcterms:W3CDTF">2024-11-01T13:49:01Z</dcterms:created>
  <dcterms:modified xsi:type="dcterms:W3CDTF">2025-04-02T01:08:58Z</dcterms:modified>
</cp:coreProperties>
</file>