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Лист1(legacy)" sheetId="2" r:id="rId5"/>
    <sheet state="visible" name="wp_products(legacy)" sheetId="3" r:id="rId6"/>
    <sheet state="visible" name="Лист6(legacy)" sheetId="4" r:id="rId7"/>
    <sheet state="visible" name="wp_categories(legacy)" sheetId="5" r:id="rId8"/>
    <sheet state="visible" name="Лист10" sheetId="6" r:id="rId9"/>
    <sheet state="visible" name="products_new(legacy)" sheetId="7" r:id="rId10"/>
    <sheet state="visible" name="categories_new" sheetId="8" r:id="rId11"/>
  </sheets>
  <definedNames/>
  <calcPr/>
</workbook>
</file>

<file path=xl/sharedStrings.xml><?xml version="1.0" encoding="utf-8"?>
<sst xmlns="http://schemas.openxmlformats.org/spreadsheetml/2006/main" count="5880" uniqueCount="2948">
  <si>
    <t>id</t>
  </si>
  <si>
    <t>Название (укр)</t>
  </si>
  <si>
    <t>Название (рус)</t>
  </si>
  <si>
    <t>Описание (укр)</t>
  </si>
  <si>
    <t>Описание (рус)</t>
  </si>
  <si>
    <t>Короткое Описание (укр)</t>
  </si>
  <si>
    <t>Короткое Описание (рус)</t>
  </si>
  <si>
    <t>image</t>
  </si>
  <si>
    <t>Амурський тигр</t>
  </si>
  <si>
    <t xml:space="preserve">Амурский тигр                </t>
  </si>
  <si>
    <t>Високорослий кущ з щільними плодами червоного кольору з подовженими жовтими рисками, тонко-шкірі з послідовним дозріванням. Стійк. до хвр.</t>
  </si>
  <si>
    <t>Апельсин</t>
  </si>
  <si>
    <t>Аппельсин</t>
  </si>
  <si>
    <t>Росліна висотою до 2-х метрів, плоди велікі жовті округлої форми,міцні,дозрівають добре в зібраному вигляді , ассою до 400гр ,сорт для алергіків..</t>
  </si>
  <si>
    <t xml:space="preserve">Банан оранжевий. </t>
  </si>
  <si>
    <t>Банан оранжевой</t>
  </si>
  <si>
    <t>Ранній урожайний сорт, високорослий з мясистими плодами оранжевого кольору, плоді подовжені з солодким смаком,стійкий до хвороб.</t>
  </si>
  <si>
    <t>Бичій лоб</t>
  </si>
  <si>
    <t>Бычий лоб</t>
  </si>
  <si>
    <t>Середньо-стиглий сорт сибірської селекції індетермінантного типу для відкритого грунту плід округло-ребристий масою до 600гр, салатного типу..</t>
  </si>
  <si>
    <t>Бояриня</t>
  </si>
  <si>
    <t>Один з нових сортів, високорослий, середньо-стиглий сорт плоди червоні округлі , придатний для переробки і вживання в свіжому вігляді</t>
  </si>
  <si>
    <t>Бояриня Сер/стиг., рожев., вис.1,5м,кругл.200-250г, смачн.,стійк.</t>
  </si>
  <si>
    <t>photos/5.jpg</t>
  </si>
  <si>
    <t>Ведмежа лапа</t>
  </si>
  <si>
    <t>Медвежья лапа</t>
  </si>
  <si>
    <t xml:space="preserve">Оригінальний посухо - стійкий, середньопізній сорт ,вегетація 110 -115дн.Рослина індетермінантна1,5 -2,00м рожеві плоди 400-1200грам мас. </t>
  </si>
  <si>
    <t>Ведмежа лапа Сер/пізн., 1,5-2м, черв.,кубовидн., до 1 кг, стійкий, довго плод</t>
  </si>
  <si>
    <t>photos/6.jpg</t>
  </si>
  <si>
    <t>Вишенька</t>
  </si>
  <si>
    <t>Вишенка</t>
  </si>
  <si>
    <t>Середньо-стиглий сорт,індетермінантного типу, плодонош на 110-125 день від сходів,на китиці формуется 10-20 плодів ,масою 25-35гр червоний...</t>
  </si>
  <si>
    <t>Вишенька Надран., 1,5-2м,червон., ліановидн.,8-10 г, смачн.,до 3,5кг/кущ</t>
  </si>
  <si>
    <t>photos/7.jpg</t>
  </si>
  <si>
    <t>Воловое серде желтое</t>
  </si>
  <si>
    <t>Пізньо-стиглий сорт народної селекції, потребує підвязки, для відкритого грунту, плди великі мясисті,малонасінневі, жовті, салатні,смачні.</t>
  </si>
  <si>
    <t>Волове серце оранжеве</t>
  </si>
  <si>
    <t>Воловое сердце оранжевое</t>
  </si>
  <si>
    <t>Пізньо-стиглий сорт народної селекції, потребує  підвязки, для відкритого грунту,плоди великі,мясисті,малонасінневі, оранжеві, салатні, смачні</t>
  </si>
  <si>
    <t>Волове серце оранжеве Сер/стиг., 1-1,8м, оранж., 100-400г різн.форми та розм., дуже смачний.</t>
  </si>
  <si>
    <t>Волове серце рожеве</t>
  </si>
  <si>
    <t>Воловое сердце розовое</t>
  </si>
  <si>
    <t>Пізньо-стиглий сорт народної селекції, потребує  підвязки, для відкритого грунту,плоди великі,мясисті,малонасінневі, рожеві, салатні, смачні</t>
  </si>
  <si>
    <t>Волове серце рожеве сер/стиг., 1-1,8 м, рож.-мал.,до 400 г різн.форми та розм.</t>
  </si>
  <si>
    <t>Волове серце рожево-малиновий</t>
  </si>
  <si>
    <t>Воловое сердце малиновое</t>
  </si>
  <si>
    <t xml:space="preserve">Пізньо-стиглий сорт народної селекції , потребує підвязки, для відкритого грунту, плоди великі,мясисті,малонасінневі, малинові, салатні, смачні. </t>
  </si>
  <si>
    <t>Волове серце рожево-малиновий Сер/стиг 1-1,8м, рож.-мал., 100-400г різн.фор та розм, дуже смач</t>
  </si>
  <si>
    <t>Волове серце червоний</t>
  </si>
  <si>
    <t>Воловое сердце красное</t>
  </si>
  <si>
    <t xml:space="preserve">Пізньо-стиглий сорт народної селекції , потребує підвязки, для відкритого грунту, плоди великі,мясисті,малонасінневі, червоні, салатні, смачні. </t>
  </si>
  <si>
    <t>Волове серце червоний Сер/стиг., 1,8м, черв.,серц., до 500г різн.форми та розм., лідер смаку.</t>
  </si>
  <si>
    <t>Гігант лимонний</t>
  </si>
  <si>
    <t>Гигант лимонный</t>
  </si>
  <si>
    <t>Пізньо-стиглий сорт народної селекції , потребує підвязки, для відкритого грунту, плоди великі, мясисті, малонасінневі,округлі,жовті до 800гр маса.</t>
  </si>
  <si>
    <t>Гігант лимонний Сер/стиг., до 2,5м, округ-плеск.,700г, кисл.-солод.,салатн.</t>
  </si>
  <si>
    <t>photos/12.jpg</t>
  </si>
  <si>
    <t>Дамські пальчики</t>
  </si>
  <si>
    <t>Дамские пальчики</t>
  </si>
  <si>
    <t>Раньостигл. сорт,плодоношення починае на 100-110день від сходів,високоросла рослина,плоди витянуті , зібрані в китиці по 6-8 шт,рожеві, красиві.</t>
  </si>
  <si>
    <t>Дамські пальчики Ран., 1м, подовжений, червоний 50-70г, дуже врож.</t>
  </si>
  <si>
    <t>photos/13.jpg</t>
  </si>
  <si>
    <t>Де барао оранжевий</t>
  </si>
  <si>
    <t>Де Барао оранжевый</t>
  </si>
  <si>
    <t>Середньо-пізній сорт відкритого грунту,але має якості кімнатного вирощування, висотою до 2,5-3,00 м.Гроно розгалужене.Сливка оранжева,врож.</t>
  </si>
  <si>
    <t>Де барао оранжевий Сер/пізн., 1,5-2,5м, оранж., яйцевид., 60-70г, чудове засолювання.</t>
  </si>
  <si>
    <t>photos/14.jpg</t>
  </si>
  <si>
    <t>Де барао рожевий</t>
  </si>
  <si>
    <t>Де Барао розовый</t>
  </si>
  <si>
    <t>Середньо-пізній сорт відкритого грунту,але має якості кімнатного вирощування, висотою до 2,5-3,00 м.Гроно розгалужене.Сливка рожева,врож.</t>
  </si>
  <si>
    <t>Де барао рожевий Сер/пізн., 1,5-2,5м, рожев., овал., 60-70г, чудове засолювання</t>
  </si>
  <si>
    <t>photos/15.jpg</t>
  </si>
  <si>
    <t>Де барао тигровий</t>
  </si>
  <si>
    <t>Де Барао тигровый</t>
  </si>
  <si>
    <t>Середньо-пізній для  відкритого грунту, має якості кімнатного вирощування,висотою до 2.5-3,0 м Гроно розгалужене Сливка ,чевона в зелен смужку</t>
  </si>
  <si>
    <t>Де барао тигровий Сер/пізн., 1,5-2,5м, смугасті, овал., 60-70г, чудове засолювання.</t>
  </si>
  <si>
    <t>photos/16.jpg</t>
  </si>
  <si>
    <t>Де барао Царський</t>
  </si>
  <si>
    <t>Де Барао Царский</t>
  </si>
  <si>
    <t>Середньо-пізній сорт відкритого грунту,висотою 2.5-3.0 м,розгалужене гроно дає до 20 плодів масою від100-200гр,Сливка жовта,врожайна,смачна.</t>
  </si>
  <si>
    <t>Де барао Царський рожевий Сер/пізн., до 2,5м, овал., 120-150г, до 15 кг/кущ, універс.використ</t>
  </si>
  <si>
    <t>photos/17.jpg</t>
  </si>
  <si>
    <t>Де барао Царський червоний</t>
  </si>
  <si>
    <t>Де Барао Царский Красный</t>
  </si>
  <si>
    <t>Середньо-пізній сорт відкритого грунту, висотою 2.5-3.0 м, розгалужене гроно дає до 20 плодів масоб від 100-200гр.Сливка червона, врожайна.</t>
  </si>
  <si>
    <t>Де барао Царський червоний Сер/пізн., до 2,5м, овал.,120-150г, до 15 кг/кущ, універс.використ</t>
  </si>
  <si>
    <t>photos/18.jpg</t>
  </si>
  <si>
    <t>Де барао червоний</t>
  </si>
  <si>
    <t>Де Барао красный</t>
  </si>
  <si>
    <t>Середньо-пізній сорт відкритого грунту, має якості кімнатного вирощування,висотою до 2,5-3,0 м, гроно розгалужене,сливка червона, смачна.</t>
  </si>
  <si>
    <t>Де барао червоний Сер/пізн., 1,5-2,5м, червон., овал., 60-70г, чудове засолювання.</t>
  </si>
  <si>
    <t>photos/19.jpg</t>
  </si>
  <si>
    <t>Де барао чорний</t>
  </si>
  <si>
    <t>Де Барао чёрный</t>
  </si>
  <si>
    <t>Середньо-пізній сорт відкритого грунту, має якості кімнатного вирощування,висотою до 2,5-3,0 м, гроно розгалужене,сливка чорна, смачна.</t>
  </si>
  <si>
    <t>Де барао чорний Сер/пізн., 1,5-2,5м, чорні., овал., 60-70г, чудове засолювання.</t>
  </si>
  <si>
    <t>photos/20.jpg</t>
  </si>
  <si>
    <t>Жираф</t>
  </si>
  <si>
    <t>Жыраф</t>
  </si>
  <si>
    <t>Пізній сорт, високорослий, плоди масою 80-90 гр. лежкі, дозрівають добре зібрані,мясисті ,помаранчового кольору, чудові в консервації, смачні.</t>
  </si>
  <si>
    <t>Жираф Пізній, 1,6-1,8м, круглий, оранж., суперлеж., до 8 міс., посередн смак</t>
  </si>
  <si>
    <t>photos/21.jpg</t>
  </si>
  <si>
    <t>Золоте сердце</t>
  </si>
  <si>
    <t>Золотое сердце</t>
  </si>
  <si>
    <t>Середньо-пізній сорт ,вісокорослі, кущ добре розгалужений, вегетація 100-110 днів від сходів, плід відовженій, жовтий, для дитячого харчування.</t>
  </si>
  <si>
    <t>Золоте сердце. Середн. стигл сорт вегетац.100-105 дней,для детского питания.</t>
  </si>
  <si>
    <t>photos/22.jpg</t>
  </si>
  <si>
    <t>Засолочне чудо</t>
  </si>
  <si>
    <t>Засолочное чудо</t>
  </si>
  <si>
    <t>Середньо-стиглий сорт відкритого грунту підходить для масових насаджень , висота 1,3-1,5 м червоний,ринковий.транспортабельн.засолювал.</t>
  </si>
  <si>
    <t>Засолочное чудо.Сер/Стигл, 1,3 м красные 60-70гр крепкие.</t>
  </si>
  <si>
    <t>Корніївский</t>
  </si>
  <si>
    <t>Корнеевский</t>
  </si>
  <si>
    <t>Середньоранній сорт, висота 1,3-1,6м.Плоди великі з тонкою шкірочкою, рожевий, соки,томати,пасти насиченого смаку.незаміний в салатах.</t>
  </si>
  <si>
    <t>Корніївский Сер/стиг., 1,5-1,7м, рож.-черв., округ.-плеск., 500-800г, стійк., смачн.</t>
  </si>
  <si>
    <t>photos/23.jpg</t>
  </si>
  <si>
    <t>Мікадо</t>
  </si>
  <si>
    <t>Микадо</t>
  </si>
  <si>
    <t>Середньо-стиглий сорт, висота 1,2-1,5м плоди рожево-червоні ,не розтріскуються, стійкі до хвороб. Ринковій засолювальній сорт  дуже врожайний.</t>
  </si>
  <si>
    <t>Мікадо Сер/стиг., 1,5-2,5м, округл., рож.-малин., 300-600г, не розтріск., стійк</t>
  </si>
  <si>
    <t>photos/24.jpg</t>
  </si>
  <si>
    <t>Перцевидний оранжевий</t>
  </si>
  <si>
    <t>Перцевидный оранжевый</t>
  </si>
  <si>
    <t>Середньо-пізній сорт народної селекції, врожайність до 10кг з одного куща висотою 1,8-2,0 м.,оранжевий, перцевидної форми , смачний.</t>
  </si>
  <si>
    <t>Перцевидний оранжевий Ран., до 1,5м, 100-150г, китиці по 5-7 шт, м`ясист.,солод.,стійк.</t>
  </si>
  <si>
    <t>photos/25.jpg</t>
  </si>
  <si>
    <t>Потрібний розмір</t>
  </si>
  <si>
    <t>Нужный размер</t>
  </si>
  <si>
    <t>Середньо-стиглий сорт, вегетація 110-120 дн.червоний,плескато-округлої форми,ребристий високі смакові якості,для переробки и їстивний.</t>
  </si>
  <si>
    <t>Потрібний розмір Сер/стиг., гігант, 1,4-1,8м, округ-плоск., черв., до 1,5кг, м`ясист.</t>
  </si>
  <si>
    <t>photos/26.jpg</t>
  </si>
  <si>
    <t>Принцеса Турандот</t>
  </si>
  <si>
    <t>Ранній урожайний сорт, високорослий з особливіми плодами грушовідної форми з солодким смаком,стійкий до хвороб,для дитячого харчування.</t>
  </si>
  <si>
    <t>Принцеса Турандот Сер/стиг., 1,2-1,5м, груш.,червон., 150г, кисло-сол., гарн.для конс.</t>
  </si>
  <si>
    <t>photos/27.jpg</t>
  </si>
  <si>
    <t>Рожевий гігант</t>
  </si>
  <si>
    <t>Розовый гигант</t>
  </si>
  <si>
    <t>Середньо-пізній , високоврожайний сорт,плоди рожевого кольору масою до 200-300 гр.Смакові якості відмінні, використовують для томатів і  паст.</t>
  </si>
  <si>
    <t>Рожевий гігант, сер/стиг.,до 1,7 м, пліско-округ.,рож.,250-300г</t>
  </si>
  <si>
    <t>Рожевий слон</t>
  </si>
  <si>
    <t>Розовый слон</t>
  </si>
  <si>
    <t>Пізній сорт, високорослий, розлогий міцній кущ , плоди рожеві,масою від 300гр іноді до 1кг,  смачні в салатах , і в томатних  виробах.</t>
  </si>
  <si>
    <t>Рожевий слон Сер/стиг., 1,7м, малин-рож., 600-700г, м'яс.,кращий для салатів</t>
  </si>
  <si>
    <t>Рожевий фламінго</t>
  </si>
  <si>
    <t>Розовый фламинго</t>
  </si>
  <si>
    <t>Скоростиглій сорт вегетація 90 днів від сходів,вісота рослини до 1м , плоди овальні,рожеві,без зеленої плями біля плодоніжки, смачні</t>
  </si>
  <si>
    <t>Рожевий фламінго, сер/ран., скоростиг.,1 м,слив. з нос.,150-200 г,,смачн</t>
  </si>
  <si>
    <t>photos/30.jpg</t>
  </si>
  <si>
    <t>Російський розмір</t>
  </si>
  <si>
    <t>Русский размер</t>
  </si>
  <si>
    <t>Пізньо-стиглий (130-140) днів,індетермінантний гібрід з необмеженим ростом ,формовка в 1 стебло ,обовязкова підвязка,Стійкий до вірусів,червон.</t>
  </si>
  <si>
    <t>Російський розмір Сер/стиг.гігант, 1,4-1,8м., черв.,плеск-округ., до 1,5 кг,дуж. смачний</t>
  </si>
  <si>
    <t>photos/31.jpg</t>
  </si>
  <si>
    <t>Сливка гігант (оранжевий)</t>
  </si>
  <si>
    <t>Сливка гигант (оранжевый)</t>
  </si>
  <si>
    <t>Середньостиглий урожайний сорт подовженного плодоношення, массою 150-180гр, тип  сливка, для консервування та вікористання в свіжім виляд.</t>
  </si>
  <si>
    <t>Сливка гігант оранж Сер/ран., до 2м, зол.-оранж., до 250г, м'ясист., солод.,універс.</t>
  </si>
  <si>
    <t>photos/32.jpg</t>
  </si>
  <si>
    <t>Сливка гігант (червоний)</t>
  </si>
  <si>
    <t>Сливка гигант (красный)</t>
  </si>
  <si>
    <t>Сливка гігант червона Сер/ран., до 2м, черв., до 250г, м'якуш щільний, солод.,універс.</t>
  </si>
  <si>
    <t>photos/33.jpg</t>
  </si>
  <si>
    <t>Слов'янський Шедевр</t>
  </si>
  <si>
    <t>Словянский шедевр</t>
  </si>
  <si>
    <t>Середньо-стиглий сорт ,чудового томату, поеднання смакових властивостей та технічних досягнень , червоний масой 350-400гр,лежкий.</t>
  </si>
  <si>
    <t>Слов'янський Шедевр Сер/стиг., 1,5м, черв. 200-400г, чудов.смак</t>
  </si>
  <si>
    <t>photos/34.jpg</t>
  </si>
  <si>
    <t>Чудо світу (лимон-ліана)</t>
  </si>
  <si>
    <t>Чудо света</t>
  </si>
  <si>
    <t>Середньо-стигла рослина з великою кількістью яскраво жовтого кольору плодів вагою від 60-120гр,з чудовим смаком,підвязка обовьязкова .</t>
  </si>
  <si>
    <t>Чудо світу (Лимон -ліана) Сер/пізн., до 3м, лим-жовт. 70-100г, м`яс., салатн., засолоч.,стійк.</t>
  </si>
  <si>
    <t>photos/35.jpg</t>
  </si>
  <si>
    <t>Сосулечка рожева</t>
  </si>
  <si>
    <t>Сосулька розовая</t>
  </si>
  <si>
    <t>Середньо-ранній сорт, індетермінантного типу, висотою 1,80-2,00м,китиця формуе 6-8 плодів вагою 60-80гр, нагадує рожеву бурульку ,смачний.</t>
  </si>
  <si>
    <t>Сосулечка рожева Ран., до 1,8м, подовж.,кит.з 6-8 плодів, врож, смачн</t>
  </si>
  <si>
    <t>photos/36.jpg</t>
  </si>
  <si>
    <t>Фейєрверк</t>
  </si>
  <si>
    <t>Фейерверк</t>
  </si>
  <si>
    <t>Раньній сорт, видноситься до групи біф томатів, червоний, 270-300гр вагою, найсачнійший. Салати,бургери, барбекю це Фейерверк.</t>
  </si>
  <si>
    <t>Фейєрверк Ран., 1,5-1,8м, черв.з жовт.рис., округ.-плес., 270-300г, найсмачн.</t>
  </si>
  <si>
    <t>Хурма</t>
  </si>
  <si>
    <t>Середньо- пізній сорт ,рослина високоросла, до 2,5 м.Кущ розлогий, міцний,плоди великі жовто-оранжеві 300-400гр дозарюють добре, солодкі.</t>
  </si>
  <si>
    <t>Хурма Сер/ран., до 1,8м, овал, яскр-оранж., 200-600г, врож.,десертн.</t>
  </si>
  <si>
    <t>photos/38.jpg</t>
  </si>
  <si>
    <t>Чорний принц</t>
  </si>
  <si>
    <t>Чорный принц</t>
  </si>
  <si>
    <t>Середньо -пізній високорослий надзвичайно врожайний сорт ,плоди 250-300гр,приємні на смак,зелено-коричневого кольору,салатні.</t>
  </si>
  <si>
    <t>Чорний принц Сер/стиг., 1,5-2м, округ, темно-корич., 300-400г, солодк.,салатн.</t>
  </si>
  <si>
    <t>photos/39.jpg</t>
  </si>
  <si>
    <t>Чорний слон</t>
  </si>
  <si>
    <t>Чорный слон</t>
  </si>
  <si>
    <t>Середньо-пізній, високорослий сорт оригінального забарвлення від темно коричневого до насиченого бордового,до 400гр масою ,салатний.</t>
  </si>
  <si>
    <t>Чорний слон Сер/стиг., 1,5-1,6м, круг., 200-300г, дуж. смачн.,кращ.для салатів.</t>
  </si>
  <si>
    <t>photos/40.jpg</t>
  </si>
  <si>
    <t>Агата</t>
  </si>
  <si>
    <t>Універсальний сорт вже 30 років на ринку ні грама не поступається сортам нової селекції, вирощується і в відкритому грунті і в плівкових укриттях, не вимагає підв'язки, але потребує освітленості. Плоди щільні не розтріскуються, лежкие, м'якоть м'ясиста. При гарному догляді може дати 7 кг врожаю.</t>
  </si>
  <si>
    <t>Универсальный сорт уже 30 лет на рынке ни грамма не уступает сортам новой селекции, выращивается и в открытом грунте и в пленочных укрытиях,не требует подвязки,  но нуждается в освещенности. Плоды плотные не растрескиваются ,лежкие , мякоть мясистая. При хорошем уходе может дать 7 кг урожая.</t>
  </si>
  <si>
    <t>photos/photo_16@08-10-2020_16-14-05.jpg</t>
  </si>
  <si>
    <t>американський ребристий</t>
  </si>
  <si>
    <t>Американский ребристый</t>
  </si>
  <si>
    <t>Американський ребристий. Новий супер - урожайний середньо - стиглий сорт томата, плоди великі, вогненно - червоні відноситься до салатним сортам томатів. Відрізняється великою стійкістю до фітофторозу, вага плода від 400гр до 1 кг. У плівковому укритті урожай вище ніж у відкритому грунті, але можна використовувати обидва види вирощування.</t>
  </si>
  <si>
    <t>Американский ребристый. Новый супер - урожайный средне - спелый сорт томата, плоды крупные,  огненно - красные относится к салатным сортам томатов. Отличается большой устойчивостью  к  фитофторозу, вес плода от 400гр до 1 кг. В пленочном укрытии урожай выше чем в открытом грунте, но можно использовать оба вида выращивания.</t>
  </si>
  <si>
    <t>photos/photo_17@08-10-2020_16-43-55.jpg</t>
  </si>
  <si>
    <t>Аврора</t>
  </si>
  <si>
    <t>Аврора. Ультраскоростиглий, низькорослий сорт, від сходів до дозрівання 79 - 85 днів, детермінантний, плоди округлі інтенсивно червоного кольору без зеленої плями біля плодоніжки. Урожайність 9 -12 кг з м2. Придатний для всіх видів переробки, стійкий до хвороб.</t>
  </si>
  <si>
    <t>Аврора. Ультраскороспелый ,низкорослый сорт, от всходов до созревания 79 - 85 дней, детерминантный, плоды округлые интенсивно красного цвета без зеленого пятна у плодоножки. Урожайность 9 -12 кг с м2. Пригоден для всех видов  переработки ,устойчив к болезням.</t>
  </si>
  <si>
    <t>photos/photo_18@08-10-2020_18-20-38.jpg</t>
  </si>
  <si>
    <t>Арізона</t>
  </si>
  <si>
    <t>Аризона</t>
  </si>
  <si>
    <t>Арізона. Томат відрізняється тим що, можна садити не тільки розсадою, але і насінням у відкритий грунт, середньостиглий сорт, плід округлий, міцний масою від 100 140гр. Придатний для всіх видів переробок, дуже смачний в свіжому вигляді.</t>
  </si>
  <si>
    <t>Аризона. Томат отличается тем что , можно сажать не только рассадой ,но и семенами  в открытый грунт, среднеспелый сорт,плод округлый,крепкий массой от 100- 140гр. Пригоден для всех видов переработок, очень вкусный в свежем виде.</t>
  </si>
  <si>
    <t>photos/photo_19@08-10-2020_18-56-38.jpg</t>
  </si>
  <si>
    <t>балада</t>
  </si>
  <si>
    <t>Баллада</t>
  </si>
  <si>
    <t>Балада. Середньостиглий сорт для відкритого грунту, висаджується на добре прогріті ділянки захищені від холодних вітрів. Плід плоско округлої форми, темно - червоного кольору, массой130-180гр. Урожайний, транспортабельний, смачний.</t>
  </si>
  <si>
    <t>Баллада. Среднеспелый сорт для открытого грунта,высаживается на хорошо прогретые участки защищенные от холодных ветров. Плод плоско округлой формы,  темно - красного цвета, массой130-180гр. Урожайный,транспортабельный, вкусный.</t>
  </si>
  <si>
    <t>photos/photo_20@08-10-2020_20-57-43.jpg</t>
  </si>
  <si>
    <t>Білий налив 241</t>
  </si>
  <si>
    <t>Белый налив 241</t>
  </si>
  <si>
    <t>Білий налив 241. Ранньостиглий сорт відкритого грунту, характерний дуже дружним дозріванням, вирощується без пасинкування, врожайність до 8 кг / м2, число гнізд від 5 до 12. Плоди округлі слабо-ребристі, червоні масою 90-135гр. Смакові якості відмінні.</t>
  </si>
  <si>
    <t>Белый налив 241. Раннеспелый сорт открытого грунта, отличителен очень дружным созреванием, выращивается без пасынкования ,урожайность до 8кг/ м2,число гнезд от 5 до 12. Плоды округлые слабо-ребристые,красные массой  90-135гр. Вкусовые качества отличные.</t>
  </si>
  <si>
    <t>photos/photo_21@08-10-2020_21-44-27.jpg</t>
  </si>
  <si>
    <t>Волгоградскій323</t>
  </si>
  <si>
    <t>Волгоградский323</t>
  </si>
  <si>
    <t>Волгоградскій323. Базовий сорт, рослина насиченого темно зеленого забарвлення стебел, низька 40-50см. Плід круглий трохи приплюснутий темно червоного кольору, скоростиглий, салатного призначення. Віддає перевагу суглинні грунту. Дуже смачний для томатних соків, кетчупів, паст.</t>
  </si>
  <si>
    <t>Волгоградский323. Базовый сорт, растение насыщенного темно- зеленого окраса стеблей ,низкое 40-50см. Плод круглый немного приплюснут темно красного цвета,скороспелый, салатного назначения. Предпочитает суглинистые почвы. Очень вкусен для  томатных  соков, кетчупов ,паст.</t>
  </si>
  <si>
    <t>photos/photo_22@08-10-2020_22-20-14.jpg</t>
  </si>
  <si>
    <t>Волгоградський 323</t>
  </si>
  <si>
    <t xml:space="preserve">Волгоградский 323 </t>
  </si>
  <si>
    <t>Волгоградський 323. Базовий сорт, рослина насиченого темно зеленого забарвлення стебел, дуже ранній. Плід округлий слабо плескатий темно червоного кольору, салатного призначення але і смачні томатні соки, кетчупи, пасти.</t>
  </si>
  <si>
    <t>Волгоградский 323 . Базовый сорт, растение насыщенного темно зеленого окраса стеблей,очень ранний. Плод округлый слабо приплюснутый  темно красного цвета,салатного назначения но и вкусные томатные соки ,кетчупы ,пасты.</t>
  </si>
  <si>
    <t>photos/photo_23@08-10-2020_22-28-04.jpg</t>
  </si>
  <si>
    <t>Волгоградський 5/95</t>
  </si>
  <si>
    <t>Волгоградский 5/95</t>
  </si>
  <si>
    <t>Волгоградський 5/95. Середньо пізній сорт відрізняється високою врожайністю. Плоди плоско, з насиченим червоним кольором, масою 90 / 150гр, Застосовується у виготовленні, томатних соків, паст і в консерваціі.Вкусовие якості відмінні.</t>
  </si>
  <si>
    <t>Волгоградский 5/95. Средне поздний сорт отличается высокой урожайностью. Плоды плоскоокруглые ,с насыщенным красным цветом, массой  90/150гр, Применяется в изготовлении ,томатных соков, паст и в  консервации.Вкусовые качества отличные.</t>
  </si>
  <si>
    <t>photos/photo_25@15-10-2020_10-49-16.jpg</t>
  </si>
  <si>
    <t>Волгоградський рожевий</t>
  </si>
  <si>
    <t>Волгоградский розовый</t>
  </si>
  <si>
    <t>Волгоградський рожевий. Ранньостиглий сорт для вирощування у відкритому грунті вегетаційний період 95-100 днів Характеризується дружним дозріванням і гарною транспортабельністю.</t>
  </si>
  <si>
    <t>Волгоградский розовый. Раннеспелый сорт для выращивания в  открытом грунте вегетационный период  95-100 дней Характеризуется  дружным созреванием и хорошей транспортабельностью.</t>
  </si>
  <si>
    <t>photos/photo_26@15-10-2020_11-02-54.jpg</t>
  </si>
  <si>
    <t>шедевр Рудас</t>
  </si>
  <si>
    <t>Шедевр Рудаса</t>
  </si>
  <si>
    <t>Шедевр Рудас. Селекційний сорт з дуже довгим терміном зберігання до 4 місяців. Плоди середнього розміру з щільною шкіркою червоно-оранжевого кольору м'якоть має більш інтенсивне забарвлення. Сорт дуже урожайний.</t>
  </si>
  <si>
    <t>Шедевр Рудаса.  Селекционный сорт с очень длинным сроком хранения до 4 месяцев. Плоды среднего размера с плотной кожурой красно-оранжевого цвета мякоть имеет более интенсивную окраску . Сорт очень урожайний.</t>
  </si>
  <si>
    <t>photos/photo_29@15-10-2020_12-14-54.jpg</t>
  </si>
  <si>
    <t>Господар</t>
  </si>
  <si>
    <t>Господар. Сорт виведений в Українському НДІ. Плоди великі, щільні, червоні смакові і товарні якості відмінні. Перспективний сорт для відкритого грунту так як стійкий до фітофторозу.</t>
  </si>
  <si>
    <t>Господар. Сорт выведен в Украинском НИИ. Плоды крупные, плотные, красные вкусовые и товарные качества отличные. Перспективный сорт для открытого грунта  так как устойчив к фитофторозу.</t>
  </si>
  <si>
    <t>photos/photo_30@15-10-2020_12-22-35.jpg</t>
  </si>
  <si>
    <t>Господар. Український сорт, детермінантного типу слабо облиственний. Плоди червоні великі відмінного смаку. Стійкий до грибкових захворювань.</t>
  </si>
  <si>
    <t>Господар. Украинский сорт, детерминантного типа слабо облиственный. Плоды красные крупные  отличного вкуса. Устойчив к грибковым заболеваниям.</t>
  </si>
  <si>
    <t>дар Заволжя</t>
  </si>
  <si>
    <t xml:space="preserve">Дар Заволжья </t>
  </si>
  <si>
    <t>Дар Заволжя. Середньоранній сорт, терміном дозрівання 110-112 днів, кущ низький, компактний. Плоди червоні, круглі зі слабо вираженим кінчиком. Дружне дозрівання, висока транспортабельність відрізняють сорт. Споживання у свіжому вигляді, засолюванні, переробці на томати, пасти, соки. Сорт дуже продуктивний.</t>
  </si>
  <si>
    <t>Дар Заволжья . Среднеранний сорт, сроком созревания 110-112 дней, куст низкий,  компактный. Плоды красные ,круглые со слабо выраженным  кончиком. Дружное созревание , высокая транспортабельность отличают сорт. Потребление в свежем виде , засолке, переработке на томаты,пасты , соки. Сорт очень продуктивен.</t>
  </si>
  <si>
    <t>photos/photo_32@15-10-2020_12-44-36.jpg</t>
  </si>
  <si>
    <t>Дар Заволжя рожевий</t>
  </si>
  <si>
    <t>Дар Заволжья розовый</t>
  </si>
  <si>
    <t>Дар Заволжя рожевий. Середньоранній сорт, терміном дозрівання 110-112 днів, кущ низький, компактний, плоди рожеві, круглі зі слабо вираженим кінчиком, транспортабельні. Використовуються як в свіжому вигляді, так і в переробленому. Сорт дуже продуктивний.</t>
  </si>
  <si>
    <t>Дар Заволжья розовый. Среднеранний сорт ,сроком  созревания 110-112 дней , куст низкий, компактный, плоды розовые,  круглые со слабо выраженным кончиком, транспортабельные. Используются как в свежем виде,  так и в переработанном. Сорт очень продуктивен.</t>
  </si>
  <si>
    <t>photos/photo_33@15-10-2020_12-55-39.jpg</t>
  </si>
  <si>
    <t>Дар Заволжья</t>
  </si>
  <si>
    <t>Дар Заволжя. Середньоранній сорт, терміни дозрівання 110-112 днів, кущ низький, компактний. Плоди круглі, червоні зі слабо вираженим кінчиком. Дружне дозрівання і висока транспортабельність відрізняють сорт. Вживається у свіжому вигляді і у всіх видах переробок. Сорт дуже продуктивний.</t>
  </si>
  <si>
    <t>Дар Заволжья. Среднеранний сорт, сроки созревания 110-112 дней, куст низкий, компактный. Плоды круглые, красные со слабо выраженным кончиком. Дружное созревание и высокая транспортабельность отличают сорт. Употребляется в свежем виде и во всех видах переработок. Сорт очень продуктивен.</t>
  </si>
  <si>
    <t>Джина</t>
  </si>
  <si>
    <t>Середньостиглий дуже врожайний сорт рекомендується для вирощування у відкритому Рунте як розсадним, так і без розсадним способом. Стійкий до заболеваніям.Плоди круглі червоні масою до 200гр. Придатні для всіх видів переробки і смачні в свіжому вигляді.</t>
  </si>
  <si>
    <t>Среднеспелый очень урожайный сорт рекомендуется для выращивания в открытом ��рунте как рассадным, так и без рассадным способом. Устойчив к заболеваниям.Плоды круглые красные массой до 200гр. Пригодны для всех видов переработки  и вкусные в свежем виде.</t>
  </si>
  <si>
    <t>photos/photo_36@15-10-2020_13-55-11.jpg</t>
  </si>
  <si>
    <t>Дубок</t>
  </si>
  <si>
    <t>Дубок. Ранньостиглий сорт (90-95) днів. Кущ компактний 40-50см заввишки. Плоди червоного кольору м'якоть соковита, щільна, солодка масою 120гр.Устойчів до фітофторозу Урожайность7кг см / 2</t>
  </si>
  <si>
    <t>Дубок. Раннеспелый сорт (90-95)дней. Куст компактный 40-50см высотой. Плоды красного цвета мякоть сочная, плотная ,сладкая массой 120гр.Устойчив к фитофторозу Урожайность7кг см/2</t>
  </si>
  <si>
    <t>photos/photo_37@15-10-2020_14-04-00.jpg</t>
  </si>
  <si>
    <t>Ефемер F1</t>
  </si>
  <si>
    <t>Эфемер F1</t>
  </si>
  <si>
    <t>Ефемер F1. Ранньостиглий детермінантний гібрид, максимум висота 70см. Плоди не великі, але дуже смачні універсальні у використанні. Є можливість отримати два врожаї за сезон завдяки гарній схожості насіння.</t>
  </si>
  <si>
    <t>Эфемер F1. Раннеспелый детерминантный гибрид, максимум высота 70см. Плоды не крупные , но очень вкусные универсальные в использовании. Есть возможность получить два урожая за сезон  благодаря хорошей всхожести семян.</t>
  </si>
  <si>
    <t>photos/photo_38@15-10-2020_14-25-06.jpg</t>
  </si>
  <si>
    <t>Иришка</t>
  </si>
  <si>
    <t>Ірішка. Ультраранній високоврожайний сорт з дружнім дозріванням плодів. Вегетаційний період від сходів до початку дозрівання-87- 92 дня. Плоди яскраво червоного кольору, без зеленого плями біля основи, овальної форми, гладкі, середньою вагою 20- 25 грам. Сорт характеризується стійкістю до фітофторозу. Використовують в свіжому вигляді і для переробки.</t>
  </si>
  <si>
    <t>Иришка.Ультраранний высокоурожайный сорт с дружным дозреванием плодов. Вегетационный
период от всходов до начала созревания- 87- 92 дня. Плоды ярко красного цвета, без
зеленого пятна у основания, овальной формы, гладкие,средним весом 20- 25 грамм. Сорт характеризируется устойчивостью к фитофторозу. Используют в свежем виде и для
переработки.</t>
  </si>
  <si>
    <t>photos/photo_39@15-10-2020_14-29-53.jpg</t>
  </si>
  <si>
    <t>Катюша F / 1</t>
  </si>
  <si>
    <t>Катюша F /1</t>
  </si>
  <si>
    <t>Катюша F / 1. Ультраскоростиглий гібрид для відкритого грунту весняних плівкових тепліц.Созреваніе плодів через 80 днів</t>
  </si>
  <si>
    <r>
      <rPr>
        <rFont val="&quot;Helvetica Neue&quot;, Arial"/>
        <color rgb="FF000000"/>
        <sz val="10.0"/>
      </rPr>
      <t xml:space="preserve">Катюша F </t>
    </r>
    <r>
      <rPr>
        <rFont val="&quot;Helvetica Neue&quot;, Arial"/>
        <color rgb="FF2480CC"/>
        <sz val="10.0"/>
      </rPr>
      <t>/1</t>
    </r>
    <r>
      <rPr>
        <rFont val="&quot;Helvetica Neue&quot;, Arial"/>
        <color rgb="FF000000"/>
        <sz val="10.0"/>
      </rPr>
      <t>. Ультраскороспелый гибрид для открытого грунта  весенних пленочных теплиц.Созревание плодов через 80 дней после появления всходов с дружной отдачей урожая.
Растение детерминантное, высотой 70-80 см. Соцветие простое с 5-6 плодами, массой 100-110 г. Окраска незрелого плода – белая, зрелого – ярко-красная без зеленого пятна у
плодоножки. Первое соцветие закладывается над 5-6 листом. Плоды плоско-округлые,
плотные, транспортабельные</t>
    </r>
  </si>
  <si>
    <t>photos/photo_42@15-10-2020_15-18-43.jpg</t>
  </si>
  <si>
    <t>Кібіц</t>
  </si>
  <si>
    <t>Кибиц</t>
  </si>
  <si>
    <t>Кибиц.Сверхранний сорт, от высадки до сбора проходит 68 дней. Растение карликовое с
вытянутыми стеблями. Плоды красные, удлиненные, массой60г.Рекомендуются для выращивания в открытом грунте. Используют в свежем виде, для переработки, цельноплодного консервирования. На рассаду высевают в начале марта.</t>
  </si>
  <si>
    <t>photos/photo_44@15-10-2020_15-41-04.jpg</t>
  </si>
  <si>
    <t>Колгоспний</t>
  </si>
  <si>
    <t>Колхозный</t>
  </si>
  <si>
    <t>Колхозный. Популярный сорт среднего срока созревания. Растение низкорослое, полураскидистое.
Плоды круглые, ровные, красные, массой 110-120г. Вкусовые качества хорошие,урожайность высокая. Пригоден для употребления в свежем виде, консервирования и для переработки.</t>
  </si>
  <si>
    <t>photos/photo_45@15-10-2020_15-56-44.jpg</t>
  </si>
  <si>
    <t>Кременчуцький</t>
  </si>
  <si>
    <t>Кременчуцький.Раннеспелый, универсальный, до созревания 95-105 дней. Куст компактный низкий. Плод
плоскоокруглый, красный, массой 114-132г, камер 5-10. Вкус отличный.
Транспортабельность высокая. Лежкий, относительно устойчив к болезням. На рассаду высевают в начале марта. На постоянное место высаживают во второй декаде мая .</t>
  </si>
  <si>
    <t>photos/photo_46@15-10-2020_16-01-44.jpg</t>
  </si>
  <si>
    <t>Лагідний</t>
  </si>
  <si>
    <t>Лагидный</t>
  </si>
  <si>
    <t>Лагидный. Раннеспелый сорт открытого грунта. Вегетационный период 103-120 дней. Растение
прямостоячее, высотой 50 см, средне ветвистое. Плод сливо видный, гладкий, красный, массой 62-77 г. Ценится за высокую урожайность, дружное созревание плодов, отличные вкусовые качества, пригодность к консервированию и засолу. Устойчив к бактериальной пятнистости, септориозу. Пригоден для выращивания по интенсивным технологиям</t>
  </si>
  <si>
    <t>photos/photo_48@15-10-2020_16-11-41.jpg</t>
  </si>
  <si>
    <t>Лінда</t>
  </si>
  <si>
    <t>Линда</t>
  </si>
  <si>
    <t>Линда.Низкорослый сорт, предназначен для выращивания в горшках и балконных ящиках. Также
возможно выращивание в открытом грунте. Куст высотой 25 см, много пасынков с большим
количеством плодов. Плоды массой 30-40 г, приятные на вкус. Универсального использования.
Культура тепло-и светолюбивая. Выращивать рассадой или посевом семян в грунт.</t>
  </si>
  <si>
    <t>photos/photo_50@15-10-2020_16-20-57.jpg</t>
  </si>
  <si>
    <t>Улюблений</t>
  </si>
  <si>
    <t>Любимый</t>
  </si>
  <si>
    <t>Любимый.Среднеспелый сорт для открытого грунта. От всходов до начала созревания- 100- 112 дней. Растение детерминантное, высотой 75 см. Плод красный, округлый или плоскоокруглый, мясистый, сладкий, массой 115- 230 грамм, с высоким содержанием сухих веществ. Универсального использования. Предназначен для употребления в свежемвиде и переработки на томато- продукты.</t>
  </si>
  <si>
    <t>photos/photo_51@15-10-2020_16-25-13.jpg</t>
  </si>
  <si>
    <t>Ляна</t>
  </si>
  <si>
    <t>Ляна.Сорт очень ранний, дружно созревающий, высокоурожайный. Плодоношение начинается через 87-93 дня после появления всходов. Растение детерминантное. Плоды округлые, плотные, красные. Масса плода 80-100 г. Вкусовые качества хорошие. Период уборки растянутый. Урожайность в открытом грунте 4,5-6 кг/кв.м. Плоды пригодны для  транспортировки на дальние расстояния.</t>
  </si>
  <si>
    <t>photos/photo_52@15-10-2020_16-32-05.jpg</t>
  </si>
  <si>
    <t>Чайка</t>
  </si>
  <si>
    <t>Среднеспелый сорт. Растение низкорослое, компактное. Листья прочные, темно-зелёные,
сильно гофрированные. Плоды округлые, ровные, гладкие, без зелёного пятна возле
плодоножки, массой 70-90 г. Плоды отличаются , устойчивостью к растрес-киванию, имеют очень привлекательный внешний вид и хорошие вкусовые качества</t>
  </si>
  <si>
    <t>photos/photo_53@15-10-2020_16-38-06.jpg</t>
  </si>
  <si>
    <t>Мобіл</t>
  </si>
  <si>
    <t>Мобил</t>
  </si>
  <si>
    <t>Мобил.Среднеранний сорт с вегетационным периодом 115-120 дней, высокоурожайный. Куст
компактный, среднерослый. Плоды  массой 90-120 г. Вкусовые качества высокие,транспортабельность хорошая. Обладает устойчивость к болезням. Используют для
потребления в свежем виде,изготовления томатного сока, пасты, пюре.</t>
  </si>
  <si>
    <t>photos/photo_55@15-10-2020_16-49-09.jpg</t>
  </si>
  <si>
    <t>новинка Придністров'я</t>
  </si>
  <si>
    <t>Новинка Приднестровья</t>
  </si>
  <si>
    <t>Новинка Приднестровья.Средне - спелый универсальный сорт открытого грунта . От всходов до первого сбора 120-135 дней (период плодоношения 55-68 дней). Урожайность высокая, с дружным созреванием урожая. Растение компактное,средне ветвистое, высотой 40-80см. Плод удлиненно-сливовидный, мясистый, гладкий с гранями, красный, 2-3 гнездный, массой 60 г, отличного вкуса</t>
  </si>
  <si>
    <t>photos/photo_58@15-10-2020_17-04-34.jpg</t>
  </si>
  <si>
    <t>новачок</t>
  </si>
  <si>
    <t>Новичок</t>
  </si>
  <si>
    <t>Новичок.Среднеранний сорт универсальный для открытого грунта  используется в свежем виде,
цельно плодного консервирования и приготовления томато- продуктов. От всходов до созревания 110-127 дней. Плоды дружно созревают.  В кисти 5-6плодов. Плод сливо видный, массой 70-150 г, отличаются высокими вкусовыми и товарными качествами</t>
  </si>
  <si>
    <t>photos/photo_59@15-10-2020_17-16-39.jpg</t>
  </si>
  <si>
    <t>нота</t>
  </si>
  <si>
    <t>Нота</t>
  </si>
  <si>
    <t>Нота.Сорт скороспелый, дружное созревание плодов начинается через 103-106 дней после появления всходов.Растение низкорослое. Плоды округлые, плотные, гладкие,красные, массой 95-110 г. Вкусовые качества хорошие.Транспортабельные. Ценится за хорошую завязываемость плодов при неблагоприятных условиях.</t>
  </si>
  <si>
    <t>photos/photo_61@15-10-2020_17-28-42.jpg</t>
  </si>
  <si>
    <t>ранній 83</t>
  </si>
  <si>
    <t>Ранний 83</t>
  </si>
  <si>
    <t>Ранний 83.Скороспелый сорт открытого грунта для использования в свежем виде и переработки. Может
возделываться в весенних пленочных теплицах и укрытиях. От всходов до созревания 103-110 дней. Растение небольшое, компактное. Высотой 35-60 см. плод плоско-округлый , гладкий или слаборебристый, красный, массой 90-100 г, хорошего вкуса.</t>
  </si>
  <si>
    <t>photos/photo_62@15-10-2020_17-36-33.jpg</t>
  </si>
  <si>
    <t>Ріо-Гранде</t>
  </si>
  <si>
    <t>Рио-Гранде</t>
  </si>
  <si>
    <t>Рио-Гранде. Раннеспелый, среднерослый сорт. Плоды плотные, красные, удлиненной формы, хороши в лежке, транспортабельные. Масса 80-100 г. Пригодны для потребления в свежем виде,консервирования, изготовления томатопродуктов, засолки</t>
  </si>
  <si>
    <t>photos/photo_64@15-10-2020_18-15-21.jpg</t>
  </si>
  <si>
    <t>Сан-Марцано</t>
  </si>
  <si>
    <t>Сан-марцано</t>
  </si>
  <si>
    <t>Сан-марцано.Среднеранний сорт. Период вегетации от всходов до технической спелости 110-115 дней. Растение низкорослое, высотой 40-60см. Плоды интенсивно-красного цвета, удлиненно-цилиндрической
формы, мясистые, массой 100-130г, хороших вкусовых качеств</t>
  </si>
  <si>
    <t>photos/photo_65@15-10-2020_18-29-34.jpg</t>
  </si>
  <si>
    <t>Ріо-Фуего</t>
  </si>
  <si>
    <t>Рио- Фуего</t>
  </si>
  <si>
    <t>Рио- Фуего.Раннеспелый сорт, от всходов до созревания – 110-115 дней. Предназначен для выращивания в открытом грунте и в пленочных теплицах. Плоды овально-округлые,красные, массой 100-110 г, плотные, с высоким содержанием сухих веществ. Устойчив к фузариозу,   альтернариозу, Пригоден для потребления в свежем виде, засолки и консервировании</t>
  </si>
  <si>
    <t>photos/photo_66@15-10-2020_18-37-45.jpg</t>
  </si>
  <si>
    <t>Рома VFN</t>
  </si>
  <si>
    <t>Рома VFN. Среднеранний детерминантный сорт. Вегетационный период от высадки рассады 75-80 дней.Плоды грушевидной формы массой 70 гр. интенсивно красного цвета,транспортабельные. Вкусовые качества высокие.</t>
  </si>
  <si>
    <t>photos/photo_67@15-10-2020_18-58-24.jpg</t>
  </si>
  <si>
    <t>Самий ранній</t>
  </si>
  <si>
    <t>Самый ранний</t>
  </si>
  <si>
    <t>Самый ранний.Супер -скороспелый сорт. Растение высотой до 60 см, сильное, хорошо облиственное.
Плоды круглые и плоско-округлые, весом 120-150г, хороших вкусовых качеств, стойкие крастрескиванию. Сорт также устойчив к пониженным температурам. Рекомендуется для выращивания в открытом грунте и пленочных укрытиях.</t>
  </si>
  <si>
    <t>photos/photo_69@15-10-2020_19-15-48.jpg</t>
  </si>
  <si>
    <t>Санька</t>
  </si>
  <si>
    <t>Санька.Сорт сверхранний (85 дней), высокоурожайный. Плоды красные, плотные, массой 120-150г, без зеленого пятна у плодоножки, отличного вкуса и лежкости. Используют в свежем виде, для переработки, цельноплодного консервирования. На рассаду высевают в начале марта. На постоянное место высаживают во  второй декаде мая</t>
  </si>
  <si>
    <t>photos/photo_70@15-10-2020_19-21-24.jpg</t>
  </si>
  <si>
    <t>Санька. Сорт сверх ранний(85-90дней), высокоурожайный. Плоды красные,плотные, массой120-150гр без зеленого пятна у плодоножки отличный вкус и лежкость. Используется в свежем виде и во всех видах переработок.</t>
  </si>
  <si>
    <t>photos/photo_71@15-10-2020_19-27-10.jpg</t>
  </si>
  <si>
    <t>Союз 8 F1</t>
  </si>
  <si>
    <t>Союз 8 F1. гибрид для  открытого грунта, но часто используют посадку в пленочных укрытиях раннеспелый ,дружнего созревания . Плоды красные весом 120-150гр. Плоды используют как в сыром так и в переработанном виде. Вкусовые качества высоки.</t>
  </si>
  <si>
    <t>photos/photo_72@15-10-2020_19-49-56.jpg</t>
  </si>
  <si>
    <t>супер Стрейн</t>
  </si>
  <si>
    <t>Супер стрейн</t>
  </si>
  <si>
    <t>Супер стрейн. Сорт голландской селекции очень ранний ,куст компактный не нуждается в пасынковании. Плоды округло удлиненные с ярко красным окрасом весом 90-140гр, прекрасен в свежем виде и в соусах так как сруктура мякоти плотная и нежная..</t>
  </si>
  <si>
    <t>photos/photo_73@15-10-2020_20-00-26.jpg</t>
  </si>
  <si>
    <t>Титан</t>
  </si>
  <si>
    <t>Титан.Среднепоздний сорт для открытого грунта. Созревание плодов наступает на 120-135 день после появления всходов. Растение детерминантного типа, нештамбовое,
среднеоблиственное. Высота главного стебля 38-50 см. Плод округлый, красный, массой 140 г. Сорт ценится за стабильную и высокую урожайность - 8 кг/м,</t>
  </si>
  <si>
    <t>photos/photo_74@15-10-2020_20-05-14.jpg</t>
  </si>
  <si>
    <t>факел</t>
  </si>
  <si>
    <t>Факел</t>
  </si>
  <si>
    <t>Факел. Среднеспелый сорт,плоды созревают на 112-127 день после появления всходов. Растение компактное 33-56 см. Плоды округлые,красные,сладкие массой 60-90 гр. Вкусовые качества хорошие. Сорт ценится за высокую урожайность и дружное созревание. Используется для потребления в свежем виде,изготовлении соков, пасты а также для засолки</t>
  </si>
  <si>
    <t>photos/photo_76@15-10-2020_21-31-39.jpg</t>
  </si>
  <si>
    <t>довго зберігаються</t>
  </si>
  <si>
    <t>Долгохранящийся</t>
  </si>
  <si>
    <t>Долгохранящийся. Среднепоздний сорт ,среднерослый пригоден для выращивания в открытом грунте , влаго- устойчив не боится перепадов температур. Плоды плотные ,округло плоские, с плотной кожурой масса плода достигает от 120до 300гр ,окрас плода алый с оранжевым отливом.Собранные в октябре плоды могут хранится до нового года и более.</t>
  </si>
  <si>
    <t>photos/photo_77@15-10-2020_21-59-33.jpg</t>
  </si>
  <si>
    <t>Президент</t>
  </si>
  <si>
    <t>Президент.Ранний,высокоурожайный гибрид. Созревает через 68-70 дней после высадки рассады.Растение мощное. Плоды плоскоокруглые, массой 200-220 г, плотные,транспортабельные, отличных вкусовых качеств. Предназначены для потребления в
свежем виде и переработки, особенно вкусно на томатный сок.</t>
  </si>
  <si>
    <t>photos/photo_78@15-10-2020_22-04-23.jpg</t>
  </si>
  <si>
    <t>бедуїн</t>
  </si>
  <si>
    <t>Бедуин</t>
  </si>
  <si>
    <t>Бедуин. Средне-спелый высокорослый  индетерминантного типа,салатно -консервный сорт. Плоды грушевидной формы,весом от 90 до 110гр.Окраска зрелого плода буровато -коричневая. Очень вкусный сорт.</t>
  </si>
  <si>
    <t>photos/photo_79@15-10-2020_22-28-47.jpg</t>
  </si>
  <si>
    <t>лелека</t>
  </si>
  <si>
    <t>Аист</t>
  </si>
  <si>
    <t>Аист. Среднеспелый сорт. Длинна основного стебля 2,20-2,.50 м. Разветвленность умеренная,длинна зеленца 12-15с . зеленец  темно-зеленый со слабо выраженными светлыми полосками пчело-,опыляемый, хрустящий , без горечи.</t>
  </si>
  <si>
    <t>photos/photo_80@17-10-2020_09-36-33.jpg</t>
  </si>
  <si>
    <t>Алексеич F1</t>
  </si>
  <si>
    <t>Алексеич F1. Раннеспелый партенокарпический гибрид огурца с женским типом цветения. Период от всходов до сбора первого урожая составляет 37-43 дня. Растение среднерослое, завязь групповая. Зеленец имеет очень
привлекательный вид, слабо - бугорчатый, массой 60-75г, длиной 7-8см. Плоды без горечи, вкусовые качества высокие.</t>
  </si>
  <si>
    <t>photos/photo_81@17-10-2020_10-01-34.jpg</t>
  </si>
  <si>
    <t>Аладін F1</t>
  </si>
  <si>
    <t>Аладин F1</t>
  </si>
  <si>
    <t>Аладин F1.Средне-ранний гибрид. Вегетационный период от всходов до плодоношения 46-50 дней. Растение кустового типа. Зеленцы короткие, выровненные по форме, зеленого цвета со светлыми полосами. Плоды не желтеют, даже после того как перезреют. Выращивается в открытом грунте и в пленочных укрытиях. Используется для потребления в свежем виде, засолки и консервации.</t>
  </si>
  <si>
    <t>photos/photo_82@17-10-2020_10-14-43.jpg</t>
  </si>
  <si>
    <t>Амур F1</t>
  </si>
  <si>
    <t>Амур F1.Суперраний гибрид с мощным габитусом для выращивания в открытом грунте, пленочных стеклянных теплицах. В одном узле формируется 10 и больше выровненных цилиндрических плодов. Плоды насыщенного зеленого цвета с мелкими, частыми шипами, тонкой кожицей, без потери транспортабельности и лежкости.</t>
  </si>
  <si>
    <t>photos/photo_83@17-10-2020_14-21-57.jpg</t>
  </si>
  <si>
    <t>Андрус F1</t>
  </si>
  <si>
    <t>Андрус F1.Среднеранний высокоурожайный гибрид для открытого грунта. Растение преимущественно женского типа цветения. Плод цилиндрический корнишон, крупнобугорчатый, светло-зеленого цвета. Соотношение длины и ширины - 2,6-1. Устойчив к болезням</t>
  </si>
  <si>
    <t>photos/photo_84@17-10-2020_14-28-41.jpg</t>
  </si>
  <si>
    <t>Анулька F1</t>
  </si>
  <si>
    <t>Анулька F1.Раннеспелый гибрид корнишонного типа. Плоды выровненные, без горечи, исключительно хороши для консервирования и засола. Вкус свежих и консервированных плодов отличный.</t>
  </si>
  <si>
    <t>photos/photo_85@17-10-2020_14-36-52.jpg</t>
  </si>
  <si>
    <t>Астерікс F1</t>
  </si>
  <si>
    <t>Астерикс F1</t>
  </si>
  <si>
    <t>Астерикс F1. Раннеспелый гибрид женского типа цветения снебольшими, темно-зеленой окраски, шиповидними плодами.
Мощный в росте, с прекрасной устойчивостью к засухе. Устойчив к кладоспирозу, ложной мучнистой росе,</t>
  </si>
  <si>
    <t>photos/photo_86@17-10-2020_14-44-54.jpg</t>
  </si>
  <si>
    <t>Атлантіс F1</t>
  </si>
  <si>
    <t>Атлантис F1</t>
  </si>
  <si>
    <t>Атлантис F1.Раннеспелый высокоурожайный гибрид с преимущественно женским типом цветения. Начало уборки – через
45 дней после посева. Плоды прекрасного вкуса, совсем без горечи, используют для консервирования и
засолки. Хорошо хранятся и транспортируются. итранспортируются.</t>
  </si>
  <si>
    <t>photos/photo_87@17-10-2020_14-50-05.jpg</t>
  </si>
  <si>
    <t>Аякс F1</t>
  </si>
  <si>
    <t>Аякс F1.Раннеспелый, высокоурожайный гибрид голландской селекции с преимущественно женским типом цветения.Выращивают в открытом грунте и в пленочных тонеллях. От всходов до начала созревания 45-50 дней. Зеленец длиной 8 см и массой 90 г, цилиндрической формы. Засолочный, консервный. Вкусовые качества высокие.</t>
  </si>
  <si>
    <t>photos/photo_88@17-10-2020_14-56-08.jpg</t>
  </si>
  <si>
    <t>Береговий</t>
  </si>
  <si>
    <t>Береговой</t>
  </si>
  <si>
    <t>Береговой.Среднеранний пчело- опыляемый сорт открытого грунта. Предназначен для засола и консервирования. Вплодоношение вступает на 47-51 день от всходов. Длина главного стебля 1,6-2,3 м. Плод длиной 10-12 см,диаметром 3-4 см, массой около 100 г, отличного вкуса. Сорт устойчив к ложной мучнистой росе.</t>
  </si>
  <si>
    <t>photos/photo_89@17-10-2020_15-05-24.jpg</t>
  </si>
  <si>
    <t>Білий ангел</t>
  </si>
  <si>
    <t>Белый ангел</t>
  </si>
  <si>
    <t>Белый ангел.Среднеранний гибрид. Вегетационный период от всходов до массового плодоношения 50-55 дней. Плоды крупные, кремово-белой окраски, удлиненно-овальной формы, длиной 18-20см, хороших вкусовых качеств.Гибрид отличается необыкновенным цветом плодов.</t>
  </si>
  <si>
    <t>photos/photo_90@17-10-2020_15-09-40.jpg</t>
  </si>
  <si>
    <t>БрігаднийF1</t>
  </si>
  <si>
    <t>БригадныйF1</t>
  </si>
  <si>
    <t>БригадныйF1.Среднеранний пчело-опыляемый сорт открытого грунта, засолочного назначения, консервный. Отличается дружной отдачей урожая. Плод овально-цилиндрический, длиной 9 см, диаметром 3-4 см, массой 64-80 г, с
крупнобугорчатой поверхностью и гладким коротким основанием.</t>
  </si>
  <si>
    <t>photos/photo_91@17-10-2020_15-20-02.jpg</t>
  </si>
  <si>
    <t>Біляївський</t>
  </si>
  <si>
    <t>Беляевский</t>
  </si>
  <si>
    <t>Беляевский.Создан для выращивания в закрытом грунте, в частности в весенний и весенне-
летний периоды в пленочных теплицах. Кроме того, его можно эффективновыращивать в открытом грунте с использованием общепринятых технологий. Плодам этого гибрида присущи высокие  товарные качества.</t>
  </si>
  <si>
    <t>photos/photo_92@17-10-2020_15-38-24.jpg</t>
  </si>
  <si>
    <t>бочковий</t>
  </si>
  <si>
    <t>Бочковий</t>
  </si>
  <si>
    <t>Бочковий.Среднеспелый (53-57 дней), пчелоопыляемый сорт для открытого грунта. Растение сильнорослое,плетистое, со смешанным цветением. Зеленцы крупнобугорчатые, ярко-зелёные с восковым налётом,длиной 11-13 см, плотные, хрустящие.</t>
  </si>
  <si>
    <t>photos/photo_93@17-10-2020_15-52-42.jpg</t>
  </si>
  <si>
    <t>Весела компані F1</t>
  </si>
  <si>
    <t>Весела компани F1</t>
  </si>
  <si>
    <t>Весела компаниF1.Среднеранний гибрид корнишонного типа, для выращивания в открытом и закрытом грунте. Зеленец среднбугорчатый, длиной 7-9 см. Тип завязи пучковый. Устойчив к основным заболеваниям огурцов.
Отлично подходит для употребления в свежем виде и консервирования.</t>
  </si>
  <si>
    <t>photos/photo_94@17-10-2020_16-16-22.jpg</t>
  </si>
  <si>
    <t>виноградне гроно</t>
  </si>
  <si>
    <t>Виноградная гроздь</t>
  </si>
  <si>
    <t>Виноградная гроздь   Раннеспелый гибрид, от всходов до первого сбора 42 - 45 дней, формирующий пучковую завязь плодов. Плоды однородные по размеру, удлиненно-яйцевидной формы, долго не желтеют, крупнобугорчатые с нежной кожицей, без горечи, с отличными засолочными качествами. Длина зеленца 8-9 см</t>
  </si>
  <si>
    <t>photos/photo_95@17-10-2020_16-31-31.jpg</t>
  </si>
  <si>
    <t>Вірні друзі</t>
  </si>
  <si>
    <t>Верные друзья</t>
  </si>
  <si>
    <t>Верныедрузья.Ультраскороспелый, пчело-опыляемый гибрид для открытого грунта и пленочных укрытий. Период вегетации
37-39 дней. Салатного и консервного назначения. В пазухе листа закладывается по 2-7 завязей. Каждоерастение дает до 47 овально-цилиндрических плодов, длиной 8-10 см, без горечи, массой 80-115 г.</t>
  </si>
  <si>
    <t>photos/photo_96@17-10-2020_16-38-21.jpg</t>
  </si>
  <si>
    <t>Владко</t>
  </si>
  <si>
    <t>Владко.Среднеспелый, высокоурожайный гибрид с отличными вкусовыми качествами. Используется в свежем виде,
для соления и консервации. Вегетационный период от всходов до начала плодоношения – 45-50 дней.Предназначен для выращивания в открытом грунте.</t>
  </si>
  <si>
    <t>photos/photo_97@17-10-2020_16-43-44.jpg</t>
  </si>
  <si>
    <t>Водограй</t>
  </si>
  <si>
    <t>Водограй. Скороспелый гибрид, созревает на 35 день после появления всходов. Отличается высокой продуктивностью,дружным созреванием плодов, пригодных к засолке и консервированию, устойчивостью растений к засухе и болезням.</t>
  </si>
  <si>
    <t>photos/photo_98@17-10-2020_16-47-28.jpg</t>
  </si>
  <si>
    <t>120</t>
  </si>
  <si>
    <t>120.Всем на зависть. Высокоурожайный, скороспелый, корнишонный гибрид для открытого грунта и весенних теплиц.В узлах формируется 3-6 и более завязей. Окраска - красивая, ��рко-зеленая. Зеленцы - белошипые.</t>
  </si>
  <si>
    <t>photos/photo_99@17-10-2020_16-52-34.jpg</t>
  </si>
  <si>
    <t>Гейм</t>
  </si>
  <si>
    <t>Гейм.Среднеспелый, нежинского сортотипа. Плодоносит на 49 день после появления всходов,длительность
плодоношения 31-35 дней. Устойчив против пероноспороза и бактериоза. Высокие консервные и засолочные качества Зеленец удлиненно-овальный, длиной 10-11 см.</t>
  </si>
  <si>
    <t>photos/photo_100@17-10-2020_17-11-21.jpg</t>
  </si>
  <si>
    <t>гірлянда F1</t>
  </si>
  <si>
    <t>Гирлянда F1</t>
  </si>
  <si>
    <t>Гирлянда F1.Раннеспелый (45-50 дней от всходов до плодоношения) самоопыляемый гибрид с букетным
заложением завязей (до 4-5 в одном узле). Растение с мощным ростом, слабоветвистое.Рекомендуется для выращивания в пленочных теплицах. Благодаря теневыносливости подходит для
выращивания на балконе</t>
  </si>
  <si>
    <t>photos/photo_101@17-10-2020_17-15-43.jpg</t>
  </si>
  <si>
    <t>ГекторF1</t>
  </si>
  <si>
    <t>ГекторF1.Сверхранний кустовой гибрид огурца с преимущественно женским типом цветения. Дает высокий и дружный урожай. Хорошо переносит загущение. Плоды однородные, крупнобугорчатые, белошипые цилиндрические,равномерного темно-зеленого цвета, не желтеют.</t>
  </si>
  <si>
    <t>photos/photo_102@17-10-2020_17-28-59.jpg</t>
  </si>
  <si>
    <t>Герман F1</t>
  </si>
  <si>
    <t>Герман F1.Самый популярный, суперранний (38-40 дней), сверхурожайный гибрид. С 1 кв.м можно получить более 20 кг 
великолепных огурцов-корнишонов. Зеленцы крупнобугорчатые,равномерные.  Предназначен дла употребления в свежем виде а так же во всех видах переработок. Гибрид из Голландии.</t>
  </si>
  <si>
    <t>photos/photo_103@17-10-2020_17-38-35.jpg</t>
  </si>
  <si>
    <t>Голубчик F1</t>
  </si>
  <si>
    <t>Голубчик F1.Раннеспелый гибрид (42-45 дней), преимущественно жнско- го  типа цветения,  пчело-опыляемый, корнишон. Зеленец овально-цилиндрический длиной 9-12 см и диаметром 3,5-4,5 см, без горечи. Дружно формирует урожай. Пригоден для потребления в свежем виде,засолки  ,консервирования.</t>
  </si>
  <si>
    <t>photos/photo_104@17-10-2020_17-49-49.jpg</t>
  </si>
  <si>
    <t>Далекосхідний 27</t>
  </si>
  <si>
    <t>Дальневосточный 27</t>
  </si>
  <si>
    <t>Дальневосточный 27.Сорт среднеспелый, доспевает за 40-45 дней. Длинноплетистый. Плод эллипсовидный, бугорчатый,
черношипый, длиной 11-15см, массой 100-200г, без горечи. Урожайность 1-3кг/м. Предназначен для открытого грунта, пчело-опыляемый, засолочный, засухоустойчивый.</t>
  </si>
  <si>
    <t>photos/photo_105@17-10-2020_17-59-36.jpg</t>
  </si>
  <si>
    <t>Джерело</t>
  </si>
  <si>
    <t>Джерело.Раннеспелый, до начала плодоношения 40-45 дней. Сорт относительно холодоустойчивый. Зеленец удлиненноовальный, длиной около 11 см, диаметром 4 см, массой 70-80 г, поверхность бугорчатая с четкими
полосками до половины длины. Вкус свежих, консервированных изасоленных плодов отличный. Урожайность высокая.</t>
  </si>
  <si>
    <t>photos/photo_106@17-10-2020_18-06-41.jpg</t>
  </si>
  <si>
    <t>дружна сімейка</t>
  </si>
  <si>
    <t>Дружная семейка</t>
  </si>
  <si>
    <t>Дружная семейка. Ультраскороспе- лый , пчело-опыляемый сорт открыто- го грунта. Салатного и консервного назначения. В пазухе листа закладывается по 2-3 завязи. Ценность сорта – раннеспелость, дружная отдача урожая, что позволяет провести уборку за 2-3 сбора, высокая товарность.</t>
  </si>
  <si>
    <t>photos/photo_107@17-10-2020_18-15-04.jpg</t>
  </si>
  <si>
    <t>делікатесний</t>
  </si>
  <si>
    <t>Деликатесный</t>
  </si>
  <si>
    <t>Деликатесный.Раннеспелый сорт для выращивания в открытом грунте. Растение мощное, длинноплетистое. Зеленцы цилиндрические, выровненные, мелко-,частобугорчатые, длиной 9-12 см. Кожица негрубая, темно-зеленая.Мякоть плотная, с высоким содержанием сахаров.</t>
  </si>
  <si>
    <t>photos/photo_108@17-10-2020_18-19-37.jpg</t>
  </si>
  <si>
    <t>Ємеля</t>
  </si>
  <si>
    <t>Емеля</t>
  </si>
  <si>
    <t>Емеля.Среднеранний салатный сорт. Вегетационный период от всходов до первого сбора 55-60 дней. Зеленцы гладкие, длиной 16-20см, диаметром 3-5см, массой 120-180г, с тонкой, блестящей темно-зеленой кожурой.Мякоть толстая, сочная, без горечи с приятным вкусом и ароматом</t>
  </si>
  <si>
    <t>photos/photo_109@17-10-2020_18-27-22.jpg</t>
  </si>
  <si>
    <t>Журавльонок</t>
  </si>
  <si>
    <t>Журавленок</t>
  </si>
  <si>
    <t>Журавленок.F1.Раннеспелый, пчелоопыляемый гибрид, период от всходов до первого урожая составляет 40-45 дней. Зеленец бугорчатый, овально-цилиндрический, длиной 10-12 см, без горечи. Мякоть плотная, хрустящая</t>
  </si>
  <si>
    <t>photos/photo_110@17-10-2020_18-31-57.jpg</t>
  </si>
  <si>
    <t>Засолочний</t>
  </si>
  <si>
    <t>Засолочный</t>
  </si>
  <si>
    <t>Засолочный.Раннеспелый, пчелоопыляемый сорт. Плоды однородные по размеру, удлиненно-яйцевидной формы, темно-зеленые, не желтеют,крупнобугорчатые, с нежной кожицей и отличными засолочными качествами.</t>
  </si>
  <si>
    <t>photos/photo_112@17-10-2020_19-06-32.jpg</t>
  </si>
  <si>
    <t>Засолочный.Раннеспелый, пчело-опыляемый сорт. Плоды однородные по размеру, удлиненно-яйцевидной формы, темно-зеленые, не желтеют,крупнобугорчатые, с нежной кожицей и отличными засолочными качествами.</t>
  </si>
  <si>
    <t>photos/photo_113@17-10-2020_19-10-17.jpg</t>
  </si>
  <si>
    <t>ЗозуляF1</t>
  </si>
  <si>
    <t>ЗозуляF1.Гибрид скороспелый, засолочный, обладает частичной партенокарпией (самоопыляемый). Зеленец цилиндрический, слабобугорчатый, длина плода 15-23 см. Урожайность и товарность высокие. Применяется для выращивания в теплицах, помещениях и в открытом грунте.</t>
  </si>
  <si>
    <t>photos/photo_114@17-10-2020_19-14-53.jpg</t>
  </si>
  <si>
    <t>Зубренок F1</t>
  </si>
  <si>
    <t>Зубренок F1.Среднеранний гибрид. В плодоношение вступает на 48-50 день после всходов. Пчелоопыляемый,преимущественно с женским типом цветения . Зеленец длиной 12-14см, высоких вкусовых качеств, без горечи</t>
  </si>
  <si>
    <t>photos/photo_115@17-10-2020_19-22-07.jpg</t>
  </si>
  <si>
    <t>зятьок</t>
  </si>
  <si>
    <t>Зятек</t>
  </si>
  <si>
    <t>Зятек.Скороспелый (45-48 день от всходов до плодоношения) партенокарпический гибрид женского типа цветения.Предназначен для выращивания в открытом грунте и пленочных теплицах. Зеленец длиной 10-12 см,</t>
  </si>
  <si>
    <t>photos/photo_118@17-10-2020_19-28-41.jpg</t>
  </si>
  <si>
    <t>ІраF1</t>
  </si>
  <si>
    <t>ИраF1</t>
  </si>
  <si>
    <t>ИраF1.Раннеспелый, высокоурожайный, пчелоопыляемый гибрид, с преимущественно женским типом цветения, для выращивания в открытом и закрытом грунте. От всходов до первого сбора 40-42 дня. Плод темно-зеленый, без горечи.</t>
  </si>
  <si>
    <t>photos/photo_120@17-10-2020_19-39-18.jpg</t>
  </si>
  <si>
    <t>китайське диво</t>
  </si>
  <si>
    <t>Китайское чудо</t>
  </si>
  <si>
    <t>Китайское чудо.Данный сорт очень привлекателен плодами длиной до 45см, мелкобугорчатыми и шиповатыми. Огурцы имеют тонкую кожицу, плотную консистенцию и отличные вкусовые качества. Транспортабельность высокая. Плоды не содержат горечи, отлично солятся и консервируются, даже нарезанные кусочками.</t>
  </si>
  <si>
    <t>photos/photo_121@17-10-2020_19-45-04.jpg</t>
  </si>
  <si>
    <t>кімнатний</t>
  </si>
  <si>
    <t>Комнатный</t>
  </si>
  <si>
    <t>Комнатный.Партенокарпический (самоопыляемый) гибрид, женского типа цветения, который можно выращивать на подоконнике, на балконе, в теплице и в открытом грунте, вертикальным или горизонтальным способом. Плоды корнишонного типа, 7-8 см, крупнобугорчатые, хороших вкусовых качеств</t>
  </si>
  <si>
    <t>photos/photo_122@17-10-2020_19-58-25.jpg</t>
  </si>
  <si>
    <t>конкурент</t>
  </si>
  <si>
    <t>Конкурент</t>
  </si>
  <si>
    <t>Конкурент.Скороспелый,засолочный пчёлоопыляемый сорт открытого грунта. В плодоношение вступает на 45-50-й день,при летнем посеве на 29-30-й день. Плод овально-цилиндрический, крупнобугорчатый, чёрношипый, длинной 9-12см,</t>
  </si>
  <si>
    <t>photos/photo_123@17-10-2020_20-12-03.jpg</t>
  </si>
  <si>
    <t>круїз F1</t>
  </si>
  <si>
    <t>Круиз F1</t>
  </si>
  <si>
    <t>Круиз F1.Среднеспелый (от всходов до плодоношения 49-52 дня) пчёло-опыляемый гибрид универсального назначения.Растение плетистое ,плод ярко зеленый цилиндрический,крупнобугорчатый,длиной 8-10 см</t>
  </si>
  <si>
    <t>photos/photo_124@17-10-2020_20-16-28.jpg</t>
  </si>
  <si>
    <t>кущовий</t>
  </si>
  <si>
    <t>Кустовой</t>
  </si>
  <si>
    <t>Кустовой. Раннеспелый сорт (45-50 дней).  Растение компактной формы. Зеленец удлиненно-яйцевидный, длиной 9-12 см,вкусовые качества отличные.</t>
  </si>
  <si>
    <t>photos/photo_126@18-10-2020_13-39-11.jpg</t>
  </si>
  <si>
    <t>Лялюк</t>
  </si>
  <si>
    <t>Лялюк.Среднеспелый сорт, период от массовых всходов до начала плодоношения 55-60 дней. Засолочный,консервный,высокоурожайный. Плоді  крупнобугорчатые, черношипые, длиной 9-12 см. Предназначен для летних сроков посева. Устойчив к мучнистой росе.</t>
  </si>
  <si>
    <t>photos/photo_128@18-10-2020_13-48-10.jpg</t>
  </si>
  <si>
    <t>Лялюк.Среднеспелый сорт, период от массовых всходов до начала плодоношения 55-60 дней.Засолочный, консервный, высокоурожайный. Плоды крупнобугорчатые, черношипые, длиной 9-12 см. Предназначен для
летних сроков посева. Устойчив к мучнистой росе.</t>
  </si>
  <si>
    <t>photos/photo_129@18-10-2020_13-51-04.jpg</t>
  </si>
  <si>
    <t>Малий та молодецький F1</t>
  </si>
  <si>
    <t>Мал да удал F1</t>
  </si>
  <si>
    <t>Мал да удал F1.Раннеспелый (от всходов до сбора урожая 40-45 дней) партенокарпический гибрид. Растение мощное, плетистое, с женским типом цветения. Плодообразование наглавном стебле - одиночное,
по одной завязи в каждом узле, а на боковых побегах - букетное.</t>
  </si>
  <si>
    <t>photos/photo_130@18-10-2020_13-58-26.jpg</t>
  </si>
  <si>
    <t>Льоша F1</t>
  </si>
  <si>
    <t>Леша F1</t>
  </si>
  <si>
    <t>Леша F1.Скороспелый гибрид, селекции Донецкой опытной станции, универсального назначения. Устойчив к пероноспорозу и бактериозу, не поражается обычной мозаикой. Плоды не желтеют,  долго сохраняют товарность, високотранспортабельные</t>
  </si>
  <si>
    <t>photos/photo_132@18-10-2020_14-34-23.jpg</t>
  </si>
  <si>
    <t>Лібелла F1</t>
  </si>
  <si>
    <t>Либелла F1</t>
  </si>
  <si>
    <t>Либелла F1.Раннеспелый пчелоопыляемый гибрид. Не требует сортов-опылителей. Для открытого грунта, пленочныхукрытий и теплиц. Пригоден для засола и консервирова-ния</t>
  </si>
  <si>
    <t>photos/photo_133@18-10-2020_14-44-24.jpg</t>
  </si>
  <si>
    <t>Хлопчик з пальчікF1</t>
  </si>
  <si>
    <t>Мальчик с пальчикF1</t>
  </si>
  <si>
    <t>Мальчик с пальчикF1. Скороспелый (37-39 дней), пчелоопыляемый, засолочный сорт открытого грунта. Не образует пустоцветов.Плод  корнишон, длиной 6-8 см, хорошего вкуса, долго сохраняет товарный вид и зеленую окраску.</t>
  </si>
  <si>
    <t>photos/photo_135@18-10-2020_15-11-09.jpg</t>
  </si>
  <si>
    <t>Хлопчик з пальчик</t>
  </si>
  <si>
    <t>Мальчик с пальчик</t>
  </si>
  <si>
    <t>Мальчик с пальчик.Скороспелый (37-39 дней), пчелоопыляемый, засолочный сорт открытого грунта. Не образует пустоцветов.Плод  корнишон, длиной 6-8 см, хорошего вкуса, долго сохраняет товарный вид и зеленую окраску.</t>
  </si>
  <si>
    <t>photos/photo_136@18-10-2020_15-14-16.jpg</t>
  </si>
  <si>
    <t>Марінда F1</t>
  </si>
  <si>
    <t>Маринда F1</t>
  </si>
  <si>
    <t>Маринда F1Партенокарпический (само опыляемый, не нуждается в опылении пчелами), очень ранний гибрид. При достаточном питании формирует по 6-7 плодов в каждом узле. Плоды с шипами, красивой темно-зеленойокраски, без горечи.</t>
  </si>
  <si>
    <t>photos/photo_137@18-10-2020_15-27-24.jpg</t>
  </si>
  <si>
    <t>МашаF1</t>
  </si>
  <si>
    <t>МашаF1. Самый ранний гибрид огурца-корнишона. Партенокарпик, не нуждается в опылении пчелами. 
Достаточное питании формирует по 6-7 плодов на каждом узле. Плоды без горечи, созревают очень рано и дружно. Самый ранний гибрид огурца-корнишона.</t>
  </si>
  <si>
    <t>photos/photo_138@18-10-2020_16-02-56.jpg</t>
  </si>
  <si>
    <t>монастирський</t>
  </si>
  <si>
    <t>Монастырский</t>
  </si>
  <si>
    <t>Монастырский.Раннеспелый, созреваетза38дней,высокоурожайный сорт. Плоды не крупные 9-12см, цилиндрической формы, без горечи, с длительным периодом плодоношения. Используют в свежем виде консервируют, солят.</t>
  </si>
  <si>
    <t>photos/photo_139@18-10-2020_17-20-17.jpg</t>
  </si>
  <si>
    <t>Мар`Їна Роща</t>
  </si>
  <si>
    <t>Мар`Їна Роща продуктивный, скороспелый, партенокарпический корнишонный гибрид, с пучковым образованием завязей. Холодостоек, теневынослив, плодоносит до глубокой осени. В узлах формируется от 2-3 до 4-5 завязей.Засолочные и вкусовые качества очень высокие.</t>
  </si>
  <si>
    <t>photos/photo_140@18-10-2020_17-36-18.jpg</t>
  </si>
  <si>
    <t>Мурашка F1</t>
  </si>
  <si>
    <t>Мурашка F1.Скороспелый (43-48 дней от всходов до созревания), не требующий опыления, гибрид для открытого и защищенного грунта с женским типом цветения. Растение выглядит очень привлекательно, на кусте одновременно вы увидите и букетики женских цветков, и яркие, изящные, зеленцы по 4-6 в узле.</t>
  </si>
  <si>
    <t>photos/photo_141@18-10-2020_17-44-48.jpg</t>
  </si>
  <si>
    <t>Ніжинський</t>
  </si>
  <si>
    <t>Неженский</t>
  </si>
  <si>
    <t>Неженский.Сорт среднепоздний, длинноплетистый. Требователен к влаге и сравнительно устойчив к грибным болезням.Зеленец удлиненно-яцевидной формы, темно-зеленый, крупно-бугорчатый, длиной 9-12 см, диаметром 3-5 см,
массой около 90 г, урожайный. Сорт требователен к влаге.</t>
  </si>
  <si>
    <t>photos/photo_142@18-10-2020_18-01-17.jpg</t>
  </si>
  <si>
    <t>Неженский. Сорт среднепоздний, длинноплетистый.Требоателен к влаге и сравнительно устойчив к грибным болезням. Зеленец удлиненно яйцевидной формы,темно -зеленый,крупно бугорчатый,длинной 9-12см. Урожайный Сорт требователен к влаге.</t>
  </si>
  <si>
    <t>photos/photo_143@18-10-2020_18-15-45.jpg</t>
  </si>
  <si>
    <t>Наташа F1</t>
  </si>
  <si>
    <t>Наташа F1.Раннеспелый гибрид с преимущественно женским типом цветения. Плоды зеленые, с шипами отличного качества без горечи. Предназначены для потребления в свежем виде и переработки.</t>
  </si>
  <si>
    <t>photos/photo_144@18-10-2020_18-36-43.jpg</t>
  </si>
  <si>
    <t>ОктопусF1</t>
  </si>
  <si>
    <t>ОктопусF1.Среднеранний (50-55 дней) пчелоопыляемый гибрид. Растение среднерослое, преимущественно женского типа цветения. Зеленец цилиндрический, темно-зеленый, среднего размера 8-12 см массой 85-110 г</t>
  </si>
  <si>
    <t>photos/photo_145@18-10-2020_18-43-59.jpg</t>
  </si>
  <si>
    <t>пальчик</t>
  </si>
  <si>
    <t>Пальчик</t>
  </si>
  <si>
    <t>Пальчик.Раннеспелый, пчело -опыляемый сорт. По урожайность превосходит в 2-3 раза все стандартные сорта. Растение
сильнорослое, средневетвистое, с пучковым расположением завязей. Зеленец удлиненно-элипсовидной формы 9-13см.</t>
  </si>
  <si>
    <t>photos/photo_147@19-10-2020_01-07-43.jpg</t>
  </si>
  <si>
    <t>Паризький корнішон</t>
  </si>
  <si>
    <t>Парижский корнишон</t>
  </si>
  <si>
    <t>Парижский корнишон Раннеспелый сорт для открытого грунта. Высокоурожайный, засолочного типа. Плод длиной 8-11см,
цилиндрический с продольными полосками и крупными бугорками, черношипый.</t>
  </si>
  <si>
    <t>photos/photo_148@19-10-2020_01-07-43.jpg</t>
  </si>
  <si>
    <t>ПасамонтеF1</t>
  </si>
  <si>
    <t>ПасамонтеF1.Раннеспелыйпаренокарпический (самоопыляемый) гибрид, корнишонного типа, для пленочных и стеклянныхтеплиц. Начинает плодоносить на 43-45 день после всходов. Пригоден для консервирования и засола.
Урожайность 12-15 кг/кв.м.</t>
  </si>
  <si>
    <t>photos/photo_149@19-10-2020_01-07-43.jpg</t>
  </si>
  <si>
    <t>Пивниця F</t>
  </si>
  <si>
    <t>Погребок F</t>
  </si>
  <si>
    <t>Погребок F.Скороспелый (43-48 дней от всходов до плодоношения) пчелоопыляемый гибрид преимущественно женского типа цветения. Предназначен для выращивания в открытом грунте и под временными пленочными укрытиями.
Зеленец цилиндрической формы, длиной 9-11 см,</t>
  </si>
  <si>
    <t>photos/photo_150@19-10-2020_01-07-43.jpg</t>
  </si>
  <si>
    <t>Підмосковні вечори F1</t>
  </si>
  <si>
    <t>Подмосковные вечера F1</t>
  </si>
  <si>
    <t>Подмосковные вечераF1 Скороспелый, партенокарпический гибрид женского типа цветения с дружной отдачей урожая. В узлах формируется 1-2 плода. Зеленцы бугорчатые белошипые, со средним опушением, длиной 12-14см, темно-
зеленые, пригодны для засолки и консервирования</t>
  </si>
  <si>
    <t>photos/photo_151@19-10-2020_01-07-43.jpg</t>
  </si>
  <si>
    <t>ПоланF1</t>
  </si>
  <si>
    <t>ПоланF1.Среднеранний гибрид. Вегетационный период от всходов до начала плодоношения 45-50
дней. Плоды цилиндрические, крупнобугорчатые, черношипые, интенсивно зеленого цвета со светлыми полосками, длиной 7-10см,</t>
  </si>
  <si>
    <t>photos/photo_152@19-10-2020_01-07-43.jpg</t>
  </si>
  <si>
    <t>ПотомакF1</t>
  </si>
  <si>
    <t>ПотомакF1.Раннеспелый гибрид голландскойселекции,преимущественно с женским типом цветения, период отвсходов до начала плодоношения - 50-55 дней. Растение детерминантное, со слабым ветвлением.Плоды без горечи, отличного качества, длиной 9 - 15 см</t>
  </si>
  <si>
    <t>photos/photo_153@19-10-2020_01-07-43.jpg</t>
  </si>
  <si>
    <t>РаціборF1</t>
  </si>
  <si>
    <t>РациборF1</t>
  </si>
  <si>
    <t>РациборF1.Гибрид, приносящий обильный урожай. Быстро начинает обильно плодоносить. Плод правильной формы
интенсивно-зеленого цвета с более светлыми полосами,крупнобугорчатые, белошипые. Вкус отличный.</t>
  </si>
  <si>
    <t>photos/photo_146@18-10-2020_21-20-17.jpg</t>
  </si>
  <si>
    <t>подарунок осені</t>
  </si>
  <si>
    <t>Подарок осени</t>
  </si>
  <si>
    <t>Подарок осени.Среднеранний сорт с удлиненным периодом плодоношения. От всходов до начала сбора урожая 42-45 дней. Растение среднеплетистое. Плод цилиндрический, длиной9-11см,без горечи, крупнобугорчатый. Очень хорош на вкус - хрустящий, сочный</t>
  </si>
  <si>
    <t>photo_154@19-10-2020_22-19-44.jpg</t>
  </si>
  <si>
    <t>Роднічок F1</t>
  </si>
  <si>
    <t>Родничок F1</t>
  </si>
  <si>
    <t>Родничок F1. Раннеспелый,пчело- опыляемый гибрид, в плодоношение вступает на 49-52 день. Засолочный, консервный.Плоды цылендрические средне-бугорчатые, длиной 9-10 см. Устойчив к мучнистой росе. Рекомендован для выращивания в открытом грунте и и в пленочных теплицах.</t>
  </si>
  <si>
    <t>photos/photo_156@19-10-2020_23-19-59.jpg</t>
  </si>
  <si>
    <t>РоднічокF1</t>
  </si>
  <si>
    <t>РодничокF1</t>
  </si>
  <si>
    <t>РодничокF1.Раннеспелый, пчелоопыляемый гибрид, в плодоношение вступает на 49-52 день.Засолочный, консервный.
Плоды цилиндрические, среднебугорчатые, длиной 9-10 см. Устойчив к мучнистой росе. Рекомендован для выращивания в открытом грунте и пленочных теплицах.</t>
  </si>
  <si>
    <t>photos/photo_157@20-10-2020_00-42-06.jpg</t>
  </si>
  <si>
    <t>Руфус F1</t>
  </si>
  <si>
    <t>Руфус F1.Раннеспелый высокоурожайный гибрид открытого грунта. Плод – корнишон, цилиндрической формы, темно-
зеленого цвета, средне-пупырчатый, генетически избавлен от горечи. Вкусовые качества высокие. Устойчив к ложной мучнистой росе, вирусу мозаики огурца, парше тыквенных</t>
  </si>
  <si>
    <t>photos/photo_158@20-10-2020_21-34-24.jpg</t>
  </si>
  <si>
    <t>СамородокF1</t>
  </si>
  <si>
    <t>СамородокF1.Скороспелый гибрид, от всходов до первого сбора проходит 38-42 дня. Зеленец цилиндрический,
крупнобугорчатый, черношипый, длиной 8-9 см, массой 70-80 г. Имеет высокие вкусовые и засолочные
качества</t>
  </si>
  <si>
    <t>photo_159@20-10-2020_22-36-52.jpg</t>
  </si>
  <si>
    <t>син полкаF1</t>
  </si>
  <si>
    <t>Сын полкаF1</t>
  </si>
  <si>
    <t>Сын полкаF1.Скороспелый гибрид, период от всходо в до начала плодоношения 37-39 дней. Женский тип цветения.Предназначен для выращивания в открытом грунте и пленочных теплицах. Плоды-корнишоны, темно-зеленого цвета, длиной 8-11 см, без горечи.</t>
  </si>
  <si>
    <t>photos/photo_160@20-10-2020_22-40-28.jpg</t>
  </si>
  <si>
    <t>Сквирський F1</t>
  </si>
  <si>
    <t>Сквирский F1</t>
  </si>
  <si>
    <t>Сквирский F1.Сорт среднеспелый. Предназначен для потребления в свежем виде и засолки. От появления всходов до первого сбора плодов проходит 48-52 дня. Плоди цилиндрические или овально-цилиндрические, 9-11см в длину и 3-4см в ширину.</t>
  </si>
  <si>
    <t>photos/photo_161@20-10-2020_22-45-17.jpg</t>
  </si>
  <si>
    <t>Семко F1</t>
  </si>
  <si>
    <t>Семко F1.Среднеранний гибрид. Период от всходов до плодоношения 50-55 дней. Плоды зелёного цвета с размытыми светлыми полосами, бугорчатые, цилиндрической формы, длиной 9-11см, весом 80-110г. Гибрид  устойчив к комплексу заболеваний</t>
  </si>
  <si>
    <t>photos/photo_162@20-10-2020_22-48-22.jpg</t>
  </si>
  <si>
    <t>самозапилюватися F1</t>
  </si>
  <si>
    <t>Самоопыляемый F1</t>
  </si>
  <si>
    <t>Самоопыляемый F1.Скороспелый гибрид (образует плоды без опыления). Вегетационный период от всходов до начала плодоношения 45-47 дней. Плоды цилиндрические, средне-бугорчатые, длиной 6-9см, темно-
зелёной окраски с небольшими полосами, плотные и хрустящие.</t>
  </si>
  <si>
    <t>photos/photo_163@20-10-2020_22-54-31.jpg</t>
  </si>
  <si>
    <t>Сремский F1</t>
  </si>
  <si>
    <t>Сремский F1. Сверхранний, высокоурожайный, болезнеустойчивый гибрид. Плоды цилиндрические, бородавчастые,длиной 8-10 см, без тенденции к желтению. Имеют чудесный вкус. Выращивают для получения сверхранней продукции, соления и консерви��ования.</t>
  </si>
  <si>
    <t>photos/photo_164@20-10-2020_23-01-14.jpg</t>
  </si>
  <si>
    <t>Сусідові на заздрість F1</t>
  </si>
  <si>
    <t>Соседу на зависть F1</t>
  </si>
  <si>
    <t>Соседу на зависть F1.Очень ранний, преимущественно женского типа. Зеленец удлиненной формы, с крупнобугорчатой
поверхностью, без горечи. В засолке нежные, хрустящие. Период от полных всходов до начала плодоношения 43-50 дней. Длина плода 8-12 см. Масса плода 102-135 г.</t>
  </si>
  <si>
    <t>photos/photo_165@20-10-2020_23-05-53.jpg</t>
  </si>
  <si>
    <t>Тітус F1</t>
  </si>
  <si>
    <t>Титус F1</t>
  </si>
  <si>
    <t>Титус F1.Гибрид ранний, высокоурожайный. Используют для непосредственного обеспечения рынка и консервирования. Выращивают в открытом грунте. Плод цилиндрический  сильнобугорчатый.</t>
  </si>
  <si>
    <t>photos/photo_166@20-10-2020_23-13-23.jpg</t>
  </si>
  <si>
    <t>Фенікс 640</t>
  </si>
  <si>
    <t>Феникс 640</t>
  </si>
  <si>
    <t>Феникс 640.Позднеспелый пчело- опыляемый сорт открытого грунта универсального назначения. В плодоношение вступает на 55-65-й день от всходов. Плод бугорчатый , белошипый,длиной 12-16см, массой 120-180г, не желтеет.</t>
  </si>
  <si>
    <t>photos/photo_167@20-10-2020_23-22-17.jpg</t>
  </si>
  <si>
    <t>Феникс 640.Позднеспелый пчёлоопыляемый сорт открытого грунта универсального назначения. В плодоношение вступает
на 55-65-й день от всходов. Плод крупнобугорчатый, белошипый, длиной 12-16см, массой 120-180г, не желтеет.</t>
  </si>
  <si>
    <t>photos/photo_168@20-10-2020_23-25-27.jpg</t>
  </si>
  <si>
    <t>Фенікс плюс</t>
  </si>
  <si>
    <t>Феникс плюс</t>
  </si>
  <si>
    <t>Феникс плюс.Улучшенный сорт,поз-неспелый, пчёло-опыляемый сорт открытого грунта универсального назначения. Вплодоношение вступает на 55-65-й день от всходов Плод крупнобугорчаты, белошипый, длиной 12-16см,массой 120-180г, не желтеет.</t>
  </si>
  <si>
    <t>photos/photo_169@20-10-2020_23-31-56.jpg</t>
  </si>
  <si>
    <t>Феникс плюс.Позднеспелый пчёлоопыляемый сорт открытого грунта универсального назначения. Вплодоношение вступает на 55-65-й день от всходов. Крупнобугорчатый, белошипый, длиной 12-16см,массой 120-180г, не желтеет.</t>
  </si>
  <si>
    <t>photos/photo_170@20-10-2020_23-38-49.jpg</t>
  </si>
  <si>
    <t>хрусткий</t>
  </si>
  <si>
    <t>Хрустящий</t>
  </si>
  <si>
    <t>Хрустящий.Пчелооопыляемый сорт для открытого грунта и пленочных укрытий. Среднеспелый, вступает в плодоношение на 46-50 день от появления массовых всходов. Зеленцы веретеновидной формы 10-13см.</t>
  </si>
  <si>
    <t>photos/photo_171@21-10-2020_00-04-23.jpg</t>
  </si>
  <si>
    <t>Цезар</t>
  </si>
  <si>
    <t>Цезарь</t>
  </si>
  <si>
    <t>Цезарь.Сверхранний, пчелоопыляемый гибрид. Высокоурожайный, пригоден для засолки. Рекомендуется
для выращивания в открытом грунте. Болезнестойкий,не  требует дополнительной химической обработки. Зеленец длинной 8-12 см</t>
  </si>
  <si>
    <t>photos/photo_173@21-10-2020_00-15-05.jpg</t>
  </si>
  <si>
    <t>Фаворит</t>
  </si>
  <si>
    <t>Фаворит.Сорт среднеранний с женским типом цветения, пчелоопыляемый, от всходов до первого сбора 50-52 дня.Зеленец зеленый с продольными белыми полосками, цилиндрический, средне-бугорчатый, длина 9-11см,</t>
  </si>
  <si>
    <t>photos/photo_174@21-10-2020_00-46-04.jpg</t>
  </si>
  <si>
    <t>ФермерF1</t>
  </si>
  <si>
    <t>ФермерF1.Пчелоопыляемый, преимущественно женского типа цветения. Урожайность в открытом грунте - до 10-12кг/кв.м, в защищенном грунте - до 20-24 кг/кв.м. Выращивают в открытогрунте, пленочных тоннелях и теплица</t>
  </si>
  <si>
    <t>photos/photo_175@21-10-2020_00-49-44.jpg</t>
  </si>
  <si>
    <t>Лускунчик F1</t>
  </si>
  <si>
    <t>Щелкунчик F1</t>
  </si>
  <si>
    <t>Щелкунчик F1.Новый гибрид с частичной партенокарпией для пленочных теплиц и открытого грунта. Среднеранний(45-50 дней от всходов до начала плодоношения). Растение среднерослое, с умереннымветвлением,преимущественно женского типа цветения. Плоды очень красивые</t>
  </si>
  <si>
    <t>photos/photo_176@21-10-2020_00-55-21.jpg</t>
  </si>
  <si>
    <t>меренга F1</t>
  </si>
  <si>
    <t>Меренга F1</t>
  </si>
  <si>
    <t>Меренга F1.Новый суперранний  партенокарпический гибрид. Характеризуется очень высоким и ранним  общим урожаем.Растение средне открытое. Плод  превосходного внешнего вида, без горечи, отличного вкуса, чрезвычайнднородные,правильной цилиндрической формы. Окраска темно-зеленая.</t>
  </si>
  <si>
    <t>photos/photo_178@21-10-2020_22-21-33.jpg</t>
  </si>
  <si>
    <t>Еколь F1</t>
  </si>
  <si>
    <t>Еколь F1.Партенокарпический раннеспелый гибрид корнишонного типа. Период от всходов до начала плодоношения -42-45 дней. Средняя урожайность 100-120 т/га. Рекомендуется для выращивания в открытом грунте и
пленочных теплицах.</t>
  </si>
  <si>
    <t>photos/photo_179@21-10-2020_22-32-58.jpg</t>
  </si>
  <si>
    <t>Пучіні</t>
  </si>
  <si>
    <t>Пучини</t>
  </si>
  <si>
    <t>Пучини.Новинка от голландских производителей. Среднеспелый партенокарпик, кустовой гибрид. Имеет очень высокий выход корнишона без генетической горечи. Растение среднегеративноготипа. Имеет высокие засолочные  качества.</t>
  </si>
  <si>
    <t>photos/photo_180@21-10-2020_22-45-05.jpg</t>
  </si>
  <si>
    <t>СоловейF1</t>
  </si>
  <si>
    <t>СоловейF1. Раннеспелый гибрид открытого грунта. Лучший среди лучших по засолочным качествам. Ценится за отличный вкус изящных плодов красивой ярко-зеленой окраски. Высокоустойчив к ложной мучнистой росе.</t>
  </si>
  <si>
    <t>photos/photo_182@21-10-2020_23-36-23.jpg</t>
  </si>
  <si>
    <t>Надія F1</t>
  </si>
  <si>
    <t>Надежда F1</t>
  </si>
  <si>
    <t>Надежда F1.Новый ультраранний пчелоопыляемый гибрид с преимущественно женским типом цветения. Урожайность
очень высокая. Плоды однородные, цилиндрической формы, зеленого цвета, без горечи. Вкусовые качества высокие. Соотношение длины к ширине 3:2.</t>
  </si>
  <si>
    <t>photos/photo_183@21-10-2020_23-44-37.jpg</t>
  </si>
  <si>
    <t>ПаркерF1</t>
  </si>
  <si>
    <t>ПаркерF1.Известный гибрид голландской селекции  женского типа цветения – лидер по урожайности.Раннеспелый, предназначен для открытого грунта и пленочных тоннелей. Плод среднебугорчатый, длиной 10см, массой 100 г, прекрасно транспортируется. Засолочный, консервный</t>
  </si>
  <si>
    <t>photos/photo_184@21-10-2020_23-53-14.jpg</t>
  </si>
  <si>
    <t>агресор F1</t>
  </si>
  <si>
    <t>Агресор F1</t>
  </si>
  <si>
    <t>Агресор F1.Суперпопулярный в мире позднеспелый гибрид, с округло-плоским кочаном, короткой кочерыгой и хорошей внутренней структурой.  Масса кочанов 3-4 кг. Созревание через 115-120 дней после высадки рассады. Рекомендуется для потребления в свежем виде, переработки.</t>
  </si>
  <si>
    <t>photos/photo_185@24-10-2020_23-35-59.jpg</t>
  </si>
  <si>
    <t>Амагер 611</t>
  </si>
  <si>
    <t>Амагер 611.Сорт позднеспелый, влаголюбивый. Спелость наступает через 120-125 дней после высадки рассады. Кочаны округло-плоские, очень плотные, не растрескиваются. Масса 2,6-3,6 кг. Посев семян на рассаду проводят с 10 апреля, за 40-45 дней до высадки в открытый грунт.</t>
  </si>
  <si>
    <t>photos/photo_186@24-10-2020_23-41-40.jpg</t>
  </si>
  <si>
    <t>Амагер 611. Сорт позднеспелый, влаголюбивый. Спелость наступает через 120-125 дней после высадки рассады. Кочаны округло-плоские, очень плотные, не растрескиваются. Масса 2,6-3,6 кг. Посев семян на рассаду проводят с 10 апреля, за 40-45 дней до высадки в открытый грунт.</t>
  </si>
  <si>
    <t>photos/photo_187@24-10-2020_23-44-41.jpg</t>
  </si>
  <si>
    <t>Дітмаршер Фрюєр</t>
  </si>
  <si>
    <t>Дитмаршер фрюер</t>
  </si>
  <si>
    <t>Дитмаршер фрюер.Раннеспелая, кочаны созревают через 60-65 дней после посадки рассады. Растение невысокое, кочан округлый, массой от 0,9 до 2, 4 кг, розетка листьев мелкая, светло-зеленого цвета, восковый налет слабый. Высевают на рассаду с середины марта.</t>
  </si>
  <si>
    <t>photos/photo_188@25-10-2020_16-07-37.jpg</t>
  </si>
  <si>
    <t>зимівля тисячі чотиреста сімдесят чотири</t>
  </si>
  <si>
    <t>Зимовка 1474</t>
  </si>
  <si>
    <t>Зимовка 1474.Сорт позднеспелый (от всходов до технической спелости 130-150 дней). Кочаны округло-плоские, очень плотные, массой 2,0-3,6 кг. Транспортабельность высокая. Урожайность 5,0-6,0 кг/м2. Отличается высокой лежкостю.</t>
  </si>
  <si>
    <t>photos/photo_189@25-10-2020_16-12-35.jpg</t>
  </si>
  <si>
    <t>Золотий гектар</t>
  </si>
  <si>
    <t>Золотой гектар</t>
  </si>
  <si>
    <t>Золотой гектар.Сорт скороспелый, от полных всходов до начала технической спелости кочанов 90 дней. Предназначен для потребления в свежем виде. Кочан округлый, с выпуклостью кверху, диаметром 19-24 см, массой 1,5-3,5 кг, среднеплотный, на разрезе белый</t>
  </si>
  <si>
    <t>photos/photo_190@25-10-2020_16-14-34.jpg</t>
  </si>
  <si>
    <t>Золотой гектар.Сорт скороспелый, от полных всходов до начала технической спелости кочанов 90 дней. Предназначен для потребления в свежем виде. Кочан округлый, с выпуклостью кверху, диаметром 19-24 см, массой 1,5-3,5 кг, среднеплотный, на разрезе белый.</t>
  </si>
  <si>
    <t>photos/photo_191@25-10-2020_16-17-42.jpg</t>
  </si>
  <si>
    <t>Червнева</t>
  </si>
  <si>
    <t>Июньская</t>
  </si>
  <si>
    <t>Июньская.Сорт ранний. Дружно формирует кочаны, которые можно убирать через 62-67 дней после высадки рассады. Основной урожай отдает за первые два сбора. Растение небольшое, компактное</t>
  </si>
  <si>
    <t>photos/photo_192@25-10-2020_16-23-34.jpg</t>
  </si>
  <si>
    <t>кам'яна голова</t>
  </si>
  <si>
    <t>Каменная голова</t>
  </si>
  <si>
    <t>Каменная голова.Сорт позднеспелый, вегетационный период 130-160 дней. Кочаны большие, массой 3-4 кг, твердые, круглые, исключительно вкусные. Один из лучших сортов для квашения. Лежкость во время зимнего хранения хорошая.</t>
  </si>
  <si>
    <t>photos/photo_193@25-10-2020_18-24-24.jpg</t>
  </si>
  <si>
    <t>photos/photo_194@25-10-2020_18-25-58.jpg</t>
  </si>
  <si>
    <t>Козачок F1</t>
  </si>
  <si>
    <t>Казачок F1</t>
  </si>
  <si>
    <t>Казачок F1.Скороспелый гибрид, от высадки рассады до сбора – 52-57 дней. Кочан округлый, бледно-зеленый, в разрезе – белый, высотой 15,5-17,5см, массой 1,2-1,7кг. Ценность гибрида в значительной выравненности кочанов.</t>
  </si>
  <si>
    <t>photos/photo_195@25-10-2020_18-29-30.jpg</t>
  </si>
  <si>
    <t>КолобокF1</t>
  </si>
  <si>
    <t>КолобокF1.Позднеспелый гибрид, техническая спелость наступает на 150 день после полных всходов. Предназначен для потребления в свежем виде, тушения, квашения и длительного хранения.</t>
  </si>
  <si>
    <t>photos/photo_196@25-10-2020_18-32-33.jpg</t>
  </si>
  <si>
    <t>F1</t>
  </si>
  <si>
    <t xml:space="preserve"> F1</t>
  </si>
  <si>
    <t xml:space="preserve"> F1. Позднеспелый гибрид, техническая спелость наступает на 150 день после полных всходов. Предназначен для потребления в свежем виде, тушения, квашения и длительного хранения.</t>
  </si>
  <si>
    <t>photos/photo_197@25-10-2020_18-46-16.jpg</t>
  </si>
  <si>
    <t>княгиня</t>
  </si>
  <si>
    <t>Княгиня</t>
  </si>
  <si>
    <t>Княгиня.Позднеспелый, лежкий (до лета следующего года) сорт с высоким выходом товарных корнеплодов. Вегетационный период 165-170 дней. Дружно формирует очень плотные кочаны массой 2,5 кг.</t>
  </si>
  <si>
    <t>photos/photo_198@25-10-2020_18-58-49.jpg</t>
  </si>
  <si>
    <t>Лангедейкер</t>
  </si>
  <si>
    <t>Лангедейкер.Сорт позднеспелый, вегетационный период 115-125 дней. Кочаны округлые и короткоовальные, зеленовато-белой окраски, плотные, не растрескиваются. Масса 1,9-4 кг. Урожайность 12 кг/кв.м. Используют в свежем виде и для квашения.</t>
  </si>
  <si>
    <t>photos/photo_199@25-10-2020_19-11-07.jpg</t>
  </si>
  <si>
    <t>photos/photo_200@25-10-2020_19-12-54.jpg</t>
  </si>
  <si>
    <t>Слава1305</t>
  </si>
  <si>
    <t>Слава1305.Среднеспелая. Созревает через 80-90 дней после высадки рассады. Кочаны округлые, крупные, массой 2,4-4,5кг, плотные. Один из наиболее урожайных сортов. Кочаны сохраняются до начала января, рекомендуются для квашения и использования в свежем виде</t>
  </si>
  <si>
    <t>photos/photo_201@25-10-2020_19-18-10.jpg</t>
  </si>
  <si>
    <t>ПарелF1</t>
  </si>
  <si>
    <t>ПарелF1.Сверхранний гибрид для использования в свежем виде. Головка плотная, округлая с коротким кочаном, весом 1 кг. Высокие товарные свойства, рекомендуется для раннего выращивания под пленкой и в открытом грунте.</t>
  </si>
  <si>
    <t>photos/photo_202@25-10-2020_19-31-07.jpg</t>
  </si>
  <si>
    <t>перший урожай</t>
  </si>
  <si>
    <t>Первый урожай</t>
  </si>
  <si>
    <t>Первый урожай.Сверхранняя, период вегетации 60 дней. Кочан округлый, плотный, массой 2,0-2,2 кг, сочный, вкус нежный. Сорт устойчив против растрескивания и болезней. Хорошо хранится, не гниет. Высевают на рассаду с середины марта.</t>
  </si>
  <si>
    <t>photos/photo_203@25-10-2020_19-37-58.jpg</t>
  </si>
  <si>
    <t>Тюркіз</t>
  </si>
  <si>
    <t>Тюркиз</t>
  </si>
  <si>
    <t>Тюркиз.Сорт позднеспелый, спелость наступает на 115-125 дней после высадки рассады. Кочаны округлые и округло-плоские, средней величины, массой 1,5 кг-2,5 кг, очень плотные, склонности к растрескиванию нет.</t>
  </si>
  <si>
    <t>photos/photo_204@25-10-2020_19-45-11.jpg</t>
  </si>
  <si>
    <t>Українська осінь</t>
  </si>
  <si>
    <t>Украинская осень</t>
  </si>
  <si>
    <t>Украинская осень.Сорт поздний. От посадки в грунт до хозяйственной спелости проходит 118-125 дней. Головка тугая, плоскоокруглая, светло-зеленая, весом 1,9-4,2 кг. Урожайность высокая до 12 кг/м кв. Используется для потребления в свежем виде и квашения</t>
  </si>
  <si>
    <t>photos/photo_205@25-10-2020_19-47-48.jpg</t>
  </si>
  <si>
    <t>Украинская осень.Сорт поздний. От посадки в грунт до хозяйственной спелости проходит 118-125 дней. Головка тугая, плоскоокруглая, светло-зеленая, весом 1,9-4,2 кг. Урожайность высокая до 12 кг/м кв. Используется для потребления в свежем виде и квашения.</t>
  </si>
  <si>
    <t>photos/photo_206@25-10-2020_19-49-40.jpg</t>
  </si>
  <si>
    <t>Харківська зимова</t>
  </si>
  <si>
    <t>Харьковская зимняя</t>
  </si>
  <si>
    <t>Харьковская зимняя.Сорт позднеспелый. Созревание кочанов наступает через 122-135 дней после высадки рассады. Кочаны округло-плоские и плосковыпуклые, зеленовато-белые, плотные не растрескиваются, масса 1,9-3,5 кг.</t>
  </si>
  <si>
    <t>photos/photo_207@25-10-2020_21-25-33.jpg</t>
  </si>
  <si>
    <t>літня Альфа</t>
  </si>
  <si>
    <t>Летняя Альфа</t>
  </si>
  <si>
    <t>Летняя Альфа.Очень скороспелый сорт, від сходів до збору 85-95 днів.  Головка округло-плоская, белая, с округло-бугристой поверхностью. Вкусовые качества прекрасные. Для получения ранних урожаев семена высевают на рассаду в марте.</t>
  </si>
  <si>
    <t>photos/photo_209@25-10-2020_21-49-22.jpg</t>
  </si>
  <si>
    <t>Піонер</t>
  </si>
  <si>
    <t>Пионер</t>
  </si>
  <si>
    <t>Пионер. Среднеранняя, от высадки рассады до формирования товарного урожая – 65-72 дня. Растения формируют  плотные головки кремово-белого цвета, диаметром 18-22 см, средней массой 1 кг. Сорт предназначен для выращивания в открытом грунте в весенне-летний и осенний периоды.</t>
  </si>
  <si>
    <t>photos/photo_210@25-10-2020_22-57-04.jpg</t>
  </si>
  <si>
    <t>Мовір 74</t>
  </si>
  <si>
    <t>Мовир 74</t>
  </si>
  <si>
    <t>Мовир 74.Скороспелый сорт, созревает через 70-96 дней после появления всходов. Головка округло-плоская, массой 0,4-1,5 кг, отличных вкусовых качеств. Рекомендуется для потребления в свежем виде и для консервирования.</t>
  </si>
  <si>
    <t>photos/photo_211@25-10-2020_22-58-55.jpg</t>
  </si>
  <si>
    <t>Снігова куля</t>
  </si>
  <si>
    <t>Снежный шар</t>
  </si>
  <si>
    <t>Снежный шар.Очень скороспелый сорт, техническая спелость головок наступает на 85-118 день после всходов. Головка округло-плоская, чисто-белая, с округло-бугристой поверхностью. Вкусовые качества прекрасные.</t>
  </si>
  <si>
    <t>photos/photo_212@25-10-2020_23-00-44.jpg</t>
  </si>
  <si>
    <t>Сноу болл</t>
  </si>
  <si>
    <t>Сноу болл.Среднепоздний сорт. От высадки рассады до технической спелости 95-100 дней. Сорт хорошо подходит для получения урожая в течение длительного периода. Головки белые, плотные массой 1-1,5 кг. Имеет отличные вкусовые качества.</t>
  </si>
  <si>
    <t>photos/photo_213@25-10-2020_23-03-39.jpg</t>
  </si>
  <si>
    <t>Робер</t>
  </si>
  <si>
    <t>Робер.Среднеранний, высокопродуктивный, универсальный сорт. Вегетационный период от высадки рассады – 65-70 дней. Предназначен для выращивания с ранней весны до осени, а также в неотапливаемых теплицах. Головка полувыпуклая, большая, массой 800-1200 г, плотная, белоснежная.</t>
  </si>
  <si>
    <t>photos/photo_214@25-10-2020_23-06-01.jpg</t>
  </si>
  <si>
    <t>Топаз</t>
  </si>
  <si>
    <t>Топаз.Краснкочанная.Раннеспелая, холодостойкая. Период вегетации 95-100 дней. Кочаны округлые, плотные, средней массой 1-1,5 кг, фиолетового цвета. Используют для потребления в свежем виде и переработки.</t>
  </si>
  <si>
    <t>photos/photo_215@25-10-2020_23-09-55.jpg</t>
  </si>
  <si>
    <t>Лангедейкер. Краснокочанная.Сорт урожайный, позднеспелый, хорошо хранится. Предназначен для потребления в свежем виде в салатах. Розетка листьев среднего размера. Кочан овальный, крупный, массой 2-3 кг, очень плотный, фиолетовый.</t>
  </si>
  <si>
    <t>photos/photo_216@25-10-2020_23-13-47.jpg</t>
  </si>
  <si>
    <t>червонокачанна</t>
  </si>
  <si>
    <t>Краснокочанная</t>
  </si>
  <si>
    <t>Краснокочанная.Разновидность кочанной капусты с интенсивной синевато-фиолетовой окраской листьев. Кочаны небольшие, очень плотные и лежкие. Посев семян производят с 15 февраля по 15 апреля на рассаду.</t>
  </si>
  <si>
    <t>photos/photo_217@25-10-2020_23-19-56.jpg</t>
  </si>
  <si>
    <t>брюссельська</t>
  </si>
  <si>
    <t>Брюссельская</t>
  </si>
  <si>
    <t>Брюссельская.Двулетнее растение. В первый год образует стебель высотой 40-60 см. В пазухах листьев развиваются небольшие кочанчики величиной от грецкого ореха до куриного яйца.  Используют в отваренном, жаренном и тушенном видах, как гарнир для вторых блюд, для супа.</t>
  </si>
  <si>
    <t>photos/photo_218@25-10-2020_23-28-36.jpg</t>
  </si>
  <si>
    <t>брюссельська червона</t>
  </si>
  <si>
    <t>Брюссельская красная</t>
  </si>
  <si>
    <t>Брюссельская красная.Период от всходов до начала созревания 150-160 дней. Растения мощные, средней высоты, формируют 30-45 округлых кочанчиков массой 15-17 г. Общая масса кочанчиков с одного растения 650-750 г. Вкус, нежный и пикантный. Отлично подходят для домашней кулинарии и замораживания.</t>
  </si>
  <si>
    <t>photos/photo_219@25-10-2020_23-30-43.jpg</t>
  </si>
  <si>
    <t>брокколі</t>
  </si>
  <si>
    <t>Брокколи</t>
  </si>
  <si>
    <t>Брокколи.Разновидность спаржевой капусты. Образует рыхлую головку темно-зеленого цвета. Отличается высокой питательной ценностью. Используют для приготовления первых и вторых блюд, замораживают, консервируют.</t>
  </si>
  <si>
    <t>photos/photo_220@25-10-2020_23-35-00.jpg</t>
  </si>
  <si>
    <t>кольрабі біла</t>
  </si>
  <si>
    <t>Кольраби белая</t>
  </si>
  <si>
    <t>Кольраби белая.Ценной особенностью кольраби является скороспелость, период вегетации около 60 дней, это наиболее ранний овощ из капустных растений. В пищу употребляется мясистое шарообразное основание стебля, очень нежное и вкусное, содержащее большое количество сахарозы и витаминов.</t>
  </si>
  <si>
    <t>photos/photo_221@25-10-2020_23-37-14.jpg</t>
  </si>
  <si>
    <t>кольрабі Блакитна</t>
  </si>
  <si>
    <t>Кольраби Голубая</t>
  </si>
  <si>
    <t>Кольраби Голубая. Растение холодостойкое, переносит кратковременные заморозки до –4 градусов. Для получения раннего урожая семена на рассаду высевают с 15 марта. В грунт высаживают в конце апреля, не глубоко.</t>
  </si>
  <si>
    <t>photos/photo_222@25-10-2020_23-40-36.jpg</t>
  </si>
  <si>
    <t>кольрабі Гігант</t>
  </si>
  <si>
    <t>Кольраби Гигант</t>
  </si>
  <si>
    <t>Кольраби Гигант.Позднеспелый сорт. Период от всходов до технической спелости 100-120 дней. Плод крупный, округлый, диаметром 15-20см, белесо-зеленой окраски. Мякоть белого цвета, нежная и сочная, хороших вкусовых качеств. Масса продуктивной части 1,5-3кг. Сорт характеризуется высоко урожайностью.</t>
  </si>
  <si>
    <t>photos/photo_223@25-10-2020_23-43-41.jpg</t>
  </si>
  <si>
    <t>Китайська Пак-Чой</t>
  </si>
  <si>
    <t>Китайская Пак-Чой</t>
  </si>
  <si>
    <t>Китайская Пак-Чой. холодостойкий, высокоурожайный, супер ранний (45-50 дней), неприхотливый, очень популярный сорт. Кочан рыхлый- листья нежные, светло-зеленые, черешки белые, упругие, отличного пикантного вкуса. Используется в свежем виде для приготовления витаминных салатов.</t>
  </si>
  <si>
    <t>photos/photo_224@25-10-2020_23-49-05.jpg</t>
  </si>
  <si>
    <t>Пекінська</t>
  </si>
  <si>
    <t>Пекинская</t>
  </si>
  <si>
    <t>Пекинская.Скороспелое, витаминное растение. От массовых всходов до технической спелости 30-50 дней. Кочаны удлиненно-цилиндрические. Пластинки листа по консистенции нежные, жилки сочные, вкус хороший.</t>
  </si>
  <si>
    <t>photos/photo_225@25-10-2020_23-52-44.jpg</t>
  </si>
  <si>
    <t>photos/photo_226@25-10-2020_23-55-40.jpg</t>
  </si>
  <si>
    <t>Свійські</t>
  </si>
  <si>
    <t>Савойская</t>
  </si>
  <si>
    <t>Савойская.Разновидность кочанной капусты с сильнопузырчатыми листьями. Холодостойкое и морозоустойчивое растение. Хорошо хранится. Используют в свежем виде, для квашения, в домашней кулинарии. Блюда из савойской капусты отличаются нежным вкусом.</t>
  </si>
  <si>
    <t>photos/photo_227@25-10-2020_23-57-49.jpg</t>
  </si>
  <si>
    <t>романеско</t>
  </si>
  <si>
    <t>Романеско</t>
  </si>
  <si>
    <t>Романеско.Формирует привлекательную головку, состоящую из маленьких конусов нежно-салатового цвета, весом 1,5-1,7 кг. Для осеннего употребления выращивают посевом в грунт, для раннего - рассадой. После уборки центральной головки хорошо растут боковые.</t>
  </si>
  <si>
    <t>photos/photo_228@26-10-2020_00-00-27.jpg</t>
  </si>
  <si>
    <t>дайкон Міновасі</t>
  </si>
  <si>
    <t>Дайкон Миноваси</t>
  </si>
  <si>
    <t>Дайкон Миноваси.Среднеспелый сорт (период от полных всходов до начала технической спелости 65-70 дней).Корнеплоды длинные – 45-50 цилиндрические с белой кожурой и белой мякотью. Масса корнеплода 1,2-1,5 кг.</t>
  </si>
  <si>
    <t>photos/photo_229@27-10-2020_06-46-10.jpg</t>
  </si>
  <si>
    <t>дайкон Саша</t>
  </si>
  <si>
    <t>Дайкон Саша</t>
  </si>
  <si>
    <t>Дайкон Саша.Дайкон (сладкая редька) создан в Японии, где и занимает первое место по посевной площад  среди овощей. Раннеспелый сорт, вегетационный период - 35-45 дней. Используется в свежем
виде.Дайкон (сладкая редька) создан в Японии, где и занимает первое место по посевной площади</t>
  </si>
  <si>
    <t>photos/photo_230@27-10-2020_06-49-37.jpg</t>
  </si>
  <si>
    <t>белий ікло</t>
  </si>
  <si>
    <t>Белий клык</t>
  </si>
  <si>
    <t>Белий клык.Позднеспелый, период от посева до уборки составляет от 34 до 50 дней. Корнеплод крупныйдлиной 18-20 см, весом до 200 г. Мякоть белая, сочная, слабоострого вкуса, не становится дряблой. Долго не теряет товарный вид.</t>
  </si>
  <si>
    <t>photos/photo_231@27-10-2020_06-55-30.jpg</t>
  </si>
  <si>
    <t>червоне серце</t>
  </si>
  <si>
    <t>Красное сердце</t>
  </si>
  <si>
    <t>Красное сердце. Один из самых оригинальных сортов дайкона. Выведен в Китае. Плоды зеленовато-белые снаружи и красные внутри. Мякоть сочная, отличного полуострого вкуса. Широко используется какжелчегонное средство</t>
  </si>
  <si>
    <t>photos/photo_232@27-10-2020_07-00-17.jpg</t>
  </si>
  <si>
    <t>Редька Чорна зимова</t>
  </si>
  <si>
    <t>Редька Черная зимняя</t>
  </si>
  <si>
    <t>Редька Черная зимняя Среднеспелый, от посева до уборки 75-100 дней. Корнеплод черный, округлый, длиной 9-11 см,массой 240-550 г, с гладкой поверхностью. Мякоть белая, плотная, сочная, остро -сладкого вкуса.</t>
  </si>
  <si>
    <t>photos/photo_233@27-10-2020_07-07-45.jpg</t>
  </si>
  <si>
    <t>Сквирська біла</t>
  </si>
  <si>
    <t>Сквирская  белая</t>
  </si>
  <si>
    <t>Сквирская  белая.Среднеспелый лежкий сорт. К уборке урожая - 90-94 дней. Корнеплод массой до 250 г, мало
погружен в почву. Мякоть белая, плотная, сочная, с умеренно острым вкусом.</t>
  </si>
  <si>
    <t>photos/photo_234@27-10-2020_07-10-47.jpg</t>
  </si>
  <si>
    <t>Червона зимова</t>
  </si>
  <si>
    <t>Красная зимняя</t>
  </si>
  <si>
    <t>Красная зимняя.Среднеспелый сорт.Период вегетации60-80 дней корнеплоды крупные 200-300 гр, Окрас     кожици красный,мякоть белая плотная,сочная.</t>
  </si>
  <si>
    <t>photos/photo_235@27-10-2020_07-21-43.jpg</t>
  </si>
  <si>
    <t>Лобо Лебідка</t>
  </si>
  <si>
    <t>Лобо Лебедка</t>
  </si>
  <si>
    <t>Лобо Лебедка.Сорт ранний, культивируемый в Китае,зелено,белого окраса кожици, масса плода 200-400гр. Мякоть плотная сочная вкусная.</t>
  </si>
  <si>
    <t>photos/photo_237@27-10-2020_07-51-53.jpg</t>
  </si>
  <si>
    <t>Одеська</t>
  </si>
  <si>
    <t>Одесская</t>
  </si>
  <si>
    <t>Одесская.Раннеспелый. Период от посева до уборки 35-45 дней. Корнеплод белый, округлый, длиной 8-см, массой 39-70 г. Поверхность гладкая, мякоть белая, сочная, сладкая, слабоострого вкуса.</t>
  </si>
  <si>
    <t>photos/photo_238@27-10-2020_18-40-35.jpg</t>
  </si>
  <si>
    <t>маргеланская</t>
  </si>
  <si>
    <t>Маргеланская</t>
  </si>
  <si>
    <t>Маргеланская.Сорт раннеспелый, предназначен для летних посевов (июль). Корнеплод с гладкой поверхностью,цилиндр короткий (9-16 см) темно-зеленого цвета с белым кончиком. Лежкость хорошая.</t>
  </si>
  <si>
    <t>photos/photo_239@27-10-2020_18-43-58.jpg</t>
  </si>
  <si>
    <t>Сударушка</t>
  </si>
  <si>
    <t>Сударушка.Раннеспелый сорт, до технической спелости 37 дней. Предназначен для выращивания весной и осенью. Устойчив против стеблевания, долго не дрябнет. Корнеплод белый, округло-овальный,массой 56г, на ½ углублен в грунт. Мякоть нежная, сочная, плотная</t>
  </si>
  <si>
    <t>photos/photo_240@27-10-2020_18-57-54.jpg</t>
  </si>
  <si>
    <t>льодяна бурулька</t>
  </si>
  <si>
    <t>Ледяная сосулька</t>
  </si>
  <si>
    <t>Ледяная сосулька.Среднеспелый сорт, период от всходов до уборки 35-40 дней. Корнеплод белый,длинный,веретеновидный, массой 16-32 г, приподнят над поверхностью почвы. Мякоть белая, сочная,среднеострого вкуса</t>
  </si>
  <si>
    <t>photos/photo_241@27-10-2020_19-02-12.jpg</t>
  </si>
  <si>
    <t>Пролісок</t>
  </si>
  <si>
    <t>Подснежник</t>
  </si>
  <si>
    <t>Подснежник.Раннеспелый сорт. Вегетационный период от всходов до технической спелости 23-28днейКорнеплоды округлой формы, малиново-красной окраски, диаметром 2,5-3см, массой 15-25г,хороших товарных качеств.</t>
  </si>
  <si>
    <t>photos/photo_242@27-10-2020_19-07-43.jpg</t>
  </si>
  <si>
    <t>Сора</t>
  </si>
  <si>
    <t>Сора. Герм.Раннеспелый сорт, устойчивый к высоким температурам и растрескиванию. От всходов до
технической спелости – 16-20 дней. Пригодна для весеннего, летнего и осеннего выращивания.Корнеплоды круглые, диаметром 3-4 см, карминно-красного цвета с белой, нежной мякотью.</t>
  </si>
  <si>
    <t>photos/photo_243@27-10-2020_19-13-04.jpg</t>
  </si>
  <si>
    <t xml:space="preserve">Сора </t>
  </si>
  <si>
    <t>Сора .Украина.Раннеспелый сорт,устойчивый к высоким температурам и растрескиванию. От всходов до технической спелости – 16-20 дней. Пригодна для весеннего, летнего и осеннего выращивания.Корнеплоды круглые, диаметром 3-4 см, карминно-красного цвета.</t>
  </si>
  <si>
    <t>photos/photo_244@27-10-2020_19-15-44.jpg</t>
  </si>
  <si>
    <t>французький сніданок</t>
  </si>
  <si>
    <t>Французский завтрак</t>
  </si>
  <si>
    <t>Французский завтрак Высокоурожайный, ранний сорт для всесезонного выращивания. Вегетационный период: в закрытом грунте - 20-23 дня, в открытом – 23-25 дней. Превосходное качество мякоти, не дрябнет.Высокая товарность. Корнеплод длиной 6-8см, ярко-красного цвета с белым основанием.</t>
  </si>
  <si>
    <t>photos/photo_245@27-10-2020_19-41-46.jpg</t>
  </si>
  <si>
    <t>Червоний з білим кінчиком</t>
  </si>
  <si>
    <t>Красный с белым кончиком</t>
  </si>
  <si>
    <t>Красный с белым кончиком. .Раннеспелый сорт, от посева до уборки около 25 дней. Окраска корнеплода красная с белым
кончиком, форма плоскоокруглая или округлая, длинна 3-4 см. Поверхность гладкая. Мякоть бело-розовая, сочная, плотная, почти без горечи.</t>
  </si>
  <si>
    <t>photos/photo_246@27-10-2020_19-48-42.jpg</t>
  </si>
  <si>
    <t>Красный с белым кончиком.Раннеспелый сорт, от посева до уборки около 25 дней. Окраска корнеплода красная с белым кончиком, форма плоскоокруглая или округлая, длинна 3-4 см. Поверхность гладкая. Мякоть бело-розовая, сочная, плотная, почти без горечи.</t>
  </si>
  <si>
    <t>photos/photo_247@27-10-2020_19-51-41.jpg</t>
  </si>
  <si>
    <t>ранній червоний</t>
  </si>
  <si>
    <t>Ранний красный</t>
  </si>
  <si>
    <t>Ранний красный.Раннеспелый, от полных всходов до первого сбора 24-28 дней. Корнеплод красный, округлый массой 8-14 г, погружен в почву на 2/3, вкусовые качества высокие.   При не продолжительном хранении корнеплоды не теряют товарность.</t>
  </si>
  <si>
    <t>photos/photo_248@27-10-2020_19-55-49.jpg</t>
  </si>
  <si>
    <t>18 днів</t>
  </si>
  <si>
    <t>18 дней</t>
  </si>
  <si>
    <t>18 дней.Самый известный и широко используемый из всех полудлинных редисов. Очень скороспелый,созревает за 18 дней. Красивые корнеплоды имеют неострую, сочную мякоть. Предназна- чен для выращивания в открытом грунте и под плёночными укрытиями.</t>
  </si>
  <si>
    <t>photos/photo_249@27-10-2020_20-03-09.jpg</t>
  </si>
  <si>
    <t>Рубін</t>
  </si>
  <si>
    <t>Рубин</t>
  </si>
  <si>
    <t>Рубин.Сорт раннеспелый, период от посева до уборки 29-31 день. Окраска корнеплода красно-
малиновая, форма округлая или эллиптическая, длиной около 4 см, поверхность гладкая. Мякоть белая или бело-розовая, плотная, сочная, сладкая.</t>
  </si>
  <si>
    <t>photos/photo_251@27-10-2020_20-08-52.jpg</t>
  </si>
  <si>
    <t>Насіння з Голландії</t>
  </si>
  <si>
    <t>Семена из Голландии</t>
  </si>
  <si>
    <t>Семена из Голландии.Редис высевают ранней весной, начиная с середины апреля, в несколько сроков через 10-12 дней,летний посев проводят в конце июля - начале августа для осеннего использования. Посев проводят в бороздки глубиной 2-2,5 см на расстоянии 10-12 см друг от друга. Холодостойкая культура</t>
  </si>
  <si>
    <t>photos/photo_252@27-10-2020_20-13-07.jpg</t>
  </si>
  <si>
    <t>суміш сортів</t>
  </si>
  <si>
    <t>Смесь сортов</t>
  </si>
  <si>
    <t>Смесь сортов. В наборе ,5сортов наипопулярнейших сортов редиса ,дающих возможность попробовать  каждый сорт в отдельности или смешать все сорта в одном блюде. Пикантность гарантирована.</t>
  </si>
  <si>
    <t>photos/photo_253@27-10-2020_20-18-23.jpg</t>
  </si>
  <si>
    <t>редис Злата</t>
  </si>
  <si>
    <t>Редис Злата</t>
  </si>
  <si>
    <t>Редис Злата.Раннеспелый сорт. Вегетационный период от всходов до технической спелости 23-28 дней.
Корнеплоды округлые, золотистой окраски, шероховатые, массой 22-24г, хороших вкусовых качеств. Мякоть белая, нежная, сочная, слабо острого вкуса. Сорт ценится за высокую урожайность</t>
  </si>
  <si>
    <t>photos/photo_254@27-10-2020_20-22-20.jpg</t>
  </si>
  <si>
    <t>Краковянка</t>
  </si>
  <si>
    <t>Краковянка.Сорт раннеспелый, высокоурожайный, пригоден для выращивания в открытом и защищенном грунте. Вегетационный период от посева до сбора – 25-30 дней. Корнеплод красный, округлый с
белым кончиком, массой 5,5-6г. Мякоть белая, иногда слабо-розовая, сочная, сладкая.</t>
  </si>
  <si>
    <t>photos/photo_257@27-10-2020_20-41-56.jpg</t>
  </si>
  <si>
    <t>турнепс</t>
  </si>
  <si>
    <t>Турнепс</t>
  </si>
  <si>
    <t>Турнепс.Холодостойкая кормовая культура, ценная витамином С и углеводами. Дает высокий урожай, хорошо сохраняется в течение осенне-зимнего периода. За короткий период (40-45 дней) формирует урожай,
поэтому можно использовать как после жнивную культуру.</t>
  </si>
  <si>
    <t>photos/photo_258@27-10-2020_20-45-38.jpg</t>
  </si>
  <si>
    <t>ріпа пурпурна</t>
  </si>
  <si>
    <t>Репа пурпурная</t>
  </si>
  <si>
    <t>Репа пурпурная.Ранний (от всходов до уборки 55-65 дней) сорт для выращивания в открытом и защищенном грунте. Корнеплоды округлые, малиново-розовые с белым кончиком, массой 100-120 г, с белой,
плотной, сочной, нежной мякотью, пикантного вкуса и высоким содержанием минеральных
веществ.</t>
  </si>
  <si>
    <t>photos/photo_259@27-10-2020_20-49-17.jpg</t>
  </si>
  <si>
    <t>бруква</t>
  </si>
  <si>
    <t>Брюква</t>
  </si>
  <si>
    <t>Брюква.Период от всходов до технической спелости 90-110 дней. Корнеплоды овальные, массой 350-600г,на треть погружены в почву. Окраска кожицы корнеплодов в верхней части светло-зеленая, в нижней желтая. Мякоть кремово-желтая, нежная и сладкая на вкус.</t>
  </si>
  <si>
    <t>photos/photo_260@27-10-2020_20-52-42.jpg</t>
  </si>
  <si>
    <t>Айвенго</t>
  </si>
  <si>
    <t>Айвенго.Сорт ранний. От всходов до технической спелости – 105-115 дней, до биологической – 125-135 дней. Растение среднерослое, компактное, полуштамбовое. На одном квадратном метре можно расположить 6-8 растений. Плоды конусовидные, 2-3 кам ерные, гладкие, массой 95-140 г</t>
  </si>
  <si>
    <t>photos/photo_261@28-10-2020_18-05-47.jpg</t>
  </si>
  <si>
    <t>Анастасія</t>
  </si>
  <si>
    <t>Анастасия</t>
  </si>
  <si>
    <t>Анастасия.Раннеспелый. Растение компактное. Плоды крупные, массой 180-200г, в биологической спелости - красные. Сорт очень урожайный, по 3-5 кг крупных плодов с куста. Устойчив к стрессам,неблагоприятным условиям, имеет долгосрочное плодоношения.</t>
  </si>
  <si>
    <t>photos/photo_262@28-10-2020_18-08-52.jpg</t>
  </si>
  <si>
    <t>Антей</t>
  </si>
  <si>
    <t>Антей.Сорт среднеспелый. От массовых всходов до технической спелости 125-135 дней, до биологической 145-160 дней. Растение высокорослое, мощное, раскидистое. Плоды очень крупные, конусо-призмоподобные, светло-зеленые в технической спелости и красные в -  биологической, массой 200-300 г</t>
  </si>
  <si>
    <t>photos/photo_263@28-10-2020_18-11-18.jpg</t>
  </si>
  <si>
    <t>Аджика</t>
  </si>
  <si>
    <t>Аджика.Среднеранний сорт, сорт в большинстве случаев выращивают в открытом грунте. Растения этого сорта довольно высокие и мощные, благодаря этому не требуют подвязки к опорам. Плоды конические удлиненные в спелом виде достигают веса 90гр.</t>
  </si>
  <si>
    <t>photos/photo_264@28-10-2020_18-14-40.jpg</t>
  </si>
  <si>
    <t>богатир</t>
  </si>
  <si>
    <t xml:space="preserve">Богатырь </t>
  </si>
  <si>
    <t>Богатырь .Среднеранний сорт для открытого грунта и пленочных теплиц. Растение мощное, раскидистое, высокое. Плоды очень крупные, массой 150-180 г, призмовидной формы, в биологической спелости красного цвета. Толщина стенки 5-5,5 мм. Вкусовые качества хорошие.</t>
  </si>
  <si>
    <t>photos/photo_265@28-10-2020_18-22-12.jpg</t>
  </si>
  <si>
    <t>баранячий ріг</t>
  </si>
  <si>
    <t>Бараний рог</t>
  </si>
  <si>
    <t>Бараний рог.Среднеспелый сорт. Вегетационный период от всходов до биологической спелости 135-150 дней. Куст штамбовый, высотой 40-50см. Плоды удлиненные, длиной 16-20см, диаметром 2,5-3см, массой 30-40г, среднеострого вкуса.</t>
  </si>
  <si>
    <t>photos/photo_267@28-10-2020_19-05-29.jpg</t>
  </si>
  <si>
    <t>Богдан</t>
  </si>
  <si>
    <t>Богдан.Раннеспелый. Растение компактное. Плоды крупные, массой 180-200г, в биологической спелости - желтые, отличного вкуса. Сорт очень урожайный, по 3-5 кг крупных плодов с куста. Устойчив к стрессам, неблагоприятным условиям, имеет долгосрочное плодоношения.</t>
  </si>
  <si>
    <t>photos/photo_268@28-10-2020_19-08-03.jpg</t>
  </si>
  <si>
    <t>Вікінг</t>
  </si>
  <si>
    <t>Викинг</t>
  </si>
  <si>
    <t>Викинг.Раннеспелый сорт для выращивания в открытом грунте и под пленочными укрытиями. Растение средней высоты. Плод  цилиндрический, гладкий, глянцевый, в технической спелости зеленый, в биологической - красный. Число гнезд 3-4. Масса плода 86-105 г</t>
  </si>
  <si>
    <t>photos/photo_269@28-10-2020_19-22-20.jpg</t>
  </si>
  <si>
    <t>каліфорнійське чудо</t>
  </si>
  <si>
    <t>Калифорнийское чудо</t>
  </si>
  <si>
    <t>Калифорнийское чудо. Среднеспелый, высокоурожайный сорт. Для выращивания в пленочных теплицах и открытом грунте. Растения высотой 60-75 см. Плоды мясистые, кубовидной формы с ребристой поверхностью, ярко-красного цвета.</t>
  </si>
  <si>
    <t>photos/photo_270@28-10-2020_19-29-40.jpg</t>
  </si>
  <si>
    <t>Ластівка</t>
  </si>
  <si>
    <t>Ласточка</t>
  </si>
  <si>
    <t>Ласточка.Раннеспелый. Техническая спелость наступает через 120-122 дня после всходов. Растение полураскидистое, штамбовое, среднерослое (45-50 см). Плоды пониклые, конусовидные, длиной 8-10 см, в технической спелости – светло-зеленые, в биологической – красные.</t>
  </si>
  <si>
    <t>photos/photo_271@28-10-2020_19-33-47.jpg</t>
  </si>
  <si>
    <t>Лумина</t>
  </si>
  <si>
    <t>Лумина.Сорт среднеранний. От массовых всходов до технической спелости плодов 118-120, до биологической – 140-143 дня. Растение высотой 40-50 см, компактное. Плоды конусовидные, бело-кремовые в технической спелости, красные в биологической, ароматные. Масса плода 95-140 г.</t>
  </si>
  <si>
    <t>photos/photo_272@28-10-2020_19-36-01.jpg</t>
  </si>
  <si>
    <t>Обрій</t>
  </si>
  <si>
    <t>Обрий</t>
  </si>
  <si>
    <t>Обрий.Раннеспелый сорт. Вегетационный период до биологической спелости 100-120 дней. Куст штамбовый, высотой 40-65см. Плоды округлой формы, ребристые, массой 100-150г, в биологической спелости красного цвета. Толщина стенки плода 6-10мм. Мякоть нежная.</t>
  </si>
  <si>
    <t>photos/photo_273@28-10-2020_19-38-09.jpg</t>
  </si>
  <si>
    <t>О так</t>
  </si>
  <si>
    <t xml:space="preserve">Ода </t>
  </si>
  <si>
    <t>Ода .Раннеспелый сорт  открытого  и закрытого грунта,темно фиолетового цвета Толстостенный,сладкий,с длинным периодом плодонношения ,масса плода 160-190гр Красив и вкусен.</t>
  </si>
  <si>
    <t>photos/photo_274@28-10-2020_19-47-34.jpg</t>
  </si>
  <si>
    <t>ПАЛАНСЬКЕ Бабура</t>
  </si>
  <si>
    <t>Паланская бабура</t>
  </si>
  <si>
    <t>Паланская бабура.Новый раннеспелый сорт. Один из лучших высокоурожайных сортов сладкого перца. Растение раскидистое, штамбовое, среднеоблиственное, высотой до 50 см. Плоды крупные, толстостенные (6-8 мм), призматической формы, в технической спелости - ярко-желтые, в биологической - красные.</t>
  </si>
  <si>
    <t>photos/photo_275@28-10-2020_19-51-20.jpg</t>
  </si>
  <si>
    <t>Гриль стручок</t>
  </si>
  <si>
    <t>Грыль стручок</t>
  </si>
  <si>
    <t>Грыль стручок. Перец для гриля.Ранньостиглий сорт для вирощування у відкритому ґрунті, до технічної стиглості 105-108 днів. Кущ висотою 40-60 сантиметрів. Плід конусоподібний, вузький, масою 80-90 грам, у фазі б��ологічної стиглості - багряно-червоного кольору, з товщиною стінок 5-6 міліметрів. М'якоть соковита, солодка, без гіркоти, дуже духмяний,</t>
  </si>
  <si>
    <t>photos/photo_276@28-10-2020_19-58-18.jpg</t>
  </si>
  <si>
    <t>Перець для гриля Гриль -Стручок</t>
  </si>
  <si>
    <t>Перец для гриля Гриль -Стручок</t>
  </si>
  <si>
    <t>Перец для гриля Гриль -Стручок.Раннеспелый сорт для выращивания в открытом грунте, до технической спелости 105-108 дней. Куст высотой 40-60 сантиметров. Плод конусовидный, узкий, массой 80-90 грамм, в фазе биологической спелости - багрово-красного цвета, с толщиной стенок 5-6 миллиметров. Мякоть сочная, сладкая, без горечи, очень душистый,</t>
  </si>
  <si>
    <t>подарунок Молдови</t>
  </si>
  <si>
    <t>Подарок Молдовы</t>
  </si>
  <si>
    <t>Подарок Молдовы.Растение полураскидистое, низкорослое, высотой 35-45 см. Плоды пониклые, конуовидные, длиной 9-10 см, массой 50-80 г, толщина стенок 4-5 мм. Вкусовые качества хорошие. В биологической спелости темно-красного цвета. Устойчив к болезням. Универсального использования.</t>
  </si>
  <si>
    <t>photos/photo_278@28-10-2020_20-03-01.jpg</t>
  </si>
  <si>
    <t>Ратунда</t>
  </si>
  <si>
    <t>Ратунда.Раннеспелый. Растение компактное, низкорослое высотой 25-30 см. Светолюбив, засухоустойчив. Плоды округлые, в биологической спелости темно-красные, длиной около 6 см, толстостенные (толщина стенок 7-10 мм), массой 102-167 г. Вкусовые качества отличные.</t>
  </si>
  <si>
    <t>photos/photo_279@28-10-2020_20-08-05.jpg</t>
  </si>
  <si>
    <t>Ожаровський</t>
  </si>
  <si>
    <t>Ожаровский</t>
  </si>
  <si>
    <t>Ожаровский.Один из наилучших польских среднеранних сортов. Пригоден для выращивания в теплицах.  Растения имеют буйный рост, требуют пасынкования и подвязывании. Завязывает плоды даже при недостаточном освещении и пониженной температуре. Плоды крупные по мере созревания меняют окраску с темнозеленого на темно красный.</t>
  </si>
  <si>
    <t>photos/photo_280@28-10-2020_20-14-31.jpg</t>
  </si>
  <si>
    <t>Український гіркий</t>
  </si>
  <si>
    <t>Украинский горький</t>
  </si>
  <si>
    <t>Украинский горький. Среднеспелый, плоды конусовидные, гладкие, красные, глянцевые. Мякоть тонкая, на вкус острая. Используют в домашней кулинарии, для изготовления настоек, масел. Теплолюбивая культура. Выращивают с использованием рассады.</t>
  </si>
  <si>
    <t>photos/photo_281@28-10-2020_20-23-56.jpg</t>
  </si>
  <si>
    <t>Комнатный.В горшечной культуре перец можно выращивать 2-3 года до истощения растения и получать свежие плоды круглый год. Посев семян для комнатной культуры можно проводить в любое время года, но лучше всего весной. В зимнее время растение следует размещать ближе к свету и беречь от холода.</t>
  </si>
  <si>
    <t>photos/photo_282@28-10-2020_20-31-56.jpg</t>
  </si>
  <si>
    <t>алмаз</t>
  </si>
  <si>
    <t>Алмаз</t>
  </si>
  <si>
    <t>Алмаз.Один из лучших среднеспелых сортов. Растение с компактным расположением плодов в нижней части. Плоды цилиндрические, темно-фиолетовые. Мякоть зеленоватая, плотная, без горечи, отличного вкуса. Выращивают с использованием рассады, которую подготавливают в течение 50-60 дней.</t>
  </si>
  <si>
    <t>photos/photo_284@28-10-2020_22-52-30.jpg</t>
  </si>
  <si>
    <t>баклажан 02</t>
  </si>
  <si>
    <t>Баклажан 02</t>
  </si>
  <si>
    <t>Баклажан 02.Выращивают с использованием рассады, которую подготавливают в течение 50-60 дней. Посев проводят в феврале-марте в ящики, затем сеянцы пикируют (4х4 см), а через три недели пересаживают в горшочки или в парник.</t>
  </si>
  <si>
    <t>photos/photo_285@28-10-2020_23-01-53.jpg</t>
  </si>
  <si>
    <t>Геліос</t>
  </si>
  <si>
    <t>Гелиос</t>
  </si>
  <si>
    <t>Гелиос.Среднеранний сорт. Техническая спелость плодов наступает через 100-116 дней после всходов. Растение компактное, высотой 40-58 см. Плоды округлой формы, фиолетовые, массой 150-200 г. Мякоть белая, плотная, без горечи. Урожайность высокая.</t>
  </si>
  <si>
    <t>photos/photo_286@28-10-2020_23-06-07.jpg</t>
  </si>
  <si>
    <t>Донецький Урожайний</t>
  </si>
  <si>
    <t>Донецкий Урожайный</t>
  </si>
  <si>
    <t>Донецкий Урожайный.Раннеспе-лый сорт, вегетационный период от массовых всходов до первого сбора 120 дней. Куст компактный,плоды темно фиолетовые ,удлиненные 280-350гр,сорт ,устой к жаре.Без горечи.</t>
  </si>
  <si>
    <t>photos/photo_287@28-10-2020_23-09-57.jpg</t>
  </si>
  <si>
    <t>чорний красень</t>
  </si>
  <si>
    <t>Черный красавец</t>
  </si>
  <si>
    <t>Черный красавец.Сорт среднеранний, в плодоношение вступает на 120-140 день. Высота растения 60-75
см. Плод цилиндрический, длиной 10-12 см, фиолетово-черный, массой 100-150 г. Мякоть без горечи беловато зеленого цвета.</t>
  </si>
  <si>
    <t>photos/photo_288@28-10-2020_23-21-21.jpg</t>
  </si>
  <si>
    <t>ультраранній</t>
  </si>
  <si>
    <t>Ультраранний</t>
  </si>
  <si>
    <t>Ультраранний.Сверхранний. Вегетационный период 80-100 дней. Универсальный. Устойчив против основных болезней.
Лежкий. Транспортабельный. Плод грушевидный, массой 120-140 г. Урожайность 25-30 т/га. Вкусовые
качества высокие.</t>
  </si>
  <si>
    <t>photos/photo_289@28-10-2020_23-26-28.jpg</t>
  </si>
  <si>
    <t>бегемот F1</t>
  </si>
  <si>
    <t>Бегемот F1</t>
  </si>
  <si>
    <t>Бегемот F1.Среднеспелый (100-110 дней от всходов до плодоношения) высокорослый (0,7-1,5 м в пленочных теплицах, до 2,5 м в остекленных теплицах) гибрид для пленочных и остекленных теплиц и открытого грунта.</t>
  </si>
  <si>
    <t>photos/photo_290@28-10-2020_23-32-01.jpg</t>
  </si>
  <si>
    <t>Цибуля</t>
  </si>
  <si>
    <t>Лук</t>
  </si>
  <si>
    <t>Лук. Белая   королева. Великолепный среднеспелый сорт лука итальянской селекции. Формирует красивые, крупные луковицы, весом 120-150 г, полуострого вкуса. Наружные и внутренние чешуйки белоснежные, луковицы плотные, выровненные, сочные. Прекрасные вкусовые качества.</t>
  </si>
  <si>
    <t>photos/photo_291@29-10-2020_20-40-24.jpg</t>
  </si>
  <si>
    <t>лук Стерлінг</t>
  </si>
  <si>
    <t xml:space="preserve">Лук Стерлинг </t>
  </si>
  <si>
    <t>Лук Стерлинг . Италия. Среднеспелый сорт , масса 100-120гр, полу-острый, салатного типа, лежкий траспортабельный, предназначен для открытого грунта.</t>
  </si>
  <si>
    <t>photos/photo_293@29-10-2020_21-03-33.jpg</t>
  </si>
  <si>
    <t>Веселка</t>
  </si>
  <si>
    <t>Веселка.Раннеспелый полуострый сорт. Выращивается из семян в однолетней культуре. Луковица округлая или овально-округлая, массой 100 – 150 г. Внешние чешуйки фиолетово-красного цвета. Сорт относительно устойчив к пероноспорозу.</t>
  </si>
  <si>
    <t>photos/photo_294@29-10-2020_21-07-24.jpg</t>
  </si>
  <si>
    <t>Вольський</t>
  </si>
  <si>
    <t>Вольский</t>
  </si>
  <si>
    <t>Вольский. Польша..Позднеспелый, полуострый, универсального использования, пригоден для длительного хранения. От всходов до технической зрелости – 125-140 дней. Луковицы шаровидные, с тонкой шейкой, массой 90-160г. Сорт относительно устойчив к ложной мучнистой росе.</t>
  </si>
  <si>
    <t>photos/photo_295@29-10-2020_21-09-12.jpg</t>
  </si>
  <si>
    <t>Глобус</t>
  </si>
  <si>
    <t>Глобус.Острый универсальный среднеспелый сорт. Вегетационный период 92-94 дня. Внешние чешуи коричневого или светло-коричневого цвета. Внутри чешуи сочные, белые. Луковица округлая или удлиненно-округлая весом 75-90г. Может выращиваться из семян в однолетней культуре, а также из севка.</t>
  </si>
  <si>
    <t>photos/photo_296@29-10-2020_21-17-29.jpg</t>
  </si>
  <si>
    <t>Донецька золотиста</t>
  </si>
  <si>
    <t>Донецкая золотистая</t>
  </si>
  <si>
    <t>Донецкая золотистая..Среднеспелый сорт. Выращивают в однолетней культуре из семян. Малогнездный, луковица округло-плоская, плотная, массой 60-80 г, Сухие чешуи желтые и золотисто-желтые, сочные - белые. Урожайность 2,3-3,9 кг\кв.м. Лежкость хорошая.</t>
  </si>
  <si>
    <t>photos/photo_297@29-10-2020_21-19-16.jpg</t>
  </si>
  <si>
    <t>Каратальского</t>
  </si>
  <si>
    <t>Каратальский</t>
  </si>
  <si>
    <t>Каратальский.Раннеспелый, урожайный. Выращивают в однолетней культуре из семян. Луковица плотная, округлая. Сухие чешуи золотисто-желтые, сочные – белые. Масса луковицы 50-120 г. Вкус полуострый. Вызреваемость перед уборкой 97%. Лежкость 80 %.</t>
  </si>
  <si>
    <t>photos/photo_298@29-10-2020_21-22-07.jpg</t>
  </si>
  <si>
    <t>Луганський</t>
  </si>
  <si>
    <t>Луганский</t>
  </si>
  <si>
    <t>Луганский.Сорт позднеспелый, урожайный. Выращивают в однолетней культуре из семян. Вкус промежуточный между острым и полуострым. Луковица округлая, округло-плоская и овальная. Сухие чешуи желтые с коричневым оттенком, сочные – белые. Масса луковицы 71-146 г</t>
  </si>
  <si>
    <t>photos/photo_299@29-10-2020_21-24-31.jpg</t>
  </si>
  <si>
    <t>Любчик</t>
  </si>
  <si>
    <t>Любчик.Одни из лучших общепризнанных сортов в мире. Раннеспелый, от посева до созревания – 120 дней. Луковицы крупные, плотные, плоскоокруглые. Масса луковицы 50,0-94 г. Окраска сухих чешуй желто-коричневого цвета. Вкус пикантный.</t>
  </si>
  <si>
    <t>photos/photo_300@29-10-2020_21-27-36.jpg</t>
  </si>
  <si>
    <t>Марковський</t>
  </si>
  <si>
    <t>Марковский</t>
  </si>
  <si>
    <t>Марковский.Сорт среднеспелый, полуострый, урожайный, отлично хранится. Может выращиваться из семян в однолетней культуре, а также из севка. Лук следует выращивать на плодородных, хорошо обработанных, легких, имеющих нейтральную реакцию почвах,полуострый ,масса120-130гр  лежкий.</t>
  </si>
  <si>
    <t>photos/photo_301@29-10-2020_21-30-36.jpg</t>
  </si>
  <si>
    <t>ред барон</t>
  </si>
  <si>
    <t>Ред барон</t>
  </si>
  <si>
    <t>Ред барон.Несмотря на относительную раннеспелость, прекрасно сохраняется. Луковицы среднего размера, массой 50-120 г, плотные, привлекательного красного цвета, который остается на луковице и не «окрашивает» ни нож, ни компоненты салата. Обладает прекрасными вкусовыми качествами.</t>
  </si>
  <si>
    <t>photos/photo_302@29-10-2020_21-32-41.jpg</t>
  </si>
  <si>
    <t>Рубин.Деликатесный, скороспелый, урожайный сорт. До технической спелости - 72-85 дней. Луковица полуострая, округлая, одногнездная, массой 60-80 г. Сухие чешуи розово-фиолетовые, сочные, белые с розовым эпидермисом. Хорошо вызревает во всех зонах Украины.</t>
  </si>
  <si>
    <t>photos/photo_303@29-10-2020_21-34-23.jpg</t>
  </si>
  <si>
    <t>Стригуновский</t>
  </si>
  <si>
    <t>Стригуновский.Раннеспелый, урожайный. Выращивают в однолетней культуре из семян. Луковица плотная, округлая с небольшим сбегом вверх и вниз. Сухие чешуи желтые, сочные – белые. Масса луковицы 45-80 г. Вызреваемость перед уборкой 97%. Лежкость хорошая. Вкус острый.</t>
  </si>
  <si>
    <t>photos/photo_304@29-10-2020_21-36-37.jpg</t>
  </si>
  <si>
    <t>халцедон</t>
  </si>
  <si>
    <t>Халцедон</t>
  </si>
  <si>
    <t>Халцедон.Луковица крупная, круглая, золотистого цвета, имеет чудесный товарный вид. Урожайность 700 ц/га. Хранится 12 месяцев, вкусовые качества высокие.</t>
  </si>
  <si>
    <t>photos/photo_305@29-10-2020_21-39-14.jpg</t>
  </si>
  <si>
    <t>Чорнушка</t>
  </si>
  <si>
    <t>Чернушка</t>
  </si>
  <si>
    <t>Чернушка.Выращивание репчатого лука через севок. При этом способе репку получают на второй год, а в первый год выращивают севок — мелкий однолетний лук, высевают в апреле после оттаивания почвы на грядах шириной 1 м, в бороздки, сделанные на расстоянии 10-12 см. Норма высева 9-10 г на 1 м кв</t>
  </si>
  <si>
    <t>photos/photo_306@29-10-2020_21-42-20.jpg</t>
  </si>
  <si>
    <t>Ялтинський</t>
  </si>
  <si>
    <t>Ялтинский</t>
  </si>
  <si>
    <t>Ялтинский.Сорт позднеспелый, вегетационный период 138-150 дней, период хранения 120 дней. Луковицы крупные, фиолетовые, средней массой 154г. Вкус сладкий со слабоострым привкусом. Лук следует выращивать на плодородных, хорошо обработанных, легких, имеющих нейтральную реакцию почвах</t>
  </si>
  <si>
    <t>photos/photo_307@29-10-2020_21-46-38.jpg</t>
  </si>
  <si>
    <t>Лук на зелень Ельвіра</t>
  </si>
  <si>
    <t>Лук на зелень Эльвира</t>
  </si>
  <si>
    <t>Лук на зелень Эльвира. Очень ранняя первая весенняя зелень при посадке под зиму,нежные ,полуострие перья содержат кладезь витаминов. При посадке весной нуждается в усиленном поливе.</t>
  </si>
  <si>
    <t>photos/photo_308@29-10-2020_22-10-17.jpg</t>
  </si>
  <si>
    <t>Лук на зелень озимий</t>
  </si>
  <si>
    <t>Лук на зелень озимый</t>
  </si>
  <si>
    <t>Лук на зелень озимый. Больше всего оправдывают затраты подзимние посадки ,но возможна посадка весенняя.</t>
  </si>
  <si>
    <t>photos/photo_309@29-10-2020_22-12-55.jpg</t>
  </si>
  <si>
    <t>шніт</t>
  </si>
  <si>
    <t>Шнит</t>
  </si>
  <si>
    <t>Шнит.Ценится, как растение, дающее витаминную зелень круглый год. Его листья нежные, слабоострые и ароматные. Многолетнее растение, дающее хороший урожай на одном участке в течении 5 лет, быстро отрастает ранней весной и дает большую зеленую массу.</t>
  </si>
  <si>
    <t>photos/photo_310@29-10-2020_22-16-26.jpg</t>
  </si>
  <si>
    <t>порей</t>
  </si>
  <si>
    <t>Порей</t>
  </si>
  <si>
    <t>Порей.Двулетнее растение. В первый год у него образуется зеленый листья и утолщенный белый стебель (длиной 15-60 см и диаметром 5-7 см), который и является основной съедобной частью растения.</t>
  </si>
  <si>
    <t>photos/photo_311@29-10-2020_22-18-01.jpg</t>
  </si>
  <si>
    <t>батун</t>
  </si>
  <si>
    <t>Батун</t>
  </si>
  <si>
    <t>Батун.Многолетнее, зимостойкое растение, которую используют на зелень. На одном месте растет 5-7 лет. Листья нежные, острые на вкус. В период вегетации, по мере отрастания, можно срезать листья несколько раз. Светолюбивое растение, не выносит затенения.</t>
  </si>
  <si>
    <t>photos/photo_312@29-10-2020_22-22-12.jpg</t>
  </si>
  <si>
    <t>Амстердамська</t>
  </si>
  <si>
    <t>Амстердамская</t>
  </si>
  <si>
    <t>Амстердамская.Раннеспелая, пригодна для выращивания под пленкой и на пучковую продукцию. От массовых всходов до технической спелости – 70-90 дней. Корнеплод длиной 17-19 см, цилиндрический, оранжевого цвета с высоким содержанием каротина</t>
  </si>
  <si>
    <t>photos/photo_313@29-10-2020_22-35-41.jpg</t>
  </si>
  <si>
    <t>Артек</t>
  </si>
  <si>
    <t>Артек.Раннеспелый. Период от посева до уборки 80-100 дней, а при выращивании на пучковый товар спелость наступает на 67-75 день. Поверхность корнеплода и мякоти оранжево-красная, форма утолщенно-цилиндрическая</t>
  </si>
  <si>
    <t>photos/photo_314@29-10-2020_22-38-05.jpg</t>
  </si>
  <si>
    <t>Оленка</t>
  </si>
  <si>
    <t>Аленка</t>
  </si>
  <si>
    <t>Аленка.Сорт раннеспелый. Пучковая спелость наступает на 47-49-й, техническая - на 85-100-й день после появления всходов. Урожайность 40-75 кг/м2. Корнеплод оранжевый, по форме срезано-конический, тупоконечный, длиной 10-12см.</t>
  </si>
  <si>
    <t>photos/photo_315@29-10-2020_22-41-02.jpg</t>
  </si>
  <si>
    <t>Болтекс</t>
  </si>
  <si>
    <t>Болтекс. Усовершенствованный сорт типа Шантане среднепозднего срока созревания. Вегетационный период от всходов до сбора урожая - 120-125 дней. Корнеплоды конической формы, гладкие, насыщенного оранжевого цвета, длиной 10-15 см, весом 200-350 г.</t>
  </si>
  <si>
    <t>photos/photo_316@29-10-2020_22-51-20.jpg</t>
  </si>
  <si>
    <t>Віта Лонга</t>
  </si>
  <si>
    <t>Вита Лонга</t>
  </si>
  <si>
    <t>Вита Лонга. Германия.Среднепоздняя, вегетационный период 115-130 дней. Корнеплоды конической формы, гладкие, ровные, темно-оранжевые, обладают высокой товарностью, длина 20-30 см, масса до 350 г. Отличные вкусовые качества.</t>
  </si>
  <si>
    <t>photos/photo_317@29-10-2020_22-54-45.jpg</t>
  </si>
  <si>
    <t>вітамінна 6</t>
  </si>
  <si>
    <t>Витаминная 6</t>
  </si>
  <si>
    <t>Витаминная 6.Сорт среднеспелый. Период от посева до уборки 80-100 дней, а при выращивании на пучковый товар спелость наступает на 67-75 день. Корнеплод утолщено-цилиндрический, со слабым сбегом к основанию, длиной 15 см,  массой 72-132 г, оранжево-красный.</t>
  </si>
  <si>
    <t>photos/photo_318@29-10-2020_22-56-21.jpg</t>
  </si>
  <si>
    <t>каротель</t>
  </si>
  <si>
    <t>Каротель</t>
  </si>
  <si>
    <t>Каротель.Сорт среднеспелый. Вегетационный период 100-110 дней от всходов до технической спелости. Пригоден для ранневесеннего и подзимнего посева. Корнеплод интенсивно-оранжевый, мякоть сочная, вкусная. Используют для прямого потребления, переработки, хранения.</t>
  </si>
  <si>
    <t>photos/photo_319@29-10-2020_23-00-25.jpg</t>
  </si>
  <si>
    <t>Корал</t>
  </si>
  <si>
    <t>Корал. Польша.Позднеспелая, предназначена для длительного хранения. Вегетационный период от посева до технической спелости – 140-150 дней. Корнеплоды темно-оранжевые, цилиндрической или слабо конической формы, длиной 18-20 см, массой 140-160 г, ровные</t>
  </si>
  <si>
    <t>photos/photo_320@29-10-2020_23-02-27.jpg</t>
  </si>
  <si>
    <t>Королева осені</t>
  </si>
  <si>
    <t>Королева осени</t>
  </si>
  <si>
    <t>Королева осени.Позднеспелый, высокоурожайный сорт. Вегетационный период 120-130 дней. Корнеплод цилиндрический, тупоконечный, оранжево-красный, диаметром 5 см и длиной 20-25см. Масса корнеплода до 220 г. Мякоть и сердцевина корнеплода нежная, сочная.</t>
  </si>
  <si>
    <t>photos/photo_321@29-10-2020_23-04-13.jpg</t>
  </si>
  <si>
    <t>беладона</t>
  </si>
  <si>
    <t>Красавка</t>
  </si>
  <si>
    <t>Красавка.Новый сверхранний высокопродуктивный сорт. Вегетационный период 70-85 дней после появления всходов. Корнеплоды имеют коническую форму, почти одинакового диаметра по всей длине. Длина корнеплода 17-19см. Окраска мякоти и сердцевины интенсивно-оранжевая, что создаёт видимость отсутствия сердцевины.</t>
  </si>
  <si>
    <t>photos/photo_322@29-10-2020_23-10-14.jpg</t>
  </si>
  <si>
    <t>Московська зимова</t>
  </si>
  <si>
    <t>Московская зимняя</t>
  </si>
  <si>
    <t>Московская зимняя. Высокоурожайный среднепоздний сорт. Один из лучших сортов для зимнего хранения. Корнеплоды гладкие, удлиненно-конической формы, длинной 15-18см, с  тупым концом, оранжево-красные, практически без сердцевины. Масса корнеплодов 130-150г.</t>
  </si>
  <si>
    <t>photos/photo_323@29-10-2020_23-12-57.jpg</t>
  </si>
  <si>
    <t>Нантская</t>
  </si>
  <si>
    <t>Нантская.Сорт среднеспелый. Период от посева до уборки 83-112 дней. Корнеплод цилиндрической формы, тупоконечный, длиной 16 см, диаметром 4,4 см, массой 92-161г, приподнят над поверхностью почвы, выдергивается легко. Мякоть и сердцевина оранжевые. Вкусовые качества хорошие.</t>
  </si>
  <si>
    <t>photos/photo_324@29-10-2020_23-15-35.jpg</t>
  </si>
  <si>
    <t>Червона без серцевини</t>
  </si>
  <si>
    <t>Красная без сердцевины</t>
  </si>
  <si>
    <t>Красная без сердцевины.Сорт среднеранний. Корнеплоды цилиндрические, тупоконечные, массой 130-210г, длиной 19-21см. Мякоть красно-оранжевая, сочная, нежная, сладкая. Сорт отличается превосходной лежкостю корнеплодов.</t>
  </si>
  <si>
    <t>photos/photo_325@29-10-2020_23-19-39.jpg</t>
  </si>
  <si>
    <t>Ням ням</t>
  </si>
  <si>
    <t>Ням-ням</t>
  </si>
  <si>
    <t>Ням-ням.Ранний отличный сорт. Пригоден для использования в свежем виде и для консервирования. Корнеплоды крупные, без сердцевины, цилиндрической формы, ярко-красной окраски, длинной 15см.  Сорт очень сладкий, с большим содержанием каротина, лежкий.</t>
  </si>
  <si>
    <t>photos/photo_326@29-10-2020_23-23-26.jpg</t>
  </si>
  <si>
    <t>Шантане</t>
  </si>
  <si>
    <t>Шантане.Сорт среднеранний. Период от посева до уборки 69-121 день. Форма – коническая, тупо конечная, длина 15 см, диаметр 5,8 см. Погружен в почву полностью, хорошо выдергивается. Корнеплоды крупные, массой 74-252 г. Вкусовые качества высокие.</t>
  </si>
  <si>
    <t>photos/photo_327@29-10-2020_23-27-57.jpg</t>
  </si>
  <si>
    <t>цариця полів</t>
  </si>
  <si>
    <t>Царица полей</t>
  </si>
  <si>
    <t>Царица полей.Позднеспелый сорт. Пригодна для использования в свежем виде и для консервирования. Корнеплоды крупные, цилиндрической формы, ярко-оранжевой окраски, длиной 18-20см, лежкие. Пригодны для зимнего хранения. Не требователен к почве, не растрескивается.</t>
  </si>
  <si>
    <t>photos/photo_328@29-10-2020_23-33-19.jpg</t>
  </si>
  <si>
    <t>Червона Бояриня</t>
  </si>
  <si>
    <t>Красная бояриня</t>
  </si>
  <si>
    <t>Красная бояриня.Новый, среднепоздний сорт моркови немецкой селекции. Период вегетации 125-140 дней. Корнеплоды цилиндрические, длиной 19-22 см, оранжевого  цвета, отличаются сочностью и отменным вкусом. Замечательный сорт для потребления в свежем виде, переработки и хранения.</t>
  </si>
  <si>
    <t>photos/photo_329@29-10-2020_23-36-15.jpg</t>
  </si>
  <si>
    <t>Лакомка</t>
  </si>
  <si>
    <t>Лакомка.Новый, ультраскороспелый сорт (период  от полных всходов до технической спелости 65-75 дней). Корнеплоды цилиндрические, выравненные, длиной 16-18 см, ярко-оранжевые, с маленькой сердцевиной, очень нежной и сочной мякотью, отменного вкуса.</t>
  </si>
  <si>
    <t>photos/photo_330@29-10-2020_23-38-40.jpg</t>
  </si>
  <si>
    <t>червоний велетень</t>
  </si>
  <si>
    <t>Красный великан</t>
  </si>
  <si>
    <t>Красный великан Высокоурожайный среднепоздний сорт для длительного хранения. Вегетационный период 115-130 дней. Корнеплоды гладкие, ровные, темно-красные, длиной 20-30 см и массой до 350 г. Сорт ценится за высокое содержание каротина и витаминов.</t>
  </si>
  <si>
    <t>photos/photo_331@29-10-2020_23-44-37.jpg</t>
  </si>
  <si>
    <t>Бордо 237</t>
  </si>
  <si>
    <t>Бордо 237.Сорт среднеспелый. Период от посева до уборки 69-123 дня. Корнеплоды округлые, мякоть интенсивно темно-красная. В почву погружен на ½-1/3 высоты. Масса товарного корнеплода 232-450 г. Вкусовые качества высокие. Сорт жаростойкий, устойчив к цветению.</t>
  </si>
  <si>
    <t>photos/photo_332@02-11-2020_13-56-56.jpg</t>
  </si>
  <si>
    <t>Бордо Харківська</t>
  </si>
  <si>
    <t>Бордо Харьковская</t>
  </si>
  <si>
    <t>Бордо Харьковская.Урожайный среднеспелый сорт, созревание корнеплодов 105-115 дней. Корнеплод шаровидный, наполовину углубленный в почву, легко вырывается. Мякоть фиолетово-бордовая, не имеет белых прожилок, нежная, сочная, сладкая. Масса корнеплода 230-350 г.</t>
  </si>
  <si>
    <t>photos/photo_334@02-11-2020_14-15-51.jpg</t>
  </si>
  <si>
    <t>Кубанскаяборщевая43</t>
  </si>
  <si>
    <t>Кубанскаяборщевая43. Познеспелый, темно красный без прожилок масса до 500гр , хранится отлично.</t>
  </si>
  <si>
    <t>photos/photo_335@02-11-2020_14-44-03.jpg</t>
  </si>
  <si>
    <t>Борщова</t>
  </si>
  <si>
    <t>Борщевая</t>
  </si>
  <si>
    <t>Борщевая.Ранне-спелый сорт, транспортабелен .Сеют в апреле-мае, на глубину 2-4 см, рядовым способом, с расстоянием между рядами 30 см. Уборку для хранения проводят в середине сентября.</t>
  </si>
  <si>
    <t>photos/photo_336@02-11-2020_14-56-44.jpg</t>
  </si>
  <si>
    <t>Болівар</t>
  </si>
  <si>
    <t>Боливар</t>
  </si>
  <si>
    <t>Боливар.Вегетационный период 90 дней. Крупные корнеплоды округлой формы. Мякоть равномерного темно-красного цвета, без концентрических колец. Малая ботва. Вертикальное расположение листьев облегчает сбор урожая. Пригоден для использования в свежем виде, хранения и переработки.</t>
  </si>
  <si>
    <t>photos/photo_337@02-11-2020_15-05-43.jpg</t>
  </si>
  <si>
    <t>350 вінегретних</t>
  </si>
  <si>
    <t>350 Винегретный</t>
  </si>
  <si>
    <t>350 Винегретный.Раннеспелый сорт столовой свеклы (период от всходов до технической спелости 94-120 дней), засухоустойчивый. Корнеплоды округлые и округло-плоские, массой 232—513 г, хорошего вкуса и хорошей лёжкости, мякоть интенсивного тёмно-красного цвета.</t>
  </si>
  <si>
    <t>photos/photo_338@02-11-2020_15-08-23.jpg</t>
  </si>
  <si>
    <t>вінегретних мармеладка</t>
  </si>
  <si>
    <t>Винегретная мармеладка</t>
  </si>
  <si>
    <t>Винегретная мармеладка.Среднепоздний сорт столовой свеклы (период от всходов до технической спелости 94-120 дней), засухоустойчивый. Корнеплоды округлые и округло-плоские, массой 232—513 г, хорошего вкуса, сладкие и хорошей лёжкости.</t>
  </si>
  <si>
    <t>photos/photo_339@02-11-2020_15-18-03.jpg</t>
  </si>
  <si>
    <t>делікатесна</t>
  </si>
  <si>
    <t>Деликатесная</t>
  </si>
  <si>
    <t>Деликатесная.Среднеспелый сорт с отличными вкусовыми качествами. От массовых всходов до технической спелости 110-115 дней. Корнеплод округлый с гладкой поверхностью. Мякоть темно-красная, нежная, сочная, сладкая. Сорт устойчив к  и цветению.</t>
  </si>
  <si>
    <t>photos/photo_340@02-11-2020_16-37-53.jpg</t>
  </si>
  <si>
    <t>Дейтройт</t>
  </si>
  <si>
    <t>Дейтройт. Америк. Самый распространенный сорт столовой свеклы. Среднепоздний, от всходов до уборки – 100-110 дней. Формирует круглые, очень красивые корнеплоды с гладкой кожицей и небольшой розеткой листьев, массой  176-187 г. Мякоть без колец, темно-красного цвета.</t>
  </si>
  <si>
    <t>photos/photo_341@02-11-2020_16-39-42.jpg</t>
  </si>
  <si>
    <t>Єгипетська плоска</t>
  </si>
  <si>
    <t>Египетская плоская</t>
  </si>
  <si>
    <t>Египетская плоская.Скороспелый, засухоустойчивый сорт, обладающий хорошими вкусовыми качествами. Высокоурожайный. Корнеплоды плоские, мякоть тёмно-красная с фиолетовым оттенком, сочные и вкусные, массой до 350г, формируются на поверхности грунта.</t>
  </si>
  <si>
    <t>photos/photo_342@02-11-2020_16-43-28.jpg</t>
  </si>
  <si>
    <t>кардинал</t>
  </si>
  <si>
    <t>Кардинал</t>
  </si>
  <si>
    <t>Кардинал.Среднеспелый, высокоурожайный сорт свеклы столовой. Вегетационный период от посева семян до сбора урожая – 80-120 дней. Корнеплод красного цвета с бордовым оттенком, круглой формы, без ярко выраженных концентрических колец. Вкусовые качества высокие.</t>
  </si>
  <si>
    <t>photos/photo_343@02-11-2020_16-48-01.jpg</t>
  </si>
  <si>
    <t>кедр</t>
  </si>
  <si>
    <t>Кедри</t>
  </si>
  <si>
    <t>Кедри.Среднеспелый высокоурожайный сорт, который является усовершенствованием известного сорта Цилиндра. Вегетационный период составляет 95-120 дней. Корнеплоды цилиндрической формы, темно-красного цвета с бордовым оттенком.</t>
  </si>
  <si>
    <t>photos/photo_344@02-11-2020_17-06-06.jpg</t>
  </si>
  <si>
    <t>Кросбі</t>
  </si>
  <si>
    <t>Кросби</t>
  </si>
  <si>
    <t>Кросби.Сорт раннеспелый, высокоурожайный. Великолепные шаровидные, гладкие, сочные и вкусные корнеплоды имеют красивый темный цвет мякоти, быстро варятся. Используют для ранней пучковой продукции и на хранение.</t>
  </si>
  <si>
    <t>photos/photo_345@02-11-2020_17-15-33.jpg</t>
  </si>
  <si>
    <t>негритянка</t>
  </si>
  <si>
    <t>Негритянка</t>
  </si>
  <si>
    <t>Негритянка.Позднеспелая.  Вегетационный период  от восхода до технической спелости 100-120 дней. Корнеплод выровненный округлый, гладкий массой  450-700 г. Мякоть темно-красная,  без видимых колец. Этот сорт ценится за стабильную урожайность,</t>
  </si>
  <si>
    <t>photos/photo_346@02-11-2020_17-24-40.jpg</t>
  </si>
  <si>
    <t>Носівський плоский</t>
  </si>
  <si>
    <t>Носовская плоская</t>
  </si>
  <si>
    <t>Носовская плоская.Сорт скороспелый. Период от посева до уборки 87-123 дня. Корнеплоды плоские. Массой 206-450 г. Кожица темно-красная, мякоть темно-фиолетовая, сочная, отличного вкуса. Лежкость при хранении хорошая. Сорт устойчив к болезням.</t>
  </si>
  <si>
    <t>photos/photo_347@02-11-2020_17-31-51.jpg</t>
  </si>
  <si>
    <t>Опольська</t>
  </si>
  <si>
    <t>Опольская</t>
  </si>
  <si>
    <t>Опольская.Среднеспелый сорт, вегетационный период 110-120 дней. Корнеплоды цилиндрической формы. Мякоть интенсивно темно-красная с высокими вкусовыми качествами. Высокоурожайная. Лежкость хорошая. Предназначен для переработки, консервирования порезанным на ломтики, квашения.</t>
  </si>
  <si>
    <t>photos/photo_348@02-11-2020_17-33-41.jpg</t>
  </si>
  <si>
    <t>Красний куля</t>
  </si>
  <si>
    <t>Красний шар</t>
  </si>
  <si>
    <t>Красний шар.Сорт среднеспелый, период от посева до уборки – 95-105 дней. Корнеплоды округлые, массой 250-400 г. Мякоть темно-красная, сочная. Используют для хранения, консервирования, квашения.</t>
  </si>
  <si>
    <t>photos/photo_349@02-11-2020_17-36-20.jpg</t>
  </si>
  <si>
    <t>Рівал</t>
  </si>
  <si>
    <t>Ривал</t>
  </si>
  <si>
    <t>Ривал.Сорт среднеранний. Корнеплод цилиндрический, мякоть темно-красная, с оттенком бордо, без колец, нежная, сочная. Вкусовые качества высокие. Урожайный, с высоким выходом товарных корнеплодов. Лежкость хорошая.</t>
  </si>
  <si>
    <t>photos/photo_350@02-11-2020_17-38-21.jpg</t>
  </si>
  <si>
    <t>мулатка</t>
  </si>
  <si>
    <t>Мулатка</t>
  </si>
  <si>
    <t>Мулатка.Новый среднеспелый сорт столовой свеклы (от всходов до уборки урожая 120-130 дней) рекомендованный для зимнего хранения и использования в кулинарии. Корнеплоды округлой формы, выравненные, гладкие, темно-бордового цвета, массой 160-360 г.</t>
  </si>
  <si>
    <t>photos/photo_351@02-11-2020_17-41-10.jpg</t>
  </si>
  <si>
    <t>Пабло F1</t>
  </si>
  <si>
    <t>Пабло F1. Голландия.Современный, среднеранний гибрид (78 дней от полных всходов до технической спелости) с отличными показателями на любых типах почв. Отличается идеальным сочетанием формы корнеплода и окраски в разрезе. Мякоть нежная, сочная, темно-бордового цвета, без колец. Масса корнеплода 110-180 г.</t>
  </si>
  <si>
    <t>photos/photo_352@02-11-2020_17-44-02.jpg</t>
  </si>
  <si>
    <t>циліндра</t>
  </si>
  <si>
    <t>Цилиндра</t>
  </si>
  <si>
    <t>Цилиндра.Среднеспелый сорт, период вегетации 110-120 дней. Плод цилиндрический, массой 180-350 г. Мякоть интенсивно-красная, сочная, нежная, отличного вкуса, особенно для винегретов Используют для потребления в свежем виде, переработки и хранения.</t>
  </si>
  <si>
    <t>photos/photo_353@02-11-2020_17-54-29.jpg</t>
  </si>
  <si>
    <t>photos/photo_354@02-11-2020_17-56-56.jpg</t>
  </si>
  <si>
    <t>Київська рожева</t>
  </si>
  <si>
    <t>Киевская розовая</t>
  </si>
  <si>
    <t>Киевская розовая.Популярный среднеспелый сорт кормовой свеклы польской селекции , Высоко урожайна  и засухоустойчива, многоростковый куст формирует овально-цилиндрической формы корнеплод без боковых отростков, который погружен в почву на 40 %</t>
  </si>
  <si>
    <t>photos/photo_355@02-11-2020_18-01-02.jpg</t>
  </si>
  <si>
    <t>Урсус Полі</t>
  </si>
  <si>
    <t>Урсус Поли</t>
  </si>
  <si>
    <t>Урсус Поли. Польша.Сорт кормовой свеклы польской селекции, корнеплод цилиндрической формы, желтого цвета, незначительно загрязнены землей, погружен в почву на 40 %, легко собираются вручную. Поверхность корнеплода гладкая, мякоть - белая, слегка кремовая, сочная. Хорошо хранится.</t>
  </si>
  <si>
    <t>photos/photo_356@02-11-2020_18-12-24.jpg</t>
  </si>
  <si>
    <t>Екендорфская жовта</t>
  </si>
  <si>
    <t>Экендорфская желтая</t>
  </si>
  <si>
    <t>Экендорфская желтая.Кормовой ,сорт достаточно урожайный длительного хранения,популярный,среднеспелый Устойчивый  к болезням</t>
  </si>
  <si>
    <t>photos/photo_357@02-11-2020_21-02-05.jpg</t>
  </si>
  <si>
    <t>цукрова</t>
  </si>
  <si>
    <t>Сахарная</t>
  </si>
  <si>
    <t>Сахарная. Корнеплодное растение, возделывается в основном для получения сахара, но может также возделываться для корма животным. В первый год растение формирует розетку прикорневых листьев и утолщённый мясистый корнеплод, в котором содержание сахарозы обычно от 8 до 20 %</t>
  </si>
  <si>
    <t>photos/photo_358@02-11-2020_21-24-51.jpg</t>
  </si>
  <si>
    <t>Астраханський</t>
  </si>
  <si>
    <t>Астраханский</t>
  </si>
  <si>
    <t>Астраханский.Среднеспелый, вегетационный период 85-90 дней. Относительно устойчив к фузариозу.
Плод гладкий, рисунок – широкие темно-зеленые полосы, фон светло-зеленый. Мякоть
карминно-красная, зернистая, высокой сладости и сочности.</t>
  </si>
  <si>
    <t>photos/photo_359@02-11-2020_21-29-16.jpg</t>
  </si>
  <si>
    <t>Бінго</t>
  </si>
  <si>
    <t>Бинго</t>
  </si>
  <si>
    <t>Бинго.Крупноплодный и очень вкусный высокоурожайный сорт.
Плод, округлый, массой 8 — 12 кг.
Поверхность гладкая, светло-зеленая, с едва заметными зелёными пятнами.
Мякоть тёмно-красная, нежная, зернистая, очень сочная и сладкая.</t>
  </si>
  <si>
    <t>photos/photo_360@02-11-2020_21-35-42.jpg</t>
  </si>
  <si>
    <t>Борчанський</t>
  </si>
  <si>
    <t>Борчанский</t>
  </si>
  <si>
    <t>Борчанский. Раннеспелый сорт. Предназначен для возделывания в открытом и защищенном грунте.
Плоды среднего размера, массой 2,5-3кг, округлые, зеленые, с темно-зелеными шиповатыми полосками. Мякоть нежная зернистая, сочная, карминно-красная, сладкая.</t>
  </si>
  <si>
    <t>photos/photo_361@02-11-2020_21-39-26.jpg</t>
  </si>
  <si>
    <t>княжич</t>
  </si>
  <si>
    <t>Княжич</t>
  </si>
  <si>
    <t>Княжич.Раннеспелый сорт. Плод округлый или овальный, светло-зеленый с темно-зелеными
шиповатыми полосками, массой 5,9 кг. Мякоть нежная, малиновая, зернистая, сочная,очень сладкая. Семена мелкие, коричневые с черными точками.</t>
  </si>
  <si>
    <t>photos/photo_363@02-11-2020_21-44-25.jpg</t>
  </si>
  <si>
    <t>Княжич. Раннеспелый сорт. Плод округлый или овальный, светло-зеленый с темно-зелеными
шиповатыми полосками, массой 5,9 кг. Мякоть нежная, малиновая, зернистая, сочная,очень сладкая. Семена мелкие, коричневые с черными точками.</t>
  </si>
  <si>
    <t>photos/photo_364@02-11-2020_21-48-33.jpg</t>
  </si>
  <si>
    <t>Каховський</t>
  </si>
  <si>
    <t>Каховский</t>
  </si>
  <si>
    <t>Каховский. Сорт раннеспелый, от всходов до начала созревания плодов 67-70 дней.  Плоды
шарообразной формы, гладенькие, цвет плодов зеленый, рисунок - темно-зеленые полосы.Кора средней толщины (9,0-12,0 мм) редко до 15,0 мм. Мякоть красного цвета, зернистая,</t>
  </si>
  <si>
    <t>photos/photo_365@02-11-2020_21-53-06.jpg</t>
  </si>
  <si>
    <t>Кримсон світ</t>
  </si>
  <si>
    <t>Крымсон свит</t>
  </si>
  <si>
    <t>Крымсон свит.Лидер рынка по раннеспелости (60-65 дней). Высокопродуктивный. Пригоден для выращивания в открытом грунте и под пленкой. Дает стабильный урожай даже в засушливых условиях. Плоды округлой формы, полосатые, средней массой 7-9 кг,</t>
  </si>
  <si>
    <t>photos/photo_366@02-11-2020_22-05-54.jpg</t>
  </si>
  <si>
    <t>Мелітопольський</t>
  </si>
  <si>
    <t>Мелитопольский</t>
  </si>
  <si>
    <t>Мелитопольский.Сорт среднеспелый - 80-105 дней. Плод тупо-элипсовидный, зеленый с темно-зелеными
шиповатыми полосами, мякоть интенсивно-розовая или малиновая, сочная, сладкая.Урожайность 2,2-3,2 кг/ кв.м, средняя масса плода 4-12 кг</t>
  </si>
  <si>
    <t>photos/photo_367@02-11-2020_22-08-33.jpg</t>
  </si>
  <si>
    <t>вогник</t>
  </si>
  <si>
    <t>Огонек</t>
  </si>
  <si>
    <t>Огонек.Скороспелый, вегетационный период 65-75 дней. Плоды шаровидные с гладкой
поверхностью, черно-зеленого цвета. Кора тонкая. Мякоть ярко-красная, зернистая,сочная, сладкая. Семена мелкие, коричневые.</t>
  </si>
  <si>
    <t>photos/photo_368@02-11-2020_22-14-59.jpg</t>
  </si>
  <si>
    <t>Північне сяйво</t>
  </si>
  <si>
    <t xml:space="preserve"> Северное   сияние</t>
  </si>
  <si>
    <t xml:space="preserve"> Северное   сияние. Ультраскороспелый, предназначен для выращивания рассадным и безрассадным способом, удается получить высокий урожай даже в северных и западнях областях Украины.</t>
  </si>
  <si>
    <t>photos/photo_370@02-11-2020_22-23-41.jpg</t>
  </si>
  <si>
    <t>Роза південного сходу</t>
  </si>
  <si>
    <t>Роза юго-востока</t>
  </si>
  <si>
    <t>Роза юго-востока.Сорт среднеспелый - 76-90 дней. Плод шаровидный, светло-зеленый с широкими темно-зелеными размытыми полосами, мякоть карминно-красная, зернистая. Урожайность 2,0-
2,8 кг/ кв.м. Средняя масса плода 1,5-3,0 кг. Вкусовые качества хорошие,</t>
  </si>
  <si>
    <t>photos/photo_371@02-11-2020_22-27-09.jpg</t>
  </si>
  <si>
    <t>цукровий малюк</t>
  </si>
  <si>
    <t>Сахарный малыш</t>
  </si>
  <si>
    <t>Сахарный малыш.Сверхранний, высокопродуктивный, имеет отличные вкусовые и товарные качества.Подходит для открытого грунта и пленочных укрытий. Растение мощное, характеризуется быстрым созреванием плодов. Плоды округлой формы, весом 4-6кг, однородные, темно-зеленые. Мякоть ярко-красная.</t>
  </si>
  <si>
    <t>photos/photo_372@02-11-2020_22-30-58.jpg</t>
  </si>
  <si>
    <t>Таврійський</t>
  </si>
  <si>
    <t>Таврийский</t>
  </si>
  <si>
    <t>Таврийский.Среднеспелый крупноплодный сорт, является национальным стандартом Украины. Плоды массой 10-15 кг, тупоэллептические. Мякоть малиновая, зернистая, не ослизняется, а усыхает, очень сладкая. Семена белые, среднего размера. Сорт отличается очень хорошими вкусовыми качествами плодов .</t>
  </si>
  <si>
    <t>photos/photo_373@02-11-2020_22-35-40.jpg</t>
  </si>
  <si>
    <t>Чарльстон грей</t>
  </si>
  <si>
    <t>Чарльстон грей.Среднеспелый сорт. Вегетационный период от всходов до технической спелости 75-95дней. Мякоть хрустящая, темно-красная, без прожилок, очень сладкая, сочная и
ароматная. Плоды крупные, светло-зеленого цвета с темно-зелеными прожилками,овальной формы, массой 10-12 кг.</t>
  </si>
  <si>
    <t>photos/photo_374@02-11-2020_22-48-22.jpg</t>
  </si>
  <si>
    <t>холодок</t>
  </si>
  <si>
    <t>Холодок</t>
  </si>
  <si>
    <t>Холодок.Среднепоздний сорт, очень лежкий и транспортабельный. Растение мощное,длинноплетистое. Плод удлиненно-шаровидный, крупный. Мякоть интенсивно-красная, с розовым оттенком, зернистая, нежная, сладкая, сочная. Хранится до Нового года.</t>
  </si>
  <si>
    <t>photos/photo_375@02-11-2020_22-56-04.jpg</t>
  </si>
  <si>
    <t>Шіроненскій</t>
  </si>
  <si>
    <t>Широненский</t>
  </si>
  <si>
    <t>Широненский.Раннеспелый, транспортабельный, пригоден для одноразовых сборов, лежкий.
Вегетационный период 84 дня. Плод округлый, гладкий, массой 2,7-2,8 кг. Рисунок в виде салатных полосок со слабым восковым налетом, без сетки. Мякоть розово-малиновая,</t>
  </si>
  <si>
    <t>photos/photo_376@02-11-2020_23-06-26.jpg</t>
  </si>
  <si>
    <t>Ярило</t>
  </si>
  <si>
    <t>Ярыло</t>
  </si>
  <si>
    <t>Ярыло.Сорт раннеспелый, от всходов до первого сбора 65-75 дней. Относительно устойчив к
фузариозному увяданию, бактериозу, антракнозу. Плоды шаровидные, гладкие с темно-зеленой окраской фона и еле заметными рисунками. Мякоть карминно-красная, сочная,</t>
  </si>
  <si>
    <t>photos/photo_377@02-11-2020_23-13-59.jpg</t>
  </si>
  <si>
    <t>Алушта</t>
  </si>
  <si>
    <t>Алушта.Сорт ранний, устойчивый к воздушной и грунтовой засухе, транспортабельный. До сбора 77 дней. Плод овальный, массой 1,8-2кг, поверхность слабо бугристая, желтая. Мякоть белая, толстая, маслянистая, нежная, сладкая, сочная, з дынным ароматом. Устойчив к антракнозу, мучнистой и серой гнили.</t>
  </si>
  <si>
    <t>photos/photo_378@04-11-2020_09-49-43.jpg</t>
  </si>
  <si>
    <t>ананас</t>
  </si>
  <si>
    <t>Ананас</t>
  </si>
  <si>
    <t>Ананас.Среднеспелый сорт. Вегетационный период от всходов до технической спелости 75-95 дней.Плоды овальной формы, оранжевого цвета с сеткой на кожуре, длиной 14-16см, массой 2-2,5кг.Мякоть белая, сочная, маслянистая и ароматная, по вкусу напоминает ананас.</t>
  </si>
  <si>
    <t>photos/photo_379@04-11-2020_10-03-18.jpg</t>
  </si>
  <si>
    <t>Амал F1</t>
  </si>
  <si>
    <t>Амал F1.Раннеспелый гибрид дыни Ананасного сортотипа. Форма плода овальная, масса 1,8-2 кг, с крупной, ярко выраженной  сеткой на кожице. Мякоть белоснежная. Традиционный для данного типа вкус и запах. Гибрид устойчив к фузариозу, сухой гнили и ложной мучнистой росе.</t>
  </si>
  <si>
    <t>photos/photo_380@04-11-2020_10-09-34.jpg</t>
  </si>
  <si>
    <t>Берегиня</t>
  </si>
  <si>
    <t>Берегиня.Раннеспелый (74-92 дня), высокопродуктивный сорт. Плоды короткоовальные или шаровидные, желто-оранжевого цвета, массой 2,5-3кг, отдельные до 5кг. Кожица сетчатая, мякоть сочная, сладкая, очень ароматная.</t>
  </si>
  <si>
    <t>photos/photo_381@04-11-2020_10-36-45.jpg</t>
  </si>
  <si>
    <t>Дубівка</t>
  </si>
  <si>
    <t>Дубовка</t>
  </si>
  <si>
    <t>Дубовка.Среднеспелый сорт. Плоды крупные, округло-овальные, светло-желтые или желтые. При дозревании весь плод покрыт мелкой сеткой. Мякоть твердая, очень сладкая, сочная, ароматная. Теплолюбивое,
жаростойкое и засухоустойчивое растение.</t>
  </si>
  <si>
    <t>photos/photo_382@04-11-2020_10-43-38.jpg</t>
  </si>
  <si>
    <t>золотиста</t>
  </si>
  <si>
    <t>Золотистая</t>
  </si>
  <si>
    <t>Золотистая.Раннеспелый, высокоурожайный (2-2,5 кг с кв.м) сорт. От массовых всходов до первого сбора 80-85 дней.Плоды округлые, крупные и средние, желто-оранжевые в сетке. Мякоть белая, толстая, нежная, сладкая,высоких вкусовых качеств. Транспортабельность хорошая.</t>
  </si>
  <si>
    <t>photos/photo_383@04-11-2020_10-46-43.jpg</t>
  </si>
  <si>
    <t>інею</t>
  </si>
  <si>
    <t>Инея</t>
  </si>
  <si>
    <t>Инея.Сорт раннеспелый, урожайный. Вегетационный период 75-90 дней. Плоды овальные, хорошего товарного вида,крупные, желтые, в сетке. Мякоть толстая, белая, нежная, тающая, очень сладкая.</t>
  </si>
  <si>
    <t>photos/photo_385@04-11-2020_11-00-42.jpg</t>
  </si>
  <si>
    <t>Козачка 244</t>
  </si>
  <si>
    <t>Казачка 244</t>
  </si>
  <si>
    <t>Казачка 244.Среднеспелый сорт, длинноплетистый. Период от всходов до начала технической спелости 95 дней.Плод гладкий, массой 1,2-1,8 кг. Мякоть белая и бледно-зеленая, плотная, сладкая, хрустящая.</t>
  </si>
  <si>
    <t>photos/photo_386@04-11-2020_11-06-22.jpg</t>
  </si>
  <si>
    <t>колгоспниця</t>
  </si>
  <si>
    <t>Колхозница</t>
  </si>
  <si>
    <t>Колхозница.Раннеспелая, приносит обильный урожай и всегда хорошо плодоносит. Вегетационный период 80 дней. Плоды округлые, гладкие, с сеткой на кожуре. Мякоть мясистая, белая, сочная, маслянистая и очень ароматная.</t>
  </si>
  <si>
    <t>photos/photo_387@04-11-2020_11-10-00.jpg</t>
  </si>
  <si>
    <t>Криничанка</t>
  </si>
  <si>
    <t>Криничанка.Сверхранний, устойчивый к недостатку тепла и солнечного освещения. До дозревания 70 дней. Плод овальный, большой, массой 2-2,4кг.</t>
  </si>
  <si>
    <t>photos/photo_388@04-11-2020_11-12-31.jpg</t>
  </si>
  <si>
    <t>Леся</t>
  </si>
  <si>
    <t>Леся.Сорт раннеспелый, сетчатого типа, предназначен для выращивания в открытом грунте. Плоды овальные,массой 1,3-2,3 кг, кожица сетчатая, тонкая, желто-оранжевая. Мякоть белая, сочная, очень ароматная, с
высоким содержанием сахара, высоких вкусовых качеств.</t>
  </si>
  <si>
    <t>photos/photo_389@04-11-2020_11-16-03.jpg</t>
  </si>
  <si>
    <t>медовий аромат</t>
  </si>
  <si>
    <t>Медовый аромат</t>
  </si>
  <si>
    <t>Медовый аромат.Средне-ранний сорт голландской селекции. Растение средней силы роста. Плоды округлые с сетчатой кожурой, желто-коричневой окраски привлекательного внешнего вида, массой 1-1,2 кг. Мякоть сочная, нежная, оранжевого цвета, с сильным ароматом. Вкусовые качества отличные.</t>
  </si>
  <si>
    <t>photos/photo_390@04-11-2020_11-19-56.jpg</t>
  </si>
  <si>
    <t>Титовка</t>
  </si>
  <si>
    <t>Титовка.Ультрараннеспелый, холодостойкий сорт. В южных районах Украины поспевает на 55-65 день после всходов, а в западных областях – на 75-85 день. Плод короткоовальный, средней массой 1,5-3 кг. Кожица желто-оранжевая, тонкая.</t>
  </si>
  <si>
    <t>photos/photo_391@04-11-2020_11-26-10.jpg</t>
  </si>
  <si>
    <t>Ефіопка</t>
  </si>
  <si>
    <t>Ефиопка</t>
  </si>
  <si>
    <t>Ефиопка. Середньоранній сорт. Дозріває через 70-80 днів після появи сходів. Рослини компактні,потужні. Плоди овально-округлі, середні, великі і дуже великі. Маса плодів від 3,0 до 7,0</t>
  </si>
  <si>
    <t>photos/photo_392@04-11-2020_11-29-48.jpg</t>
  </si>
  <si>
    <t>Придністровська</t>
  </si>
  <si>
    <t>Приднестровская</t>
  </si>
  <si>
    <t>Приднестровская.Раннеспелая, от всходов до первого сбора 70-75 дней. Плод овальный, массой 0,7-1,8кг. Поверхность гладкая,
желтая, сетка густая. Мякоть белая, толстая, хрустящая, сочная, сладкая. Аромат густой. Устойчив к мучнистой росе и бактериозу.</t>
  </si>
  <si>
    <t>photos/photo_393@04-11-2020_11-55-16.jpg</t>
  </si>
  <si>
    <t>рання 133</t>
  </si>
  <si>
    <t>Ранняя 133</t>
  </si>
  <si>
    <t>Ранняя 133.Сорт раннеспелый, урожайный (до 2кг с 1кв.м). Вегетационный период 75-80дней. Плоды хорошего товарного вида, округло-овальные, крупные, желтые, в сетке. Мякоть белая, толстая, рассыпчато-плотная, нежная,
сладкая, хорошего вкуса. Транспортабельный.</t>
  </si>
  <si>
    <t>photos/photo_400@04-11-2020_12-51-42.jpg</t>
  </si>
  <si>
    <t>Волзька сіра 92</t>
  </si>
  <si>
    <t>Волжская серая 92</t>
  </si>
  <si>
    <t>Волжская серая 92.Среднеспелый сорт, от всходов до начала уборки 102-121 день. Плод массой 6-9кг, сплюснутой формы, светло-серой окраски, мякоть кремово-желтая, приятнийя вкус Сорт засухоустойчив, отличается хорошей лежкостью.</t>
  </si>
  <si>
    <t>photos/photo_394@04-11-2020_12-11-56.jpg</t>
  </si>
  <si>
    <t>Гілея</t>
  </si>
  <si>
    <t>Гилея</t>
  </si>
  <si>
    <t>Гилея.Мускатный, скороспелый, высокоурожайный сорт, вегетационный период 110 дней. Плод шаровидный или овальный, массой 6-9 кг. Содержит большое количество каротина и пектина. Мякоть очень сладкая, ярко-красного цвета. Отсутствует темно-зеленый слой под коркой.</t>
  </si>
  <si>
    <t>photos/photo_395@04-11-2020_12-15-17.jpg</t>
  </si>
  <si>
    <t>Мигдальний 35</t>
  </si>
  <si>
    <t>Миндальная 35</t>
  </si>
  <si>
    <t>Миндальная 35.Растения длинноплетистые, мощные. Урожай до 4,4 кг/кв.м. Особенности агротехники: для открытого грунта. Сроки созревания: среднеспелый, от всходов до технической спелости проходит 110-120 дней.Плоды гладкие или слабо ребристие массой до 3,8-5 кг</t>
  </si>
  <si>
    <t>photos/photo_396@04-11-2020_12-18-00.jpg</t>
  </si>
  <si>
    <t>Мускат де Прованс</t>
  </si>
  <si>
    <t>Мускат де Прованс. .Высокоурожайный среднеспелый (110-115 дней) сорт тыквы. Растение мощное, формирует большие, красно-оранжевые, округло-приплюснутые плоды с сегментированной поверхностью. Мякоть ярко оранжевая, плотнаяс высоким содержанием сахара.</t>
  </si>
  <si>
    <t>photos/photo_397@04-11-2020_12-26-31.jpg</t>
  </si>
  <si>
    <t>голонасінних</t>
  </si>
  <si>
    <t xml:space="preserve"> Голосеменная</t>
  </si>
  <si>
    <t xml:space="preserve"> Голосеменная.Сорт среднеспелый, теплолюбивый. Стебель длинный, стелющийся, сильноразветвленный. Женского типа цветения. Плоды высоких вкусовых качеств. Мякоть ярко-желтая, сладкая. Употребляют в свежем виде,изготавливают соки, варят, тушат, пекут.</t>
  </si>
  <si>
    <t>photos/photo_398@04-11-2020_12-30-08.jpg</t>
  </si>
  <si>
    <t>Українська багатоплідна</t>
  </si>
  <si>
    <t>Украинская многоплодная</t>
  </si>
  <si>
    <t>Украинская многоплодная.Сорт раннеспелый, теплолюбивый. От посева до сбора плодов – 88-92 дня. Стебель длинный, стелющийся, до
10 м длиной. Женского типа цветения. Плоды высоких вкусовых качеств Мякоть желтая сладкая.Употребляют в свежем виде, изготавливают соки, варят, тушат, пекут.</t>
  </si>
  <si>
    <t>photos/photo_399@04-11-2020_12-35-42.jpg</t>
  </si>
  <si>
    <t>Арабатськая</t>
  </si>
  <si>
    <t>Арабатськая. Сорт столового назначения, мускатного типа.  Плоды удлиненно-цилиндрические, с утолщением возле основы, средней массой 5-9 кг, длиной 56 см и диаметром 13-14 см. Мякоть плотная, толстая, ярко-оранжевая, сочная, сладкая. Поздняя, длинноплетистая, транспортабельная, лежкая.</t>
  </si>
  <si>
    <t>photos/photo_401@07-11-2020_18-46-13.jpg</t>
  </si>
  <si>
    <t>аеронавт</t>
  </si>
  <si>
    <t>Аэронавт</t>
  </si>
  <si>
    <t>Аэронавт.Сорт раннеспелый, в плодоношение вступает на 46 день. Растение кустовое, компактное, плетей мало, главный побег короткий. Плод цилиндрический, гладкий, темно-зеленый, массой 1,3 кг. Кора тонкая. Мякоть белая, плотная, нежная, сочная, вкусная.</t>
  </si>
  <si>
    <t>photos/photo_402@07-11-2020_19-04-38.jpg</t>
  </si>
  <si>
    <t>Анаконда</t>
  </si>
  <si>
    <t>Анаконда. Смесь четырех самых лучших  сортов кабачка, раннеспелых,кустовых с одинаковыми сроками созревания.</t>
  </si>
  <si>
    <t>photos/photo_403@07-11-2020_19-09-23.jpg</t>
  </si>
  <si>
    <t>Белоплодний</t>
  </si>
  <si>
    <t>Белоплодный</t>
  </si>
  <si>
    <t>Белоплодный.Раннеспелый, очень высокоурожайный сорт. Растение кустовое, с большим количеством женских цветков, что обеспечивает большую отдачу урожая. Плод цилиндрический, с небольшим сужением к плодоножке, беловатый, массой 0,6-0,9 кг. Мякоть белая или светло-кремовая, средней плотности.</t>
  </si>
  <si>
    <t>photos/photo_404@07-11-2020_19-17-01.jpg</t>
  </si>
  <si>
    <t>Вайт-Буш F1</t>
  </si>
  <si>
    <t>Вайт-Буш F1.Раннеспелый сорт зарубежной селекции. В плодоношение вступает на 40-45 день. Растение кустовое, плоды белые мякоть бело-кремовая, плотная, сочная, вкусная. Урожайность более 12 кг м2. Транспортабельность хорошая. Созревшие плоды хорошо сохраняются.</t>
  </si>
  <si>
    <t>photos/photo_405@07-11-2020_19-21-29.jpg</t>
  </si>
  <si>
    <t>Грибовський 37</t>
  </si>
  <si>
    <t>Грибовский 37</t>
  </si>
  <si>
    <t>Грибовский 37.Сорт скороспелый, урожайный. Плод цилиндрический, гладкий, бледно-зеленый. Выращивают в открытом и защищенном грунте. Урожайная, болезнестойкая культура. Для получения ранней продукции высаживают 20-25 апреля в укрытие.</t>
  </si>
  <si>
    <t>photos/photo_406@07-11-2020_20-49-25.jpg</t>
  </si>
  <si>
    <t>Зебра</t>
  </si>
  <si>
    <t>Зебра.Сорт раннеспелый, в плодоношение вступает на 38-й день. Растение кустовое, компактное, плетей мало, главный стебель короткий. Плод цилиндрический, массой 0,5 кг, светло-зеленый, рисунок – широкие продольные темно-зеленые полосы. Мякоть белая, хрустящая, плотная, нежная, сочная.</t>
  </si>
  <si>
    <t>photos/photo_407@07-11-2020_20-52-39.jpg</t>
  </si>
  <si>
    <t>Золотинка</t>
  </si>
  <si>
    <t>Золотинка.Сорт раннеспелый, в плодоношение вступает на 46 день, от появления всходов. Растение кустовое, компактное. Плоды удлинённо- цилиндрические, золотисто- желтого цвета, массой 1-1,5кг,  хорошо транспортируются и сохраняются</t>
  </si>
  <si>
    <t>photos/photo_408@07-11-2020_20-55-06.jpg</t>
  </si>
  <si>
    <t>Кустовой.Раннеспелый, урожайный сорт. В плодоношение вступает на 40-45 день. Кустовой, с куста снимают до 10 плодов средней массой 0,5 кг. В открытый грунт высевают в конце мая на глубину 5-6 см в рыхлой почве, в плотной – на 3-4 см.</t>
  </si>
  <si>
    <t>photos/photo_409@07-11-2020_20-57-59.jpg</t>
  </si>
  <si>
    <t>Одеський</t>
  </si>
  <si>
    <t>Одесский</t>
  </si>
  <si>
    <t>Одесский.Сорт скороспелый (от всходов до технической спелости — 40-41 день). Растение кустовое. Плод цилиндрический, гладкий, молочной или бледно-зеленой окраски. Мякоть в технической спелости светло-желтая или розовато-желтая. Устойчив к болезням.</t>
  </si>
  <si>
    <t>photos/photo_410@07-11-2020_20-59-40.jpg</t>
  </si>
  <si>
    <t>Черный красавец.Раннеспелый сорт. Растение кустовое, компактное, плетей мало, главный побег короткий. Плод удлиненно-цилиндрический, гладкий, темно-зеленый. Кора тонкая. Мякоть белая, плотная, нежная, сочная, вкусная. Транспортабельность и лежкость хорошие.</t>
  </si>
  <si>
    <t>photos/photo_411@07-11-2020_21-02-20.jpg</t>
  </si>
  <si>
    <t>ролик</t>
  </si>
  <si>
    <t>Ролик</t>
  </si>
  <si>
    <t>Ролик.Сорт ультраскороспелый. Одновременно формирует 3-5 плодов. Растение кустовое с укороченными междоузлиями. Плод овальный, гладкий. Сетка и рисунок отсутствуют. Мякоть в товарной спелости светло-зеленая, плотная. Транспортабельность хорошая. Сорт устойчив к пониженным температурам.</t>
  </si>
  <si>
    <t>photos/photo_412@07-11-2020_21-04-25.jpg</t>
  </si>
  <si>
    <t>Скворушка</t>
  </si>
  <si>
    <t>Скворушка.Раннеспелый, кустовой сорт с интенсивным ростом плодов и дружным созреванием. До начала плодоношения 35-40 дней. Сорт насыщен женскими цветками. Плод зелёный, цилиндрический, длиной  около 23см, массой 300-500г. Мякоть светло-салатового цвета, сочная. Сорт относительно стойкий против болезней.</t>
  </si>
  <si>
    <t>photos/photo_413@07-11-2020_21-06-37.jpg</t>
  </si>
  <si>
    <t>Цукеша</t>
  </si>
  <si>
    <t>Цукеша.Скороспелый, высокоурожайный сорт. Вегетационный период от всходов до начала плодоношения 40-45 дней. Куст компактный, без боковых побегов. Плоды цилиндрической формы с гладкой поверхностью, темно-зеленые с мелкими крапинками.</t>
  </si>
  <si>
    <t>photos/photo_414@07-11-2020_21-09-07.jpg</t>
  </si>
  <si>
    <t>Чаклун</t>
  </si>
  <si>
    <t>Чаклун.Раннеспелый сорт, от полных всходов до первого сбора плодов проходит 45 дней. Растение кустовой формы, компактное. Характеризуется дружной отдачей урожая. Плоды цилиндрические, длиной 15-20 см, диаметром 5-7 см, массой 350 г, белые, слабо глянцевые.</t>
  </si>
  <si>
    <t>photos/photo_415@07-11-2020_21-11-34.jpg</t>
  </si>
  <si>
    <t>Кавілі F1</t>
  </si>
  <si>
    <t>Кавили F1</t>
  </si>
  <si>
    <t>Кавили F1.Кустовой гибрид кабачка, используется для получения ультраранней и массовой продукции. Отличается длительным периодом плодоношения (около 2 месяцев). Плоды цилиндрические, очень прямые, бело-зеленые с белой мякотью, очень однородные, с нежным вкусом.</t>
  </si>
  <si>
    <t>photos/photo_416@07-11-2020_21-14-19.jpg</t>
  </si>
  <si>
    <t>Світозар</t>
  </si>
  <si>
    <t>Свитозар</t>
  </si>
  <si>
    <t>Свитозар.Раннеспелый сорт, от массовых всходов до первого сбора плодов проходит 41-50 дней. Растение кустовой формы, без боковых побегов. Сортотип цуккини. Плоды цилиндрические, гладкие, желтого цвета, длиной 26-30 см, массой 500-800 г.</t>
  </si>
  <si>
    <t>photos/photo_417@07-11-2020_21-17-51.jpg</t>
  </si>
  <si>
    <t>патисон Малахіт</t>
  </si>
  <si>
    <t>Патиссон Малахит</t>
  </si>
  <si>
    <t>Патиссон Малахит.Раннеспелый, в плодоношение вступает на 65 день. Растение кустовой формы. Плоды мелкие, тарелочной формы с округло-зубчатыми краями, зеленого цвета. Ценный витаминный и диетический продукт.</t>
  </si>
  <si>
    <t>photos/photo_420@11-11-2020_20-32-50.jpg</t>
  </si>
  <si>
    <t>патисон Помаранчевий</t>
  </si>
  <si>
    <t>Патиссон Оранжевый</t>
  </si>
  <si>
    <t>Патиссон Оранжевый.Ранний, в плодоношение вступает на 65 день. Растение кустовой формы. Плоды мелкие, тарелочной формы с округло-зубчатыми краями, в технической спелости светло-желтые в биологической – оранжевые. Ценный витаминный и диетический продукт.</t>
  </si>
  <si>
    <t>photos/photo_421@11-11-2020_20-34-28.jpg</t>
  </si>
  <si>
    <t>патисон Сашенька</t>
  </si>
  <si>
    <t>Патиссон Сашенька</t>
  </si>
  <si>
    <t>Патиссон Сашенька. Новый сорт, мелкоплодный, урожайный, тарелочной формы , белый ,в консервации напоминает грибы.</t>
  </si>
  <si>
    <t>photos/photo_422@11-11-2020_22-24-19.jpg</t>
  </si>
  <si>
    <t>салат Верна</t>
  </si>
  <si>
    <t>Салат  Верна</t>
  </si>
  <si>
    <t>Салат  Верна.Среднеспелый ( 70-75 дней ) сорт. Головки плотные, могут достигать массы около 1кг. Расцветка готовой продукции — ярко- зеленая. Листья хорошо отделяются друг от друга. Салат сочный, хрустящий.</t>
  </si>
  <si>
    <t>photos/photo_423@13-12-2020_15-44-52.jpg</t>
  </si>
  <si>
    <t>латук</t>
  </si>
  <si>
    <t>Латук</t>
  </si>
  <si>
    <t>Латук.Раннеспелый салат, образует кудрявую головку с красивими блестящими листьями. Консистенция листа хрустящая, плотная. Вкус очень хороший. Высоких товарных качеств, имеет длительный период хозяйственной годности.</t>
  </si>
  <si>
    <t>photos/photo_424@13-12-2020_15-48-29.jpg</t>
  </si>
  <si>
    <t>Салат Лоло Біонда</t>
  </si>
  <si>
    <t>Салат Лоло Бионда</t>
  </si>
  <si>
    <t>Салат Лоло Бионда.Раннеспелый листовой салат предназначенный для выращивания с весны до поздней осени. От полных всходов до технической спелости 40-50 дней. Листья курчавые, светло-зеленой окраски, мясистые и нежные на вкус.</t>
  </si>
  <si>
    <t>photos/photo_425@13-12-2020_15-55-43.jpg</t>
  </si>
  <si>
    <t>Салат Лоло Росса</t>
  </si>
  <si>
    <t>Салат Лоло Росса. Раннеспелый листовой салат. От полных всходов до технической спелости 40-50 дней. Листья курчавые, светло-зеленой окраски с широким розовым краем. Возделывается в открытом и защищенном грунте.</t>
  </si>
  <si>
    <t>photos/photo_426@13-12-2020_16-02-00.jpg</t>
  </si>
  <si>
    <t>Одеський кучерявець</t>
  </si>
  <si>
    <t>Одесский кучерявец</t>
  </si>
  <si>
    <t>Одесский кучерявец.Раннеспелый, высокоурожайный (до 5 кг/кв.м) сорт, богатый витаминами и минеральными солями. Растение формирует курчавые листья, без содержания горечи,. культура холодостойкая.</t>
  </si>
  <si>
    <t>photos/photo_427@13-12-2020_16-04-35.jpg</t>
  </si>
  <si>
    <t>палітра</t>
  </si>
  <si>
    <t xml:space="preserve"> Палитра</t>
  </si>
  <si>
    <t xml:space="preserve"> Палитра.Смесь семи самых популярных видов салата, 1000семян. Предназначенных для длительного срока сбора в виду разности сроков созревания сортов.</t>
  </si>
  <si>
    <t>photos/photo_428@13-12-2020_16-13-21.jpg</t>
  </si>
  <si>
    <t>салат Рукола</t>
  </si>
  <si>
    <t>Салат Руккола</t>
  </si>
  <si>
    <t>Салат Руккола.Теплолюбивое многолетнее растение. Листья собраны в густую прикорневую розетку. В пищу используют свежие молодые листья с пряным острым вкусом и ароматом ореха, из которых готовят салаты  �� блюда с сыром.</t>
  </si>
  <si>
    <t>photos/image_2020-12-13_16-03-30.png</t>
  </si>
  <si>
    <t>салат Сніжинка</t>
  </si>
  <si>
    <t>Салат Снежинка</t>
  </si>
  <si>
    <t>Салат Снежинка.Раннеспелый листовой сорт, для выращивания в открытом грунте и в пленочных укрытиях. Вегетационный период от всходов до технической спелости 20-25 дней. Образует компактную розетку, диаметром 20-25 см.</t>
  </si>
  <si>
    <t>photos/image_2020-12-13_16-05-53.png</t>
  </si>
  <si>
    <t>салат</t>
  </si>
  <si>
    <t>Салат</t>
  </si>
  <si>
    <t>Салат. Айсберг.Раннеспелый, высокоурожайный сорт кочанного салата для весеннего и осеннего выращивания в открытом грунте и под пленкой. Вегетационный период от всходов до сбора урожая - 58-65 дней. Формирует крупные кочаны.</t>
  </si>
  <si>
    <t>photos/photo_429@13-12-2020_16-24-16.jpg</t>
  </si>
  <si>
    <t>салат Тайфун</t>
  </si>
  <si>
    <t xml:space="preserve"> Салат Тайфун</t>
  </si>
  <si>
    <t xml:space="preserve"> Салат Тайфун.Листовой салат с хрустящими сочными листьями. Розетка листьев высотой 20 см, диаметром 27 см. Лист крупный, зеленый, сильноволокнистый. Масса растения 200-220 гр, урожайность 3,5 кг/м2. Вкус отличный.</t>
  </si>
  <si>
    <t>photos/photo_430@13-12-2020_16-27-24.jpg</t>
  </si>
  <si>
    <t>салат Мізунь</t>
  </si>
  <si>
    <t>Салат Мизуна</t>
  </si>
  <si>
    <t>Салат Мизуна, это японская листовая капуста,неприхотливая в выращивании, с нежными листьями широко применяемая в блюдах как украшение с особенным вкусом .</t>
  </si>
  <si>
    <t>photos/photo_431@13-12-2020_16-33-53.jpg</t>
  </si>
  <si>
    <t>Салат. Каталогна.Среднеспелый листовой салат,с приподнятой розеткой массой 90-100гр, итальянский сорт ,предназначен для бутербродов.</t>
  </si>
  <si>
    <t>photos/photo_432@13-12-2020_16-51-06.jpg</t>
  </si>
  <si>
    <t>Валеріаннела салатна</t>
  </si>
  <si>
    <t>Валерианнела салатная</t>
  </si>
  <si>
    <t>Валерианнела салатная. Однолетнее растение,хорошо развита прикорневая розетка, влаголюбива,листья сладкие ,используются до цветения.</t>
  </si>
  <si>
    <t>photos/photo_433@13-12-2020_16-57-08.jpg</t>
  </si>
  <si>
    <t>шпинат Матадор</t>
  </si>
  <si>
    <t>Шпинат Матадор</t>
  </si>
  <si>
    <t>Шпинат Матадор.Сорт ранний (30-35 дней от полных всходов до технической спелости). Розетка
полуприподнятая, компактная. Лист серо-зеленый, глянцевый, толстый, овальный. Сорт требует обильных поливов.</t>
  </si>
  <si>
    <t>photos/photo_434@14-12-2020_14-03-43.jpg</t>
  </si>
  <si>
    <t>щавель широколистий</t>
  </si>
  <si>
    <t>Щавель широколистый</t>
  </si>
  <si>
    <t>Щавель широколистый. Раннеспелый, от всходов до хозяйственной годности 40-45 дней. Устойчив, зимостойкий. Лист удлиненно-яйцевидный, зеленый. Рекомендуется для выращивания в открытом грунте при весеннем, летнем и подзимнем сроках сева.</t>
  </si>
  <si>
    <t>photos/photo_435@14-12-2020_14-09-35.jpg</t>
  </si>
  <si>
    <t>базелік фіолетовий</t>
  </si>
  <si>
    <t>Базелик фиолетовый</t>
  </si>
  <si>
    <t>Базелик фиолетовый. Растение, не выносит низких температур. Размножают рассадой или посевом в открытый грунт. На рассаду высевают за 1,5-2 месяца до высадки в грунт, на глубину 1,5-2см.</t>
  </si>
  <si>
    <t>photos/photo_437@14-12-2020_15-29-18.jpg</t>
  </si>
  <si>
    <t>базилік Єреванський</t>
  </si>
  <si>
    <t>Базилик Ереванский</t>
  </si>
  <si>
    <t>Базилик Ереванский.Этот скороспелый сорт с богатым содержанием эфирных масел станет изысканной приправой для блюд. Имеет приятный запах душистого перца и чая, в свежем виде является ценным источником каротина.</t>
  </si>
  <si>
    <t>photos/photo_438@14-12-2020_15-32-30.jpg</t>
  </si>
  <si>
    <t>базилік Мамонт</t>
  </si>
  <si>
    <t>Базилик Мамонт</t>
  </si>
  <si>
    <t>Базилик Мамонт.Салатний, ранньостиглий сорт (30-40 днів) висотою 25-40 см. Рослина формує компактний кущик з великими яскраво-зеленими листками (по типу салату Латук") і має дуже чудовий аромат."</t>
  </si>
  <si>
    <t>photos/photo_439@14-12-2020_15-40-42.jpg</t>
  </si>
  <si>
    <t>грибна трава</t>
  </si>
  <si>
    <t>Грибная трава</t>
  </si>
  <si>
    <t>Грибная трава. Однолетнее травянистое растение из семейства бобовых. Используется как пряно��ть, которая придает неповторимый вкус и аромат грибов. Размножается семенами, которые высевают во второй половине апреля.</t>
  </si>
  <si>
    <t>photos/photo_441@14-12-2020_15-54-10.jpg</t>
  </si>
  <si>
    <t>Естрагон / тархун /</t>
  </si>
  <si>
    <t>Эстрагон/ тархун/</t>
  </si>
  <si>
    <t>Эстрагон/ тархун/.Многолетнее растение, выращивают на одном месте 10 лет. Листья нежные, слегка горьковатые, с анисовым привкусом, имеют сильный аромат. Содержат эфирные масла, витамин С, каротин, рутин.</t>
  </si>
  <si>
    <t>photos/photo_442@14-12-2020_16-06-41.jpg</t>
  </si>
  <si>
    <t>кмин</t>
  </si>
  <si>
    <t>Тмин</t>
  </si>
  <si>
    <t>Тмин.Пряно-вкусовое растение, образующее в первый год розетку листьев, во второй - стебель и семена. В пищу используют молодые листья или семена, с ними варят супы и тушат мясо, добавляют для ароматизации выпечки.</t>
  </si>
  <si>
    <t>photos/photo_443@14-12-2020_16-10-06.jpg</t>
  </si>
  <si>
    <t>кінза</t>
  </si>
  <si>
    <t>Кинза</t>
  </si>
  <si>
    <t>Кинза.Однолетнее растение с пряными листьями и семенами. Свежую зелень используют для приготовления салатов,  мясных, рыбных, овощных блюд.  Семена используют для ароматизации при хлебопечении, изготовлении колбас, тушении мяса.</t>
  </si>
  <si>
    <t>photos/photo_444@14-12-2020_16-28-09.jpg</t>
  </si>
  <si>
    <t>кріп Алігатор</t>
  </si>
  <si>
    <t>Укроп Аллигатор</t>
  </si>
  <si>
    <t>Укроп Аллигатор.Сорт предназначен для выращивания на зелень (40-45 дней от массовых всходов до уборки). Розетка листьев
крупная приподнятая, высотой 14-25 см. Листья зеленые с сизым оттенком, ароматные.</t>
  </si>
  <si>
    <t>photos/photo_445@14-12-2020_16-44-17.jpg</t>
  </si>
  <si>
    <t>кріп Грибовський</t>
  </si>
  <si>
    <t>Укроп Грибовский</t>
  </si>
  <si>
    <t>Укроп Грибовский, от полных всходов до цветения 62-67 дней. Розетка полураскидистая, средней величины. Лист темно-зеленый, со слабым восковым налетом, ароматичность высокая. С меньшей требовательностью.
к температурным условиям</t>
  </si>
  <si>
    <t>photos/photo_446@14-12-2020_16-50-05.jpg</t>
  </si>
  <si>
    <t>кріп кущовий</t>
  </si>
  <si>
    <t>Укроп кустовой</t>
  </si>
  <si>
    <t>Укроп кустовой.Уникальный сорт укропа, относящийся к типу не желтеющих укропов. Формирует мощный, облиственный куст.
Листья крупные, длиной 28-36 см, шириной 30-36 см, зеленые с восковым налетом. Высокоурожайный, урожай
зелени – 2,8 кг с кв.м.</t>
  </si>
  <si>
    <t>photos/photo_448@14-12-2020_16-59-03.jpg</t>
  </si>
  <si>
    <t>Огіркова трава Бораго</t>
  </si>
  <si>
    <t>Огуречная трава Бораго</t>
  </si>
  <si>
    <t>Огуречная трава Бораго.Листя молодой огуречной травы, которые имеют лекарственные свойства, используют как салатное растение.  Листья собирают до появления цветочного стебля.</t>
  </si>
  <si>
    <t>photos/photo_449@14-12-2020_17-14-24.jpg</t>
  </si>
  <si>
    <t>Пастернак Петро</t>
  </si>
  <si>
    <t>Пастернак Петр</t>
  </si>
  <si>
    <t>Пастернак Петр.Пряное растение. Вкус сладковатый. Ароматичность высокая. В пищу (в домашней кулинарии, при консервации) используют корнеплоды и листья в молодом возрасте.</t>
  </si>
  <si>
    <t>photos/photo_450@14-12-2020_17-17-33.jpg</t>
  </si>
  <si>
    <t>петрушка коренева</t>
  </si>
  <si>
    <t>Петрушка корневая</t>
  </si>
  <si>
    <t>Петрушка корневая.Корневой скороспелый сорт, вегетационный период 65-75 дней. Холодостойкий, хорошо зимует в открытом грунте. Устойчив к грибковым заболеваниям. Для получения хороших крупных корнеплодов, во время роста зелень не срезайте - этим вы ослабите растение.</t>
  </si>
  <si>
    <t>photos/photo_451@14-12-2020_17-21-24.jpg</t>
  </si>
  <si>
    <t>Петрушка Гігантела листова</t>
  </si>
  <si>
    <t>Петрушка Гигантела  листовая</t>
  </si>
  <si>
    <t>Петрушка Гигантела  листовая.  скороспелый сорт, вегетационный период 65-75 дней. Образует крупную розетку(50-100 листьев), формирует ранний и высокий  урожай сочной зеленой массы и крупный корень. Сорт холодостойкий, хорошо зимует .</t>
  </si>
  <si>
    <t>photos/photo_454@14-12-2020_20-34-07.jpg</t>
  </si>
  <si>
    <t>петрушка Гігантела</t>
  </si>
  <si>
    <t>Петрушка Гигантела</t>
  </si>
  <si>
    <t>Петрушка Гигантела. Листовой скороспелый сорт, вегетационный период 65-75 дней. Образует крупную розетку(50-100 листьев), формирует ранний и высокий  урожай сочной зеленой массы и крупный корень.</t>
  </si>
  <si>
    <t>photos/photo_455@14-12-2020_20-37-05.jpg</t>
  </si>
  <si>
    <t>№</t>
  </si>
  <si>
    <t>Название</t>
  </si>
  <si>
    <t>вес/количество</t>
  </si>
  <si>
    <t>цена</t>
  </si>
  <si>
    <t>категория</t>
  </si>
  <si>
    <t>подкатегория</t>
  </si>
  <si>
    <t>Гелиосноме</t>
  </si>
  <si>
    <t>SKU</t>
  </si>
  <si>
    <t>Амурский тигр Сер/ран червоні із смужк.. 1,2 м 120г.врож.соління..салат</t>
  </si>
  <si>
    <t>4,00гр</t>
  </si>
  <si>
    <t>Томати</t>
  </si>
  <si>
    <t>Томати високорослі</t>
  </si>
  <si>
    <t>100 - cat</t>
  </si>
  <si>
    <t>001 - id</t>
  </si>
  <si>
    <t>Апельсин Сер/стиг..круглий золотистий 1,5м..200-400г,кущ міцний,відм.смак</t>
  </si>
  <si>
    <t>Банан оранжевий Сер/стиг.. 1,5м видовж.. До 7 см,100г,дуже смач.та стійк.</t>
  </si>
  <si>
    <t>Бичий лоб Сер/ран., 1,6м округлоребрю,черв.,до 600г.,універ.,дуже стій.</t>
  </si>
  <si>
    <t>Волове сердце жовте ,Сорт народної селекції,висотою до 2ох м. колір плодів яскраво жовтий,400 гр мас</t>
  </si>
  <si>
    <t>Агата Ран., 50см, округ., черв., 80-100г,дуже врож.,універс.,до 7 кг/кв.м</t>
  </si>
  <si>
    <t>Томати низькорослі</t>
  </si>
  <si>
    <t>Американский ребристый 60-70см, удлиненно -округлый,крупный, салатный</t>
  </si>
  <si>
    <t>Томати низькоросл!</t>
  </si>
  <si>
    <t>Аврора .60-70см в высоту,оруглый насыщенно красный, для консервирования</t>
  </si>
  <si>
    <t>Арізона Сер/стиг., 50-70см, округ.,ребр.,черв., 120-150г, врож.,універс.</t>
  </si>
  <si>
    <t>Балада Сер/ран., 60см,округ.,черв.,130-180г,універс.,до 9кг/кв.м</t>
  </si>
  <si>
    <t>Білий налив Ран., 50см, кругл., черв.,800-100г.,смачн., дуже врож.</t>
  </si>
  <si>
    <t>Волгоградський 323 Ран.,до 50см,черв.,округл.,80-120г, врож.,смачн.,універс.</t>
  </si>
  <si>
    <t>Волгоградський 323, ран.,до 40 см,черв.,округл.,80-120 г,м`яс.,врож</t>
  </si>
  <si>
    <t>Волгоградський 5/95 Сер/пізн.,60см, черв.,пл.-округ.,90-150г, смачн.,універс.</t>
  </si>
  <si>
    <t>Волгоградський 5/95, сер/пізн.,70 см, черв.,пл.-округ.,90-150 г,солод.</t>
  </si>
  <si>
    <t>Волгоградський рожевий Ран.,60-65см, округ.,рож-малин.,100-130г, смачн.,універс.</t>
  </si>
  <si>
    <t>Шедевр Рудаса Пізн., 70см,округ.,черв-оранж.,до 200г,суперлежкий</t>
  </si>
  <si>
    <t>Господар Сер/стиг.,до 70см,округ.,черв.,м'ясист.,110-140г,врож.,універс.</t>
  </si>
  <si>
    <t>Прибуткова справа.ранн.,вегетац.80дн.округлі до 100гр.ваги,не розтріскуються.</t>
  </si>
  <si>
    <t>томати.</t>
  </si>
  <si>
    <t>Дар Заволжя Ран.,60-70см,круг.,темн.-черв.,110-130г,смачн.,посухостійкий</t>
  </si>
  <si>
    <t>Дар Заволжя рожевий Сер/ран.,50-60см,округ.,щільн.,80-110г,смачн.,лідер ринку.</t>
  </si>
  <si>
    <t>Демидов Сер/стиг.,60-65см,кругл, рож., ребр., 100-120г,врож.,смачн.</t>
  </si>
  <si>
    <t>Джина, ран.,60-65 см,черв.,круг.,150-160 г,скоростиг.,врож</t>
  </si>
  <si>
    <t>Дубок Ран.,40-50см,округ., черв., 90-120г, соков.,солодкі,універс.</t>
  </si>
  <si>
    <t>Ефемер Над/ран., 60-70см,округ., червон.,90-100г,солод.,лідер ранніх</t>
  </si>
  <si>
    <t>Іришка Над/ран.,50-60см,округ.,черв.,30-40г,чудовий для консерв.</t>
  </si>
  <si>
    <t>Іришка, суперран.,50-60см,округ.,черв.,20-25 г,консерв.</t>
  </si>
  <si>
    <t>Катюша Ран.,60-70см,черв.,округ.,80-100г,смачн.,соков.,універс</t>
  </si>
  <si>
    <t>Катюша, ран.,60-70см,черв.,округ.,80-100 г,смачн.,соков</t>
  </si>
  <si>
    <t>Кібіц Над/ран.,50-70см, слив.,черв.,50-60г,м'ясист.,дуж.врож.</t>
  </si>
  <si>
    <t>Колгоспний Сер/стиг.,до 60см,округ.,черв.,110-120г,дуже врож.,універс.</t>
  </si>
  <si>
    <t>Кременчуцький Ран., до 60см, пл.-округ.,черв.,120-150 г,м'яс.,солодк.,врож.</t>
  </si>
  <si>
    <t>Кременчуцький,ран.,120-150г,пл.-округ.,черв.до 150 г,м'яс.,солодк.,врож</t>
  </si>
  <si>
    <t>Лагідний Ран.,50см, черв.сливка, 65-80г,м'ясист.,солодк.,врож.,універс.</t>
  </si>
  <si>
    <t>Лагідний, ран., 50 см, черв. сливка, 65-80 г, м'яс., солод., врож</t>
  </si>
  <si>
    <t>Лінда Кімнатний, суперскор.,35см,круг.,червон.,70-90г,універс.</t>
  </si>
  <si>
    <t>Любимий Сер/ран., 40-75см,округ., черв., 150-250г,дуж.смачн.,універс.</t>
  </si>
  <si>
    <t>Ляна (Приднест. НДІ ), ран.,65 см., округ., черв., до 120г.. суперврож</t>
  </si>
  <si>
    <t>Чайка, ран., 50-60см,округ.,черв., 70-90г,консерв., чудова росада</t>
  </si>
  <si>
    <t>Чайка Ран.,50-60см,округ.,черв.,90-100г,консерв.,чудова розсада.</t>
  </si>
  <si>
    <t>Мобіл Сер/ран.,пл-округ.,черв.,90-120г, дуж.врож.,смачн.,універс.</t>
  </si>
  <si>
    <t>Мобіл, сер/ран., пл.-округ.,черв.,90-120г., врож.,смачн</t>
  </si>
  <si>
    <t>Новинка Придністров'я Сер/стиг.,50-80 см,слив.черв.,40-60 г,дуже смачн.,врож.</t>
  </si>
  <si>
    <t>Новічок Сер/ран.,50-60см,слив.,черв.,70-100г, м'ясист.,смачн.,унів.</t>
  </si>
  <si>
    <t>Новічок, сер/ран., 50-90 см,оранж.-черв., 75-105г, м'яс., смачн</t>
  </si>
  <si>
    <t>Нота Ран.,65см, округ.,черв.,95-110г,щільн., смачн.,транспорт.</t>
  </si>
  <si>
    <t>Ранній 83 Ран.,40-60см, пл-круг.,черв.,80-100г,дуже врож.,універс.</t>
  </si>
  <si>
    <t>Ранній 83, ран., 40-60см, пл.-округ.,черв.,80-100г, врож.,універс</t>
  </si>
  <si>
    <t>Ріо Гранде Сер/стиг.,70см,слив.-окр.,черв.,120г,щільн.,смачн.,універс.</t>
  </si>
  <si>
    <t>Сан Марцано (Герм.), сер/стигл.,80см,слив. черв., до 100г,смачн</t>
  </si>
  <si>
    <t>Ріо Фуего Сер/пізн.,70см,овал.,черв.,100г,смачн.,універс.,гарно зберіг</t>
  </si>
  <si>
    <t>Рома VF Сер/стиг.,60см,слив.черв.,60-100г,до 15кг/кв.м,кращ.для засол.</t>
  </si>
  <si>
    <t>Рома VF, сер/стиг.,60см., сливк. черв., 60-100г,кращ., для засолюв</t>
  </si>
  <si>
    <t>Самий ранній Над/ран.,60см,округ.,черв.,120-150г,смачн.,універс</t>
  </si>
  <si>
    <t>Санька Над/ран.,30-40см,округ.,черв.,100-120г,смачн.,до 8 кг/кв.м</t>
  </si>
  <si>
    <t>Санька, дуж. ран., 30-40см., округ., черв.,до 120г,смачн.</t>
  </si>
  <si>
    <t>Союз 8 F1 Ран.,70см,пл-округ.,черв.,110-120г,дуже врож.,універс.</t>
  </si>
  <si>
    <t>Супер Стрейн Ран.,60см,окр.-овал.з нос.,до 120г, врож.,універс.,хворобост.</t>
  </si>
  <si>
    <t>Титан, сер/пізн., 50см., округ.,черв., 140г,смачн., стійк</t>
  </si>
  <si>
    <t>Факел Сер/ран.,40-60см,округ.,черв.,60-90г,кращ.для відкр.грунту</t>
  </si>
  <si>
    <t>Факел, сер/ран.,40-50см,округ., черв.,60-90г,кращ. для відкр. грунту</t>
  </si>
  <si>
    <t>Долгохранящийся Пізній,1м,черв-оранж.,150-300г, дуже врож.,зберіг. 8 місяців</t>
  </si>
  <si>
    <t xml:space="preserve">Томати середньорослі
</t>
  </si>
  <si>
    <t>Президент(Укр.) Ран.,аматорський сорт, 1,2м округ.,черв.,200-300г,стійк.,смачн.</t>
  </si>
  <si>
    <t>Бедуин Сер/ран.Високоросл 1,7м коричневый округл.смачный</t>
  </si>
  <si>
    <t>Аіст Сер/ран.,бджол.,12-15см, для соління і консерв</t>
  </si>
  <si>
    <t xml:space="preserve">Огірки </t>
  </si>
  <si>
    <t>Алексєіч F1 Ран.,партен., 7-9см,60-70г,без гіркоти,стійк.,універс.призн.</t>
  </si>
  <si>
    <t>Огірки</t>
  </si>
  <si>
    <t>Алладін F1 Ран.,бдж.,8-10см,горбкув.,без гірк.,один з кращ.для консерв</t>
  </si>
  <si>
    <t>Амур F1 Над/ран.,партен., корніш.,дуж. смачн.,не жовтіють,універс.</t>
  </si>
  <si>
    <t>Андрус F1 (Польща) Сер/ран.,бджол.,корніш.,10-12см,без гіркоти,стійк.,універс</t>
  </si>
  <si>
    <t>Анулька F1(Польща) Сер/стиг.,бджол.,корніш.,відмін.вигляд і смак,стійк.,універс.</t>
  </si>
  <si>
    <t>Астерікс F1(Гол.) Сер/ран.,бджол.,10-12см,80-100г,дуже врожайний.</t>
  </si>
  <si>
    <t>Атлантіс F1(Гол.) Над/ран.,бджол.,6-12см,80-100г,врож.,для консерв. і засол.</t>
  </si>
  <si>
    <t>Аякс F1(Гол.) Над/ран.,бджол.,6-12см,90-100г,без гірк.,смачн.,універс.</t>
  </si>
  <si>
    <t>Береговий Сер/ран.,бджол., 10-12см,107-126г,високоврож.,засол.</t>
  </si>
  <si>
    <t>Білий делікатес(Китай) Ран.,бджол.,12-15см,120-130г,біл.,дуж. смачн.,десертн.,стійкий.</t>
  </si>
  <si>
    <t>Бригадний F1 Ран.,бджол.,9-13см,чорношип.,смачн.,кращий для відкр.грунту.</t>
  </si>
  <si>
    <t>Беляевский Ран10-15 см., дуже врожайний,засол,консерв.смачный.</t>
  </si>
  <si>
    <t>Огірок</t>
  </si>
  <si>
    <t>Бочковий, Сер/ран. 10-12см. врож. онс. смач.</t>
  </si>
  <si>
    <t>ОгІрок</t>
  </si>
  <si>
    <t>Весела компанія F1 Скор.,партен., корніш.,пучков.,стійк.,для консерв.</t>
  </si>
  <si>
    <t>Виноградна лоза F1 Ран.,бджол.,корн.,8-10см,хрусткі,пучков.,стійк.,гарне засол.</t>
  </si>
  <si>
    <t>Вірні друзі F1 Над/ран.,бджол.,8-10см,чорношип.,пучк.,до 5шт./вуз.,універс.</t>
  </si>
  <si>
    <t>Владко F1 Сер/ран.,бджол.,10-12см,80-95г,без гірк.,врожайн.,універс.</t>
  </si>
  <si>
    <t>Водограй F1 Сер/ран.,бджол.,9-11см,чорнош.,стійк.,для відкр.грунту,універс</t>
  </si>
  <si>
    <t>Всим на заздрість F1.Партен.корнш,смачн для відкр грунт.</t>
  </si>
  <si>
    <t>Гейм Cер/стиг.,бджол.,10-11см.,70г.,універс.,товарн.</t>
  </si>
  <si>
    <t>Гірлянда F1.Надран.тепл,кімнат, универсальн.</t>
  </si>
  <si>
    <t>Гектор F1(Гол.) Над/ран.,,бджол.,95-100г,не жовт., гарн.для засол.,холодост</t>
  </si>
  <si>
    <t>Герман F1(Гол.) Над/ран.,парт.,корніш.,врож.,без гіркоти,універс.,стійкий.</t>
  </si>
  <si>
    <t>Голубчик F1 Ран.,бджол.,9-12см,80-95г,врож.,універс.,холодостійкий.</t>
  </si>
  <si>
    <t>Дальнєвосточний 6 Сер/піз., бджол.,12-18см,100-200г, дуж.cтійкий,смачн</t>
  </si>
  <si>
    <t>Джерело Ран., бджол.,корн.10-14см,смачн.,засол.,консерв.,врожайн.</t>
  </si>
  <si>
    <t>Дружна сімейка F1 Сер/ран., партен.,6-8см,пучков.,в вузлі 4-6 зав'яз., для засолюв і салат.</t>
  </si>
  <si>
    <t>Делікатесний.Ран. бджол.зап. тонккорий,салат,консерв.</t>
  </si>
  <si>
    <t>Емеля F1 Ран.,партен.,13-15см,дуже смачн.,засол.,врожайн.,холодост.</t>
  </si>
  <si>
    <t>Журавльонок F1 Сер/ран.,бджол.,10-12см,без гірк.,засол.,більш 10 кг/кв.м</t>
  </si>
  <si>
    <t>Закуска Ран.,бджол.,9-13см,дуже смачний,засол., врож.,стійкий.</t>
  </si>
  <si>
    <t>Засолочний Сер/ран.12-14плетистий,врожайн.універс.</t>
  </si>
  <si>
    <t>Огрки</t>
  </si>
  <si>
    <t>Зозуля F1 Ран.,част. парт.,20-24см,250-300г,врож., смачн.,стійк,універс.,для теплиць.</t>
  </si>
  <si>
    <t>Зубрьонок F1 Сер/ран.,бджол.,10-12см,посухостійк., дуже смачн.,універс.</t>
  </si>
  <si>
    <t>Зятек F1.Скорост. партн.10-12см засол.консер.врожайн.</t>
  </si>
  <si>
    <t>Іра F1.Рен, бджол.жіноч. тип, високо врожа, без гіркоти.</t>
  </si>
  <si>
    <t>Китайське чудо Сер/ран.,бджол.,до 45см,тонкошкір.,дуж.смачний та врожайний.</t>
  </si>
  <si>
    <t>Кімнатний F1 Над/ран.,партен.,корніш.,в осін.-зим.пер.треба досвічувати.</t>
  </si>
  <si>
    <t>Конкурент Ран.,бджол.,9-12см, 70-100г,смачні,засолочн.,стійк</t>
  </si>
  <si>
    <t>Круїз F1 Ран.,бджол.,8-10см, 95-100г,хруст.,засол.,високостійкий.</t>
  </si>
  <si>
    <t>Кущовий Ран.,бджол.,9-12см,100-130г,горбк.,чорношип.,кращий з засол.</t>
  </si>
  <si>
    <t>. Кущовий Ран.,бджол.9-12см, 100-130гр, гобк, чорношип, кращ з засол.</t>
  </si>
  <si>
    <t>Лялюк Ран.,бджол.,10-11см, 85-90г,засол., дуже врожайний</t>
  </si>
  <si>
    <t>Мал да удал F1.Ран. Жіноч тип цвітіння, парттен.корніш. стійк до хвороб.</t>
  </si>
  <si>
    <t>Льоша F1 Над/ран.,бджол.,8-10см, 60-80г,універс., врож.,підвищ.стійк</t>
  </si>
  <si>
    <t>ЛибеллеF1.Ранн. бджол.10-12см, универсал. Германия.</t>
  </si>
  <si>
    <t>Малюк F1 Ультр/скор.,бджол.,10-12см,80-115г,універс.,хворобост</t>
  </si>
  <si>
    <t>Мальчик с пальчикF1.Ран, бджл зп. Зассол ,корнюш, видкрит, грунт</t>
  </si>
  <si>
    <t>Маринда F1(Гол.) Сер/ран.,партен.,корн.,8-10см,66-75г,хруст.,без гірк.,універс.</t>
  </si>
  <si>
    <t>Маша F1(Гол.) Суп/скор., партен.,8-11см,дуже смачн.,універс.,посухост.</t>
  </si>
  <si>
    <t>МонастирскІ.Скорост. 10-12см, довге плодоношення,смачні</t>
  </si>
  <si>
    <t>Марїна роща.Скрост,12см,партенокап.продуктів.универс.</t>
  </si>
  <si>
    <t>Мурашка F1.Скорост,не потреб опилювач, 12-14см универс.</t>
  </si>
  <si>
    <t>Ніженський, середньо-пізн. сорт 9-12см.плетист.стійк до хворобє</t>
  </si>
  <si>
    <t>НаташаF1.Ран.стигл.жіноч тип без гіркот,12-14 см. Смачн.</t>
  </si>
  <si>
    <t>Огіроки</t>
  </si>
  <si>
    <t>ОктопусF1.Серед.ранн.бджолоз,жіноч тип цвітін.8-14врож.универс</t>
  </si>
  <si>
    <t>Пальчик Скорост.,бджол.,9-13см,100-120г,врож.,універс.,дуже смачн.</t>
  </si>
  <si>
    <t>Паризький корнішон F1 Ран.,бджол.,10-12см,70-120г,без гірк.,універс.,врожайн.</t>
  </si>
  <si>
    <t>Пасамонте F1(Гол.) Ран.,партен.,корніш.,6-9см,універс.,стійк.,лежкі,транспорт.</t>
  </si>
  <si>
    <t>Погребок F1.Скорост. бджол. жіноч тип цвіт.9-12 дуже смачні</t>
  </si>
  <si>
    <t>Підмосковні вечори F1 Скорост.,партен.,12-14см,засол.,тіньовитривал.,стійкий.</t>
  </si>
  <si>
    <t xml:space="preserve">ПоланF1.Середн. ранн. гибрид.10-14см засол.чорн шипий. </t>
  </si>
  <si>
    <t>ПотомакF1Сер. раньн. детерминантній тип 12-14см.Универсальн.</t>
  </si>
  <si>
    <t>Рацибор F1(імп.) Ран.,бджол.,7-12см,дуже врожайн.,стійк.,для засол.та консерв.</t>
  </si>
  <si>
    <t>Дарунок осені.Середн. ран,подовжен.плодонош.9см довж ,дуже смачні.</t>
  </si>
  <si>
    <t>Роднічок F1 Ран., бджол.,9-16см,87-107г,універс.,врожайн.,стійк.,зберіг.</t>
  </si>
  <si>
    <t>Руфус F1 Сер/ран.,бджол.,корніш.,ідеальні для консерв.,стійки,трансп.</t>
  </si>
  <si>
    <t>Самородок F1 Сер/ран.,бджол.,10-14см,90-110г,без гірк.,універс.,довго зберіг.</t>
  </si>
  <si>
    <t xml:space="preserve">Син полку F1 Скорост.,партен.,корніш.6-8см,дуже смачн.,ідеал.для конс. </t>
  </si>
  <si>
    <t>Сквирський F1 Скорост.,бджол.,корніш.,не жовт.,стійк.,чудов.смак.</t>
  </si>
  <si>
    <t>Семко F1.Серед.ранн.9-11см.гібрід стійкдо хвороб,для відр грунт.</t>
  </si>
  <si>
    <t>СамозапильнийF1.Швидостигл,самозапильн. 8-10см.щільні і хрусткі.</t>
  </si>
  <si>
    <t>Огірки.</t>
  </si>
  <si>
    <t>Сремський F1.Надранн. посухост.9-12см.Стійк до хвороб,врож.</t>
  </si>
  <si>
    <t>Сусідові на заздрістF1.Ранн,жіночій тип цвіт. 8-12см, подовж,масс102-125гр.засол.</t>
  </si>
  <si>
    <t>Тітус F1 Сер/ран.,бджол.,корніш.,10,5-12см,універс.,дуже врож.</t>
  </si>
  <si>
    <t>Фенікс 640 Пізн.,бджол.,16-18см,155-192г, універс.,стійкий,товарн.</t>
  </si>
  <si>
    <t>Фенікс-плюс Сер/ран.,бджол.,10-12см, без гіркоти, стійкий,врож.,трансп</t>
  </si>
  <si>
    <t>Фенікс плюс сер/ран,бджол. 10-12см, без гіркоти, стійк до хвороб,врож.</t>
  </si>
  <si>
    <t>Хрусткий.Ран.бджол.9-12см.врож щільн. хрустк. смачн.</t>
  </si>
  <si>
    <t>Цезарь. Надранній,бджол. хрусткий 12-14см.врожайній.</t>
  </si>
  <si>
    <t>Фаворит F1. Сер/ранн. жіночий тип цвіт.бджл.зап.9-12см врож.</t>
  </si>
  <si>
    <t>ФермерF1.бджол. сер/ранн.жіноч тип цвітін.10-12см. засол консерв.</t>
  </si>
  <si>
    <t>Щекунчік F1.ранн/стигл гібрід жіноч тип 9-11см.смачній.</t>
  </si>
  <si>
    <t>Кузнечік  F1Партенокарпік,пучков,жіночого типу 10-12см.консерв.транспорт .</t>
  </si>
  <si>
    <t>МЕренгаF1.Новий супер ранн партенокарп.гібрід 10-12см. Смач. для продажу.</t>
  </si>
  <si>
    <t>ЕкольF1.Партен. гибрід корнюш. типу,супер ранн. 10-12см. Транспорт.</t>
  </si>
  <si>
    <t>Пучини F1.Партен. гібрід, корн. 13-14см засолювал. універс.</t>
  </si>
  <si>
    <t>ЧерноморF1.Партенкар.жіноч типу цвіт. 12-13см. стійк до мучнист росиврожайн.</t>
  </si>
  <si>
    <t>Соловей F1.гібрід для відкритого грунту,10-12см. стійк до мучнс роси . смачн.</t>
  </si>
  <si>
    <t>Огірок.</t>
  </si>
  <si>
    <t>НадеждаF1.Ультра/ранн бджл запильн. с жіночим типом цвітін.12-14см засолювал.</t>
  </si>
  <si>
    <t>Паркер F1. Відомій голондський гібрід, 12-15см смачний для консервації</t>
  </si>
  <si>
    <t>Агрессор F1.Поздне спел ,популярній, 3-4 кг ,зберіг до 6ти місяців,не резтр. врож.</t>
  </si>
  <si>
    <t xml:space="preserve">Капуста </t>
  </si>
  <si>
    <t>Амагер. Сер, пізня,  щільна. не розтріск. для зберіг.транспорт.</t>
  </si>
  <si>
    <t xml:space="preserve">Дитмаршер Фрюер Ранн.спел. .0.9-2.4кг вкусная </t>
  </si>
  <si>
    <t>Капуста.</t>
  </si>
  <si>
    <t>Зимовка 1474 Позд спел. округ-плоск, 2.0-3.6кг,транспорт.</t>
  </si>
  <si>
    <t>Капуста</t>
  </si>
  <si>
    <t>Золотий гектар Ран., 0,9-2,5кг,стійкий, не розтр.,універс.,транспорт</t>
  </si>
  <si>
    <t>Капуста білокачанна</t>
  </si>
  <si>
    <t>Золотий гектар, ран.,0,9-2,5кг,стійк.,не розтріск., універс., трансп</t>
  </si>
  <si>
    <t xml:space="preserve">Іюнська Ран.,1,2-2кг, врож.,морозост.,викор.у свіж.виг.,врожайн. </t>
  </si>
  <si>
    <t>Кам'яна голова (Нім.) Пізн., 3,5-6кг,не розтр.,універс.,стійкий до жари, смачн.</t>
  </si>
  <si>
    <t>Кам'яна голова (Укр.) Пізн., 3,5-6кг,не розтр.,універс.,стійкий до жари, смачн.</t>
  </si>
  <si>
    <t>Казачок F1.Пізн. 3-4 кг, холодст. не розтр. універс. смачн. для вживан. в  сіжім вигл.</t>
  </si>
  <si>
    <t>Колобок F1 Пізн., 2-3кг,довго зберіг., для вжив. у свіж.вигл.,відм.смак.,солін</t>
  </si>
  <si>
    <t>колобок F1 Пізн., 2-3кг,довго зберіг., для вжив. у свіж.вигл.,відм.смак.,солін</t>
  </si>
  <si>
    <t>Княгиня.Пізн, 2-3,.5 кг.лежк . засолювальн.універсал.</t>
  </si>
  <si>
    <t>Лангедейкер Пізн.,3-4кг,врож.,добре зберіг.,універс.,транспорт.</t>
  </si>
  <si>
    <t>Лангедейкер(імп.), пізн.,3-4 кг,врож.,добре зберіг.,універс., трансп</t>
  </si>
  <si>
    <t>Слава Сер/стиг.,до 4,5кг,дуже смачн.,холодост.,універс.,вологолюб.</t>
  </si>
  <si>
    <t>ПарелF1.скоростгл. гібрід, 0.9-1,2кг. холодст. смач.</t>
  </si>
  <si>
    <t>Первый урожай.Надранн. 2-2.2кг, не розтріск. ніжна ,хрустк,соковита.</t>
  </si>
  <si>
    <t>Тюркиз Пізн., 1,5-2,5кг,дуже щільн.,універс., зберіг.6-8 міс.</t>
  </si>
  <si>
    <t>Українська осінь Пізн., 3-4,5кг,не розтр.,універс.,добре зберіг.,стійкий.</t>
  </si>
  <si>
    <t>КАпуста</t>
  </si>
  <si>
    <t>Харківська зимова Пізн., 3-3,5кг,не розтріск.,смачн.,універс.,добре зберіг.</t>
  </si>
  <si>
    <t>Харьківська зимов Пізн.. 3,5кг ,не розтріск. смачна ,універсальна, добре зберіг.</t>
  </si>
  <si>
    <t>Цвітн. Летняя Альфа скоросп. плоско-округл.шільн. смачна для вживан.</t>
  </si>
  <si>
    <t>Цвітн.Піонер раннстигл, 1,5-3,0 кг транспорт смачна.</t>
  </si>
  <si>
    <t>Капуста цвітна</t>
  </si>
  <si>
    <t>Цвітна Мовір 74.Ранн стигл, 0.9-1.5кг округ-плеска, консервув. в їжу.</t>
  </si>
  <si>
    <t>Снігова куля Ран.,0,4-1кг,хворобостійк.,врожайн.,найпопулярніший сорт.</t>
  </si>
  <si>
    <t>Цвітн.Сноу Болл, Середн.пізня 1.0-15кгСніжн.біла щільн.добре зберіг. транспорт.</t>
  </si>
  <si>
    <t>Цвітн. Робер.Сер.пізн  0,8-1,5 кг Напів випукл.популярна универсал.</t>
  </si>
  <si>
    <t>Топаз Сер/стиг., до 1,5кг,сизо-фіол.,стійк.,смачн.,викор.в свіж.,зберіг. 4-5 міс</t>
  </si>
  <si>
    <t>Капуста червонокачанна</t>
  </si>
  <si>
    <t>Лангедейкер, червоногол.пізностигл. лежка 2.5-3.0кг. транспорт.</t>
  </si>
  <si>
    <t>Краснокочанна, пізня 1.5-1.8 кг. лежк,для салатів відм смакові якост.</t>
  </si>
  <si>
    <t>Брюссельська Сер/стиг.,20-30 коч.на стеб.,холодост.,дуже поживн.,корисна.</t>
  </si>
  <si>
    <t>Різновиди капусти</t>
  </si>
  <si>
    <t>Брюсельська черв. серн,стигл 25-30 коч на стебл.поживна, универс.</t>
  </si>
  <si>
    <t>Брокколі,різновид спарж кап, рихла,темн. зелен колір, цінні власт .</t>
  </si>
  <si>
    <t xml:space="preserve">Кольрабі Біла,0 .5- 0.8кг.поживн,раньстигл, транспорт </t>
  </si>
  <si>
    <t>Кольрабі Голуба серед пізн. 0.5-1кг..поживн транспорт.</t>
  </si>
  <si>
    <t>Кольрабі Гігант.Пізня, 1.5-3.0 кг. ніжна ,соковита,смачн.</t>
  </si>
  <si>
    <t>Пак Чой Смарагд (Кит.) Суп/скор.,черешк.-листк.ніжн.,солодк.,багато віт</t>
  </si>
  <si>
    <t>Пекінська Мішель Ран., 2-2,5кг,універс.,гарн.тов.вигл.,багато віт.,хвор.стійка.</t>
  </si>
  <si>
    <t>Пекінська Мішель, ран.,2-2,5кг, універс.,гарн.тов.вигл.,багато вітамін., стійк.</t>
  </si>
  <si>
    <t>Савойська Сер/пізн.,кочан.,1,5-2,5кг,смачн.,універс.,баг.білків та віт</t>
  </si>
  <si>
    <t>Романеско. Гібрід середн пізн.1.5-1.7кг. смачн,поживн.</t>
  </si>
  <si>
    <t>Дайкон.Міновваси.Середньостигл,білий,корнпл довг.49-50см,універсальн.</t>
  </si>
  <si>
    <t>Дайкон</t>
  </si>
  <si>
    <t>Дайкон Саша.Солодка редька,створ в Японии, вага від100до 400гр.Білій,соковитий,смачній сорт.</t>
  </si>
  <si>
    <t>Дайкон Білий клик.Пізньостигл сортЮкорнепл 18-20см,вагою200гр,дуже смачний</t>
  </si>
  <si>
    <t>Дайкон Красне серце.Пізньостигл сортв вирощен в Китаї, оригінальн. має лікувальн властив.</t>
  </si>
  <si>
    <t>Зимова чорна Серед.стигл. округл. масса240-250грЄмякуш білий,міцн. лежка.</t>
  </si>
  <si>
    <t>Редька</t>
  </si>
  <si>
    <t>Сквирська біла.Середн.пізня біла,лежка,250-400вагою,смачна.</t>
  </si>
  <si>
    <t>Китайська зимова Редька Черв.,округ.,150-200г,слабогостра,смачна,лікує травл.та застуди.</t>
  </si>
  <si>
    <t xml:space="preserve"> Лобо.Пізн.стигл. сорт .Зелено-білого колеру,відовж.200-400гр,смачн.</t>
  </si>
  <si>
    <t>Одеська біла.Сер,стигл сорт дуже лежк,250-500гр.Щільна,солодка.універс.</t>
  </si>
  <si>
    <t>Маргеланска, раннспел,сорт,летние посадки, зелена,округла, лежка.</t>
  </si>
  <si>
    <t>Сударушка.Ранн.стигл сорт , можн виростити 2 врожаї,вага до 100гр.Ніжна,смачна.</t>
  </si>
  <si>
    <t>Льодяна бурулька редис.Сер/ран.,біл.,довг.,до 30г,соков.,смачн.,хворобост.,врожайн.</t>
  </si>
  <si>
    <t>Редис</t>
  </si>
  <si>
    <t>Підсніжник Над/ран.,округ.,червон.,15-25г, напівгостр.,тов.вигл.,хворобост.</t>
  </si>
  <si>
    <t>Сора (Германія) Над/ран.,округ.,черв.,30-35 г,щільн.,смачн.,врожайн.,добре зберіг</t>
  </si>
  <si>
    <t>Сора (Україна) Над/ран.,округ.,черв.,30-35г,щільн.,смачн.,врожайн.,добре зберіг.</t>
  </si>
  <si>
    <t>Французький сніданок Ран.,видовж., черв.-біл.,20-30г,смачн.,товарн.,стаб.врожайн.</t>
  </si>
  <si>
    <t>ЧБК Ран., округ.,черв.-біл.,14-18г,високоврож.,дуже смачн.</t>
  </si>
  <si>
    <t>Редис.</t>
  </si>
  <si>
    <t>18 днів.Ранн.подовж. збілим кінчиком.гарн товарн. вид,смачна.</t>
  </si>
  <si>
    <t>18 днів.Ранн.подовж, збілим кінчиком гарн товрн вид,смачна.</t>
  </si>
  <si>
    <t>Рубін.Ран.округл,червон. 15-20гр. соковита.врож.</t>
  </si>
  <si>
    <t xml:space="preserve">Редис. Семена из Голландії.Насіння Голландської селекц.ранн. сорт,врожайн. </t>
  </si>
  <si>
    <t>Суміш сортів.новинка. 5 в одном ранн сорти редса найкращих сортів</t>
  </si>
  <si>
    <t>Злата.Ранн.23-28днів, жовтого колльору,округло -вирівняна врожайна,смачна.</t>
  </si>
  <si>
    <t>Рання червона.Надранній сорт 25-32гр кругла, хрумка. врожайна.</t>
  </si>
  <si>
    <t>Краковянка.Ранній,смачн. червон з білим кінч. мякуш інодірожеи. 15-20гр</t>
  </si>
  <si>
    <t>Турнепс, врожайн холодост.транспорт.</t>
  </si>
  <si>
    <t>Ріпа.Рання пурпурова.Округла малиново-рожева 100-120гр соковіта.</t>
  </si>
  <si>
    <t>РІпа</t>
  </si>
  <si>
    <t>Брюква.Сер стигл.90-110 дн.колір зелен-жовт.,овальн.тривале зберіг.</t>
  </si>
  <si>
    <t>Айвенго Ран.,крем.-черв.,140г,товщ.5-7мм,стійк.,врож.,ринковий.</t>
  </si>
  <si>
    <t xml:space="preserve">Перець </t>
  </si>
  <si>
    <t>Перець солодкий</t>
  </si>
  <si>
    <t>Анастасія Сер/ран.,черв.,200-250г, 4-6мм,м`ясист.,соков.,15-17шт.з куща</t>
  </si>
  <si>
    <t>Антей Сер/ран.,черв.,150-200г, 5-6мм, дуже врож.</t>
  </si>
  <si>
    <t>Аджика. Серед/ранн відкрит грунт, темно червон. 90гр,гіркий.</t>
  </si>
  <si>
    <t>Богатир Сер/ран.,черв.,120-140г, багато віт С, лежк.,стійкий.</t>
  </si>
  <si>
    <t>Баранячий Ріг (США) Сер/стиг., 20см, яскр.-жовт.,35-50г, до 2мм,універс.,врожайн</t>
  </si>
  <si>
    <t>Богдан. Укр.Сер/стигл жовт, солодк.150-180грстійк. до хвороб.товар вигляд відміннй.</t>
  </si>
  <si>
    <t>Перець.</t>
  </si>
  <si>
    <t>Вікінг.Раньостигл.червоний,120-140гр.лежк.врож.</t>
  </si>
  <si>
    <t>Каліфорнійське диво Сер/ран.,кубов.,черв.,120-150г,до 8 мм,дуже врожайний</t>
  </si>
  <si>
    <t>Ластівка Ран.,конус.,черв.,70-100г, до 5мм,ароматн.,врожайн.,холодост</t>
  </si>
  <si>
    <t>Луміна Ран.,конус.,до 140г, 5-7мм,врож.,кращ.ринковий сорт</t>
  </si>
  <si>
    <t>Обрій ратунда солодка Сер/стиг.,пл.-округ.,черв.,90-140г,7-9мм,універс,до 6 кг/кв.м дуж.смачн</t>
  </si>
  <si>
    <t>Ода Ран.,куб.,фіолет.,100-150г, 4-6мм,смачн.,універс.,врожайн</t>
  </si>
  <si>
    <t>Паланска Бабура Ран.,конус.,черв.,150-200г,6-8мм,смач.,універс.,дуже врож.</t>
  </si>
  <si>
    <t>Перець для грилю Сер/стиг.,довж.20см,черв.,80-90г, 5-6мм, дуже аром.,зберіг.</t>
  </si>
  <si>
    <t>Подарунок Молдови Ран.,конус.,черв.,100-120г, 5мм,смачн.,дуже стійк.та врожайн.</t>
  </si>
  <si>
    <t>Ратунда напівгостра Сер/стиг.,пл.-округ.,черв.,90-100г,7-10мм,унів.,напівгост.</t>
  </si>
  <si>
    <t>Ожаровський Польск.ранн.кубов темно червон. 140-180г универс.</t>
  </si>
  <si>
    <t>Перець</t>
  </si>
  <si>
    <t>Український гіркий Скор/стиг., 17см,черв.,пекуч.,суперврож.,холодостійк.</t>
  </si>
  <si>
    <t>Перець гіркий</t>
  </si>
  <si>
    <t>Кімнатний. плодонос до 3ох років потребує взимку досвічування.</t>
  </si>
  <si>
    <t>Баклажан Айсберг, надран,білого кольор.смачн,массой300-400гр</t>
  </si>
  <si>
    <t>Баклажан.</t>
  </si>
  <si>
    <t>Алмаз.Серед/стигл кущ компакт, плоди темно фіолет. мякуш зелен-біл.без гіркот</t>
  </si>
  <si>
    <t>Баклажан</t>
  </si>
  <si>
    <t>Баклажан 02 Для відкритого грунт,кущі компакт.врожайн.транспорт.</t>
  </si>
  <si>
    <t>Геліос Ран.,округл.,фіолет.,10-15см,300-700г, дієтич.,стійк.,зберіг.</t>
  </si>
  <si>
    <t>Баклажани</t>
  </si>
  <si>
    <t>Донецький врожайний Ран.,циліндр.,14-18см,124-135г,без гірк.,врожайн.,лежк.,трансп.</t>
  </si>
  <si>
    <t>Чорний красень Сер/ран.,округ.-овал.,фіолет.,13-15см,200-250г,смачн.та стійк.</t>
  </si>
  <si>
    <t>Ультраранній.від сход до плод.80-100днів,вага120-140гр дуже смачн.трнспорт.</t>
  </si>
  <si>
    <t>Бегемот F1.Серед/стигл.високоросл, грушевидн. темн фіолет масса від 250-400гр.</t>
  </si>
  <si>
    <t>Цибуля Біла королева.Італія.Серед/стигл,масса 120-140гр.Високі смакові якості.</t>
  </si>
  <si>
    <t>Цибуля.</t>
  </si>
  <si>
    <t>Білий Стерлінг Сер/стиг.,округ.,120-200г,напівгостр.,салатн.,смачн.,зберіг.</t>
  </si>
  <si>
    <t>Веселка Сер/стиг.,окуг.-пл.,фіол.черв.,100-150г,напівгостр.,врож.,стійк.</t>
  </si>
  <si>
    <t>Вольска (Польща) Пізн.,вид.-овал.,бронзов.,90-160г,напівгостр.,механ.збір.зберіг.</t>
  </si>
  <si>
    <t>Глобус Сер/стиг.,овал.,темно-оранж.,150-600г,гостр.,кращ.для зберіг</t>
  </si>
  <si>
    <t>Донецька золотиста Сер/стиг.,округ.-пл.,зол.-жовт.,70-90г,напівгостр.,соков.,лежк</t>
  </si>
  <si>
    <t>Каратальска Сер/стиг.,округ.,зол.-корич.,120-150г,напівгостр.,стійк.,лежкий</t>
  </si>
  <si>
    <t>Луганська Сер/пізн.,округ.-овал.,жовто-корич.,70-146г,напівгост.,холодост.</t>
  </si>
  <si>
    <t>Любчик Сер/стиг.,видовж.,золот.,250г,смачн.,товарн.,зберіг.7-8 міс.</t>
  </si>
  <si>
    <t>Марківський Сер/стиг.,округ.-пл.,жовт.,до 400г,напівгостр.,врожайн.,лежкий.</t>
  </si>
  <si>
    <t>Ред барон Ран.,плеск.-округ.,черв.,130-150г,напівсолод.,№1 серед червон.</t>
  </si>
  <si>
    <t>Рубин Ран.,округ.,фіол.-рож.,60-90г,дуже стійк.,врожайн.,довго зберіг.</t>
  </si>
  <si>
    <t>Стригунівська Сер/стиг.,округ.,золот.,60-100г,гостр.,врожайн.,відм.зберіг</t>
  </si>
  <si>
    <t>Халцедон Сер/стиг.,округ.,бронз.,85-135г,гостр.,соков.,зберіг.до 8 міс.</t>
  </si>
  <si>
    <t>Чорнушка.Насіння на сівок , дворічна культура.Вісів можл під зиму.</t>
  </si>
  <si>
    <t>Ялтиньська . Серед стигл,салатового типу ,не гостра смачна масса 130-150гр.</t>
  </si>
  <si>
    <t>Цибуля на зелень Ельвіра Ран.,до 58см,40-50г,ніжн.,соков.,не грубіє,корисн.,врожайн.</t>
  </si>
  <si>
    <t>321Шалот Цибуля на зелень Рання, смачна, продаж на зелень.</t>
  </si>
  <si>
    <t>Цибуля на зелень Озима Висів.з 15.08-5.09 у відкр.грунт.,смачн.,корисн.,врож.,холодост.</t>
  </si>
  <si>
    <t>Шніт. Розповсюдж сорт на зелень . Перо ніжне,напів-гостр,на одном місті росте 5 років.</t>
  </si>
  <si>
    <t>Порей.Дворічна рослина ,в їжу вживають надземне стебло, дуже ранні врожаї.</t>
  </si>
  <si>
    <t>Цібуля.</t>
  </si>
  <si>
    <t>Цибуля. Батун.Багаторіч/зимост,на одному місці 6-7 років,смак ніжн. гостр.зріз багаторазовий.</t>
  </si>
  <si>
    <t>Амстердамська.Ранн/стигл,вирощ на пучкову продукцію,довжина плода 17-19см Червона.</t>
  </si>
  <si>
    <t>Морква</t>
  </si>
  <si>
    <t>Артек.Ранн/стигл сорт,від посадки до збору 80-100днів,оранжево-червоний.</t>
  </si>
  <si>
    <t>Оленка. Ранн/стигл. сорт червона 15-17см , гарн. товарн.вид.</t>
  </si>
  <si>
    <t>Морква.</t>
  </si>
  <si>
    <t>Болтекс (тип Шансон) Сер/стиг.,коніч.,13-16см,смачн.,врожайн.,гарн.для підзим.вис.</t>
  </si>
  <si>
    <t>Віта Лонга (Німеччина) Сер/пізн.,коніч.,20см,солодк.,багато каротину,врожайна,лежка.</t>
  </si>
  <si>
    <t>Вітамінна 6 Сер/стиг.,коніч.,15см,солодк.,багато карот.,дуже врож.,зберіг</t>
  </si>
  <si>
    <t>Каротель(Ред Кор) Сер/пізн.,тупоконіч.,9-15см,соков.,дієтич.,врожайн.,стійка</t>
  </si>
  <si>
    <t>Корал(Польща) Пізня,циліндр.,20-22см,дуже смачн.,добре зберіг.,хворобостійк.</t>
  </si>
  <si>
    <t>Королева осені Пізня,циліндр.,25-27см,найбільш врожайна та лежка,еф.підзим.</t>
  </si>
  <si>
    <t>Красавка Сер/стиг.,коніч.,17-20см,солодка,соковита,врожйн.,універс.</t>
  </si>
  <si>
    <t>Московська зимова Сер/стиг.,коніч.,16см,дуже смачна,стійка,зберіг.,еф.підзим.вис.</t>
  </si>
  <si>
    <t>Нантська Серед.,цилірдр.,14см,соков.,солод.,дієт.-лікув.,зберіг</t>
  </si>
  <si>
    <t>Червона без серцевини Сер/пізн.,коніч.,туп.,20-25см,дуже гарний тов.вигляд та смак</t>
  </si>
  <si>
    <t>Морква Ням-ням.Сер/рання,черв. 15см, солодка ,лежка.</t>
  </si>
  <si>
    <t>Шантане Сер/стиг.,коніч.,12-15см,солод.,стаб.врож.,універс.,зберіг.</t>
  </si>
  <si>
    <t>Цариця полів.Сер/пізнн. сорт черв.лежка, підляг переробці</t>
  </si>
  <si>
    <t>Червона Бояриня.Герман.Новий сер/пізній сорт.довж19-22см.</t>
  </si>
  <si>
    <t>Лакомка.Нов. ультра-ранн сорт довж 16-18см ніжн. соков. на переробку.</t>
  </si>
  <si>
    <t>Червоный велетень.Сер/пізн.врож.25-30см довж, вага до 350гр.</t>
  </si>
  <si>
    <t>Бордо- 237 Сер/ран.,округ.,12-15см, 232-513г,дуже лежкий,стійкий.</t>
  </si>
  <si>
    <t>Буряк</t>
  </si>
  <si>
    <t>Бордо-Харьківське. Серед/пізн.250-350гр без біих прожил,соковит.</t>
  </si>
  <si>
    <t>Борщовий кубанський Сер/стиг.,округ.,300-520г,смачн.,гарн.тов.вигл.,багато амінокисл.</t>
  </si>
  <si>
    <t xml:space="preserve">Борщевая, раній сорт округ черв з біл кільц.транспорт смачна </t>
  </si>
  <si>
    <t>Боливар.Голл.темно червон, однорідн.округла крупнастійа до захв.</t>
  </si>
  <si>
    <t>Вінегретний Ранн.  стол сорт ,солодк,округ,темно червон.засухостійкий</t>
  </si>
  <si>
    <t>Вінегретна мармеладка.Сер/пізн. сорт маса 215-500гр засухстійк.</t>
  </si>
  <si>
    <t>Буряк.</t>
  </si>
  <si>
    <t>Делікатесна,борд, 250-300гр сер/стигл,лежка.,мае товарн вигл,солодка</t>
  </si>
  <si>
    <t>Детройтський Сер/ран.,овальноокруг.,250-300г,чудов. смак,дуже врожайний.</t>
  </si>
  <si>
    <t>Єгипетський плоский Сер/ран.,пл-округ.,200-260г,дуже смачн.,соков.,врожайн.,зберіг</t>
  </si>
  <si>
    <t>Кардинал.Сер/стигл розповсюдж сорт , збір від 80-100днів,лежкий, смачн в салат.</t>
  </si>
  <si>
    <t>Кедрі.Сер/стигл.вегетац 95-120дн.циліндр, червона до бордо.</t>
  </si>
  <si>
    <t xml:space="preserve">Кросбі. ранн/стигл високоурож.250-500гр темно бордо. лежк. </t>
  </si>
  <si>
    <t>Негритянка.Сер,пізн.округ черв масса 450-700. Стабіл врожайн.</t>
  </si>
  <si>
    <t>Носівський плоский Сер/ран.,пл.-округ.,250-300г,соков.,ніжн.,врожайн.,стійк.,зберіг.</t>
  </si>
  <si>
    <t>Опольский Пізн.,циліндр.,200-600г, смачн.,солод.,дуже врож.,добре зберіг</t>
  </si>
  <si>
    <t>Червона куля Сер/стиг.,округ.,200-500г,соков.,дієт.,хворобост.,лежкий</t>
  </si>
  <si>
    <t>Рівал Сер/пізн.,циліндр.,200-300г, соков.,смачн.,стаб.врож.,зберіг.</t>
  </si>
  <si>
    <t xml:space="preserve"> Мулатка.Новий серед/пізн сорт масса 160-200гр,транспорт, для ринку.</t>
  </si>
  <si>
    <t>ПаблоF1.голланд. Серед/ранн гібрід масса 110-180гр,для пучкового продажу.</t>
  </si>
  <si>
    <t>Циліндра Сер/пізн.,циліндр.,15-20см, 250-600г,солодк.,дуже корисн.,врож</t>
  </si>
  <si>
    <t>Київська рожева.Польш.  Кормова,формує вел плод ,серед/стигл.морозост.</t>
  </si>
  <si>
    <t>Урсус Полі. Полща. Кормова сер /стигл кремового кол.добре збер.</t>
  </si>
  <si>
    <t>Еккендорфсьий кормовий.Серед /ранн ,жовто-сірого кольору,масса від900-2,500 кг.</t>
  </si>
  <si>
    <t>Цукровий  Пізньо /стиг , массой .до 2,00 кг, зовнішн вигл сірий, серцевина біла ,солодка .</t>
  </si>
  <si>
    <t>Бурак.</t>
  </si>
  <si>
    <t>Астраханський Сер/стиг.,червон.,8-10кг, дуже врожайн.,стійк.,транспорт.</t>
  </si>
  <si>
    <t>Кавуни</t>
  </si>
  <si>
    <t>Бінго Ран.,черв., 5-7кг, дуже солодк.,тонкошк.,врож.,добре трансп.</t>
  </si>
  <si>
    <t>Борчанський Ран.,черв., 3кг, зернист.м’якуш,дуже солодк.,врож.,хворобост.</t>
  </si>
  <si>
    <t>Борчанський, ран.,черв., 3кг, зернист.м’якуш,солодк.,врож.,хворобост</t>
  </si>
  <si>
    <t>Княжич Над/ран.,малинов., 5-6 кг, смачн.,стаб.врожайн.,стійк.,зберіг</t>
  </si>
  <si>
    <t>Княжич, над/ран.,малинов., 5-6 кг, смачн.,стаб.врожайн.,стійк.,зберіг</t>
  </si>
  <si>
    <t>Каховский.Ультра /ранн. Полосат темнюзелен. мякуш солодк.</t>
  </si>
  <si>
    <t>Кримсон Світ Ультр/скор.,черв.,8-12 кг,дуже солодк.,ніжн.,без прож.,транспорт</t>
  </si>
  <si>
    <t>Мелітопольський.Сер/стигл, Визріван від80-105 днів,полосатий, мякуш рожево-малинов.</t>
  </si>
  <si>
    <t>Огоньок Ран.,черв.,1,5-2,7кг,смачн.,тонкошкір.,врожайн.,холодостійк</t>
  </si>
  <si>
    <t>Північне сяйво (ультраскорост.), визріває за 62 дні,рожев.,1-2 кг,смач.,врож.</t>
  </si>
  <si>
    <t>Роза юго-востока Сер/ран.,рожев.,2,5-4,5 кг,дуже солодк.,врож.,трансп.,хворобост</t>
  </si>
  <si>
    <t>Цукровий малюк(США) Над/ран.,черв., 3-4,5кг, смачн.,дозріває навіть у холодному клім.</t>
  </si>
  <si>
    <t>Таврійський. Середн/стигл,крупно-плідн, мякоть малинова крупнозернст. досяг 10-15 кг.</t>
  </si>
  <si>
    <t>Чарльстон грей(США) Скор/стиг.,видовж.,черв.,11-13 кг,врожайн.,хворобостійкий.</t>
  </si>
  <si>
    <t>Холодок.Серед/пізн.Довгоплетист,,плід продовг, може зберіг до Нового року і довше..</t>
  </si>
  <si>
    <t>Широненський. Ранн/стигл,вегетація 84 дні, маса 2,7-2,8кг,мякуш рожево- малинов.</t>
  </si>
  <si>
    <t>Ярило.Ранн/стигл,вегетація 67-75 днів, плід гладеньк,темнозеленого забарвл.</t>
  </si>
  <si>
    <t>Алушта Ран.,1,8-2кг, 6,2% цукру,врожайн.,хворобостійка</t>
  </si>
  <si>
    <t>Дині</t>
  </si>
  <si>
    <t>Ананасна, сер/ран.,1-1,2кг,аром.та смачн.,мало насіння,стійка</t>
  </si>
  <si>
    <t>Амал F1. Ранній гібрід, массой 1,8-2.0гр Смачній,соковитий.</t>
  </si>
  <si>
    <t>Берегиня.Ранн. золот.жовта массой 2.5-3.0кг.соковита ,солодка.</t>
  </si>
  <si>
    <t>Дубівка Ултр/скор.,60днів, 0,7-1,1кг,м'якуш товстий,аромат.,стійк</t>
  </si>
  <si>
    <t>Золотиста Ран.,1,5-2кг,соков.,стаб.врожайн.,посухостійка,транспорт.</t>
  </si>
  <si>
    <t>Золотиста, ран.,1,5-2кг,соков.,стаб.врожайн.,посухостійка,транспорт.</t>
  </si>
  <si>
    <t>Інея. Ранн,вегетац 85-90 днів,мякоть біла, соков.,таюча, солодка.</t>
  </si>
  <si>
    <t>Козачка Ран., 2-3кг, тонкошкіра,до 8,1% цукру,дуже врожайна,трансп.</t>
  </si>
  <si>
    <t>Колгоспниця Сер/стиг., до 1кг,біло-зел.,12% цукру,не розтр.,врожайн.,зберіг</t>
  </si>
  <si>
    <t>Криничанка Ран., 2,5 кг,відмін.смак, висока врожайність, хворобст.</t>
  </si>
  <si>
    <t>Леся Сер/стиг., 2,5-3,2кг,біло-зел.,тонкошкіра,добре зберіг.,трансп.</t>
  </si>
  <si>
    <t>Медовий аромат(Гол.) Сер/ран., 1-1,2кг, м’якуш соков.,оранж.,дуже аромат.,хворобост.</t>
  </si>
  <si>
    <t>Тітовка Ран., 0,7-3,5кг,стаб.врожайна,добре трансп.,хворобост.</t>
  </si>
  <si>
    <t>Ефіопка.Серед/ранн Вегетац 78-95 дн.масса від 3,0 до 7,0 кг, транспортабельна.</t>
  </si>
  <si>
    <t>Дині.</t>
  </si>
  <si>
    <t>ПРидністровська.Ранн, вегетац, 70-75 дней, масса 0.7- 1,7 кг. Желтая, с густ сеткой.</t>
  </si>
  <si>
    <t>Рання 133.Ранн сорт , соковита, смачна ,вегетац. 67-80 днів.</t>
  </si>
  <si>
    <t>Волжський сірий Сер/стиг.,столов.,6-9кг, каша, насіння, посухостійкий,зберіг.</t>
  </si>
  <si>
    <t>Гарбузи</t>
  </si>
  <si>
    <t>Гілея Сер/стиг.,столов.,6-8кг,солодк.,баг.карот.,лежк. до 12 міс.,стійк.</t>
  </si>
  <si>
    <t>Мигдальний Сер/стиг.,кращ.з столов.,4-5кг,чудов.смак,трансорт., лежкий.</t>
  </si>
  <si>
    <t>Мускат де прованс Сер/стиг.,стол.,6-8кг,дуж.солодк.,аром.,універс.,зберіг.,трансп.</t>
  </si>
  <si>
    <t>Південний голонасінний Сер/ран., стол.,3-7кг, насіння без грубої оболонки, лікув.</t>
  </si>
  <si>
    <t>Український багатоплідний Сер/стиг.,стол.,5-8 кг,гарн.смак+чудов.насін.,дуже врож.,лежк.</t>
  </si>
  <si>
    <t>Арабатская, ранн/стигл гитароподібної формы массой до 3 кг, помаранчов мякуш, сахарист.</t>
  </si>
  <si>
    <t>Аеронавт Цукіні Ран.,кущ.,темно-зел/біло-жовт.,напівсолод.,універс., зберіг</t>
  </si>
  <si>
    <t>Кабачки</t>
  </si>
  <si>
    <t>Анаконда Суміш 4 різнокольоров.сортів</t>
  </si>
  <si>
    <t>Білоплодний, ранн/стигл жіноч тип цвітння,врожайній сорт ,транспорт</t>
  </si>
  <si>
    <t>ВАйт- Буш,коллекц закорд сорт, ранн/стигл 10-12кг з м2.</t>
  </si>
  <si>
    <t>Грибівский Сер/ран.,кущ.,біло-зел.,м`якуш біл.,хворобост., універс</t>
  </si>
  <si>
    <t>Зебра Цукіні Ран.,кущ.,зел.з темн.смуж./біло-жовт.,соков.,універс.,зберіг.</t>
  </si>
  <si>
    <t>Золотинка Цукіні Ран.,кущ.,жовт.,чудовий для консерв.,дуже врожайн.,зберіг.</t>
  </si>
  <si>
    <t>Кущовий Ран.,кущ.,салат.,м'якуш крем.,соковит.,універс.,гарна трансп</t>
  </si>
  <si>
    <t>Одеський Скор/стиг.,кущ.,світ.-зелен.,світ.-жовт.,універс.,хворобост</t>
  </si>
  <si>
    <t>Ранній красень F1(Китай) Над/ран.,кущ.,біло-зел., м'як.біл., не старіє,підвищ.хворобост.</t>
  </si>
  <si>
    <t>Ролік Ран.,кущ.,біло-зел., салат.,врож., трансп.,холодост.</t>
  </si>
  <si>
    <t>Скворушка Цукіні Ран.,кущ.,світло-зелен./салат.,врожайн.,добре зберіг.,транспорт</t>
  </si>
  <si>
    <t>Цукеша Сер/стиг.,кущ.,темно-зел.,чудов. смак,врожайн.,зберіг.</t>
  </si>
  <si>
    <t>Чаклун Скор.,кущ.,св.-зелен./крем.,дуже врож., холодостійк.</t>
  </si>
  <si>
    <t>Кавили F1.урож гибрід , слабо плетист, пучкова завязь плодів, маса 0,8- 1,5 г.Надранні.</t>
  </si>
  <si>
    <t>429 Світозар. Ранн/стигл.яскраво жовтого забарв.кущовий,вегетац 41-50 днів.</t>
  </si>
  <si>
    <t>Білий - 13 Сер/ран.,бл.-зелен./салатн.,врожайн.,хворобост., для консерв.</t>
  </si>
  <si>
    <t>Патисони</t>
  </si>
  <si>
    <t>431Малахіт. Серед/ранн,темно зелен ,смачн,хрустк. плоді гарні на вигляд у конснрвації</t>
  </si>
  <si>
    <t>Оранжевий патисон Сер/стиг.,кущ.,оранж./біл., до 500г, тонкошк.,корисн.,хворобост.</t>
  </si>
  <si>
    <t>Сашенька Над/ран.,білий, міні — діам.7-10см, засухост.,краший для консерв.</t>
  </si>
  <si>
    <t>Салат Верна Ран., кочан., до 150г, св.-зелен.,тов.вигл.,врожайний,хворобост.</t>
  </si>
  <si>
    <t>Зелені культури</t>
  </si>
  <si>
    <t>Салат Латук Скор/стиг., смачн.,лікує шлунк.-кишк.тракт,гарн.товарн.вигляд</t>
  </si>
  <si>
    <t>Салат Лолло Біонда Над/ран.,кудр.,жовто-зел.,делікатесн.,горіх.смак,холодост</t>
  </si>
  <si>
    <t xml:space="preserve">Салат Лолло Роса Ран.,лист.,бордов.-зелен.,смачн.,багато йоду,калію та магнію. </t>
  </si>
  <si>
    <t>Салат Одеський кучерявець Сер/стиг.,лист.,св.-зелен.з курчер.краєм,відм.смак,посухост.</t>
  </si>
  <si>
    <t>Салат Палітра Суміш 7 сортів різної форми, кольору та строків дозрівання.</t>
  </si>
  <si>
    <t>Салат Рукола Ран.,лист.,гострий,лікув.,розчиняє холест.бляшки , холодост.</t>
  </si>
  <si>
    <t>Салат Сніжинка Сер/ран., листов.,жовто-зел.,чудов.смак,холодост., невибагл.</t>
  </si>
  <si>
    <t>443 Салат Айсберг, ранн, листов ,ніжний,холодостійк.</t>
  </si>
  <si>
    <t>444  Салат Тайфун, 500шт, надранн ,смачн,для продажу.</t>
  </si>
  <si>
    <t>445 СалатМизуна червона, дуже гарний для прикрашення , стійк до хвороб.</t>
  </si>
  <si>
    <t>446 Салат Каталогна для бутербродів, холодстійка, поступове дозрів.</t>
  </si>
  <si>
    <t>447 Валеріанела салатна, особл. відміннй смак,холодост.</t>
  </si>
  <si>
    <t>Шпинат Матадор Суп/скор., шир.лист., поживн.,багато заліза,холодост.</t>
  </si>
  <si>
    <t>449 Щавель широколистый, багат.річн.,вітам А,С РР, мікро,макро єлл, холодост.</t>
  </si>
  <si>
    <t>Зелені культури.</t>
  </si>
  <si>
    <t>Щавель широколистий Ран.,багаторіч., вітам. А, С, РР, мікроелем.та кисл.,холодост.</t>
  </si>
  <si>
    <t>Базилік Карамельний фіолетовий Найароматніший сорт, уріпл.імунітет, лікує бронхіт і нерв.сист</t>
  </si>
  <si>
    <t>Пряносмакові культури</t>
  </si>
  <si>
    <t>Базилік Пурпурова зоря фіолетовий Однор.,ран., з аром. гвоздик., хворобост.,сечогін.,врож.</t>
  </si>
  <si>
    <t>Базилік Рутан зелений Однор.,ран.,ефірн.,для кулінар.,лікує гастрит та головн.біль.</t>
  </si>
  <si>
    <t>Грибна трава (Пажитник) Однор.,грибн.аромат,кулін.,знижає тиск,цукор та холест.</t>
  </si>
  <si>
    <t>Естрагон (Тархун) Багатор.,смачна приправа, нормаліз. кислот., імуностим.</t>
  </si>
  <si>
    <t>Кінза (Коріандр)Нектар Однор.,відом.припр.,антисепт., лікує шкіру,морозост</t>
  </si>
  <si>
    <t>Кмин Дворіч., в кулін.,поліпш. травлення,жовчогін.,заспокійл.дія.</t>
  </si>
  <si>
    <t>Кріп Алігатор кущовий Сер/пізн.,ароматн.,соковит.,дуже врож,не стрілк.</t>
  </si>
  <si>
    <t>Кріп Грибівский Ран., високоросл.,духмян.,врожайний,вжив. у св.вигл. і для конс.</t>
  </si>
  <si>
    <t>Кріп кущовий Геркулес Скор/стиг.,врожайн.,декілька врож. за сезон,холодостійк.</t>
  </si>
  <si>
    <t>Огіркова трава Бораго Однор., для окрошки та салатів,медонос,сечогін.та очисна дія.</t>
  </si>
  <si>
    <t>Пастернак Петрик Сер/стиг. ,соков.корнеплід для дієт.харчув., аром.,багато віт.та мін.</t>
  </si>
  <si>
    <t>Петрушка коренева Урожайна Сер/стиг.,багато вітам.,високоврожай.,у свіж.вигл.та для консерв.</t>
  </si>
  <si>
    <t>Петрушка коренева Цукрова Скор/стиг.,коренева,корнеплід велик.,врожайна,універс.признач.</t>
  </si>
  <si>
    <t>Петрушка кудрява Парамоунт Скор/стиг.,чудов.аромат,довго зберіг.,холодо- та посухостійка</t>
  </si>
  <si>
    <t>Петрушка Кучерява Сер/стиг.,смачна,декорат.,лік.серце,шлунок та зір,холодостійка</t>
  </si>
  <si>
    <t>Петрушка листова Гігантелла Скор/стиг.,рясна листк.маса,ароматна,стійка до негоди</t>
  </si>
  <si>
    <t>Розмарин Горизонт Вічнозел.чагарник,до м`яса,салат.,лік.шлунок, нерви, безсоння.</t>
  </si>
  <si>
    <t>Селера коренева Монарх Серед., плоди до 500г, ніжн.,аром.,дієт.,високоврож., хворобост</t>
  </si>
  <si>
    <t>Фенхель Листовий Багатор., прянощі, лік.авітоміноз,нирков.та жовчо-кам'ян.хвороби</t>
  </si>
  <si>
    <t>Фенхель Овочевий гігант Сер/стиг.,дієт.харчування,для лікув.печінки, нирок, очей, застуди.</t>
  </si>
  <si>
    <t>Черешкова Селера Сер/пізн.,скарбниця вітам.та мікроелементів,підвищує потенцію.</t>
  </si>
  <si>
    <t>Газон Універсальний (імп.) Сорти трав, які є пластичними до різних умов вирощ.</t>
  </si>
  <si>
    <t>Газонні трави</t>
  </si>
  <si>
    <t>Тіньовитривалий Газон (імп.) Не потребує прямого сонячн.освітлення,необх.полив</t>
  </si>
  <si>
    <t>Тіньовитривалий(імп.), не потребує прямого сонячн.освітлення,необх.полив</t>
  </si>
  <si>
    <t>Універсальний озеленювальний Газон (Укр.) Сорти трав, які є пластичними до різних умов вирощ</t>
  </si>
  <si>
    <t>Боби Гігантські Однор.,суміш сортів (Італія),велик.,цін.білков прод.,холодост</t>
  </si>
  <si>
    <t>Бобові культури</t>
  </si>
  <si>
    <t>Вігна Китайська витка Різновид спарж.квас.,100-120см,смачн.,декорат,стійка,теплолюб.</t>
  </si>
  <si>
    <t>Горох цукровий Овочеве диво Сер/стиг., до 80см, біб 6-8см, смачн.,врожайн.,гарн.для консерв</t>
  </si>
  <si>
    <t>Горох Каскадний Ран., до 80см, високоврож.,м`яс.,делікатесн.смак,невибаглив</t>
  </si>
  <si>
    <t>Горох спаржевий Дитячий Ран.,біб 11-12см, до 9% цукру,багато вітам.та амінокислот</t>
  </si>
  <si>
    <t>Горох цукровий Адагумский Сер/стиг., стеб.до 80см,врожайн.,мозк.,стійк. до в’янен.</t>
  </si>
  <si>
    <t>Горох цукровий Альфа Над/ран., стеб.50-55см, врожайн.,мозк.,солодк.,стійк. до в’янен.</t>
  </si>
  <si>
    <t>Нут Делікатес Зам. м'яса,лікув.при діаб.та захв.ЖКТ, холодост., хворобост</t>
  </si>
  <si>
    <t>Нут делікатесний Антей Зам. м'яса,лікує ожирін.печінки,для схудн.,холодо- та хворобост.</t>
  </si>
  <si>
    <t>Блаухільда( Герм.) Сер/ран.,вит., лоп.фіолет. 20-25см, ніжн.,універс.</t>
  </si>
  <si>
    <t xml:space="preserve">Квасоля </t>
  </si>
  <si>
    <t>Квасоля спаржева</t>
  </si>
  <si>
    <t>Віолета Ран.,вит., лоп.фіолет., підв.вміст лізину,смачна.</t>
  </si>
  <si>
    <t>Грибний аромат Ран.,кущ.,лоп.зелен.12-13см,нас.темн-син.,дрібне,краща для конс</t>
  </si>
  <si>
    <t>Златка Сер/стиг.,кущ. 0,5м, лоп.зелен,зерна золот.,без волок.,дуже врож.</t>
  </si>
  <si>
    <t>Зодіак Най/скор.,кущ.,лоп.зелена 12-13см,нас.сіро-біле,врож.,стійк.</t>
  </si>
  <si>
    <t>Лаура Скор/стиг.,кущ.,лопат.золот.14-16см,нас.біле,овал.,врож.посухост.</t>
  </si>
  <si>
    <t>Пурпур-Кінг Скор/стиг.,кущ.,лопат.фіолет.13-15см,зерна беж.,без груб.волок.</t>
  </si>
  <si>
    <t>Мавка Ран.,кущ.35-45см, зерна білі,баг.протеїну,смачн.,врожайн.</t>
  </si>
  <si>
    <t>Квасоля зернова</t>
  </si>
  <si>
    <t>Файній Ясь. Витка, дуже крупні фасол. ніжні,смачні, врожайн.</t>
  </si>
  <si>
    <t>Квасоля.</t>
  </si>
  <si>
    <t>Брусниця Цукрова Ран., жовт-оранж., 220г, ніжн.,дієт., 3% цукру,універс.,стійка</t>
  </si>
  <si>
    <t>Кукурудза</t>
  </si>
  <si>
    <t>Делікатесна Цукрова Сер/стиг., жовт.,15-20см,160-190г,солодка, врож.,добре зберіг.</t>
  </si>
  <si>
    <t>Поп-корн Гостинець Сер/стиг., жовт.,20-22 см,смачна,врожайна,посухостійка.</t>
  </si>
  <si>
    <t>Санданс F1 Над/ран., яскр-жовта, почат.коніч.19 см, солодка,універс.</t>
  </si>
  <si>
    <t>Блиск зірок Сер/ран., черв., кущ до 20см, 8-10г, ремонтант,безвуса,аром.,зимост.</t>
  </si>
  <si>
    <t>Суниця</t>
  </si>
  <si>
    <t>Жовтий крем Ран.,крем-жовт., кущ до25см, 4-5г, ремонт, безвуса,дуж.смачна.</t>
  </si>
  <si>
    <t>Бамія (Гібіскус) Теплолюб,дієт., баг.аскорб.,карот.та віт.В, лікує гастрит,бронхіт</t>
  </si>
  <si>
    <t>Рідкісні культури</t>
  </si>
  <si>
    <t>Тютюн курильний Теплолюб., 1-1,5м, лист широк.,гострий,бор.з шкідниками.</t>
  </si>
  <si>
    <t>Гісоп Багатор., для лікув. легеневих хвороб в т.ч. астми,чуд.чай.</t>
  </si>
  <si>
    <t>Лікарські рослини</t>
  </si>
  <si>
    <t>Лофант анісовий Бакта Багатор.,70-100см,медонос,підв.імунітет, лікує бронхо-лег.хвор</t>
  </si>
  <si>
    <t>Любисток Багатор.,тонізуює,лікує головний біль та волосся,символ любові.</t>
  </si>
  <si>
    <t>Ревінь Над/ран.,багатор.,для покращ. травлення і обміну речовин,кулінар</t>
  </si>
  <si>
    <t>Цикорій "Кавовий" 2-річн.,корн.30,см,200г,лікує серце,шкіру,ШКТ,підв.іммунітет</t>
  </si>
  <si>
    <t>Агератум білийОдноріч.,60-70дн.,20-30см,кулеподіб.,декор.,для оф.квітн.</t>
  </si>
  <si>
    <t>Квіти</t>
  </si>
  <si>
    <t>Квіти однорічні</t>
  </si>
  <si>
    <t>Аліссум білий Одноріч.,15-30см,мед.аром.,ств.килим,обрам.клумб, рокаріїв</t>
  </si>
  <si>
    <t>Аліссум суміш Одноріч.,15-30см,мед.аром.,ств.килим,обрам.клумб, рокаріїв</t>
  </si>
  <si>
    <t>Аммобіум Одноріч.,50-70см,для оранжув.живих квітів і зимових букетів</t>
  </si>
  <si>
    <t>Арктотіс Одноріч.,50-70см,блакитно-білого кол.з темно-синім центром</t>
  </si>
  <si>
    <t>Бальзамін махровий Одноріч.,до 60см,кв.до 4-5 см в діам.,цвіте рясно і довго,суміш</t>
  </si>
  <si>
    <t>Бальзамін Одноріч.,до 60см,кв.до 4-5 см в діам.,цвіте рясно і довго,суміш</t>
  </si>
  <si>
    <t>Віола трикольорова суміш Дворіч.,15-25см,суміш яск.кольор.,4-7см,для клумб та балкон.</t>
  </si>
  <si>
    <t>Волошка імператорська Наречена Одноріч.,60-80см,діам.6-8 см,біла,тонкий аромат,невибаглива</t>
  </si>
  <si>
    <t>Гарбуз декоративний Грибочки Одноріч.,ліани декорат.гарбузів,прикр.стіни,альтанки,композ</t>
  </si>
  <si>
    <t>Гвоздика Китайська махрова Одноріч.,40-50 см,махр.,різнокольор.,для квітн.,балкон.,на зріз</t>
  </si>
  <si>
    <t>Гвоздика Турецька суміш Дворічн.,до 50см,суцв.з 20-30 квіт.,10-12см,декорат.,для зрізув</t>
  </si>
  <si>
    <t>Геліхрізум Оранжеве сонце Одноріч.,до 1м,махрові квіт.,діам.до 6 см,оранжеві,сухоцвіт</t>
  </si>
  <si>
    <t>Гібіскус</t>
  </si>
  <si>
    <t>Гіпсофіла рожева Одноріч.,до 40 см,багаточис.квітки діам.1см,для оранж.букет.</t>
  </si>
  <si>
    <t>Годеция карликоваОдноріч.,25-35см,діам.5-8см,черв.,для рабаток,борд.,балконів</t>
  </si>
  <si>
    <t>Горошок запашний низькийОдноріч.,до 35см,чудов.кв.3-5см,гарно росте в зимових садах</t>
  </si>
  <si>
    <t>Дельфініум Одноріч.,до 100см,діам.до 5см,суміш кольор.,морозостійк.</t>
  </si>
  <si>
    <t>Дигіталіс (Наперстянка) біла Дворіч.,до 120см,діам.до 4см,біла,посухост.,квітне в півтіні</t>
  </si>
  <si>
    <t>Дигіталіс (Наперстянка) Скарлет Двріч.,до 120см,діам.до 4см,червона,посухост.,квітне в півтіні</t>
  </si>
  <si>
    <t>Дигіталіс (Наперстянка) суміш Двріч.,до 150см,діам.до 4см,різнокольор.,квіт.в півтіні,лікув.</t>
  </si>
  <si>
    <t xml:space="preserve">Диморфотека (ромашка різнокольорова) Одноріч.,до 50см,діам.4-7см,декор.,холодо- та посухостійка </t>
  </si>
  <si>
    <t>Диморфотека тетра біла Одноріч.,до 50см,діам.7-10см,кущ кулепод.,кам'ян.гірки,клумби</t>
  </si>
  <si>
    <t>Цинія Енві Одноріч.,до 70см,діам.12-14см,жоржин.,напівкул.світло-зелені</t>
  </si>
  <si>
    <t>Жоржини високі Веселі хлоп'ята Одноріч.,до 70 см,немахр.або напівмахр.суцвіття-кошики,6-9 см</t>
  </si>
  <si>
    <t>Жоржини напівмахрові суміш Денді Одноріч.,до 50см,діам.7-9см,пел.нагадують витончені пір'їни</t>
  </si>
  <si>
    <t>Іпомея блакитна Одноріч.,витка,2-3м,кв.лійкопод.,блакит.,діам.10см,відк.вдень</t>
  </si>
  <si>
    <t>Іпомея трикольрова Одноріч.,витка,до 3м,кв.лійкопод.,діам.6-8см,суміш.,відк.вдень</t>
  </si>
  <si>
    <t>Календула махрова Одноріч.,до 60 см,діам.5-6 см,жовті і помаранч.,холодост.,лікув.</t>
  </si>
  <si>
    <t>Квасоля декоративна витка Одноріч.,витка,до 4м,квіт.черв.,з липня до примороз.,боби їстівні</t>
  </si>
  <si>
    <t>Кларкія суміш Одноріч.,до 70 см,діам.до 4см,цвіт.рясно, різноманітне забарвл</t>
  </si>
  <si>
    <t>Космея Космос сумішОдноріч.,1,2-1,5м,діам.6-10см,різнокольор., витрим.підстриган</t>
  </si>
  <si>
    <t>Лаватера біла Одноріч.,до 1м,діам.до 12см,розлога від основи стеб.,посухост.</t>
  </si>
  <si>
    <t>Лаватера рожева Одноріч.,до 1м,діам.до 12см,розлога від основи стеб.,посухост.</t>
  </si>
  <si>
    <t>Лаватера суміш Одноріч.,до 1м,діам.до 12см,біла та рожева,розлога,посухост.</t>
  </si>
  <si>
    <t>Левині ротики Алтголд Одноріч.,до 80см,квіти жовті ,холодостійкі</t>
  </si>
  <si>
    <t>Левині ротики Аляска Одноріч.,до 80см,квіти великі,прям.тугі білі китиці,холодостійкі</t>
  </si>
  <si>
    <t>Левині ротики Апельсин Одноріч.,до 80см,квіти черв.-оранж.китиці,холодост</t>
  </si>
  <si>
    <t>Левині ротики багряні Одноріч.,до 80см,квіти багр.китиці,холодост.</t>
  </si>
  <si>
    <t>Левині ротики рожеві Одноріч.,до 80см,квіти рожев.китиці,холодост.</t>
  </si>
  <si>
    <t>Левині ротики суміш, високіОдноріч.,до 80см,квіти різноманіт.кольору,холодост.</t>
  </si>
  <si>
    <t>Левині ротики суміш, низькі Одноріч.,до 40см,квіти різноманіт.кольору,холодост.</t>
  </si>
  <si>
    <t>Лобелія синя Одноріч.,10-30 см,діам.1,5-2см,від блак.до фіолет.,рясноквітуча</t>
  </si>
  <si>
    <t>Люпин суміш Одноріч.,60-70см,метелик.кв.,різнокольор.,зібр. в колоск.суцвіт.</t>
  </si>
  <si>
    <t>Льон великоквітковий червоний Одноріч.,до 60см,діам.до 4см,черв.,шовк.з темн.центр.,невибаг</t>
  </si>
  <si>
    <t>Мальва махрова біла Дворіч.,до 2 м,діам.10-15см,білі,морозо- та посухостійка</t>
  </si>
  <si>
    <t>Мальва махрова жовта Дворіч.,до 2 м,діам.10-15см,жовті,морозо- та посухостійка</t>
  </si>
  <si>
    <t>Мальва махрова оранжева Дворіч.,до 2 м,діам.10-15см,оранж.,морозо- та посухостійка</t>
  </si>
  <si>
    <t>Мальва махрова рожева Дворіч.,до 2 м,діам.10-15см,рожеві,морозо- та посухостійка</t>
  </si>
  <si>
    <t>Мальва махрова червона Дворіч.,до 2 м,діам.10-15см,червоні,морозо- та посухостійка</t>
  </si>
  <si>
    <t>Мальва Нічний птах Дворіч.,до 2 м,діам.10-15см,чорно-фіолет.,колосовидні суцвіт</t>
  </si>
  <si>
    <t>Мальва садова, суміш немахрова Дворіч.,до 2,5 м,діам.10-15см,різнокольорові,колосовидні суцвіт</t>
  </si>
  <si>
    <t>Маргаритка біла Дворіч.,до 15см,діам.до 2,5см,бордюр.,горш.,невибагл.</t>
  </si>
  <si>
    <t>Матіола (Нічна фіалка) Одноріч.,25-40см,діам.1-1,5см,чуд.аромат,довгоквіт.,холодост</t>
  </si>
  <si>
    <t>Міна (Квамокліт) Одноріч.,витка,до 3м,суцв.-китиці до 25 см,від черв.до білого</t>
  </si>
  <si>
    <t>Настурція золота Одноріч.,витка,до 1,5м,діам.5см,жовт.,цвіте все літо</t>
  </si>
  <si>
    <t>Настурція низькоросла суміш Одноріч.,до 40см,діам.3-4см,різнок.,цв.довго і рясно,посухост.</t>
  </si>
  <si>
    <t>Нігелла Одноріч.,30-50см,діам.3-4см,ажур.лист.вишуканої форми,суміш</t>
  </si>
  <si>
    <t>Перець декоративний Постійно цвіте і зав'язує гарні плоди,гострі на смак,кімнатн.</t>
  </si>
  <si>
    <t>Петунія Одноріч Аврора .,сумiш рож.-черв.забарв.,посухост.,квітув.довготривале</t>
  </si>
  <si>
    <t>Петунія балконна суміш Одноріч.,квітки великі,бархат.,різнобарвні,світлолюбна</t>
  </si>
  <si>
    <t>Петунія Біла куля Одноріч.,30-50см,білі квіт.кулястої форми,холодо- та посухост</t>
  </si>
  <si>
    <t>Петунія малинова каскадна Одноріч.,квітки великі,малин.,барх.,для ваз,балк.,квітн.</t>
  </si>
  <si>
    <t>Петунія мініатюрна Одноріч.,30-40см,квітки невеликі,різноманіт. забарв.,холодост</t>
  </si>
  <si>
    <t>Петунія рожева Одноріч.,квіт.великі,рожеві,посухост.,світлолюбна, посухост.</t>
  </si>
  <si>
    <t>Петунія суміш Одноріч.,до 50см,діам.4-10см,різном.забарв.,посухост.,невибаг.</t>
  </si>
  <si>
    <t>Петунія Супербіссіма суміш Одноріч.,до 50см,діам.до 10см,різнобарв.,світолюбна,посухост.</t>
  </si>
  <si>
    <t>Петунія фіолетова каскадна Одноріч.,квітки великі,фіолет.,барх.,для ваз,балк.,квітн.</t>
  </si>
  <si>
    <t>Сальвія блискуча червона Одноріч.,до 50см,яскраво-черв.,не витрим.замороз.,світлолюбна</t>
  </si>
  <si>
    <t>Сальпіглосіс Одноріч.,40-70см,квітки великі,дуже тендітні, різнокольор.</t>
  </si>
  <si>
    <t>Соняшник Ведмежа Одноріч.,до 1 м, діам.до 30см,густомахрові помар.квітки</t>
  </si>
  <si>
    <t>Суміш витких однорічників Духм'яний горошок,іпомеї,виткі квасолі,квамокліт,доліхос та ін</t>
  </si>
  <si>
    <t>Цинія Атракціон Одноріч.,до 70см,діам.12-14см,напівкул.багряні суцвіття</t>
  </si>
  <si>
    <t>Цинія Бордюрна рожева Одноріч.,до 40см,квіти махрові,для низьк.бордюр.,клумб</t>
  </si>
  <si>
    <t>Цинія Ілюмінація Одноріч.,до 75см,діам.11-12см,напівкул.темно-рожеві суцвіття</t>
  </si>
  <si>
    <t>Цинія Кримсон монарх Одноріч.,до 80см,діам.11-13см,жоржин.,напівкул.темно-червоні</t>
  </si>
  <si>
    <t>Цинія Місячний камінь Одноріч.,60-70см,діам.9-11 см,напівкул.рож.-бузкові суцвіття</t>
  </si>
  <si>
    <t>Цинія Пурпур принц Одноріч.,до 75см,жоржин.,діам.11-12см,напівкул.,пурпурн</t>
  </si>
  <si>
    <t>Цинія суміш Бордюрна Одноріч.,до 40см,квіти махрові,для низьк.бордюр.,клумб</t>
  </si>
  <si>
    <t>Цинія суміш Каліфорнійський гігант Однріч.,до 90см,діам.14-16см,напівкул.різнокол суцвіт</t>
  </si>
  <si>
    <t xml:space="preserve">Цинія суміш Карусель Одноріч.,90-100см,великі пістряві квіти,найпривабливіший сорт </t>
  </si>
  <si>
    <t>Цинія суміш Одноріч.,до 90 см,різноманіт.забарв.,посухост.,світлолюбні</t>
  </si>
  <si>
    <t>Червона стрічка Жоржина Одноріч.,40-60см,діам.6-9см,гарн.для букет.та сад.композицій</t>
  </si>
  <si>
    <t>Чорнобривці Валенсія 15-20 см,золот.,махр.і напівмахр.,діам. 4-5 см,до 20 кв./кущ</t>
  </si>
  <si>
    <t>Чорнобривці Гном 20 см,корич.-черв.з жовт.серед.,хризантемовидн., діам.3-4 см</t>
  </si>
  <si>
    <t>Чорнобривці Карликові жовті до 30 см,лимон.,махр. і напівмахр., діам. 3- 4 см,більш 20 кв/кущ</t>
  </si>
  <si>
    <t>Чорнобривці Кармен до 40 см,кулепод.,червоно-корич.,посухост.,невимог.до грунту</t>
  </si>
  <si>
    <t>Чорнобривці Лулу 15-20 см,листя дрібне,тонке,корзинки 1,5-3см в діам.,яскр.килим</t>
  </si>
  <si>
    <t>Чорнобривці Оранжевий хлопчик 15-20 см,оранж.,махр.і напівмахр., діам.3-4 см,посухост.</t>
  </si>
  <si>
    <t>Чорнобривці суміш високорослих прямостоячих 60-80 см,дуже гілляс.,суцвіт-кошики,рясн,довг.квіт</t>
  </si>
  <si>
    <t>Водозбір (Аквілегія) білий До 70см,діам.4-8см,біл.,холодостійк.,для газон.,клумб,на зріз</t>
  </si>
  <si>
    <t>Квіти багаторічні</t>
  </si>
  <si>
    <t>Водозбір (Аквілегія) махровий суміш до 60 см,діам.4-8см,махр.,різнокол.,стійкий,для газ.,клумб</t>
  </si>
  <si>
    <t>Водозбір (Аквілегія) Рубін до 60 см,діам.4-8см,черв.з біл.,холодост.,для газон.,клумб,на зріз</t>
  </si>
  <si>
    <t>Водозбір (Аквілегія) суміш До 70см,діам.4-8см,різнокол.,стійкий,для газон.,клумб,на зріз</t>
  </si>
  <si>
    <t>Водозбір Аквілегія Синій птах 40см,діам.4-8см,син.з біл.,холодостійк.,для газон.,клумб,на зріз</t>
  </si>
  <si>
    <t>Гайлардія До 90см,діам.до 8см,жовт.-вишн.-черв.,для клумб,рабаток,гірок</t>
  </si>
  <si>
    <t>Гвоздика Периста До 35см,діам.до 3см,суміш забарв.,для бордюрів,клумб,на зріз</t>
  </si>
  <si>
    <t>Гвоздика трав'янка Діамант 15-20см,діам.1-2см,суміш,аром.,невибаг.,для кам'ян.гірок,вазон.</t>
  </si>
  <si>
    <t>Геліопсис До 1,5м,діам.8-9см,золот.,невибаг.,довговічн.,на зріз.</t>
  </si>
  <si>
    <t>Гібіскус багаторічний До 3м,діам.12-15см,різном.забарв.,дуже декорат.,холодостійк</t>
  </si>
  <si>
    <t>Гіпсофіла багаторічна біла До 1м,діам.до 1см,сильнорозгал.,для оранж.літніх та зим.букетів</t>
  </si>
  <si>
    <t>Гіпсофіла багаторічна рожева До 15 см,сильнорозгал.,для оранж.літніх та зим.букетів</t>
  </si>
  <si>
    <t>Горошок багаторічний ліана до 2,5м,діам.до 4см,для верт.озелен.альтанок,огорож,стін</t>
  </si>
  <si>
    <t>Дельфініум Астолат рожевий 80-120см,діам.до 5см,довж.суцв.25-30см,світлолюб</t>
  </si>
  <si>
    <t>Дельфініум багаторічний суміш 80-120см,діам.до 5см,довж.суцв.25-30см,світлолюб.</t>
  </si>
  <si>
    <t>Енотера До 50 см,діам.до 8см,аромат.,невибаг.,сонцелюбна,декорат.</t>
  </si>
  <si>
    <t>Ехінацея біла Альба 80-120см,діам.10-12см,світлолюб.,зимостійка,лікувальна</t>
  </si>
  <si>
    <t>Клематіс золотий Ліана 2,5-3м,діам.до 4см,для вертик. озелен.,цвіте до сер.осені</t>
  </si>
  <si>
    <t>Ліатрис До 70см,колос.до 35см,для клумб,кам’ян.і альп.садів</t>
  </si>
  <si>
    <t>Ліхніс Віскарія 50см,махров.рожев.,невибагл.,на кам'ян.гірки,клумби</t>
  </si>
  <si>
    <t>Ліхніс Зірочка До 1м,кв.1,5-2см,вогн.-черв.,цв.рясно і довго,універсальн.</t>
  </si>
  <si>
    <t>Люпин багаторічний рожевий До 60 см,ніжно-рож.китиці до 35см,для змішаних посадок,на зріз</t>
  </si>
  <si>
    <t>Люпин багаторічний червоний До 60 см,яскр.-черв.китиці до 35см,для змішаних посадок,на зріз</t>
  </si>
  <si>
    <t>Люпин багаторічний сумішДо 60 см,різнокол.китиці,холодост.для квітн.,на зріз</t>
  </si>
  <si>
    <t>Люпин багаторічний Білий лицар До 60 см,білі китиці,холодост.для квітн.та на зріз</t>
  </si>
  <si>
    <t>Льон багаторічний блакитний До 60см,декор.,холодост.,рабатки,міксборд.,груп.посад.</t>
  </si>
  <si>
    <t>Незабудка Вікторія блакитна 15-20см,діам.до 1см,для оформл.квітник.,балкон.,газон.,рабаток</t>
  </si>
  <si>
    <t>Нів`яник (Ромашка біла) До 80см,діам.до 10см,довгоквітуча,сонцелюбна,універсальна</t>
  </si>
  <si>
    <t>Пеларгонія кімнатна рослина 30-50см,різн.забарв.та форми з підков.візер.,для оселі,балк.,саду</t>
  </si>
  <si>
    <t>Рудбекія махрова До 60см,діам.10-12см,жовт.,махрові,світолюб.,ефектні в групах</t>
  </si>
  <si>
    <t xml:space="preserve">Тим'ян До 30см,килим з аром.лист.та рясн.рожевими квітами </t>
  </si>
  <si>
    <t>Тунбергія Витка,більш 2м,діам.до 4см,від білого до оранжевого кольору</t>
  </si>
  <si>
    <t>Букетна суміш Айстра До 90см,діам. 8-12см,міцна гарна квітка,транспортаб.</t>
  </si>
  <si>
    <t>Айстри</t>
  </si>
  <si>
    <t>Карликова суміш АйстраДо 30см,цв.рясно та довготр.,для клумб,бордюрів, рабаток,гірок</t>
  </si>
  <si>
    <t>Піоновидна суміш Айстра 50-70см,напівкул.та кул.,діам.8-12см,холод.та посухост.,зберіг.</t>
  </si>
  <si>
    <t>Принцеса жовта Айстра 70см,розлога,діам.9-10см,крем.-жовт.,18-20 квіт./кущ</t>
  </si>
  <si>
    <t>Російська красуня піоновидна Айстра 65см,напівкул.,діам.10-11см,сріб.-рожева,6-7 квіт/кущ</t>
  </si>
  <si>
    <t>Сіда дама Контрастер піоновидна Айстра 60-65см,діам.10-11см,малин.з сивин.,цвіт до сер.верес</t>
  </si>
  <si>
    <t>Фламір піоновидна Айстра До 90см,діам.10-12см,біло-блакит.,6-8 квіт/кущ,стійка</t>
  </si>
  <si>
    <t>ID</t>
  </si>
  <si>
    <t>Type</t>
  </si>
  <si>
    <t>Name</t>
  </si>
  <si>
    <t>Short description</t>
  </si>
  <si>
    <t>Description</t>
  </si>
  <si>
    <t>In stock?</t>
  </si>
  <si>
    <t>Stock</t>
  </si>
  <si>
    <t>Low stock amount</t>
  </si>
  <si>
    <t>Backorders allowed?</t>
  </si>
  <si>
    <t>Sold individually?</t>
  </si>
  <si>
    <t>Weight (kg)</t>
  </si>
  <si>
    <t>Allow customer reviews?</t>
  </si>
  <si>
    <t>Sale price</t>
  </si>
  <si>
    <t>Regular price</t>
  </si>
  <si>
    <t>Categories</t>
  </si>
  <si>
    <t>Tags</t>
  </si>
  <si>
    <t>Images</t>
  </si>
  <si>
    <t>Download limit</t>
  </si>
  <si>
    <t>Download expiry days</t>
  </si>
  <si>
    <t>Parent</t>
  </si>
  <si>
    <t>position</t>
  </si>
  <si>
    <t>Attribute 1 name</t>
  </si>
  <si>
    <t>Attribute 1 value(s)</t>
  </si>
  <si>
    <t>Attribute 1 visible</t>
  </si>
  <si>
    <t>Attribute 1 global</t>
  </si>
  <si>
    <t>Published</t>
  </si>
  <si>
    <t>Is featured?</t>
  </si>
  <si>
    <t>Visibility in catalog</t>
  </si>
  <si>
    <t>simple</t>
  </si>
  <si>
    <t>Сер/ран червоні із смужк.. 1,2 м 120г.врож.соління..салат</t>
  </si>
  <si>
    <t>Амурский тигр. Плоды довольно плотные весом от 35 до 80гр. красные в жёлтую полосочку,тонкошкурые,созревание последовательное по кисти. Устойчив к вирусным заболеваниям. Вкусный.</t>
  </si>
  <si>
    <t>5.00</t>
  </si>
  <si>
    <t>високорослі, желтый, раний</t>
  </si>
  <si>
    <t>http://localhost:8888/fun-dacha/wp-content/uploads/2020/05/image_2020-05-23_10-59-23.png, http://localhost:8888/fun-dacha/wp-content/uploads/2020/05/image_2020-05-23_10-59-23.png</t>
  </si>
  <si>
    <t>visible</t>
  </si>
  <si>
    <t>variable</t>
  </si>
  <si>
    <t>Ран., 50см, округ., черв., 80-100г,дуже врож.,універс.,до 7 кг/кв.м</t>
  </si>
  <si>
    <t>Высокорослое растение до 2ух м.Плоды крупные,жёлтые крепкие.Хорошо дозревают,масса плода300-400гр. Очень подходят аллергикам.</t>
  </si>
  <si>
    <t>низькорослі, красный, поздний</t>
  </si>
  <si>
    <t>http://localhost:8888/fun-dacha/wp-content/uploads/2020/05/image_2020-05-22_17-57-05.png</t>
  </si>
  <si>
    <t>Размер</t>
  </si>
  <si>
    <t>Большой, Маленький</t>
  </si>
  <si>
    <t>variation</t>
  </si>
  <si>
    <t>Ранний урожайный сорт, высокорослый,плод жёлто- оранжевый мясистый ,удлинённый,очень сладкий, богат каратином.</t>
  </si>
  <si>
    <t>0.0002</t>
  </si>
  <si>
    <t>4.00</t>
  </si>
  <si>
    <t>http://localhost:8888/fun-dacha/wp-products/</t>
  </si>
  <si>
    <t>id:2</t>
  </si>
  <si>
    <t>pa_размер</t>
  </si>
  <si>
    <t>Маленький</t>
  </si>
  <si>
    <t>Среднеспелый сорт сибирской селекции,растение индетерминантного типа, для открытого грунта. Плод округло-ребристый, массой 600 гр ,ярко- красный,стабилен в плодоношении, сьём с куста достигает 8 кг.</t>
  </si>
  <si>
    <t>0.015</t>
  </si>
  <si>
    <t>9.00</t>
  </si>
  <si>
    <t>Большой</t>
  </si>
  <si>
    <t>Сер/стиг..круглий золотистий 1,5м..200-400г,кущ міцний,відм.смак</t>
  </si>
  <si>
    <t xml:space="preserve"> Боярыня. Сорт ценен за жаростойкость и крупноплодность вес от 200 до 250гр.устойчив к растрескиванию,транспортабелен. Сорт гибридный.</t>
  </si>
  <si>
    <t>http://localhost:8888/fun-dacha/wp-products/boyarinya.png</t>
  </si>
  <si>
    <t>Сер/стиг.. 1,5м видовж.. До 7 см,100г,дуже смач.та стійк.</t>
  </si>
  <si>
    <t>Медвежья лапа. Мякоть сочная,мясистая, в меру кислинка ,массой до 400 гр. Выделяется крепостью стебла и насыщенным цветом листьев. Очень вкусный в салатах.</t>
  </si>
  <si>
    <t>http://localhost:8888/fun-dacha/wp-products/medvezhu_lapa.png</t>
  </si>
  <si>
    <t>Сер/ран., 1,6м округлоребрю,черв.,до 600г.,універ.,дуже стій.</t>
  </si>
  <si>
    <t>Вишенка. Высокорослый лиановидный сорт томатов  черри, ранний, плоды красные собраны в кисти весом до 10гр  Декоративен,  любимец детей.</t>
  </si>
  <si>
    <t>http://localhost:8888/fun-dacha/wp-products/vishenka.png</t>
  </si>
  <si>
    <t>Сер/стиг., рожев., вис.1,5м,кругл.200-250г, смачн.,стійк.</t>
  </si>
  <si>
    <t>Позднеспелый сорт народной селекции для открытого грунта высота стебля 1,60- 2,00м плоды оранжевого цвета с мясистой мякотью, удлинённые ,масса первых плодов 400гр в дальнейшем по 100 гр. Очень сладкий сорт</t>
  </si>
  <si>
    <t>http://localhost:8888/fun-dacha/wp-products/volovoe_serze_oran.png</t>
  </si>
  <si>
    <t>Сер/пізн., 1,5-2м, черв.,кубовидн., до 1 кг, стійкий, довго плод</t>
  </si>
  <si>
    <t>Ранний сорт для открытого грунта. Вегетационный период от 99-105 дн. Плод розовый округло-плоский,дружное созревание,транспортабелен,очень  вкусный.</t>
  </si>
  <si>
    <t>Надран., 1,5-2м,червон., ліановидн.,8-10 г, смачн.,до 3,5кг/кущ</t>
  </si>
  <si>
    <t>Позднеспелый сорт народной селекции. Высота  стебля 1,60- 2,00м, для открытого грунта. Плоды жёлтые, малосемяные, мясистые , конусовидной формы. Очень высокие вкусовые качества</t>
  </si>
  <si>
    <t>Сер/стиг., 1-1,8м, оранж., 100-400г різн.форми та розм., дуже смачний.</t>
  </si>
  <si>
    <t>сер/стиг., 1-1,8 м, рож.-мал.,до 400 г різн.форми та розм.</t>
  </si>
  <si>
    <t>http://localhost:8888/fun-dacha/wp-products/gigant_lemon.png</t>
  </si>
  <si>
    <t>Сер/стиг 1-1,8м, рож.-мал., 100-400г різн.фор та розм, дуже смач</t>
  </si>
  <si>
    <t>Дамские пальчики . Раннеспелый  высокорослый сорт, урожайный,плод вытянутой формы,цвет глубоко насыщенный розовый до темно- оранжевого, Прекрасен в консервации.</t>
  </si>
  <si>
    <t>http://localhost:8888/fun-dacha/wp-products/damskie_palchiki.png</t>
  </si>
  <si>
    <t>Сер/стиг., 1,8м, черв.,серц., до 500г різн.форми та розм., лідер смаку.</t>
  </si>
  <si>
    <t>Де- барао оранжевой. Высокорослый  высокоурожайный сорт пригоден для засолки и консервации, плод удлинено- овальный оранжевого цвета хорошо хранится и дозаривается, устойчив к заболеваниям и плодоносит до заморозков.</t>
  </si>
  <si>
    <t>http://localhost:8888/fun-dacha/wp-products/debaro_oran.png</t>
  </si>
  <si>
    <t>Сер/стиг., до 2,5м, округ-плеск.,700г, кисл.-солод.,салатн.</t>
  </si>
  <si>
    <t>Де барао  розовый. Высокорослый высокоурожайный сорт, с плодами отличного вкуса пригодными для консервации ,с одного куста можно снять 8-10 кг томатов, плодоносит до заморозков .</t>
  </si>
  <si>
    <t>http://localhost:8888/fun-dacha/wp-products/debaro_rozovi.png</t>
  </si>
  <si>
    <t>Ран., 1м, подовжений, червоний 50-70г, дуже врож.</t>
  </si>
  <si>
    <t>Де -барао  тигровый. Высокорослый  сорт для выращивания в открытых и тепличных условиях, можно выращивать как комнатный сорт. Устойчив к заболеваниям , вкусный  пригоден в консервацию и засолку</t>
  </si>
  <si>
    <t>http://localhost:8888/fun-dacha/wp-products/debaro_tigrovi.png</t>
  </si>
  <si>
    <t>Сер/пізн., 1,5-2,5м, жовті, яйцевид., 60-70г, чудове засолювання.</t>
  </si>
  <si>
    <t xml:space="preserve"> Де -барао  Царский розовый. высокорослый сорт для выращивания в открытых и закрытых грунтах, много плоден. Плод удлиненный розового цвета сливка. Пригоден для салатов , а так же хорош в консервированном виде.</t>
  </si>
  <si>
    <t>http://localhost:8888/fun-dacha/wp-products/debaro_char_rozoviu.png</t>
  </si>
  <si>
    <t>Сер/пізн., 1,5-2,5м, оранж., яйцевид., 60-70г, чудове засолювання.</t>
  </si>
  <si>
    <t>Де- барао Царский красный. Средне позднего  срока созревания,высокорослое растение высотой от 2до 2,5 м, Ярко красная плотная, крупная сливка,пригоден к употреблению как в свежем виде так и к  засолке и консервации.</t>
  </si>
  <si>
    <t>http://localhost:8888/fun-dacha/wp-products/debari_char_krasniy.png</t>
  </si>
  <si>
    <t>Сер/пізн., 1,5-2,5м, рожев., овал., 60-70г, чудове засолювання</t>
  </si>
  <si>
    <t>Де барао красный . Высокорослый, высокоурожайный сорт ,пригодный для засолки и консервации.Плод удлинённо овальной формы, красного цвета,хорошо дозаривается и долго хранится Устойчив к болезням. Плодоносит до заморозков.</t>
  </si>
  <si>
    <t>http://localhost:8888/fun-dacha/wp-products/debaro_krasniy.png</t>
  </si>
  <si>
    <t>Сер/пізн., 1,5-2,5м, смугасті, овал., 60-70г, чудове засолювання.</t>
  </si>
  <si>
    <t>Де- барао черный. Средне поздний , высокорослый сорт очень урожайный,  плоды овально -сливовидные с коричнево-красным оттенком ,плотные,мясистые , вкусные. Хорошо хранятся и хорошо дозревают.</t>
  </si>
  <si>
    <t>http://localhost:8888/fun-dacha/wp-products/debaro_cherniy.png</t>
  </si>
  <si>
    <t>Сер/пізн., до 2,5м, овал., 120-150г, до 15 кг/кущ, унів.використ.</t>
  </si>
  <si>
    <t>Жираф. Позднеспелый сорт высотой до 2м. Плоды округлые, желто-оранжевые , массой 60-100 гр,снятые недозревшими могут хранится от 2-4 месяцев, выращивают в открытых и защищенных грунтах.</t>
  </si>
  <si>
    <t>http://localhost:8888/fun-dacha/wp-products/zhiraf.png</t>
  </si>
  <si>
    <t>Золота крапля Сер/стиг., 1,6-1,9м, золот.-жовті, 25-40г, багатопл., чудов.смак.</t>
  </si>
  <si>
    <t>Сер/пізн., до 2,5м, овал., 120-150г, до 15 кг/кущ, універс.використ</t>
  </si>
  <si>
    <t>Золотая капля. Среднеспелый сорт,вегетационный период 110-120 дней, сильнорослый, высота160-190см.Плоды грушевидные интенсивно желтой окраски, вкусные и красивые.</t>
  </si>
  <si>
    <t>http://localhost:8888/fun-dacha/wp-products/zolotaya_kaplya.png</t>
  </si>
  <si>
    <t>Сер/пізн., до 2,5м, овал.,120-150г, до 15 кг/кущ, універс.використ</t>
  </si>
  <si>
    <t>Корнеевский. Сорт средних сроков созревания,имеет мощный высокорослый куст высотой до 160-190см. Образовывает 10-12 плодов малиново-розовой окраски,плоско-ребристых массой от 300 до 500гр.Салатный и очень вкусный соками.</t>
  </si>
  <si>
    <t>http://localhost:8888/fun-dacha/wp-products/korneevskiy.png</t>
  </si>
  <si>
    <t>Сер/пізн., 1,5-2,5м, червон., овал., 60-70г, чудове засолювання.</t>
  </si>
  <si>
    <t>Микадо.Среднеспелый сорт салатного назначения,частота завязывание кистей 2-3 листа.Плод плоско-округлый,мясистый, красно-розовый массой 200-300 г.очень вкусный, сладкий</t>
  </si>
  <si>
    <t>http://localhost:8888/fun-dacha/wp-products/mikado.png</t>
  </si>
  <si>
    <t>Сер/пізн., 1,5-2,5м, чорні., овал., 60-70г, чудове засолювання.</t>
  </si>
  <si>
    <t>Перцевидный красный, оранжевый. Среднепоздний сорт народной селекции ,урожайность 10 кг с куста. Окрас ярко красный,оранжевый.Высота растения 150-2,00м . Используется в свежем виде и в переработке .</t>
  </si>
  <si>
    <t>http://localhost:8888/fun-dacha/wp-products/perzevidniy.png</t>
  </si>
  <si>
    <t>Пізній, 1,6-1,8м, круглий, оранж., суперлеж., до 8 міс., посередн смак</t>
  </si>
  <si>
    <t>Нужный размер.Среднеспелый сорт,вегетационный период 110-120дней,высота куста около 100см. Плоды плоскоокруглой формы,ребристые, красные, мясистые весом 200-500гр. Сорт ценен высокими вкусовыми качествами.</t>
  </si>
  <si>
    <t>http://localhost:8888/fun-dacha/wp-products/nuzhniy_razmer.png</t>
  </si>
  <si>
    <t>Сер/стиг., 1,6-1,9м, золот.-жовті, 25-40г, багатопл., чудов.смак.</t>
  </si>
  <si>
    <t>Принцеса Турандот. Селекционный сорт  с оригинальными  ярко-красными плодами чудесного вкуса растение высотой 1.2-1.5 м.Пригодные для засолки и консервации.</t>
  </si>
  <si>
    <t>http://localhost:8888/fun-dacha/wp-products/prinzesa_turandot.png</t>
  </si>
  <si>
    <t>Сер/стиг., 1,5-1,7м, рож.-черв., округ.-плеск., 500-800г, стійк., смачн.</t>
  </si>
  <si>
    <t>Среднеспелый сорт, отличные  вкусовые качества, устойчив  к  фитофторозу . Масса зрелых плодов достигает 800 гр салатный сорт .</t>
  </si>
  <si>
    <t>http://localhost:8888/fun-dacha/wp-products/rozovi_gigant.png</t>
  </si>
  <si>
    <t>Сер/стиг., до 2м, круг., черв., 400-600г, один з кращих.</t>
  </si>
  <si>
    <t>Сер/стиг., 1,2-1,5м, грушев., тем.-рож., 90-120г, смачн.для консерв</t>
  </si>
  <si>
    <t>Сорт скороспелый,от всходов до сбора 90 дней, плоды сливо -подобные розовые сладкие  весом от 150 до 300гр. Используется в свежем виде и для цельно - плодного консервирования ,Сорт устойчив к заболеваниям и неблагоприятной погоде.</t>
  </si>
  <si>
    <t>http://localhost:8888/fun-dacha/wp-products/rozoviy_flamingo.png</t>
  </si>
  <si>
    <t>Сер/ран., 1,5-2м, слив. з нос., черв., м'ясист.,універс.вик., врож</t>
  </si>
  <si>
    <t>Позднеспелый сорт 130-140 дней до плодоношения, индетерминантный ,для остекленных и плёночных теплиц,обязательная подвязка, формируется в 1 стебель, плоды плоскоокруглой формы, массой 400-600гр.</t>
  </si>
  <si>
    <t>http://localhost:8888/fun-dacha/wp-products/ruskiu_razmer_F1.png</t>
  </si>
  <si>
    <t>Пізн., вис до 1,5м,вага до 15 г, дуже солодк., довг.зберіг</t>
  </si>
  <si>
    <t>Ран., до 1,5м, 100-150г, китиці по 5-7 шт, м`ясист.,солод.,стійк.</t>
  </si>
  <si>
    <t>Сливка гігант, сер/ран.,до 2м, черв.,до 250г, щільн., солод.,універс.</t>
  </si>
  <si>
    <t>Сер/стиг., гігант, 1,4-1,8м, округ-плоск., черв., до 1,5кг, м`ясист.</t>
  </si>
  <si>
    <t>Сер/стиг., 1,2-1,5м, груш.,червон., 150г, кисло-сол., гарн.для конс.</t>
  </si>
  <si>
    <t>Cер/стиг.,до 1,7 м, пліско-округ.,рож.,250-300г</t>
  </si>
  <si>
    <t>Сер/стиг., 1,7м, малин-рож., 600-700г, м'яс.,кращий для салатів</t>
  </si>
  <si>
    <t>сер/ран., скоростиг.,1 м,слив. з нос.,150-200 г,,смачн</t>
  </si>
  <si>
    <t>Сер/стиг.гігант, 1,4-1,8м., черв.,плеск-округ., до 1,5 кг,дуж. смачний</t>
  </si>
  <si>
    <t>Сер/ран., до 2м, зол.-оранж., до 250г, м'ясист., солод.,універс.</t>
  </si>
  <si>
    <t>Сер/ран., до 2м, черв., до 250г, м'якуш щільний, солод.,універс.</t>
  </si>
  <si>
    <t>сер/ран.,до 2м, черв.,до 250г, щільн., солод.,універс.</t>
  </si>
  <si>
    <t>Андромеда F1 Над/ран.,70см,округ.,червон.,150-160г,тепл.,врож.,салатн.</t>
  </si>
  <si>
    <t>Сер/стиг., 1,5м, черв. 200-400г, чудов.смак</t>
  </si>
  <si>
    <t>Андромеда F1 рожева Над/ран., 65см, пл-округ., щільні,90-120г, врож.,компл.стійк.</t>
  </si>
  <si>
    <t>Сер/пізн., до 3м, лим-жовт. 70-100г, м`яс., салатн., засолоч.,стійк.</t>
  </si>
  <si>
    <t>Ран., до 1,8м, подовж.,кит.з 6-8 плодів, врож, смачн</t>
  </si>
  <si>
    <t>Ран., 1,5-1,8м, черв.з жовт.рис., округ.-плес., 270-300г, найсмачн.</t>
  </si>
  <si>
    <t>Балада, сер/ран.,60 см,округ.,черв.,130-180г,універс.</t>
  </si>
  <si>
    <t>Сер/ран., до 1,8м, овал, яскр-оранж., 200-600г, врож.,десертн.</t>
  </si>
  <si>
    <t>Сер/стиг., 1,5-2м, округ, темно-корич., 300-400г, солодк.,салатн.</t>
  </si>
  <si>
    <t>Сер/стиг., 1,5-1,6м, круг., 200-300г, дуж. смачн.,кращ.для салатів.</t>
  </si>
  <si>
    <t>Над/ран.,70см,округ.,червон.,150-160г,тепл.,врож.,салатн.</t>
  </si>
  <si>
    <t>Волгоградський 323, ран.,до 40 см,черв.,округл.,80-120 г,м`яс.,смачн../</t>
  </si>
  <si>
    <t>Над/ран., 65см, пл-округ., щільні,90-120г, врож.,компл.стійк.</t>
  </si>
  <si>
    <t>Сер/стиг., 50-70см, округ.,ребр.,черв., 120-150г, врож.,універс.</t>
  </si>
  <si>
    <t>Сер/ран., 60см,округ.,черв.,130-180г,універс.,до 9кг/кв.м</t>
  </si>
  <si>
    <t>сер/ран.,60 см,округ.,черв.,130-180г,універс.</t>
  </si>
  <si>
    <t>Ран., 50см, кругл., черв.,800-100г.,смачн., дуже врож.</t>
  </si>
  <si>
    <t>Волгоградський рожевий, ран,60-65 см,округ.,рож.-малин.,до 130 г, смачн</t>
  </si>
  <si>
    <t>Ран.,до 50см,черв.,округл.,80-120г, врож.,смачн.,універс.</t>
  </si>
  <si>
    <t>Волгоградський рожевий, ран,60-65 см,округ.,рож.-малин.,до 130 г, смачн.</t>
  </si>
  <si>
    <t>ран.,до 40 см,черв.,округл.,80-120 г,м`яс.,врож</t>
  </si>
  <si>
    <t>ран.,до 40 см,черв.,округл.,80-120 г,м`яс.,смачн../</t>
  </si>
  <si>
    <t>Господар, сер/стиг.,до 70 см,округ.,черв.,м`яс.,до-140г,врож.,універс.</t>
  </si>
  <si>
    <t>Сер/пізн.,60см, черв.,пл.-округ.,90-150г, смачн.,універс.</t>
  </si>
  <si>
    <t>сер/пізн.,70 см, черв.,пл.-округ.,90-150 г,солод.</t>
  </si>
  <si>
    <t>Ран.,60-65см, округ.,рож-малин.,100-130г, смачн.,універс.</t>
  </si>
  <si>
    <t>Дар Заволжя рожевий, сер/ран.,50-60см,округ.,щільн.,80-110г,смачн</t>
  </si>
  <si>
    <t>Пізн., 70см,округ.,черв-оранж.,до 200г,суперлежкий</t>
  </si>
  <si>
    <t>Дар Заволжя, ран.,60-70 см,круг.,темн.-черв.,до 130г,смачн., посухост</t>
  </si>
  <si>
    <t>ран,60-65 см,округ.,рож.-малин.,до 130 г, смачн</t>
  </si>
  <si>
    <t>ран,60-65 см,округ.,рож.-малин.,до 130 г, смачн.</t>
  </si>
  <si>
    <t>Сер/стиг.,до 70см,округ.,черв.,м'ясист.,110-140г,врож.,універс.</t>
  </si>
  <si>
    <t>сер/стиг.,до 70 см,округ.,черв.,м`яс.,до-140г,врож.,універс.</t>
  </si>
  <si>
    <t>Ран.,60-70см,круг.,темн.-черв.,110-130г,смачн.,посухостійкий</t>
  </si>
  <si>
    <t>Сер/ран.,50-60см,округ.,щільн.,80-110г,смачн.,лідер ринку.</t>
  </si>
  <si>
    <t>сер/ран.,50-60см,округ.,щільн.,80-110г,смачн</t>
  </si>
  <si>
    <t>ран.,60-70 см,круг.,темн.-черв.,до 130г,смачн., посухост</t>
  </si>
  <si>
    <t>Сер/стиг.,60-65см,кругл, рож., ребр., 100-120г,врож.,смачн.</t>
  </si>
  <si>
    <t>ран.,60-65 см,черв.,круг.,150-160 г,скоростиг.,врож</t>
  </si>
  <si>
    <t>Ран.,40-50см,округ., черв., 90-120г, соков.,солодкі,універс.</t>
  </si>
  <si>
    <t>Над/ран., 60-70см,округ., червон.,90-100г,солод.,лідер ранніх</t>
  </si>
  <si>
    <t>Колгоспний, сер/стиг.,до 60см,округ.,черв.,до 120г, врож.</t>
  </si>
  <si>
    <t>Над/ран.,50-60см,округ.,черв.,30-40г,чудовий для консерв.</t>
  </si>
  <si>
    <t>суперран.,50-60см,округ.,черв.,20-25 г,консерв.</t>
  </si>
  <si>
    <t>Ран.,60-70см,черв.,округ.,80-100г,смачн.,соков.,універс</t>
  </si>
  <si>
    <t>ран.,60-70см,черв.,округ.,80-100 г,смачн.,соков</t>
  </si>
  <si>
    <t>Над/ран.,50-70см, слив.,черв.,50-60г,м'ясист.,дуж.врож.</t>
  </si>
  <si>
    <t>Сер/стиг.,до 60см,округ.,черв.,110-120г,дуже врож.,універс.</t>
  </si>
  <si>
    <t>сер/стиг.,до 60см,округ.,черв.,до 120г, врож.</t>
  </si>
  <si>
    <t>Ран., до 60см, пл.-округ.,черв.,120-150 г,м'яс.,солодк.,врож.</t>
  </si>
  <si>
    <t>ран.,120-150г,пл.-округ.,черв.до 150 г,м'яс.,солодк.,врож</t>
  </si>
  <si>
    <t>Ран.,50см, черв.сливка, 65-80г,м'ясист.,солодк.,врож.,універс.</t>
  </si>
  <si>
    <t>ран., 50 см, черв. сливка, 65-80 г, м'яс., солод., врож</t>
  </si>
  <si>
    <t>суперскор.,35см,круг.,червон.,70-90г,універс.</t>
  </si>
  <si>
    <t>Сер/ран., 40-75см,округ., черв., 150-250г,дуж.смачн.,універс.</t>
  </si>
  <si>
    <t>ран.,65 см., округ., черв., до 120г.. суперврож</t>
  </si>
  <si>
    <t>ран., 50-60см,округ.,черв., 70-90г,консерв., чудова росада</t>
  </si>
  <si>
    <t>Ран.,50-60см,округ.,черв.,90-100г,консерв.,чудова розсада.</t>
  </si>
  <si>
    <t>Сер/ран.,пл-округ.,черв.,90-120г, дуж.врож.,смачн.,універс.</t>
  </si>
  <si>
    <t>сер/ран., пл.-округ.,черв.,90-120г., врож.,смачн</t>
  </si>
  <si>
    <t>Сер/стиг.,50-80 см,слив.черв.,40-60 г,дуже смачн.,врож.</t>
  </si>
  <si>
    <t>Сер/ран.,50-60см,слив.,черв.,70-100г, м'ясист.,смачн.,унів.</t>
  </si>
  <si>
    <t>сер/ран., 50-90 см,оранж.-черв., 75-105г, м'яс., смачн</t>
  </si>
  <si>
    <t>Ран.,65см, округ.,черв.,95-110г,щільн., смачн.,транспорт.</t>
  </si>
  <si>
    <t>Ран.,40-60см, пл-круг.,черв.,80-100г,дуже врож.,універс.</t>
  </si>
  <si>
    <t>ран., 40-60см, пл.-округ.,черв.,80-100г, врож.,універс</t>
  </si>
  <si>
    <t>Сер/стиг.,70см,слив.-окр.,черв.,120г,щільн.,смачн.,універс.</t>
  </si>
  <si>
    <t>Смілянський Рудаса Сер/ран.,70см, слив.-груш.,черв.,70г,стійк.,врож.,консерв.</t>
  </si>
  <si>
    <t>сер/стигл.,80см,слив. черв., до 100г,смачн</t>
  </si>
  <si>
    <t>Сер/пізн.,70см,овал.,черв.,100г,смачн.,універс.,гарно зберіг</t>
  </si>
  <si>
    <t>Сер/стиг.,60см,слив.черв.,60-100г,до 15кг/кв.м,кращ.для засол.</t>
  </si>
  <si>
    <t>сер/стиг.,60см., сливк. черв., 60-100г,кращ., для засолюв</t>
  </si>
  <si>
    <t>ранній Над/ран.,60см,округ.,черв.,120-150г,смачн.,універс</t>
  </si>
  <si>
    <t>Над/ран.,30-40см,округ.,черв.,100-120г,смачн.,до 8 кг/кв.м</t>
  </si>
  <si>
    <t>дуж. ран., 30-40см., округ., черв.,до 120г,смачн.</t>
  </si>
  <si>
    <t>Сер/ран.,70см, слив.-груш.,черв.,70г,стійк.,врож.,консерв.</t>
  </si>
  <si>
    <t>Крона F1 Ран.,1-1,5м,черв.,округ-плеск.,120-150г,чудов. для теплиць.</t>
  </si>
  <si>
    <t>Ран.,70см,пл-округ.,черв.,110-120г,дуже врож.,універс.</t>
  </si>
  <si>
    <t>Ран.,60см,окр.-овал.з нос.,до 120г, врож.,універс.,хворобост.</t>
  </si>
  <si>
    <t>сер/пізн., 50см., округ.,черв., 140г,смачн., стійк</t>
  </si>
  <si>
    <t>Сер/ран.,40-60см,округ.,черв.,60-90г,кращ.для відкр.грунту</t>
  </si>
  <si>
    <t>сер/ран.,40-50см,округ., черв.,60-90г,кращ. для відкр. грунту</t>
  </si>
  <si>
    <t>Пізній,1м,черв-оранж.,150-300г, дуже врож.,зберіг. 8 місяців</t>
  </si>
  <si>
    <t>Ран.,аматорський сорт, 1,2м округ.,черв.,200-300г,стійк.,смачн.</t>
  </si>
  <si>
    <t>Козирна карта F1 Скоростиг.,партен.,корніш.,по 4-5 ог. в вузлі,універс.,стійкий</t>
  </si>
  <si>
    <t>Хробрий Ран.,бджол.,10-11см, 85-90г,кращий для відкрит.грунту</t>
  </si>
  <si>
    <t>Мальчик з пальчик F1 Скорост., партен.,пікуль 8-11см,до 6шт.в вузлі, засолочн.</t>
  </si>
  <si>
    <t>Мірабел F1(Гол.) Суп/ран.,партен.,корніш.,самий врож.,універс.,стійкий.</t>
  </si>
  <si>
    <t>Ніжинський Сер/стиг.,бджол.,12-15см,88-110г,універс.,врож.,для відкр.грунту</t>
  </si>
  <si>
    <t>Амагер 611 Пізн., округ.-плеск.,до 5кг,не розтр.,свіж.,кращ.для зим.зберіг.</t>
  </si>
  <si>
    <t>Брокколі Рабе</t>
  </si>
  <si>
    <t>Брокколі Ран.,150-300г,лікує щитовидку, багато йоду,холодост.</t>
  </si>
  <si>
    <t>Піонер Кращ., з ранніх,0,6-1кг,смачний, врожайний.</t>
  </si>
  <si>
    <t>Романеско Мінарет Скорост.гібрид брокколі та цв.кап., 350-500г,блід.-зел., дієтичн</t>
  </si>
  <si>
    <t>Топаз(імп.), сер/пізн,до 1,5кг,сизо-фіолет., смачн.,викор. у свіж. вигл</t>
  </si>
  <si>
    <t>18 днів редис. Суп/ран.,25-35г,подовжен., середньогостр., смачн</t>
  </si>
  <si>
    <t>Базис редис. Ран.,овал.,біло-червон.,до 25г,соковит.,стійк.</t>
  </si>
  <si>
    <t>Біла редька Одеська (літня) Ран.,45-70г,соков.,врож.,слабогостра,жовчогін.,холодост</t>
  </si>
  <si>
    <t>Жара редис.Сер/стиг.,7-14г,округ.,червон., високоврож.</t>
  </si>
  <si>
    <t>Лобо Лебідка(редька зимова) Біло-зел.,овал.,300-600г,довго зберіг.,лідер смаку та корис.реч.</t>
  </si>
  <si>
    <t>Чорна редька Сквирська зимова Сер/стиг.,округ.,250-500г,слабогостра,зберіг.до весни</t>
  </si>
  <si>
    <t>Ріг бика Сер-ран., конус.до 20см, вага 200г.,черв., солодк, дуже врож.</t>
  </si>
  <si>
    <t>Судар Над/ран.,конус.,тем-вишн.,250г, 8-9мм,унів.,для відкр.грунту.</t>
  </si>
  <si>
    <t>Батун(Німеччина) Багаторічн.,дудков.,гостр.,лікувальн.,морозостійк.,</t>
  </si>
  <si>
    <t>Порей Сер/стиг.,дворічн.,ніжна 10-12см,200г,дуже корисн.,холодост.</t>
  </si>
  <si>
    <t>Червоний гігант Сер/пізн.,коніч.,20-22см,дуже смачна,ароматна,врожайна</t>
  </si>
  <si>
    <t>Мангольд Зимовий (листовий) Ран.,салатн.,цінна кормова культ.,відростає після зрізання.</t>
  </si>
  <si>
    <t>Ефіопка Сер/стиг.,3-7кг,смачн.,гарн.товарн.виг.,стійк.,трансп.</t>
  </si>
  <si>
    <t>Хани Дью медова(США) Суперскоростигла,1,5-2,5 кг,дуже солод.,посухост.,лежка,трансп.</t>
  </si>
  <si>
    <t>Білоплодний Ран.,кущ.,біл.,м`якуш світ.-крем, високоврож.,перер.та консерв.</t>
  </si>
  <si>
    <t>Кервель Однор.,приємн.смак,багато віт.А та С, тонізує,лік.дихат.шляхи.</t>
  </si>
  <si>
    <t>Петрушка коренева Берлінська Скор/стиг.,коренева,корнеплід велик.,холодост.,для кулін.та фарм</t>
  </si>
  <si>
    <t>Монтана Сер/ран.,кущ.до 50см,боби зел.,зерна білі,дуже смачна,універс.</t>
  </si>
  <si>
    <t>Сонеста Ран.,кущ.,лоп.жовта 12-13см,соковита,універс.</t>
  </si>
  <si>
    <t>handleId</t>
  </si>
  <si>
    <t>fieldType</t>
  </si>
  <si>
    <t>name</t>
  </si>
  <si>
    <t>description</t>
  </si>
  <si>
    <t>description (ukr)</t>
  </si>
  <si>
    <t>Google Drive Hash</t>
  </si>
  <si>
    <t>productImageUrl</t>
  </si>
  <si>
    <t>collection</t>
  </si>
  <si>
    <t>sku</t>
  </si>
  <si>
    <t>ribbon</t>
  </si>
  <si>
    <t>price</t>
  </si>
  <si>
    <t>surcharge</t>
  </si>
  <si>
    <t>discountType</t>
  </si>
  <si>
    <t>discountValue</t>
  </si>
  <si>
    <t>inventory</t>
  </si>
  <si>
    <t>weight</t>
  </si>
  <si>
    <t>productOptionName1</t>
  </si>
  <si>
    <t>productOptionType1</t>
  </si>
  <si>
    <t>productOptionDescription1</t>
  </si>
  <si>
    <t>productOptionName2</t>
  </si>
  <si>
    <t>productOptionType2</t>
  </si>
  <si>
    <t>productOptionDescription2</t>
  </si>
  <si>
    <t>productOptionName3</t>
  </si>
  <si>
    <t>productOptionType3</t>
  </si>
  <si>
    <t>productOptionDescription3</t>
  </si>
  <si>
    <t>productOptionName4</t>
  </si>
  <si>
    <t>productOptionType4</t>
  </si>
  <si>
    <t>productOptionDescription4</t>
  </si>
  <si>
    <t>productOptionName5</t>
  </si>
  <si>
    <t>productOptionType5</t>
  </si>
  <si>
    <t>productOptionDescription5</t>
  </si>
  <si>
    <t>productOptionName6</t>
  </si>
  <si>
    <t>productOptionType6</t>
  </si>
  <si>
    <t>productOptionDescription6</t>
  </si>
  <si>
    <t>additionalInfoTitle1</t>
  </si>
  <si>
    <t>additionalInfoDescription1</t>
  </si>
  <si>
    <t>additionalInfoTitle2</t>
  </si>
  <si>
    <t>additionalInfoDescription2</t>
  </si>
  <si>
    <t>additionalInfoTitle3</t>
  </si>
  <si>
    <t>additionalInfoDescription3</t>
  </si>
  <si>
    <t>additionalInfoTitle4</t>
  </si>
  <si>
    <t>additionalInfoDescription4</t>
  </si>
  <si>
    <t>additionalInfoTitle5</t>
  </si>
  <si>
    <t>additionalInfoDescription5</t>
  </si>
  <si>
    <t>additionalInfoTitle6</t>
  </si>
  <si>
    <t>additionalInfoDescription6</t>
  </si>
  <si>
    <t>customTextField1</t>
  </si>
  <si>
    <t>customTextCharLimit1</t>
  </si>
  <si>
    <t>customTextMandatory1</t>
  </si>
  <si>
    <t>Product</t>
  </si>
  <si>
    <t>Сливка гигант</t>
  </si>
  <si>
    <t>Сливка гигант, красная. Плоды крупные сливовидные. Вкусные, транспортабелные, употребляют в свежем, переработанном и консервированном виде.</t>
  </si>
  <si>
    <t>1a6-pT5AddIkxDNwf8y6_oRHkI0PJYeLv</t>
  </si>
  <si>
    <t>sale</t>
  </si>
  <si>
    <t>AMOUNT</t>
  </si>
  <si>
    <t>Универсальный сорт уже 30 лет на рынке ни грамма не уступает сортам новой селекции, выращивается и в открытом грунте и в пленочных укрытиях,не требует подвязки, но нуждается в освещенности. Плоды плотные не растрескиваются ,лежкие , мякоть мясистая. При хорошем уходе может дать 7 кг урожая.</t>
  </si>
  <si>
    <t>1DbPvN-XbSankVUjhqp0is35WkehZtcoP</t>
  </si>
  <si>
    <t>Американский ребристый. Новый супер - урожайный средне - спелый сорт томата, плоды крупные, огненно - красные относится к салатным сортам томатов. Отличается большой устойчивостью к фитофторозу, вес плода от 400гр до 1 кг. В пленочном укрытии урожай выше чем в открытом грунте, но можно использовать оба вида выращивания.</t>
  </si>
  <si>
    <t>1eopSCkWy_j_9iUrB8ZDIR8qv39c19_FR</t>
  </si>
  <si>
    <t>Ультраскороспелый ,низкорослый сорт, от всходов до созревания 79 - 85 дней, детерминантный, плоды округлые интенсивно красного цвета без зеленого пятна у плодоножки. Урожайность 9 -12 кг с м2. Пригоден для всех видов переработки ,устойчив к болезням.</t>
  </si>
  <si>
    <t>1YWGLbNACeg95SKhNDPjm4eZSNi3wIeWk</t>
  </si>
  <si>
    <t>Томат отличается тем что , можно сажать не только рассадой ,но и семенами в открытый грунт, среднеспелый сорт,плод округлый,крепкий массой от 100- 140гр. Пригоден для всех видов переработок, очень вкусный в свежем виде.</t>
  </si>
  <si>
    <t>15i3eP1a02M4nnVgtSsQqcqZfXeYUgKM_</t>
  </si>
  <si>
    <t>Среднеспелый сорт для открытого грунта,высаживается на хорошо прогретые участки защищенные от холодных ветров. Плод плоско округлой формы, темно - красного цвета, массой130-180гр. Урожайный,транспортабельный, вкусный.</t>
  </si>
  <si>
    <t>1U2UubvXq4ni6DmaouGn615tzxl1NNsWr</t>
  </si>
  <si>
    <t>Раннеспелый сорт открытого грунта, отличителен очень дружным созреванием, выращивается без пасынкования ,урожайность до 8кг/ м2,число гнезд от 5 до 12. Плоды округлые слабо-ребристые,красные массой 90-135гр. Вкусовые качества отличные.</t>
  </si>
  <si>
    <t>1DKtYqVLzw8sz0PTooEZkFka3d09vU00R</t>
  </si>
  <si>
    <t>Базовый сорт, растение насыщенного темно- зеленого окраса стеблей ,низкое 40-50см. Плод круглый немного приплюснут темно красного цвета,скороспелый, салатного назначения. Предпочитает суглинистые почвы. Очень вкусен для томатных соков, кетчупов ,паст.</t>
  </si>
  <si>
    <t>1Xt_ve4xixSlVHpMv_vHHgses74hmzeb7</t>
  </si>
  <si>
    <t>Базовый сорт, растение насыщенного темно зеленого окраса стеблей,очень ранний. Плод округлый слабо приплюснутый  темно красного цвета,салатного назначения но и вкусные томатные соки ,кетчупы ,пасты.</t>
  </si>
  <si>
    <t>1GadS1-WoIaIckXHHH-QUjnBEGHifJx1v</t>
  </si>
  <si>
    <t>Этот томат средних сроков созревания , растение компактное, плоды плоскоокруглые массой 90-150гр. Ценится за высокую стабильную урожайность и ,применяемость во всех видах переработки. И хотя плоды не очень крупные вкусовые качества отличные.</t>
  </si>
  <si>
    <t>1jxhXjtbwQDF2jUGSC07_FM7D85u6UhjD</t>
  </si>
  <si>
    <t>Средне поздний сорт отличается высокой урожайностью. Плоды плоскоокруглые ,с насыщенным красным цветом, массой 90/150гр, Применяется в изготовлении ,томатных соков, паст и в консервации.Вкусовые качества отличные.</t>
  </si>
  <si>
    <t>1WwqbRSDxK3Ltv-B5oqXBmY4OIwylbkJD</t>
  </si>
  <si>
    <t>Раннеспелый сорт для выращивания в открытом грунте , вегетационный период 95-105 дней. Плоды округлые ,гладкие, розово малинового окраса, массой 80-100гр, Характеризуется дружным созреванием и хорошей транспортабельностью.</t>
  </si>
  <si>
    <t>1FthU_pgh6v-59ywuMnE5FltBhwj2JXRL</t>
  </si>
  <si>
    <t>Селекционный сорт с очень длинным сроком хранения до 4 месяцев. Плоды среднего размера с плотной кожурой красно-оранжевого цвета мякоть имеет более интенсивную окраску . Сорт очень урожайний.</t>
  </si>
  <si>
    <t>13g0YRmmXkkBWI-eyqKenL0dwL9qLG0Tq</t>
  </si>
  <si>
    <t>Сорт выведен в Украинском НИИ. Плоды крупные, плотные, красные вкусовые и товарные качества отличные. Перспективный сорт для открытого грунта так как устойчив к фитофторозу.</t>
  </si>
  <si>
    <t>1J0YpBCuTPmZGjoULCXsJgHIfX2th0YI4</t>
  </si>
  <si>
    <t>Среднеранний сорт, сроком созревания 110-112 дней, куст низкий, компактный. Плоды красные ,круглые со слабо выраженным кончиком. Дружное созревание , высокая транспортабельность отличают сорт. Потребление в свежем виде , засолке, переработке на томаты,пасты , соки. Сорт очень продуктивен.</t>
  </si>
  <si>
    <t>1cmB3Kd7kaIMqUu3VYV1-IP9WozVw7k_3</t>
  </si>
  <si>
    <t>Среднеранний сорт ,сроком созревания 110-112 дней , куст низкий, компактный, плоды розовые, круглые со слабо выраженным кончиком, транспортабельные. Используются как в свежем виде, так и в переработанном. Сорт очень продуктивен.</t>
  </si>
  <si>
    <t>1lJXgSo31xuuXHhz9202QBh30lnRRvbNH</t>
  </si>
  <si>
    <t>Демидов</t>
  </si>
  <si>
    <t>Сорт относится к раннеспелым имеет характерную темно -зеленую окраску куста, напоминающую куст картофеля. Плоды круглой формы с незначительной ребристостью , интенсивно розового. цвета сорт достаточно устойчив к перепадам температур и влажности. Плоды сладкие очень вкусные и красивые.</t>
  </si>
  <si>
    <t>1paa53C0EnjQmaTiCUrY0aFwhN6KueroM</t>
  </si>
  <si>
    <t>Среднеспелый очень урожайный сорт рекомендуется для выращивания в открытом грунте как рассадным, так и без рассадным способом. Устойчив к заболеваниям.Плоды круглые красные массой до 200гр. Пригодны для всех видов переработки и вкусные в свежем виде.</t>
  </si>
  <si>
    <t>1-tUBqoDbasMBtwlQV21G_yzkJLeykELB</t>
  </si>
  <si>
    <t>Раннеспелый сорт (90-95)дней. Куст компактный 40-50см высотой. Плоды красного цвета мякоть сочная, плотная ,сладкая массой 120гр.Устойчив к фитофторозу Урожайность7кг см/2</t>
  </si>
  <si>
    <t>14ya9jn6mXUqixF6mApcVYF-sAxDGluVU</t>
  </si>
  <si>
    <t>Раннеспелый детерминантный гибрид, максимум высота 70см. Плоды не крупные , но очень вкусные универсальные в использовании. Есть возможность получить два урожая за сезон благодаря хорошей всхожести семян.</t>
  </si>
  <si>
    <t>1BxO_53-Tu90DiFKJbxROLikMwXXVB22p</t>
  </si>
  <si>
    <t>Ультра-ранний высокоурожайный сорт с дружным дозреванием плодов. Вегетационный период от всходов до начала созревания- 87- 92 дня. Плоды ярко красного цвета, без зеленого пятна у основания, овальной формы, гладкие, средним весом 20- 25 грамм. Сорт характеризуется устойчивостью к фитофторозу. Используют в свежем виде и для переработки, засолки, цельно-плодного консервирования.</t>
  </si>
  <si>
    <t>1f9bjuz42wuGgKz7YDEU6GGSi63ZakPtb</t>
  </si>
  <si>
    <t>Катюша F1</t>
  </si>
  <si>
    <t>Ультраскороспелый гибрид для открытого грунта  весенних пленочных теплиц.Созревание плодов через 80 дней после появления всходов с дружной отдачей урожая. Растение детерминантное, высотой 70-80 см. Соцветие простое с 5-6 плодами, массой 100-110 г. Окраска незрелого плода – белая, зрелого – ярко-красная без зеленого пятна у плодоножки. Первое соцветие закладывается над 5-6 листом. Плоды плоско-округлые, плотные, транспортабельные</t>
  </si>
  <si>
    <t>16LLJIo8pXNmpKvDlQbaUQk41dDGhCS5-</t>
  </si>
  <si>
    <t>Сверхранний сорт, от высадки до сбора проходит 68 дней. Растение карликовое с вытянутыми стеблями. Плоды красные, удлиненные, массой60г.Рекомендуются для выращивания в открытом грунте. Используют в свежем виде, для переработки, цельноплодного консервирования. На рассаду высевают в начале марта.</t>
  </si>
  <si>
    <t>1da4ksL8ekYCowmTTNAGxE8F-AnJn4Beu</t>
  </si>
  <si>
    <t>Популярный сорт среднего срока созревания. Растение низкорослое, полураскидистое. Плоды круглые, ровные, красные, массой 110-120г. Вкусовые качества хорошие,урожайность высокая. Пригоден для употребления в свежем виде, консервирования и для переработки.</t>
  </si>
  <si>
    <t>1eFJAwZ9XndOuTBP4Qe6-P5FdIgjcnML9</t>
  </si>
  <si>
    <t>Раннеспелый, универсальный, до созревания 95-105 дней. Куст компактный низкий. Плод плоскоокруглый, красный, массой 114-132г, камер 5-10. Вкус отличный. Транспортабельность высокая. Лежкий, относительно устойчив к болезням. На рассаду высевают в начале марта. На постоянное место высаживают во второй декаде мая .</t>
  </si>
  <si>
    <t>1nOoboK5-nEMGv7sbWveCd08PKuKPySRT</t>
  </si>
  <si>
    <t>Раннеспелый сорт открытого грунта. Вегетационный период 103-120 дней. Растение прямостоячее, высотой 50 см, средне ветвистое. Плод сливо видный, гладкий, красный, массой 62-77 г. Ценится за высокую урожайность, дружное созревание плодов, отличные вкусовые качества, пригодность к консервированию и засолу. Устойчив к бактериальной пятнистости, септориозу. Пригоден для выращивания по интенсивным технологиям</t>
  </si>
  <si>
    <t>1pUKGXwBFvNQuxF30-cPTefg56xR0ac6q</t>
  </si>
  <si>
    <t>Низкорослый сорт, предназначен для выращивания в горшках и балконных ящиках. Также возможно выращивание в открытом грунте. Куст высотой 25 см, много пасынков с большим количеством плодов. Плоды массой 30-40 г, приятные на вкус. Универсального использования. Культура тепло-и светолюбивая. Выращивать рассадой или посевом семян в грунт.</t>
  </si>
  <si>
    <t>1ZWQy2-oTV6YCzRrbM-JtK3p7naABlwpQ</t>
  </si>
  <si>
    <t>Среднеспелый сорт для открытого грунта. От всходов до начала созревания- 100- 112 дней. Растение детерминантное, высотой 75 см. Плод красный, округлый или плоскоокруглый, мясистый, сладкий, массой 115- 230 грамм, с высоким содержанием сухих веществ. Универсального использования. Предназначен для употребления в свежемвиде и переработки на томато- продукты.</t>
  </si>
  <si>
    <t>177oT0tqFTUrIFkaLKXvyJmm0MHkRscVw</t>
  </si>
  <si>
    <t>Сорт очень ранний, дружно созревающий, высокоурожайный. Плодоношение начинается через 87-93 дня после появления всходов. Растение детерминантное. Плоды округлые, плотные, красные. Масса плода 80-100 г. Вкусовые качества хорошие. Период уборки растянутый. Урожайность в открытом грунте 4,5-6 кг/кв.м. Плоды пригодны для транспортировки на дальние расстояния.</t>
  </si>
  <si>
    <t>1UJJvaGSQ-h1g1kY_7H4dBcfMQNrtG-xD</t>
  </si>
  <si>
    <t>Среднеспелый сорт. Растение низкорослое, компактное. Листья прочные, темно-зелёные, сильно гофрированные. Плоды округлые, ровные, гладкие, без зелёного пятна возле плодоножки, массой 70-90 г. Плоды отличаются , устойчивостью к растрес-киванию, имеют очень привлекательный внешний вид и хорошие вкусовые качества</t>
  </si>
  <si>
    <t>1BXp1ljzHdCUT60jS2Ir2kZ_JVbTfPJsN</t>
  </si>
  <si>
    <t>Среднеранний сорт с вегетационным периодом 115-120 дней, высокоурожайный. Кусткомпактный, среднерослый. Плоды массой 90-120 г. Вкусовые качества высокие,транспортабельность хорошая. Обладает устойчивость к болезням. Используют для потребления в свежем виде,изготовления томатного сока, пасты, пюре.</t>
  </si>
  <si>
    <t>17x5jTr9LflqWreUzQRv20QCZN6ElUA2s</t>
  </si>
  <si>
    <t>Среднеспелый универсальный сорт открытого грунта . От всходов до первого сбора 120-135 дней (период плодоношения 55-68 дней). Урожайность высокая, с дружным созреванием урожая. Растение компактное,средне ветвистое, высотой 40-80см. Плод удлиненно-сливовидный, мясистый, гладкий с гранями, красный, 2-3 гнездный, массой 60 г, отличного вкуса</t>
  </si>
  <si>
    <t>1H_vL9Cngu2UwBtDU_bLU2JnjwrQNDxgY</t>
  </si>
  <si>
    <t>Среднеранний сорт универсальный для открытого грунта  используется в свежем виде, цельно-плодного консервирования и приготовления томато- продуктов. От всходов до созревания 110-127 дней. Плоды дружно созревают.  В кисти 5-6плодов. Плод сливо видный, массой 70-150 г, отличаются высокими вкусовыми и товарными качествами</t>
  </si>
  <si>
    <t>1qqNRWPXrQi522FZ_E2yaJmT05PDLWqwF</t>
  </si>
  <si>
    <t>Сорт скороспелый, дружное созревание плодов начинается через 103-106 дней после появления всходов.Растение низкорослое. Плоды округлые, плотные, гладкие,красные, массой 95-110 г. Вкусовые качества хорошие.Транспортабельные. Ценится за хорошую завязываемость плодов при неблагоприятных условиях.</t>
  </si>
  <si>
    <t>1fauqDpkijrSUZwyevuKPWn-Ds_P_ek3x</t>
  </si>
  <si>
    <t>Скороспелый сорт открытого грунта для использования в свежем виде и переработки. Может возделываться в весенних пленочных теплицах и укрытиях. От всходов до созревания 103-110 дней. Растение небольшое, компактное. Высотой 35-60 см. плод плоско-округлый , гладкий или слаборебристый, красный, массой 90-100 г, хорошего вкуса.</t>
  </si>
  <si>
    <t>1lEQP9Y1PIOykHx05l5XQXJ7ymvHOrpFt</t>
  </si>
  <si>
    <t>Раннеспелый, среднерослый сорт. Плоды плотные, красные, удлиненной формы, хороши в лежке, транспортабельные. Масса 80-100 г. Пригодны для потребления в свежем виде,консервирования, изготовления томатопродуктов, засолки</t>
  </si>
  <si>
    <t>1bIc5iIxhOHJY9y72Fc4HqKcCjniopdCA</t>
  </si>
  <si>
    <t>Среднеранний сорт. Период вегетации от всходов до технической спелости 110-115 дней. Растение низкорослое, высотой 40-60см. Плоды интенсивно-красного цвета, удлиненно-цилиндрической формы, мясистые, массой 100-130г, хороших вкусовых качеств.</t>
  </si>
  <si>
    <t>1PGDVV0xC3b6p_z2Nkqr4rz56Oa_iPPMi</t>
  </si>
  <si>
    <t>Рио-Фуего</t>
  </si>
  <si>
    <t>Раннеспелый сорт, от всходов до созревания – 110-115 дней. Предназначен для выращивания в открытом грунте и в пленочных теплицах. Плоды овально-округлые,красные, массой 100-110 г, плотные, с высоким содержанием сухих веществ. Устойчив к фузариозу,  альтернариозу, Пригоден для потребления в свежем виде, засолки и консервировании</t>
  </si>
  <si>
    <t>1AQa_wg8cJxKLTD7bRifjDenWZkhEFxGa</t>
  </si>
  <si>
    <t>Среднеранний, детерминантный сорт. Вегетационный период от высадки рассады досбора урожая 75-80 дней. Плоды грушевидной формы, массой 60-70гр интенсивно-красные,транспортабельные, с высокими вкусовыми качествами, пригодны для потребления в свежем виде и переработки</t>
  </si>
  <si>
    <t>11eeuUCmjT9089CWXj-k-utCLc2O0vgbQ</t>
  </si>
  <si>
    <t>Супер -скороспелый сорт. Растение высотой до 60 см, сильное, хорошо облиственное. Плоды круглые и плоско-округлые, весом 120-150г, хороших вкусовых качеств, стойкие крастрескиванию. Сорт также устойчив к пониженным температурам. Рекомендуется для выращивания в открытом грунте и пленочных укрытиях.</t>
  </si>
  <si>
    <t>1cBPQKHrH89S0EjylbJIt8DfmIsCM96KT</t>
  </si>
  <si>
    <t>Сорт сверхранний (85 дней), высокоурожайный. Плоды красные, плотные, массой 120-150г, без зеленого пятна у плодоножки, отличного вкуса и лежкости. Используют в свежем виде, для переработки, цельноплодного консервирования. На рассаду высевают в начале марта. На постоянное место высаживают во второй декаде мая</t>
  </si>
  <si>
    <t>1WlrBwNSmzUZot5ad1iZAF3-KuhKzwhlZ</t>
  </si>
  <si>
    <t>Гибрид для открытого грунта, но часто используют посадку в пленочных укрытиях раннеспелый ,дружнего созревания . Плоды красные весом 120-150гр. Плоды используют как в сыром так и в переработанном виде. Вкусовые качества высоки.</t>
  </si>
  <si>
    <t>1gQ0ZjyDnQRoCpI79txso19fu5nMVKb1J</t>
  </si>
  <si>
    <t>Сорт голландской селекции очень ранний ,куст компактный не нуждается в пасынковании. Плоды округло удлиненные с ярко красным окрасом весом 90-140гр, прекрасен в свежем виде и в соусах так как сруктура мякоти плотная и нежная.</t>
  </si>
  <si>
    <t>1-KeiI8xznF4oVAfYvFQNlvrSgJsQ44uP</t>
  </si>
  <si>
    <t>Среднепоздний сорт для открытого грунта. Созревание плодов наступает на 120-135 день после появления всходов. Растение детерминантного типа, нештамбовое, среднеоблиственное. Высота главного стебля 38-50 см. Плод округлый, красный, массой 140 г. Сорт ценится за стабильную и высокую урожайность - 8 кг/м.</t>
  </si>
  <si>
    <t>1gs70WU74agTCGED4tMalV8BCf7n5JrED</t>
  </si>
  <si>
    <t>Среднеспелый сорт, плоды созревают на 112-127 день после появления всходов. Растение компактное, высотой 33-56 см. Плоды округлые, гладкие, красные, массой 60-90 г, число гнезд 4-6. Вкусовые качества хорошие. Ценится за высокую урожайность, дружное созревание плодов. Используют для потребления в свежем виде, изготовления томатного сока, пасты, пюре, а также для засолки.</t>
  </si>
  <si>
    <t>135PSx0j1S_WfaWFeeKjypWoYE_Lpd6K9</t>
  </si>
  <si>
    <t>Среднепоздний сорт ,среднерослый пригоден для выращивания в открытом грунте , влаго- устойчив не боится перепадов температур. Плоды плотные ,округло плоские, с плотной кожурой масса плода достигает от 120до 300гр ,окрас плода алый с оранжевым отливом.Собранные в октябре плоды могут хранится до нового года и более.</t>
  </si>
  <si>
    <t>1U1IiBoVvEOPBror_3JcXt06ENUjU1jzq</t>
  </si>
  <si>
    <t>Ранний,высокоурожайный гибрид. Созревает через 68-70 дней после высадки рассады.Растение мощное. Плоды плоскоокруглые, массой 200-220 г, плотные,транспортабельные, отличных вкусовых качеств. Предназначены для потребления в свежем виде и переработки, особенно вкусно на томатный сок.</t>
  </si>
  <si>
    <t>1rS65p4s16vJ1cGW6LvwBHZKiwZudwrjl</t>
  </si>
  <si>
    <t>Средне-спелый высокорослый индетерминантного типа,салатно -консервный сорт. Плоды грушевидной формы,весом от 90 до 110гр.Окраска зрелого плода буровато -коричневая. Очень вкусный сорт.</t>
  </si>
  <si>
    <t>1jvnN_lyOVouF78NaAHtlDGD3dYqCWCxu</t>
  </si>
  <si>
    <t>parent_id</t>
  </si>
  <si>
    <t>slug</t>
  </si>
  <si>
    <t>tomato</t>
  </si>
  <si>
    <t>http://localhost:8888/fun-dacha/wp-categories/IMG/tomato</t>
  </si>
  <si>
    <t>Томаты относятся к роду паслёновых . Растение изобилует большим количеством сортов . Распространённый овощ по всему миру</t>
  </si>
  <si>
    <t>tomato-small</t>
  </si>
  <si>
    <t>http://localhost:8888/fun-dacha/wp-categories/IMG/tomato-small</t>
  </si>
  <si>
    <t>Отличительная черта высокорослых томатов ,высота стебля иногда достигающая 2,50 м ,этим обуславливается большая отдача урожая. Иногда с куста можно снять до 8кг плодов.</t>
  </si>
  <si>
    <t>Томати середньорослі</t>
  </si>
  <si>
    <t>tomato-mid</t>
  </si>
  <si>
    <t>http://localhost:8888/fun-dacha/wp-categories/IMG/tomato-mid</t>
  </si>
  <si>
    <t>Среднерослые томаты собрали в себе лучшие качества высокорослых и низкорослых сортов, обычно выращиваются в два стебля</t>
  </si>
  <si>
    <t>tomato-large</t>
  </si>
  <si>
    <t>http://localhost:8888/fun-dacha/wp-categories/IMG/tomato-large</t>
  </si>
  <si>
    <t>Низкорослые сорта томатов отличаются быстрой отдачей, формируя небольшое количество кистей ,дружным  созреванием.</t>
  </si>
  <si>
    <t>cucumber</t>
  </si>
  <si>
    <t>http://localhost:8888/fun-dacha/wp-categories/IMG/cucumber</t>
  </si>
  <si>
    <t>Наипопулярнейший овощной продукт,  выращиваемый круглогодично.Неприхотлив в выращивании,незаменим в салатах.</t>
  </si>
  <si>
    <t>cabbage</t>
  </si>
  <si>
    <t>http://localhost:8888/fun-dacha/wp-categories/IMG/cabbage</t>
  </si>
  <si>
    <t>Капуста - царица среди овощей, очень популярный продукт,Занимает  одно из первых мест в мире по выращиванию .</t>
  </si>
  <si>
    <t>cabbage-white</t>
  </si>
  <si>
    <t>http://localhost:8888/fun-dacha/wp-categories/IMG/cabbage-white</t>
  </si>
  <si>
    <t>Разновидность семейства крестоцветных. Насчитывает около 400 сортов разных сроков созревания</t>
  </si>
  <si>
    <t>cabbage-color</t>
  </si>
  <si>
    <t>http://localhost:8888/fun-dacha/wp-categories/IMG/cabbage-color</t>
  </si>
  <si>
    <t>Цветная капуста имеет однолетний цикл развития , многообразие сортов удивляет своей необычностью. Обладает высокими вкусовыми качествами.</t>
  </si>
  <si>
    <t>cabbage-red</t>
  </si>
  <si>
    <t>http://localhost:8888/fun-dacha/wp-categories/IMG/cabbage-red</t>
  </si>
  <si>
    <t>Это вид капусты содержит большое количество макро и микро элементы ,устойчива к заболеваниям,хорошо хранится и очень вкусная в салатах.</t>
  </si>
  <si>
    <t>cabbage-other</t>
  </si>
  <si>
    <t>http://localhost:8888/fun-dacha/wp-categories/IMG/cabbage-other</t>
  </si>
  <si>
    <t>Разновидностей существует много и все они разительно отличаются друг от друга ,но объединяет их одно -все они капуста.</t>
  </si>
  <si>
    <t>radish</t>
  </si>
  <si>
    <t>http://localhost:8888/fun-dacha/wp-categories/IMG/radish</t>
  </si>
  <si>
    <t xml:space="preserve"> Характерен ранними сроками созревания именно редис-  это первые салаты после зимы .</t>
  </si>
  <si>
    <t>pepper</t>
  </si>
  <si>
    <t>http://localhost:8888/fun-dacha/wp-categories/IMG/pepper</t>
  </si>
  <si>
    <t>Любые кухни мира включают перец, как необходимый компонент первых и вторых блюд. Высокое содержание витамина C а так же других полезных микроэлементов делает его незаменимым.</t>
  </si>
  <si>
    <t>pepper-sweet</t>
  </si>
  <si>
    <t>http://localhost:8888/fun-dacha/wp-categories/IMG/pepper-sweet</t>
  </si>
  <si>
    <t>Сладкие перцы имеют очень привлекательный вид ,мясистые и вкусные .</t>
  </si>
  <si>
    <t>pepper-hot</t>
  </si>
  <si>
    <t>http://localhost:8888/fun-dacha/wp-categories/IMG/pepper-hot</t>
  </si>
  <si>
    <t>Культурных сортов острого перца около 3000. Хорошо хранится в сушеном виде .</t>
  </si>
  <si>
    <t>eggplant</t>
  </si>
  <si>
    <t>http://localhost:8888/fun-dacha/wp-categories/IMG/eggplant</t>
  </si>
  <si>
    <t>Это растение относиться к роду паслёновых и выращивается как однолетник, в пищу употребляют слегка недозревшие плоды так они вкуснее.</t>
  </si>
  <si>
    <t>onion</t>
  </si>
  <si>
    <t>http://localhost:8888/fun-dacha/wp-categories/IMG/onion</t>
  </si>
  <si>
    <t>Разнообразие сортов луков не перестаёт удивлять , Однолетние,двух летние и даже многолетние богатые зеленью обеспечиват витаминами круглый год.</t>
  </si>
  <si>
    <t>carrot</t>
  </si>
  <si>
    <t>http://localhost:8888/fun-dacha/wp-categories/IMG/carrot</t>
  </si>
  <si>
    <t>Морковь содержит массу полезных веществ_ это каротин, соли калия, пектины, Витамины  А, В, С, Д. Широко применяется в кулинарии , не заменима в детском питании.</t>
  </si>
  <si>
    <t>beet</t>
  </si>
  <si>
    <t>http://localhost:8888/fun-dacha/wp-categories/IMG/beet</t>
  </si>
  <si>
    <t>Свекла обладает очень высокими вкусовыми и лечебными свойствами, Обогащена йодом,витаминами А и В, улучшает обмен веществ. У некоторых сортов  используют и корнеплоды и надземную часть.</t>
  </si>
  <si>
    <t>watermelon</t>
  </si>
  <si>
    <t>http://localhost:8888/fun-dacha/wp-categories/IMG/watermelon</t>
  </si>
  <si>
    <t>Растение распространилось из  Африки .Прошло долгий селекционный путь . На сегодня  это- однолетняя стелющаяся трава с рассечёнными листьями , плод  арбуза - сочная ягода  с множеством семян.</t>
  </si>
  <si>
    <t>Melons</t>
  </si>
  <si>
    <t>http://localhost:8888/fun-dacha/wp-categories/IMG/Melons</t>
  </si>
  <si>
    <t>Традиционная  бахчевая культура для степной зоны. Главное дать растению больше тепла и солнца.  Урожай при соблюдении агротехники возделывания можно получить уже в конце июня.</t>
  </si>
  <si>
    <t>pumpkin</t>
  </si>
  <si>
    <t>http://localhost:8888/fun-dacha/wp-categories/IMG/pumpkin</t>
  </si>
  <si>
    <t>По количеству содержания железа тыква, чемпион среди овощей,. Тыквенные семена источник масел богатых микроэлементами. а сочная мякоть используется в диетологии.</t>
  </si>
  <si>
    <t>marrow-squash</t>
  </si>
  <si>
    <t>http://localhost:8888/fun-dacha/wp-categories/IMG/marrow-squash</t>
  </si>
  <si>
    <t>Кабачок- Цукини продукт низкокалорийный и легкоусвояемый организмом поэтому его используют в диетологии и  в детском питании.</t>
  </si>
  <si>
    <t>squash</t>
  </si>
  <si>
    <t>http://localhost:8888/fun-dacha/wp-categories/IMG/squash</t>
  </si>
  <si>
    <t>Плоды патиссонов тонкокорые,мякоть белоснежная, хрустящая и очень плотная, малышами обычно  подходят для консервации, а более крупные плоды используют в кулинарии.</t>
  </si>
  <si>
    <t>green-crops</t>
  </si>
  <si>
    <t>http://localhost:8888/fun-dacha/wp-categories/IMG/green-crops</t>
  </si>
  <si>
    <t xml:space="preserve"> Ранние витамины на столах- это практически набор растений,  которые относятся к зелёным культурам. Все разновидности салатов,, шпинат, щавель , спаржа ,черемша Это все зелень.</t>
  </si>
  <si>
    <t>spicy-crops</t>
  </si>
  <si>
    <t>http://localhost:8888/fun-dacha/wp-categories/IMG/spicy-crops</t>
  </si>
  <si>
    <t>В группу пряно-вкусовых культур входят травы используемые как приправы,  майоран, укроп ,чабер и много- много других однолетних и многолетних растений,  они относительно холодостойки.</t>
  </si>
  <si>
    <t>lawn-grass</t>
  </si>
  <si>
    <t>http://localhost:8888/fun-dacha/wp-categories/IMG/lawn-grass</t>
  </si>
  <si>
    <t>Естественное разнотравье не всегда себя оправдывает поэтому последнее время в декорировании участков , так называемых газонов стали применять специальные травы  именуемые общим названием газонные.</t>
  </si>
  <si>
    <t>bean-crops</t>
  </si>
  <si>
    <t>http://localhost:8888/fun-dacha/wp-categories/IMG/bean-crops</t>
  </si>
  <si>
    <t>Разнообразие видов семейства бобовых огромное и даже учёных иногда ставит в тупик. Назначение растений этого семейства применение их в качестве продукта питания</t>
  </si>
  <si>
    <t>beans</t>
  </si>
  <si>
    <t>http://localhost:8888/fun-dacha/wp-categories/IMG/beans</t>
  </si>
  <si>
    <t>Фасоль относится к разряду бобовых из за того что имеет стручковую  форму заполненную  зернами и тем не менее это  другое растение ,имеющее в отличии от бобов очень много разных сортов.</t>
  </si>
  <si>
    <t>asparagus-beans</t>
  </si>
  <si>
    <t>http://localhost:8888/fun-dacha/wp-categories/IMG/asparagus-beans</t>
  </si>
  <si>
    <t>Спаржевая фасоль выращивается ради вкусных створок,У них отсутствует пергаментная прослойка поэтому фасоль употребляется в пищу целиком. Вкусом напоминает спаржу.</t>
  </si>
  <si>
    <t>cereal-beans</t>
  </si>
  <si>
    <t>http://localhost:8888/fun-dacha/wp-categories/IMG/cereal-beans</t>
  </si>
  <si>
    <t>Лущильные сорта фасоли выращиваются исключительно для употребления в пищу зёрен очень питательных и содержащих большого количества белка.</t>
  </si>
  <si>
    <t>corn</t>
  </si>
  <si>
    <t>http://localhost:8888/fun-dacha/wp-categories/IMG/corn</t>
  </si>
  <si>
    <t>Кукуруза- это овощ считают некоторые люди их внимание привлекает ,высота стебля,большие листья ,крупный початок. Однако  царица полей  это однолетнее травянистое растение относится к злаковым культурам.</t>
  </si>
  <si>
    <t>strawberry</t>
  </si>
  <si>
    <t>http://localhost:8888/fun-dacha/wp-categories/IMG/strawberry</t>
  </si>
  <si>
    <t xml:space="preserve"> Земляники  включают , как дикорастущие , так и культурные формы.  Она не слишком требовательна к почвенным  составам и окружающим условиям. Можно выращивать и на солнечных грядках и  на  затенённых  участках. Урожай обычно получают в первой половине лета.</t>
  </si>
  <si>
    <t>rare-cultures</t>
  </si>
  <si>
    <t>http://localhost:8888/fun-dacha/wp-categories/IMG/rare-cultures</t>
  </si>
  <si>
    <t>Мы все привыкли к стандартному набору овощей, но существует много овощей не привычных ни для нашего глаза ни для нашего вкуса ,но почему бы не попробовать вырастить эти экзоты.</t>
  </si>
  <si>
    <t>medicine</t>
  </si>
  <si>
    <t>http://localhost:8888/fun-dacha/wp-categories/IMG/medicine</t>
  </si>
  <si>
    <t xml:space="preserve"> Большинство лекарственные растения собирают в дикой природе , но всё чаще и чаще лекарственные растения стали выращивать на приусадебных участках где можно содержать их в условиях отвечающих за чистоту и качественность собранного сырья..</t>
  </si>
  <si>
    <t>flowers</t>
  </si>
  <si>
    <t>http://localhost:8888/fun-dacha/wp-categories/IMG/flowers</t>
  </si>
  <si>
    <t>Ароматы,разнообразие цвета ,нежность, трепет и любовь Всё это относится к многомилионной армии цветов всех видов , всех категорий и всех национальностей.</t>
  </si>
  <si>
    <t>annual-flowes</t>
  </si>
  <si>
    <t>http://localhost:8888/fun-dacha/wp-categories/IMG/annual-flowes</t>
  </si>
  <si>
    <t>Большой диапазон расцветок,богатый выбор форм, разность сроков цветения дает возможность создавать любые композиции.  И то что растения однолетние позволяет экспериментировать бесконечно.</t>
  </si>
  <si>
    <t>perennial-flowers</t>
  </si>
  <si>
    <t>http://localhost:8888/fun-dacha/wp-categories/IMG/perennial-flowers</t>
  </si>
  <si>
    <t>Многолетники обычно дают возможность формировать композиции на несколько лет вперед , прекрасно соседствуют со своими собратьями и не прихотливы к почве. Это и высокорослые и луковичные типа мускари или птицемлечник и стелящиеся почвопокровные растения.</t>
  </si>
  <si>
    <t>59.Джина. Среднеспелый очень урожайный сорт рекомендуется для выращивания в открытом ��рунте как рассадным, так и без рассадным способом. Устойчив к заболеваниям.Плоды круглые красные массой до 200гр. Пригодны для всех видов переработки  и вкусные в свежем виде.</t>
  </si>
  <si>
    <r>
      <rPr>
        <rFont val="&quot;Helvetica Neue&quot;, Arial"/>
        <color rgb="FF000000"/>
        <sz val="10.0"/>
      </rPr>
      <t xml:space="preserve">Катюша F </t>
    </r>
    <r>
      <rPr>
        <rFont val="&quot;Helvetica Neue&quot;, Arial"/>
        <color rgb="FF2480CC"/>
        <sz val="10.0"/>
      </rPr>
      <t>/1</t>
    </r>
    <r>
      <rPr>
        <rFont val="&quot;Helvetica Neue&quot;, Arial"/>
        <color rgb="FF000000"/>
        <sz val="10.0"/>
      </rPr>
      <t>. Ультраскороспелый гибрид для открытого грунта  весенних пленочных теплиц.Созревание плодов через 80 дней после появления всходов с дружной отдачей урожая.
Растение детерминантное, высотой 70-80 см. Соцветие простое с 5-6 плодами, массой 100-110 г. Окраска незрелого плода – белая, зрелого – ярко-красная без зеленого пятна у
плодоножки. Первое соцветие закладывается над 5-6 листом. Плоды плоско-округлые,
плотные, транспортабельные</t>
    </r>
  </si>
  <si>
    <t>75. Чайка.Среднеспелый сорт. Растение низкорослое, компактное. Листья прочные, темно-зелёные,
сильно гофрированные. Плоды округлые, ровные, гладкие, без зелёного пятна возле
плодоножки, массой 70-90 г. Плоды отличаются , устойчивостью к растрес-киванию, имеют очень привлекательный внешний вид и хорошие вкусовые качества</t>
  </si>
  <si>
    <t>type</t>
  </si>
  <si>
    <t>name (ru)</t>
  </si>
  <si>
    <t>description (ru)</t>
  </si>
  <si>
    <t>category</t>
  </si>
  <si>
    <t>promotionText</t>
  </si>
  <si>
    <t>Google Drive Base URL</t>
  </si>
  <si>
    <t>https://drive.google.com/uc?export=view&amp;id=</t>
  </si>
  <si>
    <t>InStock</t>
  </si>
  <si>
    <t>0.1</t>
  </si>
  <si>
    <t>1h4KpqfKqiaIkzMdY_ZR_0sBQe0UpJuNZ</t>
  </si>
  <si>
    <t>1aAzNcTF5oapU8PVhOeIjabql9USkLJp0</t>
  </si>
  <si>
    <t>1jvn3YkRU6CjfwTjQB573XmD4dzPb9RTt</t>
  </si>
  <si>
    <t>1Njrs4kq1rkSDIZWe9LQnU32dIOM7v9LX</t>
  </si>
  <si>
    <t>1yFoh2Fy0R7Gxs7iPjXnJae6427lnNeyj</t>
  </si>
  <si>
    <t>1_AONHrJZn12oAv0BgEAbzqT_cCgVgtyX</t>
  </si>
  <si>
    <t>1CNfEt5rsoYI3skFad2Uag6rhkMBPahGb</t>
  </si>
  <si>
    <t>1tGSjBGY-bTK_VOPI1itVnWuwA9sbjwOo</t>
  </si>
  <si>
    <t>1W9T1ug5wI80ziLXeRHYqx4pyUr68aKhh</t>
  </si>
  <si>
    <t>1nOvDcqa2clyqPIATM6e_HAFHkQWkaB_L</t>
  </si>
  <si>
    <t>1oozBnqFBDrhutSfo0yltgDBkJSgOqFGj</t>
  </si>
  <si>
    <t>1e3EMLr2BBWGsB-FEh3Nie21yUZ1lTYBz</t>
  </si>
  <si>
    <t>1ShqoV6yXh7dvtwDYK62ZkyegEJ4327fi</t>
  </si>
  <si>
    <t>1d0ZzCMxrx-sPu0YxtGRKZepC8-Lt5NBZ</t>
  </si>
  <si>
    <t>1_2JbZBVn1uGrADb9CVihW1VhMrPS4hKE</t>
  </si>
  <si>
    <t>13xEOYPX_dJjy2_1NjjP6paU_EISr7xge</t>
  </si>
  <si>
    <t>15SAwOLH4IRFRsMfBgq7dgLPzI4sOvNFn</t>
  </si>
  <si>
    <t>13sI1T9NWTmuF7LCtzjU8gq62tmwQMsjr</t>
  </si>
  <si>
    <t>1SAgvIphpkc2hve27es79ohS2xA3_je74</t>
  </si>
  <si>
    <t>1p2tAZmcC-oX714p2QvZFwNP3PvFroMWy</t>
  </si>
  <si>
    <t>1kq6Yuhhw-K96ehV5B9ejrTOM7Z08kw84</t>
  </si>
  <si>
    <t>1u-2-sFVvT97FF_ZpH05Laej9rtSDTTFf</t>
  </si>
  <si>
    <t>137wsMFWNVP0I-7-ViKCC9R7R1IT4EpuU</t>
  </si>
  <si>
    <t>19dx8mdbhM3Gl0b-4jZjQ5H4aD2-rircw</t>
  </si>
  <si>
    <t>1p6yQHjcc1Ye8WjvXjlSQy8-rdRP0_khH</t>
  </si>
  <si>
    <t>1A_ihoYZY0ckcOucxSsABzzwUaG8JIq8t</t>
  </si>
  <si>
    <t>1A8YPGeIKVgMfdvMAn1gXqRcWmDxahrAk</t>
  </si>
  <si>
    <t>1g4V3AtAV4Ly0uQfkkXv6NK9H6yIhbFsK</t>
  </si>
  <si>
    <t>18K_dqN_nZ53UZW6ToQ-BwcVLQ2u9a3Pt</t>
  </si>
  <si>
    <t>1aT2e9SNtgXcZjH23dwyjnoh6gJX5xU9H</t>
  </si>
  <si>
    <t>parentId</t>
  </si>
  <si>
    <t>tag</t>
  </si>
  <si>
    <t>1iQ9VcCE0wVFxMLtESOpIyOkLHItmq2LI</t>
  </si>
  <si>
    <t>Томати відносяться до роду пасльонових. Рослина рясніє великою кількістю сортів. Поширений овоч по всьому світу.</t>
  </si>
  <si>
    <t>1v3XHS0_lPCrzi_UK2beg5x38leFMZouV</t>
  </si>
  <si>
    <t>Відмітна риса високорослих томатів, висота стебла іноді досягає 2,50 м, цим обумовлюється велика віддача врожаю. Іноді з куща можна зняти до 8 кг плодів.</t>
  </si>
  <si>
    <t>1k31f_MBRf6y8ve1MWtL-PAAiW5iAi0FE</t>
  </si>
  <si>
    <t>Середньорослі томати зібрали в собі найкращі якості високорослих і низькорослих сортів, зазвичай вирощуються в два стебла.</t>
  </si>
  <si>
    <t>1DACrNHTqQv3qlfpZQb1xuL1w2MQPQ179</t>
  </si>
  <si>
    <t>Низькорослі сорти томатів відрізняються швидкою віддачею, формуючи невелику кількість кистей, дружним дозріванням.</t>
  </si>
  <si>
    <t>1oARzKzOvHYMl1kFrvFl3Cb39lkza7qyZ</t>
  </si>
  <si>
    <t>Найпопулярнійшої овочевий продукт, який можна випращівать цілий рік. Невибагливий, а так же незамінний в салатах.</t>
  </si>
  <si>
    <t>1n3HB1EKMERjWdfyA8O8DUy0bTrxlS969</t>
  </si>
  <si>
    <t>Капуста - цариця серед овочів, дуже популярний продукт. Займає одне з перших місць в світі по вирощуванню.</t>
  </si>
  <si>
    <t>1L14Wj8I7f66dIwHkthTFk_ejY5csYhxD</t>
  </si>
  <si>
    <t>Різновид сімейства хрестоцвітних. Налічує близько 400 сортів різних термінів дозрівання.</t>
  </si>
  <si>
    <t>19tU3JrTkGOBwlIAetxmNhLG49i7NBaly</t>
  </si>
  <si>
    <t>Цвітна капуста має однорічний цикл розвитку, різноманіття сортів дивує своєю незвичністю. Має високі смакові якості.</t>
  </si>
  <si>
    <t>1Vs7AFWlTHJ63CmIxTS7oNAJxd4pI6FBg</t>
  </si>
  <si>
    <t>Це вид капусти містить велику кількість макро і мікро елементів, стійкий до захворювань, добре зберігається і дуже смачний в салатах.</t>
  </si>
  <si>
    <t>1D9uNcAuPvJPf0RraeRLlcCq84poxpdhP</t>
  </si>
  <si>
    <t>Різновидів існує багато і всі вони разюче відрізняються один від одного, але об'єднує їх одне - всі вони капуста.</t>
  </si>
  <si>
    <t>18r_drc-j3bchOwDXjiJ5T2ojAeNUziWP</t>
  </si>
  <si>
    <t>Редис характерний ранніми термінами дозрівання, саме з нього роблять перші салати після зими.</t>
  </si>
  <si>
    <t>1_ZjaYZV3fYJR0jWYA5oFIwiWour4PvvO</t>
  </si>
  <si>
    <t>Будь-яка кухня світу використовує перець, як необхідний компонент перших і других страв. Високий вміст вітаміну С, а так само інших корисних мікроелементів робить його незамінним.</t>
  </si>
  <si>
    <t>1MexJjT__ToSRG0FCZtDPCOVA7Eb9BwPc</t>
  </si>
  <si>
    <t>Солодкі перці мають дуже привабливий вигляд. М'ясисті і смачні.</t>
  </si>
  <si>
    <t>1dI0kjNY6vTAax92r9KamkDwvnZrPsVNQ</t>
  </si>
  <si>
    <t>Культурних сортів гострого перцю близько 3000. Добре зберігається в сушеному вигляді.</t>
  </si>
  <si>
    <t>1dR5BDIxVnDYxAjoq9GQSxCKk69aEm1Rl</t>
  </si>
  <si>
    <t>Ця рослина ставитися до роду пасльонових і вирощується як однорічник. У їжу вживають злегка недозрілі плоди так вони смачніші.</t>
  </si>
  <si>
    <t>17olGuuG1KaOAm_CrXUsFxUcGyjj50_1y</t>
  </si>
  <si>
    <t>Різноманітність сортів луків не припиняє дивувати: однорічні, дворічні і навіть багаторічні. Багаті зеленню обеспечиват вітамінами круглий рік.</t>
  </si>
  <si>
    <t>1zovI6vhIwBmAREgTar2BFsLqEPEd-Cay</t>
  </si>
  <si>
    <t>Морква містить масу корисних речовин - це каротин, солі, калію, пектини, вітаміни А, В, С, Д. Широко застосовується в кулінарії, не замінна в дитячому харчуванні.</t>
  </si>
  <si>
    <t>1VjgADwq_ud2mhSdnz4uwadyt8c7GWdIN</t>
  </si>
  <si>
    <t>Буряк має дуже високими смаковими і лікувальними властивостями, збагачена йодом, вітамінами А і В, покращує обмін речовин. У деяких сортів використовують і коренеплоди і надземну частину.</t>
  </si>
  <si>
    <t>14Cmnr1PunBiBIWWdRaNJMxRNKWxPBcMb</t>
  </si>
  <si>
    <t>Рослина поширилося з Африки, пройшло довгий селекційний шлях. На сьогодні це - однорічна стелеться трава з кавалками листям. Плід кавуна - соковита ягода з безліччю насіння.</t>
  </si>
  <si>
    <t>melon</t>
  </si>
  <si>
    <t>19EKryCOVl6t_1Jpc66MVbZjEP95oQnHR</t>
  </si>
  <si>
    <t>Традиційна баштанних культур для степової зони. Головне дати рослині більше тепла і сонця. Урожай, при дотриманні агротехніки обробітку, можна отримати вже в кінці червня.</t>
  </si>
  <si>
    <t>1yK2LAcjqZXyECyqPgceIZUEKCM2PYR9U</t>
  </si>
  <si>
    <t>За кількістю вмісту заліза, гарбуз - чемпіон серед овочів. Гарбузове насіння джерело масел, багатих мікроелементами. Її соковита м'якоть використовується в дієтології.</t>
  </si>
  <si>
    <t>1JJexZ7Hni-kTLvH7lRpIqZV3lG4d0Vtd</t>
  </si>
  <si>
    <t>Кабачок - цукіні продукт, низькокалорійний і легкозасвоюваний організмом, тому його використовують в дієтології і в дитячому харчуванні.</t>
  </si>
  <si>
    <t>1s1aIVH62wl1-CB9SpGtqvWZwxfzHnNrr</t>
  </si>
  <si>
    <t>Плоди патисонів тонкокорие. М'якоть білосніжна, хрустка і дуже щільна. Малюками зазвичай підходять для консервації, а більші плоди використовують в кулінарії.</t>
  </si>
  <si>
    <t>1DLxznN57AWpHbMpLJdRF2lfj3fO7vh6_</t>
  </si>
  <si>
    <t>Ранні вітаміни на столах - зелені культури. Всі різновиди салатів, шпинат, щавель, спаржа, черемша.</t>
  </si>
  <si>
    <t>1UbZiX6xaYPadkseu_NReLxEozL0rUW7-</t>
  </si>
  <si>
    <t>До групи пряно-смакових культур входять трави, які використовуються як приправи: майоран, кріп, чабер і багато-багато інших однорічних і багаторічних рослин. Вони відносно холодостійкі.</t>
  </si>
  <si>
    <t>1vriYiFoPVciZxBIfVFYwAb-gUvb9r_4e</t>
  </si>
  <si>
    <t>Газзоние трави застосовують там, де природне різнотрав'я не справляється зі своїми завданнями. Їх застосовують в декоруванні ділянок, облаштуванні парків і зон відпочинку.</t>
  </si>
  <si>
    <t>1WMCucLUk48pHnNYILjpoBgvbWZMojoQC</t>
  </si>
  <si>
    <t>Різноманітність видів сімейства бобових - величезна. Застосовують їх як продукт харчування.</t>
  </si>
  <si>
    <t>1jcWGnBpv-pAOgxLkvPeIOVLUmN2QDfJK</t>
  </si>
  <si>
    <t>Квасоля відноситься до розряду бобових з за того, що має стручкову форму заповнену зернами і тим не менше це відмінне від бобових рослина, що має дуже багато різних сортів.</t>
  </si>
  <si>
    <t>11TP7N2Cfge3yLLpC0XIUqRMmsqYpXyI5</t>
  </si>
  <si>
    <t>Спаржева квасоля вирощується заради смачних стулок: у них відсутній пергаментний прошарок, тому квасоля вживається в їжу цілком. Смаком нагадує спаржу.</t>
  </si>
  <si>
    <t>10An0it4AIGykIN9JkX1aO5wh_-B5fRbS</t>
  </si>
  <si>
    <t>Лущильні сорти квасолі вирощуються виключно для вживання в їжу зерен: дуже поживних і містять велику кількість білка.</t>
  </si>
  <si>
    <t>15DT6g7v8jNk276-cPkOe7gKTr8uZ0kiW</t>
  </si>
  <si>
    <t>Кукурудза - цариця полів, це однорічна трав'яниста рослина відноситься до злакових культур.</t>
  </si>
  <si>
    <t>1s9bHbuguTgYukAR-lZ6Ege-x9JKgerDC</t>
  </si>
  <si>
    <t>Суниці включають, як дикорослі так і культурні форми. Вона не дуже вимоглива до ґрунтових складам і навколишніх умов. Можна вирощувати і на сонячних грядках і на затінених ділянках. Урожай зазвичай отримують в першій половині літа.</t>
  </si>
  <si>
    <t>1nN1OjPzHb25fTvQWpkSht2lamQWm2eHp</t>
  </si>
  <si>
    <t>Ми всі звикли до стандартного набору овочів, але існує багато овочів не звичних ні для нашого ока ні для нашого смаку. Чому б не спробувати виростити ці екзоти.</t>
  </si>
  <si>
    <t>1ZARSqinxOTrmGdYnKwydJ5QsVb36ZZRK</t>
  </si>
  <si>
    <t>Більшість лікарських рослин збирають в дикій природі, але все частіше і частіше, лікарські рослини стали вирощувати на присадибних ділянках, що гарантує чистоту і якість зібраної сировини.</t>
  </si>
  <si>
    <t>1zLRMOl7nT_oDHB_utWYa6zpqJVpJzzWw</t>
  </si>
  <si>
    <t>Аромати, різноманітність кольору, ніжність, трепет і любов - все це відноситься до багатотисячної армії квітів всіх видів, всіх категорій і всіх національностей.</t>
  </si>
  <si>
    <t>1C0-LyWqkvNqzdUvWtjPo0cAa2EH9n01S</t>
  </si>
  <si>
    <t>Великий діапазон кольорів, багатий вибір форм, різниця термінів цвітіння - дає можливість створювати будь-які композиції. І те, що рослини однорічні - дозволяє експериментувати нескінченно.</t>
  </si>
  <si>
    <t>1irk5hs_FAchbaPklgFlBnHuGsE5WzovA</t>
  </si>
  <si>
    <t>Багаторічники зазвичай дають можливість формувати композиції на кілька років вперед. Прекрасно сусідять зі своїми побратимами і не вибагливі до ґрунту. Це і високорослі, і цибулинні (типу мускари або птицемлечник), і стелящиеся почвопокривні рослини.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</si>
</sst>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rgb="FF000000"/>
      <name val="Calibri"/>
    </font>
    <font>
      <color theme="1"/>
      <name val="Arial"/>
      <scheme val="minor"/>
    </font>
    <font>
      <sz val="10.0"/>
      <color rgb="FF000000"/>
      <name val="Calibri"/>
    </font>
    <font>
      <color rgb="FF000000"/>
      <name val="Helvetica Neue"/>
    </font>
    <font>
      <sz val="9.0"/>
      <color theme="1"/>
      <name val="&quot;Helvetica Neue&quot;"/>
    </font>
    <font>
      <sz val="10.0"/>
      <color rgb="FF000000"/>
      <name val="&quot;Helvetica Neue&quot;"/>
    </font>
    <font>
      <color rgb="FF000000"/>
      <name val="&quot;docs-Helvetica Neue&quot;"/>
    </font>
    <font>
      <color theme="1"/>
      <name val="&quot;Helvetica Neue&quot;"/>
    </font>
    <font>
      <sz val="11.0"/>
      <color rgb="FF000000"/>
      <name val="Calibri"/>
    </font>
    <font>
      <sz val="11.0"/>
      <color rgb="FF000000"/>
      <name val="Arial"/>
    </font>
    <font>
      <color rgb="FF000000"/>
      <name val="Arial"/>
    </font>
    <font>
      <color theme="1"/>
      <name val="Arial"/>
    </font>
    <font>
      <color rgb="FFB7B7B7"/>
      <name val="Arial"/>
    </font>
    <font>
      <color rgb="FFB7B7B7"/>
      <name val="Arial"/>
      <scheme val="minor"/>
    </font>
    <font>
      <u/>
      <color rgb="FF1155CC"/>
    </font>
    <font>
      <u/>
      <color rgb="FF1155CC"/>
      <name val="Arial"/>
    </font>
    <font>
      <sz val="11.0"/>
      <color rgb="FF000000"/>
      <name val="Docs-Calibri"/>
    </font>
    <font>
      <sz val="12.0"/>
      <color theme="1"/>
      <name val="Arial"/>
    </font>
    <font>
      <sz val="8.0"/>
      <color rgb="FF000000"/>
      <name val="Helvetica"/>
    </font>
    <font>
      <b/>
      <sz val="8.0"/>
      <color rgb="FF000000"/>
      <name val="Helvetica"/>
    </font>
    <font>
      <u/>
      <color rgb="FF0000FF"/>
    </font>
    <font>
      <sz val="12.0"/>
      <color rgb="FF000000"/>
      <name val="Arial"/>
    </font>
    <font>
      <b/>
      <sz val="12.0"/>
      <color theme="1"/>
      <name val="Arial"/>
    </font>
    <font>
      <b/>
      <sz val="12.0"/>
      <color theme="1"/>
      <name val="Arial"/>
      <scheme val="minor"/>
    </font>
    <font>
      <u/>
      <sz val="12.0"/>
      <color rgb="FF1155CC"/>
    </font>
    <font>
      <color theme="1"/>
      <name val="Consolas"/>
    </font>
    <font>
      <u/>
      <sz val="9.0"/>
      <color rgb="FF1155CC"/>
      <name val="Arial"/>
    </font>
    <font>
      <sz val="9.0"/>
      <color rgb="FF000000"/>
      <name val="-apple-system-font"/>
    </font>
    <font>
      <u/>
      <sz val="9.0"/>
      <color rgb="FF0000FF"/>
      <name val="-apple-system-font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2F4"/>
        <bgColor rgb="FFF9F2F4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5" numFmtId="0" xfId="0" applyFont="1"/>
    <xf borderId="0" fillId="2" fontId="6" numFmtId="0" xfId="0" applyAlignment="1" applyFont="1">
      <alignment readingOrder="0" shrinkToFit="0" vertical="bottom" wrapText="0"/>
    </xf>
    <xf borderId="0" fillId="2" fontId="3" numFmtId="0" xfId="0" applyFont="1"/>
    <xf borderId="0" fillId="2" fontId="7" numFmtId="49" xfId="0" applyAlignment="1" applyFont="1" applyNumberFormat="1">
      <alignment horizontal="left" readingOrder="0"/>
    </xf>
    <xf borderId="0" fillId="0" fontId="8" numFmtId="49" xfId="0" applyAlignment="1" applyFont="1" applyNumberFormat="1">
      <alignment readingOrder="0"/>
    </xf>
    <xf borderId="0" fillId="2" fontId="9" numFmtId="49" xfId="0" applyAlignment="1" applyFont="1" applyNumberFormat="1">
      <alignment readingOrder="0" shrinkToFit="0" vertical="top" wrapText="0"/>
    </xf>
    <xf borderId="0" fillId="2" fontId="9" numFmtId="49" xfId="0" applyAlignment="1" applyFont="1" applyNumberFormat="1">
      <alignment shrinkToFit="0" vertical="top" wrapText="0"/>
    </xf>
    <xf borderId="0" fillId="2" fontId="10" numFmtId="49" xfId="0" applyAlignment="1" applyFont="1" applyNumberFormat="1">
      <alignment horizontal="left" readingOrder="0"/>
    </xf>
    <xf borderId="0" fillId="2" fontId="9" numFmtId="49" xfId="0" applyAlignment="1" applyFont="1" applyNumberFormat="1">
      <alignment readingOrder="0" vertical="top"/>
    </xf>
    <xf borderId="0" fillId="2" fontId="9" numFmtId="49" xfId="0" applyAlignment="1" applyFont="1" applyNumberFormat="1">
      <alignment readingOrder="0" vertical="top"/>
    </xf>
    <xf borderId="0" fillId="0" fontId="11" numFmtId="0" xfId="0" applyAlignment="1" applyFont="1">
      <alignment vertical="top"/>
    </xf>
    <xf borderId="0" fillId="0" fontId="12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2" fontId="14" numFmtId="0" xfId="0" applyAlignment="1" applyFont="1">
      <alignment horizontal="left" readingOrder="0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2" fontId="16" numFmtId="0" xfId="0" applyAlignment="1" applyFont="1">
      <alignment readingOrder="0" vertical="bottom"/>
    </xf>
    <xf borderId="0" fillId="2" fontId="16" numFmtId="0" xfId="0" applyAlignment="1" applyFont="1">
      <alignment vertical="bottom"/>
    </xf>
    <xf borderId="0" fillId="2" fontId="17" numFmtId="0" xfId="0" applyFont="1"/>
    <xf borderId="0" fillId="0" fontId="18" numFmtId="0" xfId="0" applyAlignment="1" applyFont="1">
      <alignment readingOrder="0"/>
    </xf>
    <xf borderId="0" fillId="2" fontId="16" numFmtId="0" xfId="0" applyAlignment="1" applyFont="1">
      <alignment horizontal="right" vertical="bottom"/>
    </xf>
    <xf borderId="0" fillId="0" fontId="19" numFmtId="0" xfId="0" applyAlignment="1" applyFont="1">
      <alignment horizontal="left" readingOrder="0"/>
    </xf>
    <xf borderId="0" fillId="2" fontId="20" numFmtId="0" xfId="0" applyAlignment="1" applyFont="1">
      <alignment horizontal="left" readingOrder="0"/>
    </xf>
    <xf borderId="0" fillId="2" fontId="16" numFmtId="0" xfId="0" applyAlignment="1" applyFont="1">
      <alignment horizontal="right" readingOrder="0" vertical="bottom"/>
    </xf>
    <xf borderId="0" fillId="0" fontId="21" numFmtId="0" xfId="0" applyAlignment="1" applyFont="1">
      <alignment readingOrder="0"/>
    </xf>
    <xf borderId="0" fillId="2" fontId="12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2" fontId="13" numFmtId="0" xfId="0" applyAlignment="1" applyFont="1">
      <alignment horizontal="left" readingOrder="0"/>
    </xf>
    <xf borderId="0" fillId="0" fontId="22" numFmtId="0" xfId="0" applyAlignment="1" applyFont="1">
      <alignment readingOrder="0" vertical="top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4" numFmtId="0" xfId="0" applyFont="1"/>
    <xf borderId="0" fillId="0" fontId="25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/>
    </xf>
    <xf borderId="0" fillId="2" fontId="15" numFmtId="0" xfId="0" applyAlignment="1" applyFont="1">
      <alignment readingOrder="0"/>
    </xf>
    <xf borderId="0" fillId="2" fontId="5" numFmtId="0" xfId="0" applyFont="1"/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21" numFmtId="0" xfId="0" applyFont="1"/>
    <xf borderId="0" fillId="0" fontId="28" numFmtId="0" xfId="0" applyAlignment="1" applyFont="1">
      <alignment readingOrder="0"/>
    </xf>
    <xf borderId="0" fillId="0" fontId="25" numFmtId="0" xfId="0" applyAlignment="1" applyFont="1">
      <alignment horizontal="left" readingOrder="0"/>
    </xf>
    <xf borderId="0" fillId="2" fontId="25" numFmtId="0" xfId="0" applyAlignment="1" applyFont="1">
      <alignment readingOrder="0"/>
    </xf>
    <xf borderId="0" fillId="2" fontId="25" numFmtId="0" xfId="0" applyAlignment="1" applyFont="1">
      <alignment horizontal="left" readingOrder="0"/>
    </xf>
    <xf borderId="0" fillId="0" fontId="21" numFmtId="0" xfId="0" applyAlignment="1" applyFont="1">
      <alignment vertical="bottom"/>
    </xf>
    <xf borderId="0" fillId="0" fontId="29" numFmtId="49" xfId="0" applyAlignment="1" applyFont="1" applyNumberFormat="1">
      <alignment horizontal="left"/>
    </xf>
    <xf borderId="0" fillId="2" fontId="9" numFmtId="49" xfId="0" applyAlignment="1" applyFont="1" applyNumberFormat="1">
      <alignment vertical="top"/>
    </xf>
    <xf borderId="0" fillId="3" fontId="30" numFmtId="0" xfId="0" applyAlignment="1" applyFill="1" applyFont="1">
      <alignment horizontal="left" readingOrder="0"/>
    </xf>
    <xf borderId="0" fillId="0" fontId="31" numFmtId="0" xfId="0" applyAlignment="1" applyFont="1">
      <alignment readingOrder="0"/>
    </xf>
    <xf borderId="0" fillId="3" fontId="32" numFmtId="0" xfId="0" applyAlignment="1" applyFont="1">
      <alignment readingOrder="0"/>
    </xf>
    <xf borderId="0" fillId="0" fontId="3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localhost:8888/fun-dacha/wp-products/zhiraf.png" TargetMode="External"/><Relationship Id="rId22" Type="http://schemas.openxmlformats.org/officeDocument/2006/relationships/hyperlink" Target="http://localhost:8888/fun-dacha/wp-products/korneevskiy.png" TargetMode="External"/><Relationship Id="rId21" Type="http://schemas.openxmlformats.org/officeDocument/2006/relationships/hyperlink" Target="http://localhost:8888/fun-dacha/wp-products/zolotaya_kaplya.png" TargetMode="External"/><Relationship Id="rId24" Type="http://schemas.openxmlformats.org/officeDocument/2006/relationships/hyperlink" Target="http://localhost:8888/fun-dacha/wp-products/perzevidniy.png" TargetMode="External"/><Relationship Id="rId23" Type="http://schemas.openxmlformats.org/officeDocument/2006/relationships/hyperlink" Target="http://localhost:8888/fun-dacha/wp-products/mikado.png" TargetMode="External"/><Relationship Id="rId1" Type="http://schemas.openxmlformats.org/officeDocument/2006/relationships/hyperlink" Target="http://localhost:8888/fun-dacha/wp-content/uploads/2020/05/image_2020-05-22_17-57-05.png" TargetMode="External"/><Relationship Id="rId2" Type="http://schemas.openxmlformats.org/officeDocument/2006/relationships/hyperlink" Target="http://localhost:8888/fun-dacha/wp-products/" TargetMode="External"/><Relationship Id="rId3" Type="http://schemas.openxmlformats.org/officeDocument/2006/relationships/hyperlink" Target="http://localhost:8888/fun-dacha/wp-products/" TargetMode="External"/><Relationship Id="rId4" Type="http://schemas.openxmlformats.org/officeDocument/2006/relationships/hyperlink" Target="http://localhost:8888/fun-dacha/wp-products/boyarinya.png" TargetMode="External"/><Relationship Id="rId9" Type="http://schemas.openxmlformats.org/officeDocument/2006/relationships/hyperlink" Target="http://localhost:8888/fun-dacha/wp-products/" TargetMode="External"/><Relationship Id="rId26" Type="http://schemas.openxmlformats.org/officeDocument/2006/relationships/hyperlink" Target="http://localhost:8888/fun-dacha/wp-products/prinzesa_turandot.png" TargetMode="External"/><Relationship Id="rId25" Type="http://schemas.openxmlformats.org/officeDocument/2006/relationships/hyperlink" Target="http://localhost:8888/fun-dacha/wp-products/nuzhniy_razmer.png" TargetMode="External"/><Relationship Id="rId28" Type="http://schemas.openxmlformats.org/officeDocument/2006/relationships/hyperlink" Target="http://localhost:8888/fun-dacha/wp-products/" TargetMode="External"/><Relationship Id="rId27" Type="http://schemas.openxmlformats.org/officeDocument/2006/relationships/hyperlink" Target="http://localhost:8888/fun-dacha/wp-products/rozovi_gigant.png" TargetMode="External"/><Relationship Id="rId5" Type="http://schemas.openxmlformats.org/officeDocument/2006/relationships/hyperlink" Target="http://localhost:8888/fun-dacha/wp-products/medvezhu_lapa.png" TargetMode="External"/><Relationship Id="rId6" Type="http://schemas.openxmlformats.org/officeDocument/2006/relationships/hyperlink" Target="http://localhost:8888/fun-dacha/wp-products/vishenka.png" TargetMode="External"/><Relationship Id="rId29" Type="http://schemas.openxmlformats.org/officeDocument/2006/relationships/hyperlink" Target="http://localhost:8888/fun-dacha/wp-products/rozoviy_flamingo.png" TargetMode="External"/><Relationship Id="rId7" Type="http://schemas.openxmlformats.org/officeDocument/2006/relationships/hyperlink" Target="http://localhost:8888/fun-dacha/wp-products/volovoe_serze_oran.png" TargetMode="External"/><Relationship Id="rId8" Type="http://schemas.openxmlformats.org/officeDocument/2006/relationships/hyperlink" Target="http://localhost:8888/fun-dacha/wp-products/" TargetMode="External"/><Relationship Id="rId31" Type="http://schemas.openxmlformats.org/officeDocument/2006/relationships/hyperlink" Target="http://localhost:8888/fun-dacha/wp-products/" TargetMode="External"/><Relationship Id="rId30" Type="http://schemas.openxmlformats.org/officeDocument/2006/relationships/hyperlink" Target="http://localhost:8888/fun-dacha/wp-products/ruskiu_razmer_F1.png" TargetMode="External"/><Relationship Id="rId11" Type="http://schemas.openxmlformats.org/officeDocument/2006/relationships/hyperlink" Target="http://localhost:8888/fun-dacha/wp-products/gigant_lemon.png" TargetMode="External"/><Relationship Id="rId33" Type="http://schemas.openxmlformats.org/officeDocument/2006/relationships/hyperlink" Target="http://localhost:8888/fun-dacha/wp-products/" TargetMode="External"/><Relationship Id="rId10" Type="http://schemas.openxmlformats.org/officeDocument/2006/relationships/hyperlink" Target="http://localhost:8888/fun-dacha/wp-products/" TargetMode="External"/><Relationship Id="rId32" Type="http://schemas.openxmlformats.org/officeDocument/2006/relationships/hyperlink" Target="http://localhost:8888/fun-dacha/wp-products/" TargetMode="External"/><Relationship Id="rId13" Type="http://schemas.openxmlformats.org/officeDocument/2006/relationships/hyperlink" Target="http://localhost:8888/fun-dacha/wp-products/debaro_oran.png" TargetMode="External"/><Relationship Id="rId35" Type="http://schemas.openxmlformats.org/officeDocument/2006/relationships/hyperlink" Target="http://localhost:8888/fun-dacha/wp-products/" TargetMode="External"/><Relationship Id="rId12" Type="http://schemas.openxmlformats.org/officeDocument/2006/relationships/hyperlink" Target="http://localhost:8888/fun-dacha/wp-products/damskie_palchiki.png" TargetMode="External"/><Relationship Id="rId34" Type="http://schemas.openxmlformats.org/officeDocument/2006/relationships/hyperlink" Target="http://localhost:8888/fun-dacha/wp-products/" TargetMode="External"/><Relationship Id="rId15" Type="http://schemas.openxmlformats.org/officeDocument/2006/relationships/hyperlink" Target="http://localhost:8888/fun-dacha/wp-products/debaro_tigrovi.png" TargetMode="External"/><Relationship Id="rId14" Type="http://schemas.openxmlformats.org/officeDocument/2006/relationships/hyperlink" Target="http://localhost:8888/fun-dacha/wp-products/debaro_rozovi.png" TargetMode="External"/><Relationship Id="rId36" Type="http://schemas.openxmlformats.org/officeDocument/2006/relationships/drawing" Target="../drawings/drawing3.xml"/><Relationship Id="rId17" Type="http://schemas.openxmlformats.org/officeDocument/2006/relationships/hyperlink" Target="http://localhost:8888/fun-dacha/wp-products/debari_char_krasniy.png" TargetMode="External"/><Relationship Id="rId16" Type="http://schemas.openxmlformats.org/officeDocument/2006/relationships/hyperlink" Target="http://localhost:8888/fun-dacha/wp-products/debaro_char_rozoviu.png" TargetMode="External"/><Relationship Id="rId19" Type="http://schemas.openxmlformats.org/officeDocument/2006/relationships/hyperlink" Target="http://localhost:8888/fun-dacha/wp-products/debaro_cherniy.png" TargetMode="External"/><Relationship Id="rId18" Type="http://schemas.openxmlformats.org/officeDocument/2006/relationships/hyperlink" Target="http://localhost:8888/fun-dacha/wp-products/debaro_krasniy.p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localhost:8888/fun-dacha/wp-categories/IMG/tomato" TargetMode="External"/><Relationship Id="rId22" Type="http://schemas.openxmlformats.org/officeDocument/2006/relationships/hyperlink" Target="http://localhost:8888/fun-dacha/wp-categories/IMG/tomato" TargetMode="External"/><Relationship Id="rId21" Type="http://schemas.openxmlformats.org/officeDocument/2006/relationships/hyperlink" Target="http://localhost:8888/fun-dacha/wp-categories/IMG/tomato" TargetMode="External"/><Relationship Id="rId24" Type="http://schemas.openxmlformats.org/officeDocument/2006/relationships/hyperlink" Target="http://localhost:8888/fun-dacha/wp-categories/IMG/tomato" TargetMode="External"/><Relationship Id="rId23" Type="http://schemas.openxmlformats.org/officeDocument/2006/relationships/hyperlink" Target="http://localhost:8888/fun-dacha/wp-categories/IMG/tomato" TargetMode="External"/><Relationship Id="rId1" Type="http://schemas.openxmlformats.org/officeDocument/2006/relationships/hyperlink" Target="http://localhost:8888/fun-dacha/wp-categories/IMG/tomato" TargetMode="External"/><Relationship Id="rId2" Type="http://schemas.openxmlformats.org/officeDocument/2006/relationships/hyperlink" Target="http://localhost:8888/fun-dacha/wp-categories/IMG/tomato-small" TargetMode="External"/><Relationship Id="rId3" Type="http://schemas.openxmlformats.org/officeDocument/2006/relationships/hyperlink" Target="http://localhost:8888/fun-dacha/wp-categories/IMG/tomato" TargetMode="External"/><Relationship Id="rId4" Type="http://schemas.openxmlformats.org/officeDocument/2006/relationships/hyperlink" Target="http://localhost:8888/fun-dacha/wp-categories/IMG/tomato" TargetMode="External"/><Relationship Id="rId9" Type="http://schemas.openxmlformats.org/officeDocument/2006/relationships/hyperlink" Target="http://localhost:8888/fun-dacha/wp-categories/IMG/tomato" TargetMode="External"/><Relationship Id="rId26" Type="http://schemas.openxmlformats.org/officeDocument/2006/relationships/hyperlink" Target="http://localhost:8888/fun-dacha/wp-categories/IMG/tomato" TargetMode="External"/><Relationship Id="rId25" Type="http://schemas.openxmlformats.org/officeDocument/2006/relationships/hyperlink" Target="http://localhost:8888/fun-dacha/wp-categories/IMG/tomato" TargetMode="External"/><Relationship Id="rId28" Type="http://schemas.openxmlformats.org/officeDocument/2006/relationships/hyperlink" Target="http://localhost:8888/fun-dacha/wp-categories/IMG/tomato" TargetMode="External"/><Relationship Id="rId27" Type="http://schemas.openxmlformats.org/officeDocument/2006/relationships/hyperlink" Target="http://localhost:8888/fun-dacha/wp-categories/IMG/tomato" TargetMode="External"/><Relationship Id="rId5" Type="http://schemas.openxmlformats.org/officeDocument/2006/relationships/hyperlink" Target="http://localhost:8888/fun-dacha/wp-categories/IMG/tomato" TargetMode="External"/><Relationship Id="rId6" Type="http://schemas.openxmlformats.org/officeDocument/2006/relationships/hyperlink" Target="http://localhost:8888/fun-dacha/wp-categories/IMG/tomato" TargetMode="External"/><Relationship Id="rId29" Type="http://schemas.openxmlformats.org/officeDocument/2006/relationships/hyperlink" Target="http://localhost:8888/fun-dacha/wp-categories/IMG/tomato" TargetMode="External"/><Relationship Id="rId7" Type="http://schemas.openxmlformats.org/officeDocument/2006/relationships/hyperlink" Target="http://localhost:8888/fun-dacha/wp-categories/IMG/tomato" TargetMode="External"/><Relationship Id="rId8" Type="http://schemas.openxmlformats.org/officeDocument/2006/relationships/hyperlink" Target="http://localhost:8888/fun-dacha/wp-categories/IMG/tomato" TargetMode="External"/><Relationship Id="rId31" Type="http://schemas.openxmlformats.org/officeDocument/2006/relationships/hyperlink" Target="http://localhost:8888/fun-dacha/wp-categories/IMG/tomato" TargetMode="External"/><Relationship Id="rId30" Type="http://schemas.openxmlformats.org/officeDocument/2006/relationships/hyperlink" Target="http://localhost:8888/fun-dacha/wp-categories/IMG/tomato" TargetMode="External"/><Relationship Id="rId11" Type="http://schemas.openxmlformats.org/officeDocument/2006/relationships/hyperlink" Target="http://localhost:8888/fun-dacha/wp-categories/IMG/tomato" TargetMode="External"/><Relationship Id="rId33" Type="http://schemas.openxmlformats.org/officeDocument/2006/relationships/hyperlink" Target="http://localhost:8888/fun-dacha/wp-categories/IMG/tomato" TargetMode="External"/><Relationship Id="rId10" Type="http://schemas.openxmlformats.org/officeDocument/2006/relationships/hyperlink" Target="http://localhost:8888/fun-dacha/wp-categories/IMG/tomato" TargetMode="External"/><Relationship Id="rId32" Type="http://schemas.openxmlformats.org/officeDocument/2006/relationships/hyperlink" Target="http://localhost:8888/fun-dacha/wp-categories/IMG/tomato" TargetMode="External"/><Relationship Id="rId13" Type="http://schemas.openxmlformats.org/officeDocument/2006/relationships/hyperlink" Target="http://localhost:8888/fun-dacha/wp-categories/IMG/tomato" TargetMode="External"/><Relationship Id="rId35" Type="http://schemas.openxmlformats.org/officeDocument/2006/relationships/hyperlink" Target="http://localhost:8888/fun-dacha/wp-categories/IMG/tomato" TargetMode="External"/><Relationship Id="rId12" Type="http://schemas.openxmlformats.org/officeDocument/2006/relationships/hyperlink" Target="http://localhost:8888/fun-dacha/wp-categories/IMG/tomato" TargetMode="External"/><Relationship Id="rId34" Type="http://schemas.openxmlformats.org/officeDocument/2006/relationships/hyperlink" Target="http://localhost:8888/fun-dacha/wp-categories/IMG/tomato" TargetMode="External"/><Relationship Id="rId15" Type="http://schemas.openxmlformats.org/officeDocument/2006/relationships/hyperlink" Target="http://localhost:8888/fun-dacha/wp-categories/IMG/tomato" TargetMode="External"/><Relationship Id="rId37" Type="http://schemas.openxmlformats.org/officeDocument/2006/relationships/hyperlink" Target="http://localhost:8888/fun-dacha/wp-categories/IMG/tomato" TargetMode="External"/><Relationship Id="rId14" Type="http://schemas.openxmlformats.org/officeDocument/2006/relationships/hyperlink" Target="http://localhost:8888/fun-dacha/wp-categories/IMG/tomato" TargetMode="External"/><Relationship Id="rId36" Type="http://schemas.openxmlformats.org/officeDocument/2006/relationships/hyperlink" Target="http://localhost:8888/fun-dacha/wp-categories/IMG/tomato" TargetMode="External"/><Relationship Id="rId17" Type="http://schemas.openxmlformats.org/officeDocument/2006/relationships/hyperlink" Target="http://localhost:8888/fun-dacha/wp-categories/IMG/tomato" TargetMode="External"/><Relationship Id="rId16" Type="http://schemas.openxmlformats.org/officeDocument/2006/relationships/hyperlink" Target="http://localhost:8888/fun-dacha/wp-categories/IMG/tomato" TargetMode="External"/><Relationship Id="rId38" Type="http://schemas.openxmlformats.org/officeDocument/2006/relationships/drawing" Target="../drawings/drawing5.xml"/><Relationship Id="rId19" Type="http://schemas.openxmlformats.org/officeDocument/2006/relationships/hyperlink" Target="http://localhost:8888/fun-dacha/wp-categories/IMG/tomato" TargetMode="External"/><Relationship Id="rId18" Type="http://schemas.openxmlformats.org/officeDocument/2006/relationships/hyperlink" Target="http://localhost:8888/fun-dacha/wp-categories/IMG/tomato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export=view&amp;id=1iQ9VcCE0wVFxMLtESOpIyOkLHItmq2LI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export=view&amp;id=1iQ9VcCE0wVFxMLtESOpIyOkLHItmq2LI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2" max="2" width="27.5"/>
    <col customWidth="1" min="3" max="3" width="22.0"/>
    <col customWidth="1" min="4" max="4" width="112.13"/>
    <col customWidth="1" min="5" max="5" width="244.88"/>
    <col customWidth="1" min="6" max="6" width="45.75"/>
    <col customWidth="1" min="7" max="7" width="45.88"/>
    <col customWidth="1" min="8" max="8" width="3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>
        <v>1.0</v>
      </c>
      <c r="B2" s="5" t="s">
        <v>8</v>
      </c>
      <c r="C2" s="4" t="s">
        <v>9</v>
      </c>
      <c r="D2" s="4" t="s">
        <v>10</v>
      </c>
      <c r="E2" s="6"/>
      <c r="G2" s="7"/>
      <c r="H2" s="8"/>
    </row>
    <row r="3">
      <c r="A3" s="4">
        <v>2.0</v>
      </c>
      <c r="B3" s="7" t="s">
        <v>11</v>
      </c>
      <c r="C3" s="4" t="s">
        <v>12</v>
      </c>
      <c r="D3" s="4" t="s">
        <v>13</v>
      </c>
      <c r="E3" s="6"/>
      <c r="F3" s="7"/>
      <c r="H3" s="4"/>
    </row>
    <row r="4">
      <c r="A4" s="4">
        <v>3.0</v>
      </c>
      <c r="B4" s="7" t="s">
        <v>14</v>
      </c>
      <c r="C4" s="4" t="s">
        <v>15</v>
      </c>
      <c r="D4" s="4" t="s">
        <v>16</v>
      </c>
      <c r="E4" s="6"/>
      <c r="F4" s="7"/>
      <c r="H4" s="4"/>
    </row>
    <row r="5">
      <c r="A5" s="4">
        <v>4.0</v>
      </c>
      <c r="B5" s="7" t="s">
        <v>17</v>
      </c>
      <c r="C5" s="4" t="s">
        <v>18</v>
      </c>
      <c r="D5" s="4" t="s">
        <v>19</v>
      </c>
      <c r="E5" s="6"/>
      <c r="F5" s="7"/>
      <c r="H5" s="4"/>
    </row>
    <row r="6">
      <c r="A6" s="4">
        <v>5.0</v>
      </c>
      <c r="B6" s="7" t="s">
        <v>20</v>
      </c>
      <c r="C6" s="4" t="s">
        <v>20</v>
      </c>
      <c r="D6" s="4" t="s">
        <v>21</v>
      </c>
      <c r="E6" s="6"/>
      <c r="F6" s="7" t="s">
        <v>22</v>
      </c>
      <c r="H6" s="4" t="s">
        <v>23</v>
      </c>
    </row>
    <row r="7">
      <c r="A7" s="4">
        <v>6.0</v>
      </c>
      <c r="B7" s="7" t="s">
        <v>24</v>
      </c>
      <c r="C7" s="4" t="s">
        <v>25</v>
      </c>
      <c r="D7" s="4" t="s">
        <v>26</v>
      </c>
      <c r="E7" s="6"/>
      <c r="F7" s="7" t="s">
        <v>27</v>
      </c>
      <c r="H7" s="4" t="s">
        <v>28</v>
      </c>
    </row>
    <row r="8">
      <c r="A8" s="4">
        <v>7.0</v>
      </c>
      <c r="B8" s="7" t="s">
        <v>29</v>
      </c>
      <c r="C8" s="4" t="s">
        <v>30</v>
      </c>
      <c r="D8" s="4" t="s">
        <v>31</v>
      </c>
      <c r="E8" s="6"/>
      <c r="F8" s="7" t="s">
        <v>32</v>
      </c>
      <c r="H8" s="4" t="s">
        <v>33</v>
      </c>
    </row>
    <row r="9">
      <c r="A9" s="4"/>
      <c r="B9" s="7"/>
      <c r="C9" s="4" t="s">
        <v>34</v>
      </c>
      <c r="D9" s="4" t="s">
        <v>35</v>
      </c>
      <c r="E9" s="6"/>
      <c r="F9" s="7"/>
      <c r="H9" s="8"/>
    </row>
    <row r="10">
      <c r="A10" s="4">
        <v>8.0</v>
      </c>
      <c r="B10" s="7" t="s">
        <v>36</v>
      </c>
      <c r="C10" s="4" t="s">
        <v>37</v>
      </c>
      <c r="D10" s="4" t="s">
        <v>38</v>
      </c>
      <c r="E10" s="6"/>
      <c r="F10" s="7" t="s">
        <v>39</v>
      </c>
      <c r="H10" s="8"/>
    </row>
    <row r="11">
      <c r="A11" s="4">
        <v>9.0</v>
      </c>
      <c r="B11" s="7" t="s">
        <v>40</v>
      </c>
      <c r="C11" s="4" t="s">
        <v>41</v>
      </c>
      <c r="D11" s="4" t="s">
        <v>42</v>
      </c>
      <c r="E11" s="6"/>
      <c r="F11" s="7" t="s">
        <v>43</v>
      </c>
      <c r="H11" s="8"/>
    </row>
    <row r="12">
      <c r="A12" s="4">
        <v>10.0</v>
      </c>
      <c r="B12" s="7" t="s">
        <v>44</v>
      </c>
      <c r="C12" s="4" t="s">
        <v>45</v>
      </c>
      <c r="D12" s="4" t="s">
        <v>46</v>
      </c>
      <c r="E12" s="6"/>
      <c r="F12" s="7" t="s">
        <v>47</v>
      </c>
      <c r="H12" s="8"/>
    </row>
    <row r="13">
      <c r="A13" s="4">
        <v>11.0</v>
      </c>
      <c r="B13" s="7" t="s">
        <v>48</v>
      </c>
      <c r="C13" s="4" t="s">
        <v>49</v>
      </c>
      <c r="D13" s="4" t="s">
        <v>50</v>
      </c>
      <c r="E13" s="6"/>
      <c r="F13" s="7" t="s">
        <v>51</v>
      </c>
      <c r="H13" s="8"/>
    </row>
    <row r="14">
      <c r="A14" s="4">
        <v>12.0</v>
      </c>
      <c r="B14" s="7" t="s">
        <v>52</v>
      </c>
      <c r="C14" s="4" t="s">
        <v>53</v>
      </c>
      <c r="D14" s="4" t="s">
        <v>54</v>
      </c>
      <c r="E14" s="6"/>
      <c r="F14" s="7" t="s">
        <v>55</v>
      </c>
      <c r="H14" s="4" t="s">
        <v>56</v>
      </c>
    </row>
    <row r="15">
      <c r="A15" s="4">
        <v>13.0</v>
      </c>
      <c r="B15" s="7" t="s">
        <v>57</v>
      </c>
      <c r="C15" s="4" t="s">
        <v>58</v>
      </c>
      <c r="D15" s="4" t="s">
        <v>59</v>
      </c>
      <c r="E15" s="6"/>
      <c r="F15" s="7" t="s">
        <v>60</v>
      </c>
      <c r="H15" s="4" t="s">
        <v>61</v>
      </c>
    </row>
    <row r="16">
      <c r="A16" s="4">
        <v>14.0</v>
      </c>
      <c r="B16" s="7" t="s">
        <v>62</v>
      </c>
      <c r="C16" s="4" t="s">
        <v>63</v>
      </c>
      <c r="D16" s="4" t="s">
        <v>64</v>
      </c>
      <c r="E16" s="6"/>
      <c r="F16" s="7" t="s">
        <v>65</v>
      </c>
      <c r="H16" s="4" t="s">
        <v>66</v>
      </c>
    </row>
    <row r="17">
      <c r="A17" s="4">
        <v>15.0</v>
      </c>
      <c r="B17" s="7" t="s">
        <v>67</v>
      </c>
      <c r="C17" s="4" t="s">
        <v>68</v>
      </c>
      <c r="D17" s="4" t="s">
        <v>69</v>
      </c>
      <c r="E17" s="6"/>
      <c r="F17" s="7" t="s">
        <v>70</v>
      </c>
      <c r="H17" s="4" t="s">
        <v>71</v>
      </c>
    </row>
    <row r="18">
      <c r="A18" s="4">
        <v>16.0</v>
      </c>
      <c r="B18" s="7" t="s">
        <v>72</v>
      </c>
      <c r="C18" s="4" t="s">
        <v>73</v>
      </c>
      <c r="D18" s="4" t="s">
        <v>74</v>
      </c>
      <c r="E18" s="6"/>
      <c r="F18" s="7" t="s">
        <v>75</v>
      </c>
      <c r="H18" s="4" t="s">
        <v>76</v>
      </c>
    </row>
    <row r="19">
      <c r="A19" s="4">
        <v>17.0</v>
      </c>
      <c r="B19" s="7" t="s">
        <v>77</v>
      </c>
      <c r="C19" s="4" t="s">
        <v>78</v>
      </c>
      <c r="D19" s="4" t="s">
        <v>79</v>
      </c>
      <c r="E19" s="6"/>
      <c r="F19" s="7" t="s">
        <v>80</v>
      </c>
      <c r="H19" s="4" t="s">
        <v>81</v>
      </c>
    </row>
    <row r="20">
      <c r="A20" s="4">
        <v>18.0</v>
      </c>
      <c r="B20" s="7" t="s">
        <v>82</v>
      </c>
      <c r="C20" s="4" t="s">
        <v>83</v>
      </c>
      <c r="D20" s="4" t="s">
        <v>84</v>
      </c>
      <c r="E20" s="6"/>
      <c r="F20" s="7" t="s">
        <v>85</v>
      </c>
      <c r="H20" s="4" t="s">
        <v>86</v>
      </c>
    </row>
    <row r="21">
      <c r="A21" s="4">
        <v>19.0</v>
      </c>
      <c r="B21" s="7" t="s">
        <v>87</v>
      </c>
      <c r="C21" s="4" t="s">
        <v>88</v>
      </c>
      <c r="D21" s="4" t="s">
        <v>89</v>
      </c>
      <c r="E21" s="6"/>
      <c r="F21" s="7" t="s">
        <v>90</v>
      </c>
      <c r="H21" s="4" t="s">
        <v>91</v>
      </c>
    </row>
    <row r="22">
      <c r="A22" s="4">
        <v>20.0</v>
      </c>
      <c r="B22" s="7" t="s">
        <v>92</v>
      </c>
      <c r="C22" s="4" t="s">
        <v>93</v>
      </c>
      <c r="D22" s="4" t="s">
        <v>94</v>
      </c>
      <c r="E22" s="6"/>
      <c r="F22" s="7" t="s">
        <v>95</v>
      </c>
      <c r="H22" s="4" t="s">
        <v>96</v>
      </c>
    </row>
    <row r="23">
      <c r="A23" s="4">
        <v>21.0</v>
      </c>
      <c r="B23" s="7" t="s">
        <v>97</v>
      </c>
      <c r="C23" s="4" t="s">
        <v>98</v>
      </c>
      <c r="D23" s="4" t="s">
        <v>99</v>
      </c>
      <c r="E23" s="6"/>
      <c r="F23" s="7" t="s">
        <v>100</v>
      </c>
      <c r="H23" s="4" t="s">
        <v>101</v>
      </c>
    </row>
    <row r="24">
      <c r="A24" s="4">
        <v>22.0</v>
      </c>
      <c r="B24" s="7" t="s">
        <v>102</v>
      </c>
      <c r="C24" s="4" t="s">
        <v>103</v>
      </c>
      <c r="D24" s="4" t="s">
        <v>104</v>
      </c>
      <c r="E24" s="6"/>
      <c r="F24" s="7" t="s">
        <v>105</v>
      </c>
      <c r="H24" s="4" t="s">
        <v>106</v>
      </c>
    </row>
    <row r="25">
      <c r="A25" s="4">
        <v>23.0</v>
      </c>
      <c r="B25" s="7" t="s">
        <v>107</v>
      </c>
      <c r="C25" s="7" t="s">
        <v>108</v>
      </c>
      <c r="D25" s="4" t="s">
        <v>109</v>
      </c>
      <c r="E25" s="6"/>
      <c r="F25" s="7" t="s">
        <v>110</v>
      </c>
      <c r="H25" s="8"/>
    </row>
    <row r="26">
      <c r="A26" s="4">
        <v>24.0</v>
      </c>
      <c r="B26" s="7" t="s">
        <v>111</v>
      </c>
      <c r="C26" s="4" t="s">
        <v>112</v>
      </c>
      <c r="D26" s="4" t="s">
        <v>113</v>
      </c>
      <c r="E26" s="6"/>
      <c r="F26" s="7" t="s">
        <v>114</v>
      </c>
      <c r="H26" s="4" t="s">
        <v>115</v>
      </c>
    </row>
    <row r="27">
      <c r="A27" s="4">
        <v>25.0</v>
      </c>
      <c r="B27" s="7" t="s">
        <v>116</v>
      </c>
      <c r="C27" s="4" t="s">
        <v>117</v>
      </c>
      <c r="D27" s="4" t="s">
        <v>118</v>
      </c>
      <c r="E27" s="6"/>
      <c r="F27" s="7" t="s">
        <v>119</v>
      </c>
      <c r="H27" s="4" t="s">
        <v>120</v>
      </c>
    </row>
    <row r="28">
      <c r="A28" s="4">
        <v>26.0</v>
      </c>
      <c r="B28" s="7" t="s">
        <v>121</v>
      </c>
      <c r="C28" s="7" t="s">
        <v>122</v>
      </c>
      <c r="D28" s="4" t="s">
        <v>123</v>
      </c>
      <c r="E28" s="6"/>
      <c r="F28" s="7" t="s">
        <v>124</v>
      </c>
      <c r="H28" s="4" t="s">
        <v>125</v>
      </c>
    </row>
    <row r="29">
      <c r="A29" s="4">
        <v>27.0</v>
      </c>
      <c r="B29" s="7" t="s">
        <v>126</v>
      </c>
      <c r="C29" s="4" t="s">
        <v>127</v>
      </c>
      <c r="D29" s="4" t="s">
        <v>128</v>
      </c>
      <c r="E29" s="6"/>
      <c r="F29" s="7" t="s">
        <v>129</v>
      </c>
      <c r="H29" s="4" t="s">
        <v>130</v>
      </c>
    </row>
    <row r="30">
      <c r="A30" s="4">
        <v>28.0</v>
      </c>
      <c r="B30" s="7" t="s">
        <v>131</v>
      </c>
      <c r="C30" s="7" t="s">
        <v>131</v>
      </c>
      <c r="D30" s="4" t="s">
        <v>132</v>
      </c>
      <c r="E30" s="6"/>
      <c r="F30" s="7" t="s">
        <v>133</v>
      </c>
      <c r="H30" s="4" t="s">
        <v>134</v>
      </c>
    </row>
    <row r="31">
      <c r="A31" s="4">
        <v>29.0</v>
      </c>
      <c r="B31" s="7" t="s">
        <v>135</v>
      </c>
      <c r="C31" s="4" t="s">
        <v>136</v>
      </c>
      <c r="D31" s="4" t="s">
        <v>137</v>
      </c>
      <c r="E31" s="6"/>
      <c r="F31" s="7" t="s">
        <v>138</v>
      </c>
      <c r="H31" s="8"/>
    </row>
    <row r="32">
      <c r="A32" s="4">
        <v>30.0</v>
      </c>
      <c r="B32" s="7" t="s">
        <v>139</v>
      </c>
      <c r="C32" s="4" t="s">
        <v>140</v>
      </c>
      <c r="D32" s="4" t="s">
        <v>141</v>
      </c>
      <c r="E32" s="6"/>
      <c r="F32" s="7" t="s">
        <v>142</v>
      </c>
      <c r="H32" s="8"/>
    </row>
    <row r="33">
      <c r="A33" s="4">
        <v>31.0</v>
      </c>
      <c r="B33" s="7" t="s">
        <v>143</v>
      </c>
      <c r="C33" s="4" t="s">
        <v>144</v>
      </c>
      <c r="D33" s="4" t="s">
        <v>145</v>
      </c>
      <c r="E33" s="6"/>
      <c r="F33" s="7" t="s">
        <v>146</v>
      </c>
      <c r="H33" s="4" t="s">
        <v>147</v>
      </c>
    </row>
    <row r="34">
      <c r="A34" s="4">
        <v>32.0</v>
      </c>
      <c r="B34" s="7" t="s">
        <v>148</v>
      </c>
      <c r="C34" s="4" t="s">
        <v>149</v>
      </c>
      <c r="D34" s="4" t="s">
        <v>150</v>
      </c>
      <c r="E34" s="6"/>
      <c r="F34" s="7" t="s">
        <v>151</v>
      </c>
      <c r="H34" s="4" t="s">
        <v>152</v>
      </c>
    </row>
    <row r="35">
      <c r="A35" s="4">
        <v>33.0</v>
      </c>
      <c r="B35" s="7" t="s">
        <v>153</v>
      </c>
      <c r="C35" s="4" t="s">
        <v>154</v>
      </c>
      <c r="D35" s="4" t="s">
        <v>155</v>
      </c>
      <c r="E35" s="6"/>
      <c r="F35" s="7" t="s">
        <v>156</v>
      </c>
      <c r="H35" s="4" t="s">
        <v>157</v>
      </c>
    </row>
    <row r="36">
      <c r="A36" s="4">
        <v>34.0</v>
      </c>
      <c r="B36" s="7" t="s">
        <v>158</v>
      </c>
      <c r="C36" s="4" t="s">
        <v>159</v>
      </c>
      <c r="D36" s="4" t="s">
        <v>155</v>
      </c>
      <c r="E36" s="6"/>
      <c r="F36" s="7" t="s">
        <v>160</v>
      </c>
      <c r="H36" s="4" t="s">
        <v>161</v>
      </c>
    </row>
    <row r="37">
      <c r="A37" s="4">
        <v>35.0</v>
      </c>
      <c r="B37" s="7" t="s">
        <v>162</v>
      </c>
      <c r="C37" s="4" t="s">
        <v>163</v>
      </c>
      <c r="D37" s="4" t="s">
        <v>164</v>
      </c>
      <c r="E37" s="6"/>
      <c r="F37" s="7" t="s">
        <v>165</v>
      </c>
      <c r="H37" s="4" t="s">
        <v>166</v>
      </c>
    </row>
    <row r="38">
      <c r="A38" s="4">
        <v>36.0</v>
      </c>
      <c r="B38" s="7" t="s">
        <v>167</v>
      </c>
      <c r="C38" s="4" t="s">
        <v>168</v>
      </c>
      <c r="D38" s="4" t="s">
        <v>169</v>
      </c>
      <c r="E38" s="6"/>
      <c r="F38" s="7" t="s">
        <v>170</v>
      </c>
      <c r="H38" s="4" t="s">
        <v>171</v>
      </c>
    </row>
    <row r="39">
      <c r="A39" s="4">
        <v>37.0</v>
      </c>
      <c r="B39" s="7" t="s">
        <v>172</v>
      </c>
      <c r="C39" s="4" t="s">
        <v>173</v>
      </c>
      <c r="D39" s="4" t="s">
        <v>174</v>
      </c>
      <c r="E39" s="6"/>
      <c r="F39" s="7" t="s">
        <v>175</v>
      </c>
      <c r="H39" s="4" t="s">
        <v>176</v>
      </c>
    </row>
    <row r="40">
      <c r="A40" s="4">
        <v>38.0</v>
      </c>
      <c r="B40" s="7" t="s">
        <v>177</v>
      </c>
      <c r="C40" s="4" t="s">
        <v>178</v>
      </c>
      <c r="D40" s="4" t="s">
        <v>179</v>
      </c>
      <c r="E40" s="6"/>
      <c r="F40" s="7" t="s">
        <v>180</v>
      </c>
      <c r="H40" s="8"/>
    </row>
    <row r="41">
      <c r="A41" s="4">
        <v>39.0</v>
      </c>
      <c r="B41" s="7" t="s">
        <v>181</v>
      </c>
      <c r="C41" s="4" t="s">
        <v>181</v>
      </c>
      <c r="D41" s="4" t="s">
        <v>182</v>
      </c>
      <c r="E41" s="6"/>
      <c r="F41" s="7" t="s">
        <v>183</v>
      </c>
      <c r="H41" s="4" t="s">
        <v>184</v>
      </c>
    </row>
    <row r="42">
      <c r="A42" s="4">
        <v>40.0</v>
      </c>
      <c r="B42" s="7" t="s">
        <v>185</v>
      </c>
      <c r="C42" s="7" t="s">
        <v>186</v>
      </c>
      <c r="D42" s="4" t="s">
        <v>187</v>
      </c>
      <c r="E42" s="6"/>
      <c r="F42" s="7" t="s">
        <v>188</v>
      </c>
      <c r="H42" s="4" t="s">
        <v>189</v>
      </c>
    </row>
    <row r="43">
      <c r="A43" s="4">
        <v>41.0</v>
      </c>
      <c r="B43" s="7" t="s">
        <v>190</v>
      </c>
      <c r="C43" s="7" t="s">
        <v>191</v>
      </c>
      <c r="D43" s="4" t="s">
        <v>192</v>
      </c>
      <c r="E43" s="6"/>
      <c r="F43" s="7" t="s">
        <v>193</v>
      </c>
      <c r="H43" s="4" t="s">
        <v>194</v>
      </c>
    </row>
    <row r="44">
      <c r="A44" s="4">
        <v>42.0</v>
      </c>
      <c r="B44" s="9" t="s">
        <v>195</v>
      </c>
      <c r="C44" s="9" t="s">
        <v>195</v>
      </c>
      <c r="D44" s="10" t="s">
        <v>196</v>
      </c>
      <c r="E44" s="11" t="s">
        <v>197</v>
      </c>
      <c r="H44" s="12" t="s">
        <v>198</v>
      </c>
    </row>
    <row r="45">
      <c r="A45" s="4">
        <v>43.0</v>
      </c>
      <c r="B45" s="10" t="s">
        <v>199</v>
      </c>
      <c r="C45" s="12" t="s">
        <v>200</v>
      </c>
      <c r="D45" s="10" t="s">
        <v>201</v>
      </c>
      <c r="E45" s="11" t="s">
        <v>202</v>
      </c>
      <c r="H45" s="12" t="s">
        <v>203</v>
      </c>
    </row>
    <row r="46">
      <c r="A46" s="4">
        <v>44.0</v>
      </c>
      <c r="B46" s="10" t="s">
        <v>204</v>
      </c>
      <c r="C46" s="12" t="s">
        <v>204</v>
      </c>
      <c r="D46" s="10" t="s">
        <v>205</v>
      </c>
      <c r="E46" s="11" t="s">
        <v>206</v>
      </c>
      <c r="H46" s="12" t="s">
        <v>207</v>
      </c>
    </row>
    <row r="47">
      <c r="A47" s="4">
        <v>45.0</v>
      </c>
      <c r="B47" s="10" t="s">
        <v>208</v>
      </c>
      <c r="C47" s="12" t="s">
        <v>209</v>
      </c>
      <c r="D47" s="10" t="s">
        <v>210</v>
      </c>
      <c r="E47" s="11" t="s">
        <v>211</v>
      </c>
      <c r="H47" s="12" t="s">
        <v>212</v>
      </c>
    </row>
    <row r="48">
      <c r="A48" s="4">
        <v>46.0</v>
      </c>
      <c r="B48" s="10" t="s">
        <v>213</v>
      </c>
      <c r="C48" s="12" t="s">
        <v>214</v>
      </c>
      <c r="D48" s="10" t="s">
        <v>215</v>
      </c>
      <c r="E48" s="11" t="s">
        <v>216</v>
      </c>
      <c r="H48" s="12" t="s">
        <v>217</v>
      </c>
    </row>
    <row r="49">
      <c r="A49" s="4">
        <v>47.0</v>
      </c>
      <c r="B49" s="10" t="s">
        <v>218</v>
      </c>
      <c r="C49" s="12" t="s">
        <v>219</v>
      </c>
      <c r="D49" s="10" t="s">
        <v>220</v>
      </c>
      <c r="E49" s="11" t="s">
        <v>221</v>
      </c>
      <c r="H49" s="12" t="s">
        <v>222</v>
      </c>
    </row>
    <row r="50">
      <c r="A50" s="4">
        <v>48.0</v>
      </c>
      <c r="B50" s="10" t="s">
        <v>223</v>
      </c>
      <c r="C50" s="12" t="s">
        <v>224</v>
      </c>
      <c r="D50" s="10" t="s">
        <v>225</v>
      </c>
      <c r="E50" s="11" t="s">
        <v>226</v>
      </c>
      <c r="H50" s="12" t="s">
        <v>227</v>
      </c>
    </row>
    <row r="51">
      <c r="A51" s="4">
        <v>49.0</v>
      </c>
      <c r="B51" s="10" t="s">
        <v>228</v>
      </c>
      <c r="C51" s="12" t="s">
        <v>229</v>
      </c>
      <c r="D51" s="10" t="s">
        <v>230</v>
      </c>
      <c r="E51" s="11" t="s">
        <v>231</v>
      </c>
      <c r="H51" s="12" t="s">
        <v>232</v>
      </c>
    </row>
    <row r="52">
      <c r="A52" s="4">
        <v>50.0</v>
      </c>
      <c r="B52" s="10" t="s">
        <v>233</v>
      </c>
      <c r="C52" s="12" t="s">
        <v>234</v>
      </c>
      <c r="D52" s="10" t="s">
        <v>235</v>
      </c>
      <c r="E52" s="11" t="s">
        <v>236</v>
      </c>
      <c r="H52" s="12" t="s">
        <v>237</v>
      </c>
    </row>
    <row r="53">
      <c r="A53" s="4">
        <v>51.0</v>
      </c>
      <c r="B53" s="10" t="s">
        <v>238</v>
      </c>
      <c r="C53" s="12" t="s">
        <v>239</v>
      </c>
      <c r="D53" s="10" t="s">
        <v>240</v>
      </c>
      <c r="E53" s="11" t="s">
        <v>241</v>
      </c>
      <c r="H53" s="12" t="s">
        <v>242</v>
      </c>
    </row>
    <row r="54">
      <c r="A54" s="4">
        <v>52.0</v>
      </c>
      <c r="B54" s="10" t="s">
        <v>243</v>
      </c>
      <c r="C54" s="12" t="s">
        <v>244</v>
      </c>
      <c r="D54" s="10" t="s">
        <v>245</v>
      </c>
      <c r="E54" s="11" t="s">
        <v>246</v>
      </c>
      <c r="H54" s="12" t="s">
        <v>247</v>
      </c>
    </row>
    <row r="55">
      <c r="A55" s="4">
        <v>53.0</v>
      </c>
      <c r="B55" s="10" t="s">
        <v>248</v>
      </c>
      <c r="C55" s="12" t="s">
        <v>248</v>
      </c>
      <c r="D55" s="10" t="s">
        <v>249</v>
      </c>
      <c r="E55" s="11" t="s">
        <v>250</v>
      </c>
      <c r="H55" s="12" t="s">
        <v>251</v>
      </c>
    </row>
    <row r="56">
      <c r="A56" s="4">
        <v>54.0</v>
      </c>
      <c r="B56" s="10" t="s">
        <v>248</v>
      </c>
      <c r="C56" s="12" t="s">
        <v>248</v>
      </c>
      <c r="D56" s="10" t="s">
        <v>252</v>
      </c>
      <c r="E56" s="11" t="s">
        <v>253</v>
      </c>
      <c r="H56" s="12" t="s">
        <v>251</v>
      </c>
    </row>
    <row r="57">
      <c r="A57" s="4">
        <v>55.0</v>
      </c>
      <c r="B57" s="10" t="s">
        <v>254</v>
      </c>
      <c r="C57" s="12" t="s">
        <v>255</v>
      </c>
      <c r="D57" s="10" t="s">
        <v>256</v>
      </c>
      <c r="E57" s="11" t="s">
        <v>257</v>
      </c>
      <c r="H57" s="12" t="s">
        <v>258</v>
      </c>
    </row>
    <row r="58">
      <c r="A58" s="4">
        <v>56.0</v>
      </c>
      <c r="B58" s="10" t="s">
        <v>259</v>
      </c>
      <c r="C58" s="12" t="s">
        <v>260</v>
      </c>
      <c r="D58" s="10" t="s">
        <v>261</v>
      </c>
      <c r="E58" s="11" t="s">
        <v>262</v>
      </c>
      <c r="H58" s="12" t="s">
        <v>263</v>
      </c>
    </row>
    <row r="59">
      <c r="A59" s="4">
        <v>57.0</v>
      </c>
      <c r="B59" s="10" t="s">
        <v>254</v>
      </c>
      <c r="C59" s="12" t="s">
        <v>264</v>
      </c>
      <c r="D59" s="10" t="s">
        <v>265</v>
      </c>
      <c r="E59" s="11" t="s">
        <v>266</v>
      </c>
      <c r="H59" s="12" t="s">
        <v>258</v>
      </c>
    </row>
    <row r="60">
      <c r="A60" s="4">
        <v>58.0</v>
      </c>
      <c r="B60" s="13" t="s">
        <v>267</v>
      </c>
      <c r="C60" s="13" t="s">
        <v>267</v>
      </c>
      <c r="D60" s="10" t="s">
        <v>268</v>
      </c>
      <c r="E60" s="11" t="s">
        <v>269</v>
      </c>
      <c r="H60" s="12" t="s">
        <v>270</v>
      </c>
    </row>
    <row r="61">
      <c r="A61" s="4">
        <v>59.0</v>
      </c>
      <c r="B61" s="10" t="s">
        <v>271</v>
      </c>
      <c r="C61" s="12" t="s">
        <v>271</v>
      </c>
      <c r="D61" s="10" t="s">
        <v>272</v>
      </c>
      <c r="E61" s="11" t="s">
        <v>273</v>
      </c>
      <c r="H61" s="12" t="s">
        <v>274</v>
      </c>
    </row>
    <row r="62">
      <c r="A62" s="4">
        <v>60.0</v>
      </c>
      <c r="B62" s="10" t="s">
        <v>275</v>
      </c>
      <c r="C62" s="12" t="s">
        <v>276</v>
      </c>
      <c r="D62" s="10" t="s">
        <v>277</v>
      </c>
      <c r="E62" s="11" t="s">
        <v>278</v>
      </c>
      <c r="H62" s="12" t="s">
        <v>279</v>
      </c>
    </row>
    <row r="63">
      <c r="A63" s="4">
        <v>61.0</v>
      </c>
      <c r="B63" s="10" t="s">
        <v>280</v>
      </c>
      <c r="C63" s="12" t="s">
        <v>280</v>
      </c>
      <c r="D63" s="10" t="s">
        <v>281</v>
      </c>
      <c r="E63" s="14" t="s">
        <v>282</v>
      </c>
      <c r="H63" s="12" t="s">
        <v>283</v>
      </c>
    </row>
    <row r="64">
      <c r="A64" s="4">
        <v>62.0</v>
      </c>
      <c r="B64" s="10" t="s">
        <v>284</v>
      </c>
      <c r="C64" s="12" t="s">
        <v>285</v>
      </c>
      <c r="D64" s="10" t="s">
        <v>286</v>
      </c>
      <c r="E64" s="15" t="s">
        <v>287</v>
      </c>
      <c r="H64" s="12" t="s">
        <v>288</v>
      </c>
    </row>
    <row r="65">
      <c r="A65" s="4">
        <v>63.0</v>
      </c>
      <c r="B65" s="10" t="s">
        <v>289</v>
      </c>
      <c r="C65" s="12" t="s">
        <v>290</v>
      </c>
      <c r="D65" s="10"/>
      <c r="E65" s="14" t="s">
        <v>291</v>
      </c>
      <c r="H65" s="12" t="s">
        <v>292</v>
      </c>
    </row>
    <row r="66">
      <c r="A66" s="4">
        <v>64.0</v>
      </c>
      <c r="B66" s="10" t="s">
        <v>293</v>
      </c>
      <c r="C66" s="12" t="s">
        <v>294</v>
      </c>
      <c r="E66" s="14" t="s">
        <v>295</v>
      </c>
      <c r="H66" s="12" t="s">
        <v>296</v>
      </c>
    </row>
    <row r="67">
      <c r="A67" s="4">
        <v>65.0</v>
      </c>
      <c r="B67" s="10" t="s">
        <v>297</v>
      </c>
      <c r="C67" s="12" t="s">
        <v>297</v>
      </c>
      <c r="E67" s="14" t="s">
        <v>298</v>
      </c>
      <c r="H67" s="12" t="s">
        <v>299</v>
      </c>
    </row>
    <row r="68">
      <c r="A68" s="4">
        <v>66.0</v>
      </c>
      <c r="B68" s="10" t="s">
        <v>300</v>
      </c>
      <c r="C68" s="12" t="s">
        <v>301</v>
      </c>
      <c r="D68" s="12"/>
      <c r="E68" s="14" t="s">
        <v>302</v>
      </c>
      <c r="H68" s="12" t="s">
        <v>303</v>
      </c>
    </row>
    <row r="69">
      <c r="A69" s="4">
        <v>67.0</v>
      </c>
      <c r="B69" s="10" t="s">
        <v>304</v>
      </c>
      <c r="C69" s="12" t="s">
        <v>305</v>
      </c>
      <c r="D69" s="12"/>
      <c r="E69" s="14" t="s">
        <v>306</v>
      </c>
      <c r="H69" s="12" t="s">
        <v>307</v>
      </c>
    </row>
    <row r="70">
      <c r="A70" s="4">
        <v>68.0</v>
      </c>
      <c r="B70" s="10" t="s">
        <v>308</v>
      </c>
      <c r="C70" s="12" t="s">
        <v>309</v>
      </c>
      <c r="D70" s="12"/>
      <c r="E70" s="11" t="s">
        <v>310</v>
      </c>
      <c r="H70" s="12" t="s">
        <v>311</v>
      </c>
    </row>
    <row r="71">
      <c r="A71" s="4">
        <v>69.0</v>
      </c>
      <c r="B71" s="10" t="s">
        <v>312</v>
      </c>
      <c r="C71" s="12" t="s">
        <v>312</v>
      </c>
      <c r="D71" s="12"/>
      <c r="E71" s="11" t="s">
        <v>313</v>
      </c>
      <c r="H71" s="12" t="s">
        <v>314</v>
      </c>
    </row>
    <row r="72">
      <c r="A72" s="4">
        <v>70.0</v>
      </c>
      <c r="B72" s="10" t="s">
        <v>315</v>
      </c>
      <c r="C72" s="9" t="s">
        <v>315</v>
      </c>
      <c r="D72" s="12"/>
      <c r="E72" s="14" t="s">
        <v>316</v>
      </c>
      <c r="H72" s="12" t="s">
        <v>317</v>
      </c>
    </row>
    <row r="73">
      <c r="A73" s="4">
        <v>71.0</v>
      </c>
      <c r="B73" s="10" t="s">
        <v>318</v>
      </c>
      <c r="C73" s="12" t="s">
        <v>319</v>
      </c>
      <c r="D73" s="12"/>
      <c r="E73" s="14" t="s">
        <v>320</v>
      </c>
      <c r="H73" s="12" t="s">
        <v>321</v>
      </c>
    </row>
    <row r="74">
      <c r="A74" s="4">
        <v>72.0</v>
      </c>
      <c r="B74" s="10" t="s">
        <v>322</v>
      </c>
      <c r="C74" s="12" t="s">
        <v>323</v>
      </c>
      <c r="D74" s="12"/>
      <c r="E74" s="11" t="s">
        <v>324</v>
      </c>
      <c r="H74" s="12" t="s">
        <v>325</v>
      </c>
    </row>
    <row r="75">
      <c r="A75" s="4">
        <v>73.0</v>
      </c>
      <c r="B75" s="10" t="s">
        <v>326</v>
      </c>
      <c r="C75" s="12" t="s">
        <v>327</v>
      </c>
      <c r="D75" s="12"/>
      <c r="E75" s="14" t="s">
        <v>328</v>
      </c>
      <c r="H75" s="12" t="s">
        <v>329</v>
      </c>
    </row>
    <row r="76">
      <c r="A76" s="4">
        <v>74.0</v>
      </c>
      <c r="B76" s="10" t="s">
        <v>330</v>
      </c>
      <c r="C76" s="12" t="s">
        <v>331</v>
      </c>
      <c r="D76" s="12"/>
      <c r="E76" s="11" t="s">
        <v>332</v>
      </c>
      <c r="H76" s="12" t="s">
        <v>333</v>
      </c>
    </row>
    <row r="77">
      <c r="A77" s="4">
        <v>75.0</v>
      </c>
      <c r="B77" s="10" t="s">
        <v>334</v>
      </c>
      <c r="C77" s="12" t="s">
        <v>335</v>
      </c>
      <c r="D77" s="12"/>
      <c r="E77" s="14" t="s">
        <v>336</v>
      </c>
      <c r="H77" s="12" t="s">
        <v>337</v>
      </c>
    </row>
    <row r="78">
      <c r="A78" s="4">
        <v>76.0</v>
      </c>
      <c r="B78" s="10" t="s">
        <v>338</v>
      </c>
      <c r="C78" s="12" t="s">
        <v>339</v>
      </c>
      <c r="D78" s="12"/>
      <c r="E78" s="11" t="s">
        <v>340</v>
      </c>
      <c r="H78" s="12" t="s">
        <v>341</v>
      </c>
    </row>
    <row r="79">
      <c r="A79" s="4">
        <v>77.0</v>
      </c>
      <c r="B79" s="10" t="s">
        <v>342</v>
      </c>
      <c r="C79" s="12" t="s">
        <v>343</v>
      </c>
      <c r="D79" s="12"/>
      <c r="E79" s="14" t="s">
        <v>344</v>
      </c>
      <c r="H79" s="12" t="s">
        <v>345</v>
      </c>
    </row>
    <row r="80">
      <c r="A80" s="4">
        <v>78.0</v>
      </c>
      <c r="B80" s="10" t="s">
        <v>346</v>
      </c>
      <c r="C80" s="12" t="s">
        <v>347</v>
      </c>
      <c r="D80" s="12"/>
      <c r="E80" s="11" t="s">
        <v>348</v>
      </c>
      <c r="H80" s="12" t="s">
        <v>349</v>
      </c>
    </row>
    <row r="81">
      <c r="A81" s="4">
        <v>79.0</v>
      </c>
      <c r="B81" s="10" t="s">
        <v>350</v>
      </c>
      <c r="C81" s="12" t="s">
        <v>350</v>
      </c>
      <c r="D81" s="12"/>
      <c r="E81" s="11" t="s">
        <v>351</v>
      </c>
      <c r="H81" s="12" t="s">
        <v>352</v>
      </c>
    </row>
    <row r="82">
      <c r="A82" s="4">
        <v>80.0</v>
      </c>
      <c r="B82" s="10" t="s">
        <v>353</v>
      </c>
      <c r="C82" s="12" t="s">
        <v>354</v>
      </c>
      <c r="D82" s="12"/>
      <c r="E82" s="14" t="s">
        <v>355</v>
      </c>
      <c r="H82" s="12" t="s">
        <v>356</v>
      </c>
    </row>
    <row r="83">
      <c r="A83" s="4">
        <v>81.0</v>
      </c>
      <c r="B83" s="10" t="s">
        <v>357</v>
      </c>
      <c r="C83" s="12" t="s">
        <v>357</v>
      </c>
      <c r="D83" s="12"/>
      <c r="E83" s="11" t="s">
        <v>358</v>
      </c>
      <c r="H83" s="12" t="s">
        <v>359</v>
      </c>
    </row>
    <row r="84">
      <c r="A84" s="4">
        <v>82.0</v>
      </c>
      <c r="B84" s="10" t="s">
        <v>357</v>
      </c>
      <c r="C84" s="12" t="s">
        <v>357</v>
      </c>
      <c r="D84" s="12"/>
      <c r="E84" s="11" t="s">
        <v>360</v>
      </c>
      <c r="H84" s="12" t="s">
        <v>361</v>
      </c>
    </row>
    <row r="85">
      <c r="A85" s="4">
        <v>83.0</v>
      </c>
      <c r="B85" s="10" t="s">
        <v>362</v>
      </c>
      <c r="C85" s="12" t="s">
        <v>362</v>
      </c>
      <c r="D85" s="12"/>
      <c r="E85" s="11" t="s">
        <v>363</v>
      </c>
      <c r="H85" s="12" t="s">
        <v>364</v>
      </c>
    </row>
    <row r="86">
      <c r="A86" s="4">
        <v>84.0</v>
      </c>
      <c r="B86" s="10" t="s">
        <v>365</v>
      </c>
      <c r="C86" s="12" t="s">
        <v>366</v>
      </c>
      <c r="D86" s="12"/>
      <c r="E86" s="11" t="s">
        <v>367</v>
      </c>
      <c r="H86" s="12" t="s">
        <v>368</v>
      </c>
    </row>
    <row r="87">
      <c r="A87" s="4">
        <v>85.0</v>
      </c>
      <c r="B87" s="10" t="s">
        <v>369</v>
      </c>
      <c r="C87" s="12" t="s">
        <v>369</v>
      </c>
      <c r="D87" s="12"/>
      <c r="E87" s="14" t="s">
        <v>370</v>
      </c>
      <c r="H87" s="12" t="s">
        <v>371</v>
      </c>
    </row>
    <row r="88">
      <c r="A88" s="4">
        <v>86.0</v>
      </c>
      <c r="B88" s="10" t="s">
        <v>372</v>
      </c>
      <c r="C88" s="12" t="s">
        <v>373</v>
      </c>
      <c r="D88" s="12"/>
      <c r="E88" s="11" t="s">
        <v>374</v>
      </c>
      <c r="H88" s="12" t="s">
        <v>375</v>
      </c>
    </row>
    <row r="89">
      <c r="A89" s="4">
        <v>87.0</v>
      </c>
      <c r="B89" s="10" t="s">
        <v>376</v>
      </c>
      <c r="C89" s="12" t="s">
        <v>377</v>
      </c>
      <c r="D89" s="12"/>
      <c r="E89" s="11" t="s">
        <v>378</v>
      </c>
      <c r="H89" s="12" t="s">
        <v>379</v>
      </c>
    </row>
    <row r="90">
      <c r="A90" s="4">
        <v>88.0</v>
      </c>
      <c r="B90" s="10" t="s">
        <v>380</v>
      </c>
      <c r="C90" s="12" t="s">
        <v>380</v>
      </c>
      <c r="D90" s="12"/>
      <c r="E90" s="14" t="s">
        <v>381</v>
      </c>
      <c r="H90" s="12" t="s">
        <v>382</v>
      </c>
    </row>
    <row r="91">
      <c r="A91" s="4">
        <v>89.0</v>
      </c>
      <c r="B91" s="10" t="s">
        <v>383</v>
      </c>
      <c r="C91" s="12" t="s">
        <v>384</v>
      </c>
      <c r="D91" s="12"/>
      <c r="E91" s="11" t="s">
        <v>385</v>
      </c>
      <c r="H91" s="12" t="s">
        <v>386</v>
      </c>
    </row>
    <row r="92">
      <c r="A92" s="4">
        <v>90.0</v>
      </c>
      <c r="B92" s="10" t="s">
        <v>387</v>
      </c>
      <c r="C92" s="12" t="s">
        <v>388</v>
      </c>
      <c r="D92" s="12"/>
      <c r="E92" s="11" t="s">
        <v>389</v>
      </c>
      <c r="H92" s="12" t="s">
        <v>390</v>
      </c>
    </row>
    <row r="93">
      <c r="A93" s="4">
        <v>91.0</v>
      </c>
      <c r="B93" s="10" t="s">
        <v>391</v>
      </c>
      <c r="C93" s="12" t="s">
        <v>391</v>
      </c>
      <c r="D93" s="12"/>
      <c r="E93" s="14" t="s">
        <v>392</v>
      </c>
      <c r="H93" s="12" t="s">
        <v>393</v>
      </c>
    </row>
    <row r="94">
      <c r="A94" s="4">
        <v>92.0</v>
      </c>
      <c r="B94" s="10" t="s">
        <v>394</v>
      </c>
      <c r="C94" s="12" t="s">
        <v>395</v>
      </c>
      <c r="D94" s="12"/>
      <c r="E94" s="11" t="s">
        <v>396</v>
      </c>
      <c r="H94" s="12" t="s">
        <v>397</v>
      </c>
    </row>
    <row r="95">
      <c r="A95" s="4">
        <v>93.0</v>
      </c>
      <c r="B95" s="10" t="s">
        <v>398</v>
      </c>
      <c r="C95" s="12" t="s">
        <v>398</v>
      </c>
      <c r="D95" s="12"/>
      <c r="E95" s="11" t="s">
        <v>399</v>
      </c>
      <c r="H95" s="12" t="s">
        <v>400</v>
      </c>
    </row>
    <row r="96">
      <c r="A96" s="4">
        <v>94.0</v>
      </c>
      <c r="B96" s="10" t="s">
        <v>401</v>
      </c>
      <c r="C96" s="12" t="s">
        <v>401</v>
      </c>
      <c r="D96" s="12"/>
      <c r="E96" s="11" t="s">
        <v>402</v>
      </c>
      <c r="H96" s="12" t="s">
        <v>403</v>
      </c>
    </row>
    <row r="97">
      <c r="A97" s="4">
        <v>95.0</v>
      </c>
      <c r="B97" s="10" t="s">
        <v>404</v>
      </c>
      <c r="C97" s="12" t="s">
        <v>404</v>
      </c>
      <c r="D97" s="12"/>
      <c r="E97" s="11" t="s">
        <v>405</v>
      </c>
      <c r="H97" s="12" t="s">
        <v>406</v>
      </c>
    </row>
    <row r="98">
      <c r="A98" s="4">
        <v>96.0</v>
      </c>
      <c r="B98" s="10" t="s">
        <v>407</v>
      </c>
      <c r="C98" s="12" t="s">
        <v>408</v>
      </c>
      <c r="D98" s="12"/>
      <c r="E98" s="14" t="s">
        <v>409</v>
      </c>
      <c r="H98" s="12" t="s">
        <v>410</v>
      </c>
    </row>
    <row r="99">
      <c r="A99" s="4">
        <v>97.0</v>
      </c>
      <c r="B99" s="10" t="s">
        <v>411</v>
      </c>
      <c r="C99" s="12" t="s">
        <v>412</v>
      </c>
      <c r="D99" s="12"/>
      <c r="E99" s="14" t="s">
        <v>413</v>
      </c>
      <c r="H99" s="12" t="s">
        <v>414</v>
      </c>
    </row>
    <row r="100">
      <c r="A100" s="4">
        <v>98.0</v>
      </c>
      <c r="B100" s="10" t="s">
        <v>415</v>
      </c>
      <c r="C100" s="12" t="s">
        <v>415</v>
      </c>
      <c r="D100" s="12"/>
      <c r="E100" s="11" t="s">
        <v>416</v>
      </c>
      <c r="H100" s="12" t="s">
        <v>417</v>
      </c>
    </row>
    <row r="101">
      <c r="A101" s="4">
        <v>99.0</v>
      </c>
      <c r="B101" s="10" t="s">
        <v>418</v>
      </c>
      <c r="C101" s="12" t="s">
        <v>419</v>
      </c>
      <c r="D101" s="12"/>
      <c r="E101" s="11" t="s">
        <v>420</v>
      </c>
      <c r="H101" s="12" t="s">
        <v>421</v>
      </c>
    </row>
    <row r="102">
      <c r="A102" s="4">
        <v>100.0</v>
      </c>
      <c r="B102" s="10" t="s">
        <v>422</v>
      </c>
      <c r="C102" s="12" t="s">
        <v>423</v>
      </c>
      <c r="D102" s="12"/>
      <c r="E102" s="11" t="s">
        <v>424</v>
      </c>
      <c r="H102" s="12" t="s">
        <v>425</v>
      </c>
    </row>
    <row r="103">
      <c r="A103" s="4">
        <v>101.0</v>
      </c>
      <c r="B103" s="10" t="s">
        <v>426</v>
      </c>
      <c r="C103" s="12" t="s">
        <v>427</v>
      </c>
      <c r="D103" s="12"/>
      <c r="E103" s="14" t="s">
        <v>428</v>
      </c>
      <c r="H103" s="12" t="s">
        <v>429</v>
      </c>
    </row>
    <row r="104">
      <c r="A104" s="4">
        <v>102.0</v>
      </c>
      <c r="B104" s="10" t="s">
        <v>430</v>
      </c>
      <c r="C104" s="12" t="s">
        <v>431</v>
      </c>
      <c r="D104" s="12"/>
      <c r="E104" s="14" t="s">
        <v>432</v>
      </c>
      <c r="H104" s="12" t="s">
        <v>433</v>
      </c>
    </row>
    <row r="105">
      <c r="A105" s="4">
        <v>103.0</v>
      </c>
      <c r="B105" s="10" t="s">
        <v>434</v>
      </c>
      <c r="C105" s="12" t="s">
        <v>435</v>
      </c>
      <c r="D105" s="12"/>
      <c r="E105" s="11" t="s">
        <v>436</v>
      </c>
      <c r="H105" s="12" t="s">
        <v>437</v>
      </c>
    </row>
    <row r="106">
      <c r="A106" s="4">
        <v>104.0</v>
      </c>
      <c r="B106" s="10" t="s">
        <v>438</v>
      </c>
      <c r="C106" s="11" t="s">
        <v>439</v>
      </c>
      <c r="D106" s="12"/>
      <c r="E106" s="14" t="s">
        <v>440</v>
      </c>
      <c r="H106" s="12" t="s">
        <v>441</v>
      </c>
    </row>
    <row r="107">
      <c r="A107" s="4">
        <v>105.0</v>
      </c>
      <c r="B107" s="10" t="s">
        <v>442</v>
      </c>
      <c r="C107" s="11" t="s">
        <v>443</v>
      </c>
      <c r="D107" s="12"/>
      <c r="E107" s="11" t="s">
        <v>444</v>
      </c>
      <c r="H107" s="12" t="s">
        <v>445</v>
      </c>
    </row>
    <row r="108">
      <c r="A108" s="4">
        <v>106.0</v>
      </c>
      <c r="B108" s="10" t="s">
        <v>446</v>
      </c>
      <c r="C108" s="11" t="s">
        <v>447</v>
      </c>
      <c r="D108" s="12"/>
      <c r="E108" s="14" t="s">
        <v>448</v>
      </c>
      <c r="H108" s="12" t="s">
        <v>449</v>
      </c>
    </row>
    <row r="109">
      <c r="A109" s="4">
        <v>107.0</v>
      </c>
      <c r="B109" s="10" t="s">
        <v>450</v>
      </c>
      <c r="C109" s="12" t="s">
        <v>450</v>
      </c>
      <c r="D109" s="12"/>
      <c r="E109" s="14" t="s">
        <v>451</v>
      </c>
      <c r="H109" s="12" t="s">
        <v>452</v>
      </c>
    </row>
    <row r="110">
      <c r="A110" s="4">
        <v>108.0</v>
      </c>
      <c r="B110" s="10" t="s">
        <v>453</v>
      </c>
      <c r="C110" s="12" t="s">
        <v>453</v>
      </c>
      <c r="D110" s="12"/>
      <c r="E110" s="11" t="s">
        <v>454</v>
      </c>
      <c r="H110" s="12" t="s">
        <v>455</v>
      </c>
    </row>
    <row r="111">
      <c r="A111" s="4">
        <v>109.0</v>
      </c>
      <c r="B111" s="10" t="s">
        <v>456</v>
      </c>
      <c r="C111" s="12">
        <v>120.0</v>
      </c>
      <c r="D111" s="12"/>
      <c r="E111" s="12" t="s">
        <v>457</v>
      </c>
      <c r="H111" s="12" t="s">
        <v>458</v>
      </c>
    </row>
    <row r="112">
      <c r="A112" s="4">
        <v>110.0</v>
      </c>
      <c r="B112" s="10" t="s">
        <v>459</v>
      </c>
      <c r="C112" s="12" t="s">
        <v>459</v>
      </c>
      <c r="D112" s="12"/>
      <c r="E112" s="14" t="s">
        <v>460</v>
      </c>
      <c r="H112" s="12" t="s">
        <v>461</v>
      </c>
    </row>
    <row r="113">
      <c r="A113" s="4">
        <v>111.0</v>
      </c>
      <c r="B113" s="10" t="s">
        <v>462</v>
      </c>
      <c r="C113" s="12" t="s">
        <v>463</v>
      </c>
      <c r="D113" s="12"/>
      <c r="E113" s="14" t="s">
        <v>464</v>
      </c>
      <c r="H113" s="12" t="s">
        <v>465</v>
      </c>
    </row>
    <row r="114">
      <c r="A114" s="4">
        <v>112.0</v>
      </c>
      <c r="B114" s="10" t="s">
        <v>466</v>
      </c>
      <c r="C114" s="12" t="s">
        <v>466</v>
      </c>
      <c r="D114" s="12"/>
      <c r="E114" s="11" t="s">
        <v>467</v>
      </c>
      <c r="H114" s="12" t="s">
        <v>468</v>
      </c>
    </row>
    <row r="115">
      <c r="A115" s="4">
        <v>113.0</v>
      </c>
      <c r="B115" s="10" t="s">
        <v>469</v>
      </c>
      <c r="C115" s="12" t="s">
        <v>469</v>
      </c>
      <c r="D115" s="12"/>
      <c r="E115" s="14" t="s">
        <v>470</v>
      </c>
      <c r="H115" s="12" t="s">
        <v>471</v>
      </c>
    </row>
    <row r="116">
      <c r="A116" s="4">
        <v>114.0</v>
      </c>
      <c r="B116" s="10" t="s">
        <v>472</v>
      </c>
      <c r="C116" s="12" t="s">
        <v>472</v>
      </c>
      <c r="D116" s="12"/>
      <c r="E116" s="11" t="s">
        <v>473</v>
      </c>
      <c r="H116" s="12" t="s">
        <v>474</v>
      </c>
    </row>
    <row r="117">
      <c r="A117" s="4">
        <v>115.0</v>
      </c>
      <c r="B117" s="10" t="s">
        <v>475</v>
      </c>
      <c r="C117" s="12" t="s">
        <v>476</v>
      </c>
      <c r="D117" s="12"/>
      <c r="E117" s="14" t="s">
        <v>477</v>
      </c>
      <c r="H117" s="12" t="s">
        <v>478</v>
      </c>
    </row>
    <row r="118">
      <c r="A118" s="4">
        <v>116.0</v>
      </c>
      <c r="B118" s="10" t="s">
        <v>479</v>
      </c>
      <c r="C118" s="12" t="s">
        <v>479</v>
      </c>
      <c r="D118" s="12"/>
      <c r="E118" s="14" t="s">
        <v>480</v>
      </c>
      <c r="H118" s="12" t="s">
        <v>481</v>
      </c>
    </row>
    <row r="119">
      <c r="A119" s="4">
        <v>117.0</v>
      </c>
      <c r="B119" s="10" t="s">
        <v>482</v>
      </c>
      <c r="C119" s="12" t="s">
        <v>483</v>
      </c>
      <c r="D119" s="12"/>
      <c r="E119" s="11" t="s">
        <v>484</v>
      </c>
      <c r="H119" s="12" t="s">
        <v>485</v>
      </c>
    </row>
    <row r="120">
      <c r="A120" s="4">
        <v>118.0</v>
      </c>
      <c r="B120" s="10" t="s">
        <v>486</v>
      </c>
      <c r="C120" s="12" t="s">
        <v>487</v>
      </c>
      <c r="D120" s="12"/>
      <c r="E120" s="11" t="s">
        <v>488</v>
      </c>
      <c r="H120" s="12" t="s">
        <v>489</v>
      </c>
    </row>
    <row r="121">
      <c r="A121" s="4">
        <v>119.0</v>
      </c>
      <c r="B121" s="10" t="s">
        <v>490</v>
      </c>
      <c r="C121" s="12" t="s">
        <v>491</v>
      </c>
      <c r="D121" s="12"/>
      <c r="E121" s="11" t="s">
        <v>492</v>
      </c>
      <c r="H121" s="12" t="s">
        <v>493</v>
      </c>
    </row>
    <row r="122">
      <c r="A122" s="4">
        <v>120.0</v>
      </c>
      <c r="B122" s="10" t="s">
        <v>494</v>
      </c>
      <c r="C122" s="12" t="s">
        <v>495</v>
      </c>
      <c r="D122" s="12"/>
      <c r="E122" s="11" t="s">
        <v>496</v>
      </c>
      <c r="H122" s="12" t="s">
        <v>497</v>
      </c>
    </row>
    <row r="123">
      <c r="A123" s="4">
        <v>121.0</v>
      </c>
      <c r="B123" s="10" t="s">
        <v>498</v>
      </c>
      <c r="C123" s="12" t="s">
        <v>499</v>
      </c>
      <c r="D123" s="12"/>
      <c r="E123" s="11" t="s">
        <v>500</v>
      </c>
      <c r="H123" s="12" t="s">
        <v>501</v>
      </c>
    </row>
    <row r="124">
      <c r="A124" s="4">
        <v>122.0</v>
      </c>
      <c r="B124" s="10" t="s">
        <v>498</v>
      </c>
      <c r="C124" s="12" t="s">
        <v>499</v>
      </c>
      <c r="D124" s="12"/>
      <c r="E124" s="11" t="s">
        <v>502</v>
      </c>
      <c r="H124" s="12" t="s">
        <v>503</v>
      </c>
    </row>
    <row r="125">
      <c r="A125" s="4">
        <v>123.0</v>
      </c>
      <c r="B125" s="10" t="s">
        <v>504</v>
      </c>
      <c r="C125" s="12" t="s">
        <v>504</v>
      </c>
      <c r="D125" s="12"/>
      <c r="E125" s="11" t="s">
        <v>505</v>
      </c>
      <c r="H125" s="12" t="s">
        <v>506</v>
      </c>
    </row>
    <row r="126">
      <c r="A126" s="4">
        <v>124.0</v>
      </c>
      <c r="B126" s="10" t="s">
        <v>507</v>
      </c>
      <c r="C126" s="12" t="s">
        <v>507</v>
      </c>
      <c r="D126" s="12"/>
      <c r="E126" s="11" t="s">
        <v>508</v>
      </c>
      <c r="H126" s="12" t="s">
        <v>509</v>
      </c>
    </row>
    <row r="127">
      <c r="A127" s="4">
        <v>125.0</v>
      </c>
      <c r="B127" s="10" t="s">
        <v>510</v>
      </c>
      <c r="C127" s="12" t="s">
        <v>511</v>
      </c>
      <c r="D127" s="12"/>
      <c r="E127" s="11" t="s">
        <v>512</v>
      </c>
      <c r="H127" s="12" t="s">
        <v>513</v>
      </c>
    </row>
    <row r="128">
      <c r="A128" s="4">
        <v>126.0</v>
      </c>
      <c r="B128" s="10" t="s">
        <v>514</v>
      </c>
      <c r="C128" s="12" t="s">
        <v>515</v>
      </c>
      <c r="D128" s="12"/>
      <c r="E128" s="11" t="s">
        <v>516</v>
      </c>
      <c r="H128" s="12" t="s">
        <v>517</v>
      </c>
    </row>
    <row r="129">
      <c r="A129" s="4">
        <v>127.0</v>
      </c>
      <c r="B129" s="10" t="s">
        <v>518</v>
      </c>
      <c r="C129" s="12" t="s">
        <v>519</v>
      </c>
      <c r="D129" s="12"/>
      <c r="E129" s="11" t="s">
        <v>520</v>
      </c>
      <c r="H129" s="12" t="s">
        <v>521</v>
      </c>
    </row>
    <row r="130">
      <c r="A130" s="4">
        <v>128.0</v>
      </c>
      <c r="B130" s="10" t="s">
        <v>522</v>
      </c>
      <c r="C130" s="12" t="s">
        <v>523</v>
      </c>
      <c r="D130" s="12"/>
      <c r="E130" s="11" t="s">
        <v>524</v>
      </c>
      <c r="H130" s="12" t="s">
        <v>525</v>
      </c>
    </row>
    <row r="131">
      <c r="A131" s="4">
        <v>129.0</v>
      </c>
      <c r="B131" s="10" t="s">
        <v>526</v>
      </c>
      <c r="C131" s="12" t="s">
        <v>527</v>
      </c>
      <c r="D131" s="12"/>
      <c r="E131" s="11" t="s">
        <v>528</v>
      </c>
      <c r="H131" s="12" t="s">
        <v>529</v>
      </c>
    </row>
    <row r="132">
      <c r="A132" s="4">
        <v>130.0</v>
      </c>
      <c r="B132" s="10" t="s">
        <v>530</v>
      </c>
      <c r="C132" s="12" t="s">
        <v>531</v>
      </c>
      <c r="D132" s="12"/>
      <c r="E132" s="11" t="s">
        <v>532</v>
      </c>
      <c r="H132" s="12" t="s">
        <v>533</v>
      </c>
    </row>
    <row r="133">
      <c r="A133" s="4">
        <v>131.0</v>
      </c>
      <c r="B133" s="10" t="s">
        <v>534</v>
      </c>
      <c r="C133" s="12" t="s">
        <v>535</v>
      </c>
      <c r="D133" s="12"/>
      <c r="E133" s="11" t="s">
        <v>536</v>
      </c>
      <c r="H133" s="12" t="s">
        <v>537</v>
      </c>
    </row>
    <row r="134">
      <c r="A134" s="4">
        <v>133.0</v>
      </c>
      <c r="B134" s="10" t="s">
        <v>538</v>
      </c>
      <c r="C134" s="12" t="s">
        <v>538</v>
      </c>
      <c r="D134" s="12"/>
      <c r="E134" s="11" t="s">
        <v>539</v>
      </c>
      <c r="H134" s="12" t="s">
        <v>540</v>
      </c>
    </row>
    <row r="135">
      <c r="A135" s="4">
        <v>134.0</v>
      </c>
      <c r="B135" s="10" t="s">
        <v>538</v>
      </c>
      <c r="C135" s="12" t="s">
        <v>538</v>
      </c>
      <c r="D135" s="12"/>
      <c r="E135" s="14" t="s">
        <v>541</v>
      </c>
      <c r="H135" s="12" t="s">
        <v>542</v>
      </c>
    </row>
    <row r="136">
      <c r="A136" s="4">
        <v>135.0</v>
      </c>
      <c r="B136" s="10" t="s">
        <v>543</v>
      </c>
      <c r="C136" s="12" t="s">
        <v>544</v>
      </c>
      <c r="D136" s="12"/>
      <c r="E136" s="14" t="s">
        <v>545</v>
      </c>
      <c r="H136" s="12" t="s">
        <v>546</v>
      </c>
    </row>
    <row r="137">
      <c r="A137" s="4">
        <v>136.0</v>
      </c>
      <c r="B137" s="10" t="s">
        <v>547</v>
      </c>
      <c r="C137" s="12" t="s">
        <v>548</v>
      </c>
      <c r="D137" s="12"/>
      <c r="E137" s="11" t="s">
        <v>549</v>
      </c>
      <c r="H137" s="12" t="s">
        <v>550</v>
      </c>
    </row>
    <row r="138">
      <c r="A138" s="4">
        <v>137.0</v>
      </c>
      <c r="B138" s="10" t="s">
        <v>551</v>
      </c>
      <c r="C138" s="12" t="s">
        <v>552</v>
      </c>
      <c r="D138" s="12"/>
      <c r="E138" s="11" t="s">
        <v>553</v>
      </c>
      <c r="H138" s="12" t="s">
        <v>554</v>
      </c>
    </row>
    <row r="139">
      <c r="A139" s="4">
        <v>138.0</v>
      </c>
      <c r="B139" s="10" t="s">
        <v>555</v>
      </c>
      <c r="C139" s="12" t="s">
        <v>556</v>
      </c>
      <c r="D139" s="12"/>
      <c r="E139" s="11" t="s">
        <v>557</v>
      </c>
      <c r="H139" s="12" t="s">
        <v>558</v>
      </c>
    </row>
    <row r="140">
      <c r="A140" s="4">
        <v>139.0</v>
      </c>
      <c r="B140" s="10" t="s">
        <v>559</v>
      </c>
      <c r="C140" s="12" t="s">
        <v>560</v>
      </c>
      <c r="D140" s="12"/>
      <c r="E140" s="11" t="s">
        <v>561</v>
      </c>
      <c r="H140" s="12" t="s">
        <v>562</v>
      </c>
    </row>
    <row r="141">
      <c r="A141" s="4">
        <v>140.0</v>
      </c>
      <c r="B141" s="10" t="s">
        <v>563</v>
      </c>
      <c r="C141" s="11" t="s">
        <v>564</v>
      </c>
      <c r="D141" s="12"/>
      <c r="E141" s="11" t="s">
        <v>565</v>
      </c>
      <c r="H141" s="12" t="s">
        <v>566</v>
      </c>
    </row>
    <row r="142">
      <c r="A142" s="4">
        <v>141.0</v>
      </c>
      <c r="B142" s="10" t="s">
        <v>567</v>
      </c>
      <c r="C142" s="12" t="s">
        <v>567</v>
      </c>
      <c r="D142" s="12"/>
      <c r="E142" s="14" t="s">
        <v>568</v>
      </c>
      <c r="H142" s="12" t="s">
        <v>569</v>
      </c>
    </row>
    <row r="143">
      <c r="A143" s="4">
        <v>142.0</v>
      </c>
      <c r="B143" s="10" t="s">
        <v>570</v>
      </c>
      <c r="C143" s="12" t="s">
        <v>571</v>
      </c>
      <c r="D143" s="12"/>
      <c r="E143" s="11" t="s">
        <v>572</v>
      </c>
      <c r="H143" s="12" t="s">
        <v>573</v>
      </c>
    </row>
    <row r="144">
      <c r="A144" s="4">
        <v>143.0</v>
      </c>
      <c r="B144" s="10" t="s">
        <v>574</v>
      </c>
      <c r="C144" s="11" t="s">
        <v>574</v>
      </c>
      <c r="D144" s="12"/>
      <c r="E144" s="11" t="s">
        <v>575</v>
      </c>
      <c r="H144" s="12" t="s">
        <v>576</v>
      </c>
    </row>
    <row r="145">
      <c r="A145" s="4">
        <v>144.0</v>
      </c>
      <c r="B145" s="10" t="s">
        <v>577</v>
      </c>
      <c r="C145" s="12" t="s">
        <v>577</v>
      </c>
      <c r="D145" s="12"/>
      <c r="E145" s="11" t="s">
        <v>578</v>
      </c>
      <c r="H145" s="12" t="s">
        <v>579</v>
      </c>
    </row>
    <row r="146">
      <c r="A146" s="4">
        <v>145.0</v>
      </c>
      <c r="B146" s="10" t="s">
        <v>580</v>
      </c>
      <c r="C146" s="12" t="s">
        <v>581</v>
      </c>
      <c r="D146" s="12"/>
      <c r="E146" s="14" t="s">
        <v>582</v>
      </c>
      <c r="H146" s="12" t="s">
        <v>583</v>
      </c>
    </row>
    <row r="147">
      <c r="A147" s="4">
        <v>146.0</v>
      </c>
      <c r="B147" s="10" t="s">
        <v>580</v>
      </c>
      <c r="C147" s="12" t="s">
        <v>581</v>
      </c>
      <c r="D147" s="12"/>
      <c r="E147" s="11" t="s">
        <v>584</v>
      </c>
      <c r="H147" s="12" t="s">
        <v>585</v>
      </c>
    </row>
    <row r="148">
      <c r="A148" s="4">
        <v>147.0</v>
      </c>
      <c r="B148" s="10" t="s">
        <v>586</v>
      </c>
      <c r="C148" s="12" t="s">
        <v>586</v>
      </c>
      <c r="D148" s="12"/>
      <c r="E148" s="11" t="s">
        <v>587</v>
      </c>
      <c r="H148" s="12" t="s">
        <v>588</v>
      </c>
    </row>
    <row r="149">
      <c r="A149" s="4">
        <v>148.0</v>
      </c>
      <c r="B149" s="10" t="s">
        <v>589</v>
      </c>
      <c r="C149" s="12" t="s">
        <v>589</v>
      </c>
      <c r="D149" s="12"/>
      <c r="E149" s="11" t="s">
        <v>590</v>
      </c>
      <c r="H149" s="12" t="s">
        <v>591</v>
      </c>
    </row>
    <row r="150">
      <c r="A150" s="4">
        <v>149.0</v>
      </c>
      <c r="B150" s="10" t="s">
        <v>592</v>
      </c>
      <c r="C150" s="12" t="s">
        <v>593</v>
      </c>
      <c r="D150" s="12"/>
      <c r="E150" s="14" t="s">
        <v>594</v>
      </c>
      <c r="H150" s="12" t="s">
        <v>595</v>
      </c>
    </row>
    <row r="151">
      <c r="A151" s="4">
        <v>150.0</v>
      </c>
      <c r="B151" s="10" t="s">
        <v>596</v>
      </c>
      <c r="C151" s="11" t="s">
        <v>597</v>
      </c>
      <c r="D151" s="12"/>
      <c r="E151" s="14" t="s">
        <v>598</v>
      </c>
      <c r="H151" s="12" t="s">
        <v>599</v>
      </c>
    </row>
    <row r="152">
      <c r="A152" s="4">
        <v>151.0</v>
      </c>
      <c r="B152" s="10" t="s">
        <v>600</v>
      </c>
      <c r="C152" s="12" t="s">
        <v>600</v>
      </c>
      <c r="D152" s="12"/>
      <c r="E152" s="14" t="s">
        <v>601</v>
      </c>
      <c r="H152" s="12" t="s">
        <v>602</v>
      </c>
    </row>
    <row r="153">
      <c r="A153" s="4">
        <v>152.0</v>
      </c>
      <c r="B153" s="10" t="s">
        <v>603</v>
      </c>
      <c r="C153" s="12" t="s">
        <v>604</v>
      </c>
      <c r="D153" s="12"/>
      <c r="E153" s="14" t="s">
        <v>605</v>
      </c>
      <c r="H153" s="12" t="s">
        <v>606</v>
      </c>
    </row>
    <row r="154">
      <c r="A154" s="4">
        <v>153.0</v>
      </c>
      <c r="B154" s="10" t="s">
        <v>607</v>
      </c>
      <c r="C154" s="11" t="s">
        <v>608</v>
      </c>
      <c r="D154" s="12"/>
      <c r="E154" s="14" t="s">
        <v>609</v>
      </c>
      <c r="H154" s="12" t="s">
        <v>610</v>
      </c>
    </row>
    <row r="155">
      <c r="A155" s="4">
        <v>154.0</v>
      </c>
      <c r="B155" s="10" t="s">
        <v>611</v>
      </c>
      <c r="C155" s="12" t="s">
        <v>611</v>
      </c>
      <c r="D155" s="12"/>
      <c r="E155" s="14" t="s">
        <v>612</v>
      </c>
      <c r="H155" s="12" t="s">
        <v>613</v>
      </c>
    </row>
    <row r="156">
      <c r="A156" s="4">
        <v>155.0</v>
      </c>
      <c r="B156" s="10" t="s">
        <v>614</v>
      </c>
      <c r="C156" s="12" t="s">
        <v>614</v>
      </c>
      <c r="D156" s="12"/>
      <c r="E156" s="11" t="s">
        <v>615</v>
      </c>
      <c r="H156" s="12" t="s">
        <v>616</v>
      </c>
    </row>
    <row r="157">
      <c r="A157" s="4">
        <v>156.0</v>
      </c>
      <c r="B157" s="10" t="s">
        <v>617</v>
      </c>
      <c r="C157" s="12" t="s">
        <v>618</v>
      </c>
      <c r="D157" s="12"/>
      <c r="E157" s="14" t="s">
        <v>619</v>
      </c>
      <c r="H157" s="12" t="s">
        <v>620</v>
      </c>
    </row>
    <row r="158">
      <c r="A158" s="4">
        <v>157.0</v>
      </c>
      <c r="B158" s="10" t="s">
        <v>621</v>
      </c>
      <c r="C158" s="12" t="s">
        <v>622</v>
      </c>
      <c r="D158" s="12"/>
      <c r="E158" s="11" t="s">
        <v>623</v>
      </c>
      <c r="H158" s="12" t="s">
        <v>624</v>
      </c>
    </row>
    <row r="159">
      <c r="A159" s="4">
        <v>158.0</v>
      </c>
      <c r="B159" s="10" t="s">
        <v>625</v>
      </c>
      <c r="C159" s="12" t="s">
        <v>626</v>
      </c>
      <c r="D159" s="12"/>
      <c r="E159" s="11" t="s">
        <v>627</v>
      </c>
      <c r="H159" s="12" t="s">
        <v>628</v>
      </c>
    </row>
    <row r="160">
      <c r="A160" s="4">
        <v>159.0</v>
      </c>
      <c r="B160" s="10" t="s">
        <v>629</v>
      </c>
      <c r="C160" s="12" t="s">
        <v>630</v>
      </c>
      <c r="D160" s="12"/>
      <c r="E160" s="14" t="s">
        <v>631</v>
      </c>
      <c r="H160" s="12" t="s">
        <v>632</v>
      </c>
    </row>
    <row r="161">
      <c r="A161" s="4">
        <v>160.0</v>
      </c>
      <c r="B161" s="10" t="s">
        <v>633</v>
      </c>
      <c r="C161" s="12" t="s">
        <v>633</v>
      </c>
      <c r="D161" s="12"/>
      <c r="E161" s="14" t="s">
        <v>634</v>
      </c>
      <c r="H161" s="12" t="s">
        <v>635</v>
      </c>
    </row>
    <row r="162">
      <c r="A162" s="4">
        <v>161.0</v>
      </c>
      <c r="B162" s="10" t="s">
        <v>636</v>
      </c>
      <c r="C162" s="12" t="s">
        <v>636</v>
      </c>
      <c r="D162" s="12"/>
      <c r="E162" s="14" t="s">
        <v>637</v>
      </c>
      <c r="H162" s="12" t="s">
        <v>638</v>
      </c>
    </row>
    <row r="163">
      <c r="A163" s="4">
        <v>162.0</v>
      </c>
      <c r="B163" s="10" t="s">
        <v>639</v>
      </c>
      <c r="C163" s="12" t="s">
        <v>640</v>
      </c>
      <c r="D163" s="12"/>
      <c r="E163" s="11" t="s">
        <v>641</v>
      </c>
      <c r="H163" s="12" t="s">
        <v>642</v>
      </c>
    </row>
    <row r="164">
      <c r="A164" s="4">
        <v>163.0</v>
      </c>
      <c r="B164" s="10" t="s">
        <v>643</v>
      </c>
      <c r="C164" s="12" t="s">
        <v>644</v>
      </c>
      <c r="D164" s="12"/>
      <c r="E164" s="11" t="s">
        <v>645</v>
      </c>
      <c r="H164" s="12" t="s">
        <v>646</v>
      </c>
    </row>
    <row r="165">
      <c r="A165" s="4">
        <v>164.0</v>
      </c>
      <c r="B165" s="10" t="s">
        <v>647</v>
      </c>
      <c r="C165" s="12" t="s">
        <v>647</v>
      </c>
      <c r="D165" s="12"/>
      <c r="E165" s="11" t="s">
        <v>648</v>
      </c>
      <c r="H165" s="12" t="s">
        <v>649</v>
      </c>
    </row>
    <row r="166">
      <c r="A166" s="4">
        <v>165.0</v>
      </c>
      <c r="B166" s="10" t="s">
        <v>650</v>
      </c>
      <c r="C166" s="12" t="s">
        <v>651</v>
      </c>
      <c r="D166" s="12"/>
      <c r="E166" s="14" t="s">
        <v>652</v>
      </c>
      <c r="H166" s="12" t="s">
        <v>653</v>
      </c>
    </row>
    <row r="167">
      <c r="A167" s="4">
        <v>166.0</v>
      </c>
      <c r="B167" s="10" t="s">
        <v>654</v>
      </c>
      <c r="C167" s="12" t="s">
        <v>654</v>
      </c>
      <c r="D167" s="12"/>
      <c r="E167" s="11" t="s">
        <v>655</v>
      </c>
      <c r="H167" s="12" t="s">
        <v>656</v>
      </c>
    </row>
    <row r="168">
      <c r="A168" s="4">
        <v>167.0</v>
      </c>
      <c r="B168" s="10" t="s">
        <v>657</v>
      </c>
      <c r="C168" s="12" t="s">
        <v>658</v>
      </c>
      <c r="D168" s="12"/>
      <c r="E168" s="14" t="s">
        <v>659</v>
      </c>
      <c r="H168" s="12" t="s">
        <v>660</v>
      </c>
    </row>
    <row r="169">
      <c r="A169" s="4">
        <v>168.0</v>
      </c>
      <c r="B169" s="10" t="s">
        <v>661</v>
      </c>
      <c r="C169" s="12" t="s">
        <v>662</v>
      </c>
      <c r="D169" s="12"/>
      <c r="E169" s="11" t="s">
        <v>663</v>
      </c>
      <c r="H169" s="12" t="s">
        <v>664</v>
      </c>
    </row>
    <row r="170">
      <c r="A170" s="4">
        <v>169.0</v>
      </c>
      <c r="B170" s="10" t="s">
        <v>665</v>
      </c>
      <c r="C170" s="12" t="s">
        <v>666</v>
      </c>
      <c r="D170" s="12"/>
      <c r="E170" s="11" t="s">
        <v>667</v>
      </c>
      <c r="H170" s="12" t="s">
        <v>668</v>
      </c>
    </row>
    <row r="171">
      <c r="A171" s="4">
        <v>170.0</v>
      </c>
      <c r="B171" s="10" t="s">
        <v>665</v>
      </c>
      <c r="C171" s="12" t="s">
        <v>666</v>
      </c>
      <c r="D171" s="12"/>
      <c r="E171" s="14" t="s">
        <v>669</v>
      </c>
      <c r="H171" s="12" t="s">
        <v>670</v>
      </c>
    </row>
    <row r="172">
      <c r="A172" s="4">
        <v>171.0</v>
      </c>
      <c r="B172" s="10" t="s">
        <v>671</v>
      </c>
      <c r="C172" s="12" t="s">
        <v>672</v>
      </c>
      <c r="D172" s="12"/>
      <c r="E172" s="11" t="s">
        <v>673</v>
      </c>
      <c r="H172" s="12" t="s">
        <v>674</v>
      </c>
    </row>
    <row r="173">
      <c r="A173" s="4">
        <v>172.0</v>
      </c>
      <c r="B173" s="10" t="s">
        <v>671</v>
      </c>
      <c r="C173" s="12" t="s">
        <v>672</v>
      </c>
      <c r="D173" s="12"/>
      <c r="E173" s="11" t="s">
        <v>675</v>
      </c>
      <c r="H173" s="12" t="s">
        <v>676</v>
      </c>
    </row>
    <row r="174">
      <c r="A174" s="4">
        <v>173.0</v>
      </c>
      <c r="B174" s="10" t="s">
        <v>677</v>
      </c>
      <c r="C174" s="12" t="s">
        <v>678</v>
      </c>
      <c r="D174" s="12"/>
      <c r="E174" s="11" t="s">
        <v>679</v>
      </c>
      <c r="H174" s="12" t="s">
        <v>680</v>
      </c>
    </row>
    <row r="175">
      <c r="A175" s="4">
        <v>174.0</v>
      </c>
      <c r="B175" s="10" t="s">
        <v>681</v>
      </c>
      <c r="C175" s="12" t="s">
        <v>682</v>
      </c>
      <c r="D175" s="12"/>
      <c r="E175" s="14" t="s">
        <v>683</v>
      </c>
      <c r="H175" s="12" t="s">
        <v>684</v>
      </c>
    </row>
    <row r="176">
      <c r="A176" s="4">
        <v>175.0</v>
      </c>
      <c r="B176" s="10" t="s">
        <v>685</v>
      </c>
      <c r="C176" s="12" t="s">
        <v>685</v>
      </c>
      <c r="D176" s="12"/>
      <c r="E176" s="11" t="s">
        <v>686</v>
      </c>
      <c r="H176" s="12" t="s">
        <v>687</v>
      </c>
    </row>
    <row r="177">
      <c r="A177" s="4">
        <v>176.0</v>
      </c>
      <c r="B177" s="10" t="s">
        <v>688</v>
      </c>
      <c r="C177" s="12" t="s">
        <v>688</v>
      </c>
      <c r="D177" s="12"/>
      <c r="E177" s="11" t="s">
        <v>689</v>
      </c>
      <c r="H177" s="12" t="s">
        <v>690</v>
      </c>
    </row>
    <row r="178">
      <c r="A178" s="4">
        <v>177.0</v>
      </c>
      <c r="B178" s="10" t="s">
        <v>691</v>
      </c>
      <c r="C178" s="12" t="s">
        <v>692</v>
      </c>
      <c r="D178" s="12"/>
      <c r="E178" s="11" t="s">
        <v>693</v>
      </c>
      <c r="H178" s="12" t="s">
        <v>694</v>
      </c>
    </row>
    <row r="179">
      <c r="A179" s="4">
        <v>178.0</v>
      </c>
      <c r="B179" s="10" t="s">
        <v>695</v>
      </c>
      <c r="C179" s="12" t="s">
        <v>696</v>
      </c>
      <c r="D179" s="12"/>
      <c r="E179" s="11" t="s">
        <v>697</v>
      </c>
      <c r="H179" s="12" t="s">
        <v>698</v>
      </c>
    </row>
    <row r="180">
      <c r="A180" s="4">
        <v>179.0</v>
      </c>
      <c r="B180" s="10" t="s">
        <v>699</v>
      </c>
      <c r="C180" s="12" t="s">
        <v>699</v>
      </c>
      <c r="D180" s="12"/>
      <c r="E180" s="14" t="s">
        <v>700</v>
      </c>
      <c r="H180" s="12" t="s">
        <v>701</v>
      </c>
    </row>
    <row r="181">
      <c r="A181" s="4">
        <v>180.0</v>
      </c>
      <c r="B181" s="10" t="s">
        <v>702</v>
      </c>
      <c r="C181" s="12" t="s">
        <v>703</v>
      </c>
      <c r="D181" s="12"/>
      <c r="E181" s="11" t="s">
        <v>704</v>
      </c>
      <c r="H181" s="12" t="s">
        <v>705</v>
      </c>
    </row>
    <row r="182">
      <c r="A182" s="4">
        <v>181.0</v>
      </c>
      <c r="B182" s="10" t="s">
        <v>706</v>
      </c>
      <c r="C182" s="12" t="s">
        <v>706</v>
      </c>
      <c r="D182" s="12"/>
      <c r="E182" s="11" t="s">
        <v>707</v>
      </c>
      <c r="H182" s="12" t="s">
        <v>708</v>
      </c>
    </row>
    <row r="183">
      <c r="A183" s="4">
        <v>182.0</v>
      </c>
      <c r="B183" s="10" t="s">
        <v>709</v>
      </c>
      <c r="C183" s="12" t="s">
        <v>710</v>
      </c>
      <c r="D183" s="12"/>
      <c r="E183" s="14" t="s">
        <v>711</v>
      </c>
      <c r="H183" s="12" t="s">
        <v>712</v>
      </c>
    </row>
    <row r="184">
      <c r="A184" s="4">
        <v>183.0</v>
      </c>
      <c r="B184" s="10" t="s">
        <v>713</v>
      </c>
      <c r="C184" s="12" t="s">
        <v>713</v>
      </c>
      <c r="D184" s="12"/>
      <c r="E184" s="11" t="s">
        <v>714</v>
      </c>
      <c r="H184" s="12" t="s">
        <v>715</v>
      </c>
    </row>
    <row r="185">
      <c r="A185" s="4">
        <v>184.0</v>
      </c>
      <c r="B185" s="10" t="s">
        <v>716</v>
      </c>
      <c r="C185" s="12" t="s">
        <v>717</v>
      </c>
      <c r="D185" s="12"/>
      <c r="E185" s="11" t="s">
        <v>718</v>
      </c>
      <c r="H185" s="12" t="s">
        <v>719</v>
      </c>
    </row>
    <row r="186">
      <c r="A186" s="4">
        <v>185.0</v>
      </c>
      <c r="B186" s="10" t="s">
        <v>720</v>
      </c>
      <c r="C186" s="12" t="s">
        <v>720</v>
      </c>
      <c r="D186" s="12"/>
      <c r="E186" s="11" t="s">
        <v>721</v>
      </c>
      <c r="H186" s="12" t="s">
        <v>722</v>
      </c>
    </row>
    <row r="187">
      <c r="A187" s="4">
        <v>186.0</v>
      </c>
      <c r="B187" s="10" t="s">
        <v>720</v>
      </c>
      <c r="C187" s="12" t="s">
        <v>720</v>
      </c>
      <c r="D187" s="12"/>
      <c r="E187" s="11" t="s">
        <v>723</v>
      </c>
      <c r="H187" s="12" t="s">
        <v>724</v>
      </c>
    </row>
    <row r="188">
      <c r="A188" s="4">
        <v>187.0</v>
      </c>
      <c r="B188" s="10" t="s">
        <v>725</v>
      </c>
      <c r="C188" s="12" t="s">
        <v>726</v>
      </c>
      <c r="D188" s="12"/>
      <c r="E188" s="11" t="s">
        <v>727</v>
      </c>
      <c r="H188" s="12" t="s">
        <v>728</v>
      </c>
    </row>
    <row r="189">
      <c r="A189" s="4">
        <v>188.0</v>
      </c>
      <c r="B189" s="10" t="s">
        <v>729</v>
      </c>
      <c r="C189" s="12" t="s">
        <v>730</v>
      </c>
      <c r="D189" s="12"/>
      <c r="E189" s="11" t="s">
        <v>731</v>
      </c>
      <c r="H189" s="12" t="s">
        <v>732</v>
      </c>
    </row>
    <row r="190">
      <c r="A190" s="4">
        <v>189.0</v>
      </c>
      <c r="B190" s="10" t="s">
        <v>733</v>
      </c>
      <c r="C190" s="12" t="s">
        <v>734</v>
      </c>
      <c r="D190" s="12"/>
      <c r="E190" s="11" t="s">
        <v>735</v>
      </c>
      <c r="H190" s="12" t="s">
        <v>736</v>
      </c>
    </row>
    <row r="191">
      <c r="A191" s="4">
        <v>190.0</v>
      </c>
      <c r="B191" s="10" t="s">
        <v>733</v>
      </c>
      <c r="C191" s="12" t="s">
        <v>734</v>
      </c>
      <c r="D191" s="12"/>
      <c r="E191" s="11" t="s">
        <v>737</v>
      </c>
      <c r="H191" s="12" t="s">
        <v>738</v>
      </c>
    </row>
    <row r="192">
      <c r="A192" s="4">
        <v>191.0</v>
      </c>
      <c r="B192" s="10" t="s">
        <v>739</v>
      </c>
      <c r="C192" s="12" t="s">
        <v>740</v>
      </c>
      <c r="D192" s="12"/>
      <c r="E192" s="11" t="s">
        <v>741</v>
      </c>
      <c r="H192" s="12" t="s">
        <v>742</v>
      </c>
    </row>
    <row r="193">
      <c r="A193" s="4">
        <v>192.0</v>
      </c>
      <c r="B193" s="10" t="s">
        <v>743</v>
      </c>
      <c r="C193" s="12" t="s">
        <v>744</v>
      </c>
      <c r="D193" s="12"/>
      <c r="E193" s="11" t="s">
        <v>745</v>
      </c>
      <c r="H193" s="12" t="s">
        <v>746</v>
      </c>
    </row>
    <row r="194">
      <c r="A194" s="4">
        <v>193.0</v>
      </c>
      <c r="B194" s="10" t="s">
        <v>743</v>
      </c>
      <c r="C194" s="12" t="s">
        <v>744</v>
      </c>
      <c r="D194" s="12"/>
      <c r="E194" s="11" t="s">
        <v>745</v>
      </c>
      <c r="H194" s="12" t="s">
        <v>747</v>
      </c>
    </row>
    <row r="195">
      <c r="A195" s="4">
        <v>194.0</v>
      </c>
      <c r="B195" s="10" t="s">
        <v>748</v>
      </c>
      <c r="C195" s="12" t="s">
        <v>749</v>
      </c>
      <c r="D195" s="12"/>
      <c r="E195" s="11" t="s">
        <v>750</v>
      </c>
      <c r="H195" s="12" t="s">
        <v>751</v>
      </c>
    </row>
    <row r="196">
      <c r="A196" s="4">
        <v>195.0</v>
      </c>
      <c r="B196" s="10" t="s">
        <v>752</v>
      </c>
      <c r="C196" s="12" t="s">
        <v>752</v>
      </c>
      <c r="D196" s="12"/>
      <c r="E196" s="11" t="s">
        <v>753</v>
      </c>
      <c r="H196" s="12" t="s">
        <v>754</v>
      </c>
    </row>
    <row r="197">
      <c r="A197" s="4">
        <v>196.0</v>
      </c>
      <c r="B197" s="10" t="s">
        <v>755</v>
      </c>
      <c r="C197" s="12" t="s">
        <v>756</v>
      </c>
      <c r="D197" s="12"/>
      <c r="E197" s="11" t="s">
        <v>757</v>
      </c>
      <c r="H197" s="12" t="s">
        <v>758</v>
      </c>
    </row>
    <row r="198">
      <c r="A198" s="4">
        <v>197.0</v>
      </c>
      <c r="B198" s="10" t="s">
        <v>759</v>
      </c>
      <c r="C198" s="12" t="s">
        <v>760</v>
      </c>
      <c r="D198" s="12"/>
      <c r="E198" s="11" t="s">
        <v>761</v>
      </c>
      <c r="H198" s="12" t="s">
        <v>762</v>
      </c>
    </row>
    <row r="199">
      <c r="A199" s="4">
        <v>198.0</v>
      </c>
      <c r="B199" s="10" t="s">
        <v>763</v>
      </c>
      <c r="C199" s="12" t="s">
        <v>763</v>
      </c>
      <c r="D199" s="12"/>
      <c r="E199" s="11" t="s">
        <v>764</v>
      </c>
      <c r="H199" s="12" t="s">
        <v>765</v>
      </c>
    </row>
    <row r="200">
      <c r="A200" s="4">
        <v>199.0</v>
      </c>
      <c r="B200" s="10" t="s">
        <v>763</v>
      </c>
      <c r="C200" s="12" t="s">
        <v>763</v>
      </c>
      <c r="D200" s="12"/>
      <c r="E200" s="11" t="s">
        <v>764</v>
      </c>
      <c r="H200" s="12" t="s">
        <v>766</v>
      </c>
    </row>
    <row r="201">
      <c r="A201" s="4">
        <v>200.0</v>
      </c>
      <c r="B201" s="10" t="s">
        <v>767</v>
      </c>
      <c r="C201" s="12" t="s">
        <v>767</v>
      </c>
      <c r="D201" s="12"/>
      <c r="E201" s="11" t="s">
        <v>768</v>
      </c>
      <c r="H201" s="12" t="s">
        <v>769</v>
      </c>
    </row>
    <row r="202">
      <c r="A202" s="4">
        <v>201.0</v>
      </c>
      <c r="B202" s="10" t="s">
        <v>770</v>
      </c>
      <c r="C202" s="12" t="s">
        <v>770</v>
      </c>
      <c r="D202" s="12"/>
      <c r="E202" s="11" t="s">
        <v>771</v>
      </c>
      <c r="H202" s="12" t="s">
        <v>772</v>
      </c>
    </row>
    <row r="203">
      <c r="A203" s="4">
        <v>202.0</v>
      </c>
      <c r="B203" s="10" t="s">
        <v>773</v>
      </c>
      <c r="C203" s="12" t="s">
        <v>774</v>
      </c>
      <c r="D203" s="12"/>
      <c r="E203" s="11" t="s">
        <v>775</v>
      </c>
      <c r="H203" s="12" t="s">
        <v>776</v>
      </c>
    </row>
    <row r="204">
      <c r="A204" s="4">
        <v>203.0</v>
      </c>
      <c r="B204" s="10" t="s">
        <v>777</v>
      </c>
      <c r="C204" s="12" t="s">
        <v>778</v>
      </c>
      <c r="D204" s="12"/>
      <c r="E204" s="11" t="s">
        <v>779</v>
      </c>
      <c r="H204" s="12" t="s">
        <v>780</v>
      </c>
    </row>
    <row r="205">
      <c r="A205" s="4">
        <v>204.0</v>
      </c>
      <c r="B205" s="10" t="s">
        <v>781</v>
      </c>
      <c r="C205" s="12" t="s">
        <v>782</v>
      </c>
      <c r="D205" s="12"/>
      <c r="E205" s="11" t="s">
        <v>783</v>
      </c>
      <c r="H205" s="12" t="s">
        <v>784</v>
      </c>
    </row>
    <row r="206">
      <c r="A206" s="4">
        <v>205.0</v>
      </c>
      <c r="B206" s="10" t="s">
        <v>781</v>
      </c>
      <c r="C206" s="12" t="s">
        <v>782</v>
      </c>
      <c r="D206" s="12"/>
      <c r="E206" s="11" t="s">
        <v>785</v>
      </c>
      <c r="H206" s="12" t="s">
        <v>786</v>
      </c>
    </row>
    <row r="207">
      <c r="A207" s="4">
        <v>206.0</v>
      </c>
      <c r="B207" s="10" t="s">
        <v>787</v>
      </c>
      <c r="C207" s="12" t="s">
        <v>788</v>
      </c>
      <c r="D207" s="12"/>
      <c r="E207" s="11" t="s">
        <v>789</v>
      </c>
      <c r="H207" s="12" t="s">
        <v>790</v>
      </c>
    </row>
    <row r="208">
      <c r="A208" s="4">
        <v>207.0</v>
      </c>
      <c r="B208" s="10" t="s">
        <v>791</v>
      </c>
      <c r="C208" s="12" t="s">
        <v>792</v>
      </c>
      <c r="D208" s="12"/>
      <c r="E208" s="11" t="s">
        <v>793</v>
      </c>
      <c r="H208" s="12" t="s">
        <v>794</v>
      </c>
    </row>
    <row r="209">
      <c r="A209" s="4">
        <v>208.0</v>
      </c>
      <c r="B209" s="10" t="s">
        <v>795</v>
      </c>
      <c r="C209" s="12" t="s">
        <v>796</v>
      </c>
      <c r="D209" s="12"/>
      <c r="E209" s="11" t="s">
        <v>797</v>
      </c>
      <c r="H209" s="12" t="s">
        <v>798</v>
      </c>
    </row>
    <row r="210">
      <c r="A210" s="4">
        <v>209.0</v>
      </c>
      <c r="B210" s="10" t="s">
        <v>799</v>
      </c>
      <c r="C210" s="12" t="s">
        <v>800</v>
      </c>
      <c r="D210" s="12"/>
      <c r="E210" s="11" t="s">
        <v>801</v>
      </c>
      <c r="H210" s="12" t="s">
        <v>802</v>
      </c>
    </row>
    <row r="211">
      <c r="A211" s="4">
        <v>210.0</v>
      </c>
      <c r="B211" s="10" t="s">
        <v>803</v>
      </c>
      <c r="C211" s="12" t="s">
        <v>804</v>
      </c>
      <c r="D211" s="12"/>
      <c r="E211" s="11" t="s">
        <v>805</v>
      </c>
      <c r="H211" s="12" t="s">
        <v>806</v>
      </c>
    </row>
    <row r="212">
      <c r="A212" s="4">
        <v>211.0</v>
      </c>
      <c r="B212" s="10" t="s">
        <v>807</v>
      </c>
      <c r="C212" s="12" t="s">
        <v>807</v>
      </c>
      <c r="D212" s="12"/>
      <c r="E212" s="11" t="s">
        <v>808</v>
      </c>
      <c r="H212" s="12" t="s">
        <v>809</v>
      </c>
    </row>
    <row r="213">
      <c r="A213" s="4">
        <v>212.0</v>
      </c>
      <c r="B213" s="10" t="s">
        <v>810</v>
      </c>
      <c r="C213" s="12" t="s">
        <v>810</v>
      </c>
      <c r="D213" s="12"/>
      <c r="E213" s="11" t="s">
        <v>811</v>
      </c>
      <c r="H213" s="12" t="s">
        <v>812</v>
      </c>
    </row>
    <row r="214">
      <c r="A214" s="4">
        <v>213.0</v>
      </c>
      <c r="B214" s="10" t="s">
        <v>813</v>
      </c>
      <c r="C214" s="12" t="s">
        <v>813</v>
      </c>
      <c r="D214" s="12"/>
      <c r="E214" s="11" t="s">
        <v>814</v>
      </c>
      <c r="H214" s="12" t="s">
        <v>815</v>
      </c>
    </row>
    <row r="215">
      <c r="A215" s="4">
        <v>214.0</v>
      </c>
      <c r="B215" s="10" t="s">
        <v>763</v>
      </c>
      <c r="C215" s="12" t="s">
        <v>763</v>
      </c>
      <c r="D215" s="12"/>
      <c r="E215" s="11" t="s">
        <v>816</v>
      </c>
      <c r="H215" s="12" t="s">
        <v>817</v>
      </c>
    </row>
    <row r="216">
      <c r="A216" s="4">
        <v>215.0</v>
      </c>
      <c r="B216" s="10" t="s">
        <v>818</v>
      </c>
      <c r="C216" s="12" t="s">
        <v>819</v>
      </c>
      <c r="D216" s="12"/>
      <c r="E216" s="11" t="s">
        <v>820</v>
      </c>
      <c r="H216" s="12" t="s">
        <v>821</v>
      </c>
    </row>
    <row r="217">
      <c r="A217" s="4">
        <v>216.0</v>
      </c>
      <c r="B217" s="10" t="s">
        <v>822</v>
      </c>
      <c r="C217" s="12" t="s">
        <v>823</v>
      </c>
      <c r="D217" s="12"/>
      <c r="E217" s="11" t="s">
        <v>824</v>
      </c>
      <c r="H217" s="12" t="s">
        <v>825</v>
      </c>
    </row>
    <row r="218">
      <c r="A218" s="4">
        <v>217.0</v>
      </c>
      <c r="B218" s="10" t="s">
        <v>826</v>
      </c>
      <c r="C218" s="12" t="s">
        <v>827</v>
      </c>
      <c r="D218" s="12"/>
      <c r="E218" s="11" t="s">
        <v>828</v>
      </c>
      <c r="H218" s="12" t="s">
        <v>829</v>
      </c>
    </row>
    <row r="219">
      <c r="A219" s="4">
        <v>218.0</v>
      </c>
      <c r="B219" s="10" t="s">
        <v>830</v>
      </c>
      <c r="C219" s="12" t="s">
        <v>831</v>
      </c>
      <c r="D219" s="12"/>
      <c r="E219" s="11" t="s">
        <v>832</v>
      </c>
      <c r="H219" s="12" t="s">
        <v>833</v>
      </c>
    </row>
    <row r="220">
      <c r="A220" s="4">
        <v>219.0</v>
      </c>
      <c r="B220" s="10" t="s">
        <v>834</v>
      </c>
      <c r="C220" s="12" t="s">
        <v>835</v>
      </c>
      <c r="D220" s="12"/>
      <c r="E220" s="11" t="s">
        <v>836</v>
      </c>
      <c r="H220" s="12" t="s">
        <v>837</v>
      </c>
    </row>
    <row r="221">
      <c r="A221" s="4">
        <v>220.0</v>
      </c>
      <c r="B221" s="10" t="s">
        <v>838</v>
      </c>
      <c r="C221" s="12" t="s">
        <v>839</v>
      </c>
      <c r="D221" s="12"/>
      <c r="E221" s="11" t="s">
        <v>840</v>
      </c>
      <c r="H221" s="12" t="s">
        <v>841</v>
      </c>
    </row>
    <row r="222">
      <c r="A222" s="4">
        <v>221.0</v>
      </c>
      <c r="B222" s="10" t="s">
        <v>842</v>
      </c>
      <c r="C222" s="12" t="s">
        <v>843</v>
      </c>
      <c r="D222" s="12"/>
      <c r="E222" s="11" t="s">
        <v>844</v>
      </c>
      <c r="H222" s="12" t="s">
        <v>845</v>
      </c>
    </row>
    <row r="223">
      <c r="A223" s="4">
        <v>222.0</v>
      </c>
      <c r="B223" s="10" t="s">
        <v>846</v>
      </c>
      <c r="C223" s="12" t="s">
        <v>847</v>
      </c>
      <c r="D223" s="12"/>
      <c r="E223" s="11" t="s">
        <v>848</v>
      </c>
      <c r="H223" s="12" t="s">
        <v>849</v>
      </c>
    </row>
    <row r="224">
      <c r="A224" s="4">
        <v>223.0</v>
      </c>
      <c r="B224" s="10" t="s">
        <v>850</v>
      </c>
      <c r="C224" s="12" t="s">
        <v>851</v>
      </c>
      <c r="D224" s="12"/>
      <c r="E224" s="11" t="s">
        <v>852</v>
      </c>
      <c r="H224" s="12" t="s">
        <v>853</v>
      </c>
    </row>
    <row r="225">
      <c r="A225" s="4">
        <v>224.0</v>
      </c>
      <c r="B225" s="10" t="s">
        <v>850</v>
      </c>
      <c r="C225" s="12" t="s">
        <v>851</v>
      </c>
      <c r="D225" s="12"/>
      <c r="E225" s="11" t="s">
        <v>852</v>
      </c>
      <c r="H225" s="12" t="s">
        <v>854</v>
      </c>
    </row>
    <row r="226">
      <c r="A226" s="4">
        <v>225.0</v>
      </c>
      <c r="B226" s="10" t="s">
        <v>855</v>
      </c>
      <c r="C226" s="12" t="s">
        <v>856</v>
      </c>
      <c r="D226" s="12"/>
      <c r="E226" s="11" t="s">
        <v>857</v>
      </c>
      <c r="H226" s="12" t="s">
        <v>858</v>
      </c>
    </row>
    <row r="227">
      <c r="A227" s="4">
        <v>226.0</v>
      </c>
      <c r="B227" s="10" t="s">
        <v>859</v>
      </c>
      <c r="C227" s="12" t="s">
        <v>860</v>
      </c>
      <c r="D227" s="12"/>
      <c r="E227" s="11" t="s">
        <v>861</v>
      </c>
      <c r="H227" s="12" t="s">
        <v>862</v>
      </c>
    </row>
    <row r="228">
      <c r="A228" s="4">
        <v>227.0</v>
      </c>
      <c r="B228" s="10" t="s">
        <v>863</v>
      </c>
      <c r="C228" s="12" t="s">
        <v>864</v>
      </c>
      <c r="D228" s="12"/>
      <c r="E228" s="11" t="s">
        <v>865</v>
      </c>
      <c r="H228" s="12" t="s">
        <v>866</v>
      </c>
    </row>
    <row r="229">
      <c r="A229" s="4">
        <v>228.0</v>
      </c>
      <c r="B229" s="10" t="s">
        <v>867</v>
      </c>
      <c r="C229" s="12" t="s">
        <v>868</v>
      </c>
      <c r="D229" s="12"/>
      <c r="E229" s="14" t="s">
        <v>869</v>
      </c>
      <c r="H229" s="12" t="s">
        <v>870</v>
      </c>
    </row>
    <row r="230">
      <c r="A230" s="4">
        <v>229.0</v>
      </c>
      <c r="B230" s="10" t="s">
        <v>871</v>
      </c>
      <c r="C230" s="12" t="s">
        <v>872</v>
      </c>
      <c r="D230" s="12"/>
      <c r="E230" s="11" t="s">
        <v>873</v>
      </c>
      <c r="H230" s="12" t="s">
        <v>874</v>
      </c>
    </row>
    <row r="231">
      <c r="A231" s="4">
        <v>230.0</v>
      </c>
      <c r="B231" s="10" t="s">
        <v>875</v>
      </c>
      <c r="C231" s="12" t="s">
        <v>876</v>
      </c>
      <c r="D231" s="12"/>
      <c r="E231" s="11" t="s">
        <v>877</v>
      </c>
      <c r="H231" s="12" t="s">
        <v>878</v>
      </c>
    </row>
    <row r="232">
      <c r="A232" s="4">
        <v>231.0</v>
      </c>
      <c r="B232" s="10" t="s">
        <v>879</v>
      </c>
      <c r="C232" s="11" t="s">
        <v>880</v>
      </c>
      <c r="D232" s="12"/>
      <c r="E232" s="11" t="s">
        <v>881</v>
      </c>
      <c r="H232" s="12" t="s">
        <v>882</v>
      </c>
    </row>
    <row r="233">
      <c r="A233" s="4">
        <v>232.0</v>
      </c>
      <c r="B233" s="10" t="s">
        <v>883</v>
      </c>
      <c r="C233" s="12" t="s">
        <v>884</v>
      </c>
      <c r="D233" s="12"/>
      <c r="E233" s="14" t="s">
        <v>885</v>
      </c>
      <c r="H233" s="12" t="s">
        <v>886</v>
      </c>
    </row>
    <row r="234">
      <c r="A234" s="4">
        <v>233.0</v>
      </c>
      <c r="B234" s="10" t="s">
        <v>887</v>
      </c>
      <c r="C234" s="12" t="s">
        <v>888</v>
      </c>
      <c r="D234" s="12"/>
      <c r="E234" s="11" t="s">
        <v>889</v>
      </c>
      <c r="H234" s="12" t="s">
        <v>890</v>
      </c>
    </row>
    <row r="235">
      <c r="A235" s="4">
        <v>234.0</v>
      </c>
      <c r="B235" s="10" t="s">
        <v>891</v>
      </c>
      <c r="C235" s="12" t="s">
        <v>892</v>
      </c>
      <c r="D235" s="12"/>
      <c r="E235" s="11" t="s">
        <v>893</v>
      </c>
      <c r="H235" s="12" t="s">
        <v>894</v>
      </c>
    </row>
    <row r="236">
      <c r="A236" s="4">
        <v>235.0</v>
      </c>
      <c r="B236" s="10" t="s">
        <v>895</v>
      </c>
      <c r="C236" s="12" t="s">
        <v>896</v>
      </c>
      <c r="D236" s="12"/>
      <c r="E236" s="11" t="s">
        <v>897</v>
      </c>
      <c r="H236" s="12" t="s">
        <v>898</v>
      </c>
    </row>
    <row r="237">
      <c r="A237" s="4">
        <v>236.0</v>
      </c>
      <c r="B237" s="10" t="s">
        <v>899</v>
      </c>
      <c r="C237" s="12" t="s">
        <v>900</v>
      </c>
      <c r="D237" s="12"/>
      <c r="E237" s="11" t="s">
        <v>901</v>
      </c>
      <c r="H237" s="12" t="s">
        <v>902</v>
      </c>
    </row>
    <row r="238">
      <c r="A238" s="4">
        <v>237.0</v>
      </c>
      <c r="B238" s="10" t="s">
        <v>903</v>
      </c>
      <c r="C238" s="12" t="s">
        <v>903</v>
      </c>
      <c r="D238" s="12"/>
      <c r="E238" s="11" t="s">
        <v>904</v>
      </c>
      <c r="H238" s="12" t="s">
        <v>905</v>
      </c>
    </row>
    <row r="239">
      <c r="A239" s="4">
        <v>238.0</v>
      </c>
      <c r="B239" s="10" t="s">
        <v>906</v>
      </c>
      <c r="C239" s="12" t="s">
        <v>907</v>
      </c>
      <c r="D239" s="12"/>
      <c r="E239" s="11" t="s">
        <v>908</v>
      </c>
      <c r="H239" s="12" t="s">
        <v>909</v>
      </c>
    </row>
    <row r="240">
      <c r="A240" s="4">
        <v>239.0</v>
      </c>
      <c r="B240" s="10" t="s">
        <v>910</v>
      </c>
      <c r="C240" s="12" t="s">
        <v>911</v>
      </c>
      <c r="D240" s="12"/>
      <c r="E240" s="11" t="s">
        <v>912</v>
      </c>
      <c r="H240" s="12" t="s">
        <v>913</v>
      </c>
    </row>
    <row r="241">
      <c r="A241" s="4">
        <v>240.0</v>
      </c>
      <c r="B241" s="10" t="s">
        <v>914</v>
      </c>
      <c r="C241" s="12" t="s">
        <v>914</v>
      </c>
      <c r="D241" s="12"/>
      <c r="E241" s="14" t="s">
        <v>915</v>
      </c>
      <c r="H241" s="12" t="s">
        <v>916</v>
      </c>
    </row>
    <row r="242">
      <c r="A242" s="4">
        <v>241.0</v>
      </c>
      <c r="B242" s="10" t="s">
        <v>914</v>
      </c>
      <c r="C242" s="12" t="s">
        <v>917</v>
      </c>
      <c r="D242" s="12"/>
      <c r="E242" s="11" t="s">
        <v>918</v>
      </c>
      <c r="H242" s="12" t="s">
        <v>919</v>
      </c>
    </row>
    <row r="243">
      <c r="A243" s="4">
        <v>242.0</v>
      </c>
      <c r="B243" s="10" t="s">
        <v>920</v>
      </c>
      <c r="C243" s="11" t="s">
        <v>921</v>
      </c>
      <c r="D243" s="12"/>
      <c r="E243" s="11" t="s">
        <v>922</v>
      </c>
      <c r="H243" s="12" t="s">
        <v>923</v>
      </c>
    </row>
    <row r="244">
      <c r="A244" s="4">
        <v>243.0</v>
      </c>
      <c r="B244" s="10" t="s">
        <v>924</v>
      </c>
      <c r="C244" s="12" t="s">
        <v>925</v>
      </c>
      <c r="D244" s="12"/>
      <c r="E244" s="14" t="s">
        <v>926</v>
      </c>
      <c r="H244" s="12" t="s">
        <v>927</v>
      </c>
    </row>
    <row r="245">
      <c r="A245" s="4">
        <v>244.0</v>
      </c>
      <c r="B245" s="10" t="s">
        <v>924</v>
      </c>
      <c r="C245" s="12" t="s">
        <v>925</v>
      </c>
      <c r="D245" s="12"/>
      <c r="E245" s="11" t="s">
        <v>928</v>
      </c>
      <c r="H245" s="12" t="s">
        <v>929</v>
      </c>
    </row>
    <row r="246">
      <c r="A246" s="4">
        <v>245.0</v>
      </c>
      <c r="B246" s="10" t="s">
        <v>930</v>
      </c>
      <c r="C246" s="12" t="s">
        <v>931</v>
      </c>
      <c r="D246" s="12"/>
      <c r="E246" s="11" t="s">
        <v>932</v>
      </c>
      <c r="H246" s="12" t="s">
        <v>933</v>
      </c>
    </row>
    <row r="247">
      <c r="A247" s="4">
        <v>246.0</v>
      </c>
      <c r="B247" s="10" t="s">
        <v>934</v>
      </c>
      <c r="C247" s="12" t="s">
        <v>935</v>
      </c>
      <c r="D247" s="12"/>
      <c r="E247" s="11" t="s">
        <v>936</v>
      </c>
      <c r="H247" s="12" t="s">
        <v>937</v>
      </c>
    </row>
    <row r="248">
      <c r="A248" s="4">
        <v>248.0</v>
      </c>
      <c r="B248" s="10" t="s">
        <v>938</v>
      </c>
      <c r="C248" s="12" t="s">
        <v>939</v>
      </c>
      <c r="D248" s="12"/>
      <c r="E248" s="14" t="s">
        <v>940</v>
      </c>
      <c r="H248" s="12" t="s">
        <v>941</v>
      </c>
    </row>
    <row r="249">
      <c r="A249" s="4">
        <v>249.0</v>
      </c>
      <c r="B249" s="10" t="s">
        <v>942</v>
      </c>
      <c r="C249" s="12" t="s">
        <v>943</v>
      </c>
      <c r="D249" s="12"/>
      <c r="E249" s="11" t="s">
        <v>944</v>
      </c>
      <c r="H249" s="12" t="s">
        <v>945</v>
      </c>
    </row>
    <row r="250">
      <c r="A250" s="4">
        <v>250.0</v>
      </c>
      <c r="B250" s="10" t="s">
        <v>946</v>
      </c>
      <c r="C250" s="12" t="s">
        <v>947</v>
      </c>
      <c r="D250" s="12"/>
      <c r="E250" s="11" t="s">
        <v>948</v>
      </c>
      <c r="H250" s="12" t="s">
        <v>949</v>
      </c>
    </row>
    <row r="251">
      <c r="A251" s="4">
        <v>251.0</v>
      </c>
      <c r="B251" s="10" t="s">
        <v>950</v>
      </c>
      <c r="C251" s="12" t="s">
        <v>951</v>
      </c>
      <c r="D251" s="12"/>
      <c r="E251" s="14" t="s">
        <v>952</v>
      </c>
      <c r="H251" s="12" t="s">
        <v>953</v>
      </c>
    </row>
    <row r="252">
      <c r="A252" s="4">
        <v>252.0</v>
      </c>
      <c r="B252" s="10" t="s">
        <v>954</v>
      </c>
      <c r="C252" s="12" t="s">
        <v>954</v>
      </c>
      <c r="D252" s="12"/>
      <c r="E252" s="14" t="s">
        <v>955</v>
      </c>
      <c r="H252" s="12" t="s">
        <v>956</v>
      </c>
    </row>
    <row r="253">
      <c r="A253" s="4">
        <v>253.0</v>
      </c>
      <c r="B253" s="10" t="s">
        <v>957</v>
      </c>
      <c r="C253" s="12" t="s">
        <v>958</v>
      </c>
      <c r="D253" s="12"/>
      <c r="E253" s="14" t="s">
        <v>959</v>
      </c>
      <c r="H253" s="12" t="s">
        <v>960</v>
      </c>
    </row>
    <row r="254">
      <c r="A254" s="4">
        <v>254.0</v>
      </c>
      <c r="B254" s="10" t="s">
        <v>961</v>
      </c>
      <c r="C254" s="12" t="s">
        <v>962</v>
      </c>
      <c r="D254" s="12"/>
      <c r="E254" s="14" t="s">
        <v>963</v>
      </c>
      <c r="H254" s="12" t="s">
        <v>964</v>
      </c>
    </row>
    <row r="255">
      <c r="A255" s="4">
        <v>255.0</v>
      </c>
      <c r="B255" s="10" t="s">
        <v>965</v>
      </c>
      <c r="C255" s="12" t="s">
        <v>966</v>
      </c>
      <c r="D255" s="12"/>
      <c r="E255" s="11" t="s">
        <v>967</v>
      </c>
      <c r="H255" s="12" t="s">
        <v>968</v>
      </c>
    </row>
    <row r="256">
      <c r="A256" s="4">
        <v>256.0</v>
      </c>
      <c r="B256" s="10" t="s">
        <v>969</v>
      </c>
      <c r="C256" s="12" t="s">
        <v>969</v>
      </c>
      <c r="D256" s="12"/>
      <c r="E256" s="11" t="s">
        <v>970</v>
      </c>
      <c r="H256" s="12" t="s">
        <v>971</v>
      </c>
    </row>
    <row r="257">
      <c r="A257" s="4">
        <v>257.0</v>
      </c>
      <c r="B257" s="10" t="s">
        <v>972</v>
      </c>
      <c r="C257" s="12" t="s">
        <v>973</v>
      </c>
      <c r="D257" s="12"/>
      <c r="E257" s="11" t="s">
        <v>974</v>
      </c>
      <c r="H257" s="12" t="s">
        <v>975</v>
      </c>
    </row>
    <row r="258">
      <c r="A258" s="4">
        <v>258.0</v>
      </c>
      <c r="B258" s="10" t="s">
        <v>976</v>
      </c>
      <c r="C258" s="12" t="s">
        <v>976</v>
      </c>
      <c r="D258" s="12"/>
      <c r="E258" s="11" t="s">
        <v>977</v>
      </c>
      <c r="H258" s="12" t="s">
        <v>978</v>
      </c>
    </row>
    <row r="259">
      <c r="A259" s="4">
        <v>259.0</v>
      </c>
      <c r="B259" s="10" t="s">
        <v>979</v>
      </c>
      <c r="C259" s="12" t="s">
        <v>979</v>
      </c>
      <c r="D259" s="12"/>
      <c r="E259" s="11" t="s">
        <v>980</v>
      </c>
      <c r="H259" s="12" t="s">
        <v>981</v>
      </c>
    </row>
    <row r="260">
      <c r="A260" s="4">
        <v>260.0</v>
      </c>
      <c r="B260" s="10" t="s">
        <v>982</v>
      </c>
      <c r="C260" s="12" t="s">
        <v>983</v>
      </c>
      <c r="D260" s="12"/>
      <c r="E260" s="11" t="s">
        <v>984</v>
      </c>
      <c r="H260" s="12" t="s">
        <v>985</v>
      </c>
    </row>
    <row r="261">
      <c r="A261" s="4">
        <v>261.0</v>
      </c>
      <c r="B261" s="10" t="s">
        <v>986</v>
      </c>
      <c r="C261" s="12" t="s">
        <v>987</v>
      </c>
      <c r="D261" s="12"/>
      <c r="E261" s="11" t="s">
        <v>988</v>
      </c>
      <c r="H261" s="12" t="s">
        <v>989</v>
      </c>
    </row>
    <row r="262">
      <c r="A262" s="4">
        <v>262.0</v>
      </c>
      <c r="B262" s="10" t="s">
        <v>990</v>
      </c>
      <c r="C262" s="12" t="s">
        <v>990</v>
      </c>
      <c r="D262" s="12"/>
      <c r="E262" s="11" t="s">
        <v>991</v>
      </c>
      <c r="H262" s="12" t="s">
        <v>992</v>
      </c>
    </row>
    <row r="263">
      <c r="A263" s="4">
        <v>263.0</v>
      </c>
      <c r="B263" s="10" t="s">
        <v>993</v>
      </c>
      <c r="C263" s="12" t="s">
        <v>994</v>
      </c>
      <c r="D263" s="12"/>
      <c r="E263" s="11" t="s">
        <v>995</v>
      </c>
      <c r="H263" s="12" t="s">
        <v>996</v>
      </c>
    </row>
    <row r="264">
      <c r="A264" s="4">
        <v>264.0</v>
      </c>
      <c r="B264" s="10" t="s">
        <v>997</v>
      </c>
      <c r="C264" s="12" t="s">
        <v>998</v>
      </c>
      <c r="D264" s="12"/>
      <c r="E264" s="11" t="s">
        <v>999</v>
      </c>
      <c r="H264" s="12" t="s">
        <v>1000</v>
      </c>
    </row>
    <row r="265">
      <c r="A265" s="4">
        <v>265.0</v>
      </c>
      <c r="B265" s="10" t="s">
        <v>1001</v>
      </c>
      <c r="C265" s="12" t="s">
        <v>1002</v>
      </c>
      <c r="D265" s="12"/>
      <c r="E265" s="11" t="s">
        <v>1003</v>
      </c>
      <c r="H265" s="12" t="s">
        <v>1004</v>
      </c>
    </row>
    <row r="266">
      <c r="A266" s="4">
        <v>266.0</v>
      </c>
      <c r="B266" s="10" t="s">
        <v>1005</v>
      </c>
      <c r="C266" s="12" t="s">
        <v>1005</v>
      </c>
      <c r="D266" s="12"/>
      <c r="E266" s="11" t="s">
        <v>1006</v>
      </c>
      <c r="H266" s="12" t="s">
        <v>1007</v>
      </c>
    </row>
    <row r="267">
      <c r="A267" s="4">
        <v>267.0</v>
      </c>
      <c r="B267" s="10" t="s">
        <v>1008</v>
      </c>
      <c r="C267" s="12" t="s">
        <v>1009</v>
      </c>
      <c r="D267" s="12"/>
      <c r="E267" s="11" t="s">
        <v>1010</v>
      </c>
      <c r="H267" s="12" t="s">
        <v>1011</v>
      </c>
    </row>
    <row r="268">
      <c r="A268" s="4">
        <v>268.0</v>
      </c>
      <c r="B268" s="10" t="s">
        <v>1012</v>
      </c>
      <c r="C268" s="12" t="s">
        <v>1013</v>
      </c>
      <c r="D268" s="12"/>
      <c r="E268" s="11" t="s">
        <v>1014</v>
      </c>
      <c r="H268" s="12" t="s">
        <v>1015</v>
      </c>
    </row>
    <row r="269">
      <c r="A269" s="4">
        <v>269.0</v>
      </c>
      <c r="B269" s="10" t="s">
        <v>1016</v>
      </c>
      <c r="C269" s="12" t="s">
        <v>1017</v>
      </c>
      <c r="D269" s="12"/>
      <c r="E269" s="11" t="s">
        <v>1018</v>
      </c>
      <c r="H269" s="12" t="s">
        <v>1019</v>
      </c>
    </row>
    <row r="270">
      <c r="A270" s="4">
        <v>270.0</v>
      </c>
      <c r="B270" s="10" t="s">
        <v>1020</v>
      </c>
      <c r="C270" s="12" t="s">
        <v>1021</v>
      </c>
      <c r="D270" s="12"/>
      <c r="E270" s="11" t="s">
        <v>1022</v>
      </c>
      <c r="H270" s="12" t="s">
        <v>1023</v>
      </c>
    </row>
    <row r="271">
      <c r="A271" s="4">
        <v>271.0</v>
      </c>
      <c r="B271" s="10" t="s">
        <v>1024</v>
      </c>
      <c r="C271" s="12" t="s">
        <v>1025</v>
      </c>
      <c r="D271" s="12"/>
      <c r="E271" s="11" t="s">
        <v>1026</v>
      </c>
      <c r="H271" s="12" t="s">
        <v>1023</v>
      </c>
    </row>
    <row r="272">
      <c r="A272" s="4">
        <v>272.0</v>
      </c>
      <c r="B272" s="10" t="s">
        <v>1027</v>
      </c>
      <c r="C272" s="12" t="s">
        <v>1028</v>
      </c>
      <c r="D272" s="12"/>
      <c r="E272" s="11" t="s">
        <v>1029</v>
      </c>
      <c r="H272" s="12" t="s">
        <v>1030</v>
      </c>
    </row>
    <row r="273">
      <c r="A273" s="4">
        <v>273.0</v>
      </c>
      <c r="B273" s="10" t="s">
        <v>1031</v>
      </c>
      <c r="C273" s="12" t="s">
        <v>1031</v>
      </c>
      <c r="D273" s="12"/>
      <c r="E273" s="11" t="s">
        <v>1032</v>
      </c>
      <c r="H273" s="12" t="s">
        <v>1033</v>
      </c>
    </row>
    <row r="274">
      <c r="A274" s="4">
        <v>274.0</v>
      </c>
      <c r="B274" s="10" t="s">
        <v>1034</v>
      </c>
      <c r="C274" s="12" t="s">
        <v>1035</v>
      </c>
      <c r="D274" s="12"/>
      <c r="E274" s="11" t="s">
        <v>1036</v>
      </c>
      <c r="H274" s="12" t="s">
        <v>1037</v>
      </c>
    </row>
    <row r="275">
      <c r="A275" s="4">
        <v>275.0</v>
      </c>
      <c r="B275" s="10" t="s">
        <v>1038</v>
      </c>
      <c r="C275" s="12" t="s">
        <v>1039</v>
      </c>
      <c r="D275" s="12"/>
      <c r="E275" s="11" t="s">
        <v>1040</v>
      </c>
      <c r="H275" s="12" t="s">
        <v>1041</v>
      </c>
    </row>
    <row r="276">
      <c r="A276" s="4">
        <v>276.0</v>
      </c>
      <c r="B276" s="10" t="s">
        <v>522</v>
      </c>
      <c r="C276" s="12" t="s">
        <v>523</v>
      </c>
      <c r="D276" s="12"/>
      <c r="E276" s="11" t="s">
        <v>1042</v>
      </c>
      <c r="H276" s="12" t="s">
        <v>1043</v>
      </c>
    </row>
    <row r="277">
      <c r="A277" s="4">
        <v>277.0</v>
      </c>
      <c r="B277" s="10" t="s">
        <v>1044</v>
      </c>
      <c r="C277" s="12" t="s">
        <v>1045</v>
      </c>
      <c r="D277" s="12"/>
      <c r="E277" s="11" t="s">
        <v>1046</v>
      </c>
      <c r="H277" s="12" t="s">
        <v>1047</v>
      </c>
    </row>
    <row r="278">
      <c r="A278" s="4">
        <v>278.0</v>
      </c>
      <c r="B278" s="10" t="s">
        <v>1048</v>
      </c>
      <c r="C278" s="12" t="s">
        <v>1049</v>
      </c>
      <c r="D278" s="12"/>
      <c r="E278" s="11" t="s">
        <v>1050</v>
      </c>
      <c r="H278" s="12" t="s">
        <v>1051</v>
      </c>
    </row>
    <row r="279">
      <c r="A279" s="4">
        <v>279.0</v>
      </c>
      <c r="B279" s="10" t="s">
        <v>1052</v>
      </c>
      <c r="C279" s="12" t="s">
        <v>1053</v>
      </c>
      <c r="D279" s="12"/>
      <c r="E279" s="11" t="s">
        <v>1054</v>
      </c>
      <c r="H279" s="12" t="s">
        <v>1055</v>
      </c>
    </row>
    <row r="280">
      <c r="A280" s="4">
        <v>280.0</v>
      </c>
      <c r="B280" s="10" t="s">
        <v>1056</v>
      </c>
      <c r="C280" s="12" t="s">
        <v>1057</v>
      </c>
      <c r="D280" s="12"/>
      <c r="E280" s="11" t="s">
        <v>1058</v>
      </c>
      <c r="H280" s="12" t="s">
        <v>1059</v>
      </c>
    </row>
    <row r="281">
      <c r="A281" s="4">
        <v>281.0</v>
      </c>
      <c r="B281" s="10" t="s">
        <v>1060</v>
      </c>
      <c r="C281" s="12" t="s">
        <v>1061</v>
      </c>
      <c r="D281" s="12"/>
      <c r="E281" s="14" t="s">
        <v>1062</v>
      </c>
      <c r="H281" s="12" t="s">
        <v>1063</v>
      </c>
    </row>
    <row r="282">
      <c r="A282" s="4">
        <v>282.0</v>
      </c>
      <c r="B282" s="10" t="s">
        <v>1064</v>
      </c>
      <c r="C282" s="12" t="s">
        <v>1065</v>
      </c>
      <c r="D282" s="12"/>
      <c r="E282" s="14" t="s">
        <v>1066</v>
      </c>
      <c r="H282" s="12" t="s">
        <v>1067</v>
      </c>
    </row>
    <row r="283">
      <c r="A283" s="4">
        <v>283.0</v>
      </c>
      <c r="B283" s="10" t="s">
        <v>1068</v>
      </c>
      <c r="C283" s="12" t="s">
        <v>1069</v>
      </c>
      <c r="D283" s="12"/>
      <c r="E283" s="11" t="s">
        <v>1070</v>
      </c>
      <c r="H283" s="12" t="s">
        <v>1071</v>
      </c>
    </row>
    <row r="284">
      <c r="A284" s="4">
        <v>284.0</v>
      </c>
      <c r="B284" s="10" t="s">
        <v>1072</v>
      </c>
      <c r="C284" s="12" t="s">
        <v>1073</v>
      </c>
      <c r="D284" s="12"/>
      <c r="E284" s="11" t="s">
        <v>1074</v>
      </c>
      <c r="H284" s="12" t="s">
        <v>1075</v>
      </c>
    </row>
    <row r="285">
      <c r="A285" s="4">
        <v>285.0</v>
      </c>
      <c r="B285" s="10" t="s">
        <v>1076</v>
      </c>
      <c r="C285" s="12" t="s">
        <v>1077</v>
      </c>
      <c r="D285" s="12"/>
      <c r="E285" s="11" t="s">
        <v>1078</v>
      </c>
      <c r="H285" s="12" t="s">
        <v>1079</v>
      </c>
    </row>
    <row r="286">
      <c r="A286" s="4">
        <v>286.0</v>
      </c>
      <c r="B286" s="10" t="s">
        <v>1080</v>
      </c>
      <c r="C286" s="12" t="s">
        <v>1080</v>
      </c>
      <c r="D286" s="12"/>
      <c r="E286" s="11" t="s">
        <v>1081</v>
      </c>
      <c r="H286" s="12" t="s">
        <v>1082</v>
      </c>
    </row>
    <row r="287">
      <c r="A287" s="4">
        <v>287.0</v>
      </c>
      <c r="B287" s="10" t="s">
        <v>1083</v>
      </c>
      <c r="C287" s="12" t="s">
        <v>1084</v>
      </c>
      <c r="D287" s="12"/>
      <c r="E287" s="11" t="s">
        <v>1085</v>
      </c>
      <c r="H287" s="12" t="s">
        <v>1086</v>
      </c>
    </row>
    <row r="288">
      <c r="A288" s="4">
        <v>288.0</v>
      </c>
      <c r="B288" s="10" t="s">
        <v>1087</v>
      </c>
      <c r="C288" s="12" t="s">
        <v>1087</v>
      </c>
      <c r="D288" s="12"/>
      <c r="E288" s="11" t="s">
        <v>1088</v>
      </c>
      <c r="H288" s="12" t="s">
        <v>1089</v>
      </c>
    </row>
    <row r="289">
      <c r="A289" s="4">
        <v>289.0</v>
      </c>
      <c r="B289" s="10" t="s">
        <v>1090</v>
      </c>
      <c r="C289" s="12" t="s">
        <v>1091</v>
      </c>
      <c r="D289" s="12"/>
      <c r="E289" s="11" t="s">
        <v>1092</v>
      </c>
      <c r="H289" s="12" t="s">
        <v>1093</v>
      </c>
    </row>
    <row r="290">
      <c r="A290" s="4">
        <v>290.0</v>
      </c>
      <c r="B290" s="10" t="s">
        <v>1094</v>
      </c>
      <c r="C290" s="12" t="s">
        <v>1095</v>
      </c>
      <c r="D290" s="12"/>
      <c r="E290" s="11" t="s">
        <v>1096</v>
      </c>
      <c r="H290" s="12" t="s">
        <v>1097</v>
      </c>
    </row>
    <row r="291">
      <c r="A291" s="4">
        <v>291.0</v>
      </c>
      <c r="B291" s="10" t="s">
        <v>1098</v>
      </c>
      <c r="C291" s="12" t="s">
        <v>1099</v>
      </c>
      <c r="D291" s="12"/>
      <c r="E291" s="11" t="s">
        <v>1100</v>
      </c>
      <c r="H291" s="12" t="s">
        <v>1101</v>
      </c>
    </row>
    <row r="292">
      <c r="A292" s="4">
        <v>292.0</v>
      </c>
      <c r="B292" s="10" t="s">
        <v>1102</v>
      </c>
      <c r="C292" s="12" t="s">
        <v>1102</v>
      </c>
      <c r="D292" s="12"/>
      <c r="E292" s="11" t="s">
        <v>1103</v>
      </c>
      <c r="H292" s="12" t="s">
        <v>1104</v>
      </c>
    </row>
    <row r="293">
      <c r="A293" s="4">
        <v>293.0</v>
      </c>
      <c r="B293" s="10" t="s">
        <v>1105</v>
      </c>
      <c r="C293" s="12" t="s">
        <v>1106</v>
      </c>
      <c r="D293" s="12"/>
      <c r="E293" s="11" t="s">
        <v>1107</v>
      </c>
      <c r="H293" s="12" t="s">
        <v>1108</v>
      </c>
    </row>
    <row r="294">
      <c r="A294" s="4">
        <v>294.0</v>
      </c>
      <c r="B294" s="10" t="s">
        <v>1109</v>
      </c>
      <c r="C294" s="12" t="s">
        <v>1110</v>
      </c>
      <c r="D294" s="12"/>
      <c r="E294" s="11" t="s">
        <v>1111</v>
      </c>
      <c r="H294" s="12" t="s">
        <v>1112</v>
      </c>
    </row>
    <row r="295">
      <c r="A295" s="4">
        <v>295.0</v>
      </c>
      <c r="B295" s="10" t="s">
        <v>938</v>
      </c>
      <c r="C295" s="12" t="s">
        <v>939</v>
      </c>
      <c r="D295" s="12"/>
      <c r="E295" s="11" t="s">
        <v>1113</v>
      </c>
      <c r="H295" s="12" t="s">
        <v>1114</v>
      </c>
    </row>
    <row r="296">
      <c r="A296" s="4">
        <v>296.0</v>
      </c>
      <c r="B296" s="10" t="s">
        <v>1115</v>
      </c>
      <c r="C296" s="12" t="s">
        <v>1115</v>
      </c>
      <c r="D296" s="12"/>
      <c r="E296" s="11" t="s">
        <v>1116</v>
      </c>
      <c r="H296" s="12" t="s">
        <v>1117</v>
      </c>
    </row>
    <row r="297">
      <c r="A297" s="4">
        <v>297.0</v>
      </c>
      <c r="B297" s="10" t="s">
        <v>1118</v>
      </c>
      <c r="C297" s="12" t="s">
        <v>1119</v>
      </c>
      <c r="D297" s="12"/>
      <c r="E297" s="11" t="s">
        <v>1120</v>
      </c>
      <c r="H297" s="12" t="s">
        <v>1121</v>
      </c>
    </row>
    <row r="298">
      <c r="A298" s="4">
        <v>298.0</v>
      </c>
      <c r="B298" s="10" t="s">
        <v>1122</v>
      </c>
      <c r="C298" s="12" t="s">
        <v>1123</v>
      </c>
      <c r="D298" s="12"/>
      <c r="E298" s="11" t="s">
        <v>1124</v>
      </c>
      <c r="H298" s="12" t="s">
        <v>1125</v>
      </c>
    </row>
    <row r="299">
      <c r="A299" s="4">
        <v>299.0</v>
      </c>
      <c r="B299" s="10" t="s">
        <v>1126</v>
      </c>
      <c r="C299" s="12" t="s">
        <v>1127</v>
      </c>
      <c r="D299" s="12"/>
      <c r="E299" s="11" t="s">
        <v>1128</v>
      </c>
      <c r="H299" s="12" t="s">
        <v>1129</v>
      </c>
    </row>
    <row r="300">
      <c r="A300" s="4">
        <v>300.0</v>
      </c>
      <c r="B300" s="10" t="s">
        <v>1130</v>
      </c>
      <c r="C300" s="12" t="s">
        <v>1131</v>
      </c>
      <c r="D300" s="12"/>
      <c r="E300" s="11" t="s">
        <v>1132</v>
      </c>
      <c r="H300" s="12" t="s">
        <v>1133</v>
      </c>
    </row>
    <row r="301">
      <c r="A301" s="4">
        <v>301.0</v>
      </c>
      <c r="B301" s="10" t="s">
        <v>1134</v>
      </c>
      <c r="C301" s="12" t="s">
        <v>1135</v>
      </c>
      <c r="D301" s="12"/>
      <c r="E301" s="11" t="s">
        <v>1136</v>
      </c>
      <c r="H301" s="12" t="s">
        <v>1137</v>
      </c>
    </row>
    <row r="302">
      <c r="A302" s="4">
        <v>302.0</v>
      </c>
      <c r="B302" s="10" t="s">
        <v>1138</v>
      </c>
      <c r="C302" s="12" t="s">
        <v>1139</v>
      </c>
      <c r="D302" s="12"/>
      <c r="E302" s="11" t="s">
        <v>1140</v>
      </c>
      <c r="H302" s="12" t="s">
        <v>1141</v>
      </c>
    </row>
    <row r="303">
      <c r="A303" s="4">
        <v>303.0</v>
      </c>
      <c r="B303" s="10" t="s">
        <v>1142</v>
      </c>
      <c r="C303" s="12" t="s">
        <v>1143</v>
      </c>
      <c r="D303" s="12"/>
      <c r="E303" s="11" t="s">
        <v>1144</v>
      </c>
      <c r="H303" s="12" t="s">
        <v>1145</v>
      </c>
    </row>
    <row r="304">
      <c r="A304" s="4">
        <v>304.0</v>
      </c>
      <c r="B304" s="10" t="s">
        <v>1146</v>
      </c>
      <c r="C304" s="12" t="s">
        <v>1147</v>
      </c>
      <c r="D304" s="12"/>
      <c r="E304" s="11" t="s">
        <v>1148</v>
      </c>
      <c r="H304" s="12" t="s">
        <v>1149</v>
      </c>
    </row>
    <row r="305">
      <c r="A305" s="4">
        <v>305.0</v>
      </c>
      <c r="B305" s="10" t="s">
        <v>1150</v>
      </c>
      <c r="C305" s="12" t="s">
        <v>1151</v>
      </c>
      <c r="D305" s="12"/>
      <c r="E305" s="11" t="s">
        <v>1152</v>
      </c>
      <c r="H305" s="12" t="s">
        <v>1153</v>
      </c>
    </row>
    <row r="306">
      <c r="A306" s="4">
        <v>306.0</v>
      </c>
      <c r="B306" s="10" t="s">
        <v>1154</v>
      </c>
      <c r="C306" s="12" t="s">
        <v>1154</v>
      </c>
      <c r="D306" s="12"/>
      <c r="E306" s="11" t="s">
        <v>1155</v>
      </c>
      <c r="H306" s="12" t="s">
        <v>1156</v>
      </c>
    </row>
    <row r="307">
      <c r="A307" s="4">
        <v>307.0</v>
      </c>
      <c r="B307" s="10" t="s">
        <v>1157</v>
      </c>
      <c r="C307" s="12" t="s">
        <v>1158</v>
      </c>
      <c r="D307" s="12"/>
      <c r="E307" s="11" t="s">
        <v>1159</v>
      </c>
      <c r="H307" s="12" t="s">
        <v>1160</v>
      </c>
    </row>
    <row r="308">
      <c r="A308" s="4">
        <v>308.0</v>
      </c>
      <c r="B308" s="10" t="s">
        <v>1161</v>
      </c>
      <c r="C308" s="12" t="s">
        <v>1161</v>
      </c>
      <c r="D308" s="12"/>
      <c r="E308" s="11" t="s">
        <v>1162</v>
      </c>
      <c r="H308" s="12" t="s">
        <v>1163</v>
      </c>
    </row>
    <row r="309">
      <c r="A309" s="4">
        <v>309.0</v>
      </c>
      <c r="B309" s="10" t="s">
        <v>1164</v>
      </c>
      <c r="C309" s="12" t="s">
        <v>1165</v>
      </c>
      <c r="D309" s="12"/>
      <c r="E309" s="11" t="s">
        <v>1166</v>
      </c>
      <c r="H309" s="12" t="s">
        <v>1167</v>
      </c>
    </row>
    <row r="310">
      <c r="A310" s="4">
        <v>310.0</v>
      </c>
      <c r="B310" s="10" t="s">
        <v>1168</v>
      </c>
      <c r="C310" s="12" t="s">
        <v>1169</v>
      </c>
      <c r="D310" s="12"/>
      <c r="E310" s="11" t="s">
        <v>1170</v>
      </c>
      <c r="H310" s="12" t="s">
        <v>1171</v>
      </c>
    </row>
    <row r="311">
      <c r="A311" s="4">
        <v>311.0</v>
      </c>
      <c r="B311" s="10" t="s">
        <v>1172</v>
      </c>
      <c r="C311" s="12" t="s">
        <v>1173</v>
      </c>
      <c r="D311" s="12"/>
      <c r="E311" s="11" t="s">
        <v>1174</v>
      </c>
      <c r="H311" s="12" t="s">
        <v>1175</v>
      </c>
    </row>
    <row r="312">
      <c r="A312" s="4">
        <v>312.0</v>
      </c>
      <c r="B312" s="10" t="s">
        <v>1176</v>
      </c>
      <c r="C312" s="12" t="s">
        <v>1176</v>
      </c>
      <c r="D312" s="12"/>
      <c r="E312" s="11" t="s">
        <v>1177</v>
      </c>
      <c r="H312" s="12" t="s">
        <v>1178</v>
      </c>
    </row>
    <row r="313">
      <c r="A313" s="4">
        <v>313.0</v>
      </c>
      <c r="B313" s="10" t="s">
        <v>1179</v>
      </c>
      <c r="C313" s="12" t="s">
        <v>1180</v>
      </c>
      <c r="D313" s="12"/>
      <c r="E313" s="11" t="s">
        <v>1181</v>
      </c>
      <c r="H313" s="12" t="s">
        <v>1182</v>
      </c>
    </row>
    <row r="314">
      <c r="A314" s="4">
        <v>314.0</v>
      </c>
      <c r="B314" s="10" t="s">
        <v>1183</v>
      </c>
      <c r="C314" s="12" t="s">
        <v>1184</v>
      </c>
      <c r="D314" s="12"/>
      <c r="E314" s="11" t="s">
        <v>1185</v>
      </c>
      <c r="H314" s="12" t="s">
        <v>1186</v>
      </c>
    </row>
    <row r="315">
      <c r="A315" s="4">
        <v>315.0</v>
      </c>
      <c r="B315" s="10" t="s">
        <v>1187</v>
      </c>
      <c r="C315" s="12" t="s">
        <v>1188</v>
      </c>
      <c r="D315" s="12"/>
      <c r="E315" s="11" t="s">
        <v>1189</v>
      </c>
      <c r="H315" s="12" t="s">
        <v>1190</v>
      </c>
    </row>
    <row r="316">
      <c r="A316" s="4">
        <v>316.0</v>
      </c>
      <c r="B316" s="10" t="s">
        <v>1191</v>
      </c>
      <c r="C316" s="12" t="s">
        <v>1191</v>
      </c>
      <c r="D316" s="12"/>
      <c r="E316" s="11" t="s">
        <v>1192</v>
      </c>
      <c r="H316" s="12" t="s">
        <v>1193</v>
      </c>
    </row>
    <row r="317">
      <c r="A317" s="4">
        <v>317.0</v>
      </c>
      <c r="B317" s="10" t="s">
        <v>1194</v>
      </c>
      <c r="C317" s="12" t="s">
        <v>1195</v>
      </c>
      <c r="D317" s="12"/>
      <c r="E317" s="11" t="s">
        <v>1196</v>
      </c>
      <c r="H317" s="12" t="s">
        <v>1197</v>
      </c>
    </row>
    <row r="318">
      <c r="A318" s="4">
        <v>318.0</v>
      </c>
      <c r="B318" s="10" t="s">
        <v>1198</v>
      </c>
      <c r="C318" s="12" t="s">
        <v>1199</v>
      </c>
      <c r="D318" s="12"/>
      <c r="E318" s="11" t="s">
        <v>1200</v>
      </c>
      <c r="H318" s="12" t="s">
        <v>1201</v>
      </c>
    </row>
    <row r="319">
      <c r="A319" s="4">
        <v>319.0</v>
      </c>
      <c r="B319" s="10" t="s">
        <v>1202</v>
      </c>
      <c r="C319" s="12" t="s">
        <v>1202</v>
      </c>
      <c r="D319" s="12"/>
      <c r="E319" s="11" t="s">
        <v>1203</v>
      </c>
      <c r="H319" s="12" t="s">
        <v>1204</v>
      </c>
    </row>
    <row r="320">
      <c r="A320" s="4">
        <v>320.0</v>
      </c>
      <c r="B320" s="10" t="s">
        <v>1205</v>
      </c>
      <c r="C320" s="12" t="s">
        <v>1206</v>
      </c>
      <c r="D320" s="12"/>
      <c r="E320" s="11" t="s">
        <v>1207</v>
      </c>
      <c r="H320" s="12" t="s">
        <v>1208</v>
      </c>
    </row>
    <row r="321">
      <c r="A321" s="4">
        <v>321.0</v>
      </c>
      <c r="B321" s="10" t="s">
        <v>1209</v>
      </c>
      <c r="C321" s="12" t="s">
        <v>1210</v>
      </c>
      <c r="D321" s="12"/>
      <c r="E321" s="11" t="s">
        <v>1211</v>
      </c>
      <c r="H321" s="12" t="s">
        <v>1212</v>
      </c>
    </row>
    <row r="322">
      <c r="A322" s="4">
        <v>322.0</v>
      </c>
      <c r="B322" s="10" t="s">
        <v>1213</v>
      </c>
      <c r="C322" s="12" t="s">
        <v>1213</v>
      </c>
      <c r="D322" s="12"/>
      <c r="E322" s="11" t="s">
        <v>1214</v>
      </c>
      <c r="H322" s="12" t="s">
        <v>1215</v>
      </c>
    </row>
    <row r="323">
      <c r="A323" s="4">
        <v>323.0</v>
      </c>
      <c r="B323" s="10" t="s">
        <v>1216</v>
      </c>
      <c r="C323" s="11" t="s">
        <v>1217</v>
      </c>
      <c r="D323" s="12"/>
      <c r="E323" s="11" t="s">
        <v>1218</v>
      </c>
      <c r="H323" s="12" t="s">
        <v>1219</v>
      </c>
    </row>
    <row r="324">
      <c r="A324" s="4">
        <v>324.0</v>
      </c>
      <c r="B324" s="10" t="s">
        <v>1220</v>
      </c>
      <c r="C324" s="12" t="s">
        <v>1220</v>
      </c>
      <c r="D324" s="12"/>
      <c r="E324" s="11" t="s">
        <v>1221</v>
      </c>
      <c r="H324" s="12" t="s">
        <v>1222</v>
      </c>
    </row>
    <row r="325">
      <c r="A325" s="4">
        <v>325.0</v>
      </c>
      <c r="B325" s="10" t="s">
        <v>1223</v>
      </c>
      <c r="C325" s="12" t="s">
        <v>1224</v>
      </c>
      <c r="D325" s="12"/>
      <c r="E325" s="11" t="s">
        <v>1225</v>
      </c>
      <c r="H325" s="12" t="s">
        <v>1226</v>
      </c>
    </row>
    <row r="326">
      <c r="A326" s="4">
        <v>326.0</v>
      </c>
      <c r="B326" s="10" t="s">
        <v>1227</v>
      </c>
      <c r="C326" s="12" t="s">
        <v>1227</v>
      </c>
      <c r="D326" s="12"/>
      <c r="E326" s="11" t="s">
        <v>1228</v>
      </c>
      <c r="H326" s="12" t="s">
        <v>1229</v>
      </c>
    </row>
    <row r="327">
      <c r="A327" s="4">
        <v>327.0</v>
      </c>
      <c r="B327" s="10" t="s">
        <v>1230</v>
      </c>
      <c r="C327" s="12" t="s">
        <v>1231</v>
      </c>
      <c r="D327" s="12"/>
      <c r="E327" s="11" t="s">
        <v>1232</v>
      </c>
      <c r="H327" s="12" t="s">
        <v>1233</v>
      </c>
    </row>
    <row r="328">
      <c r="A328" s="4">
        <v>328.0</v>
      </c>
      <c r="B328" s="10" t="s">
        <v>1234</v>
      </c>
      <c r="C328" s="12" t="s">
        <v>1235</v>
      </c>
      <c r="D328" s="12"/>
      <c r="E328" s="11" t="s">
        <v>1236</v>
      </c>
      <c r="H328" s="12" t="s">
        <v>1237</v>
      </c>
    </row>
    <row r="329">
      <c r="A329" s="4">
        <v>329.0</v>
      </c>
      <c r="B329" s="10" t="s">
        <v>1238</v>
      </c>
      <c r="C329" s="12" t="s">
        <v>1239</v>
      </c>
      <c r="D329" s="12"/>
      <c r="E329" s="12" t="s">
        <v>1240</v>
      </c>
      <c r="H329" s="12" t="s">
        <v>1241</v>
      </c>
    </row>
    <row r="330">
      <c r="A330" s="4">
        <v>330.0</v>
      </c>
      <c r="B330" s="10" t="s">
        <v>1242</v>
      </c>
      <c r="C330" s="12" t="s">
        <v>1243</v>
      </c>
      <c r="D330" s="12"/>
      <c r="E330" s="11" t="s">
        <v>1244</v>
      </c>
      <c r="H330" s="12" t="s">
        <v>1245</v>
      </c>
    </row>
    <row r="331">
      <c r="A331" s="4">
        <v>331.0</v>
      </c>
      <c r="B331" s="10" t="s">
        <v>1246</v>
      </c>
      <c r="C331" s="12" t="s">
        <v>1247</v>
      </c>
      <c r="D331" s="12"/>
      <c r="E331" s="11" t="s">
        <v>1248</v>
      </c>
      <c r="H331" s="12" t="s">
        <v>1249</v>
      </c>
    </row>
    <row r="332">
      <c r="A332" s="4">
        <v>332.0</v>
      </c>
      <c r="B332" s="10" t="s">
        <v>1250</v>
      </c>
      <c r="C332" s="12" t="s">
        <v>1250</v>
      </c>
      <c r="D332" s="12"/>
      <c r="E332" s="11" t="s">
        <v>1251</v>
      </c>
      <c r="H332" s="12" t="s">
        <v>1252</v>
      </c>
    </row>
    <row r="333">
      <c r="A333" s="4">
        <v>333.0</v>
      </c>
      <c r="B333" s="10" t="s">
        <v>1253</v>
      </c>
      <c r="C333" s="12" t="s">
        <v>1254</v>
      </c>
      <c r="D333" s="12"/>
      <c r="E333" s="11" t="s">
        <v>1255</v>
      </c>
      <c r="H333" s="12" t="s">
        <v>1256</v>
      </c>
    </row>
    <row r="334">
      <c r="A334" s="4">
        <v>334.0</v>
      </c>
      <c r="B334" s="10" t="s">
        <v>1257</v>
      </c>
      <c r="C334" s="12" t="s">
        <v>1258</v>
      </c>
      <c r="D334" s="12"/>
      <c r="E334" s="11" t="s">
        <v>1259</v>
      </c>
      <c r="H334" s="12" t="s">
        <v>1260</v>
      </c>
    </row>
    <row r="335">
      <c r="A335" s="4">
        <v>335.0</v>
      </c>
      <c r="B335" s="10" t="s">
        <v>1261</v>
      </c>
      <c r="C335" s="12" t="s">
        <v>1262</v>
      </c>
      <c r="D335" s="12"/>
      <c r="E335" s="11" t="s">
        <v>1263</v>
      </c>
      <c r="H335" s="12" t="s">
        <v>1264</v>
      </c>
    </row>
    <row r="336">
      <c r="A336" s="4">
        <v>336.0</v>
      </c>
      <c r="B336" s="10" t="s">
        <v>1265</v>
      </c>
      <c r="C336" s="12" t="s">
        <v>1266</v>
      </c>
      <c r="D336" s="12"/>
      <c r="E336" s="11" t="s">
        <v>1267</v>
      </c>
      <c r="H336" s="12" t="s">
        <v>1268</v>
      </c>
    </row>
    <row r="337">
      <c r="A337" s="4">
        <v>337.0</v>
      </c>
      <c r="B337" s="10" t="s">
        <v>1269</v>
      </c>
      <c r="C337" s="12" t="s">
        <v>1270</v>
      </c>
      <c r="D337" s="12"/>
      <c r="E337" s="11" t="s">
        <v>1271</v>
      </c>
      <c r="H337" s="12" t="s">
        <v>1272</v>
      </c>
    </row>
    <row r="338">
      <c r="A338" s="4">
        <v>338.0</v>
      </c>
      <c r="B338" s="10" t="s">
        <v>1273</v>
      </c>
      <c r="C338" s="12" t="s">
        <v>1274</v>
      </c>
      <c r="D338" s="12"/>
      <c r="E338" s="11" t="s">
        <v>1275</v>
      </c>
      <c r="H338" s="12" t="s">
        <v>1276</v>
      </c>
    </row>
    <row r="339">
      <c r="A339" s="4">
        <v>339.0</v>
      </c>
      <c r="B339" s="10" t="s">
        <v>1277</v>
      </c>
      <c r="C339" s="12" t="s">
        <v>1278</v>
      </c>
      <c r="D339" s="12"/>
      <c r="E339" s="11" t="s">
        <v>1279</v>
      </c>
      <c r="H339" s="12" t="s">
        <v>1280</v>
      </c>
    </row>
    <row r="340">
      <c r="A340" s="4">
        <v>340.0</v>
      </c>
      <c r="B340" s="10" t="s">
        <v>1281</v>
      </c>
      <c r="C340" s="12" t="s">
        <v>1282</v>
      </c>
      <c r="D340" s="12"/>
      <c r="E340" s="11" t="s">
        <v>1283</v>
      </c>
      <c r="H340" s="12" t="s">
        <v>1284</v>
      </c>
    </row>
    <row r="341">
      <c r="A341" s="4">
        <v>341.0</v>
      </c>
      <c r="B341" s="10" t="s">
        <v>1285</v>
      </c>
      <c r="C341" s="12" t="s">
        <v>1286</v>
      </c>
      <c r="D341" s="12"/>
      <c r="E341" s="11" t="s">
        <v>1287</v>
      </c>
      <c r="H341" s="12" t="s">
        <v>1288</v>
      </c>
    </row>
    <row r="342">
      <c r="A342" s="4">
        <v>342.0</v>
      </c>
      <c r="B342" s="10" t="s">
        <v>1289</v>
      </c>
      <c r="C342" s="12" t="s">
        <v>1290</v>
      </c>
      <c r="D342" s="12"/>
      <c r="E342" s="11" t="s">
        <v>1291</v>
      </c>
      <c r="H342" s="12" t="s">
        <v>1292</v>
      </c>
    </row>
    <row r="343">
      <c r="A343" s="4">
        <v>343.0</v>
      </c>
      <c r="B343" s="10" t="s">
        <v>1293</v>
      </c>
      <c r="C343" s="12" t="s">
        <v>1293</v>
      </c>
      <c r="D343" s="12"/>
      <c r="E343" s="11" t="s">
        <v>1294</v>
      </c>
      <c r="H343" s="12" t="s">
        <v>1295</v>
      </c>
    </row>
    <row r="344">
      <c r="A344" s="4">
        <v>344.0</v>
      </c>
      <c r="B344" s="10" t="s">
        <v>1296</v>
      </c>
      <c r="C344" s="12" t="s">
        <v>1297</v>
      </c>
      <c r="D344" s="12"/>
      <c r="E344" s="11" t="s">
        <v>1298</v>
      </c>
      <c r="H344" s="12" t="s">
        <v>1299</v>
      </c>
    </row>
    <row r="345">
      <c r="A345" s="4">
        <v>345.0</v>
      </c>
      <c r="B345" s="10" t="s">
        <v>1296</v>
      </c>
      <c r="C345" s="12" t="s">
        <v>1297</v>
      </c>
      <c r="D345" s="12"/>
      <c r="E345" s="11" t="s">
        <v>1298</v>
      </c>
      <c r="H345" s="12" t="s">
        <v>1300</v>
      </c>
    </row>
    <row r="346">
      <c r="A346" s="4">
        <v>346.0</v>
      </c>
      <c r="B346" s="10" t="s">
        <v>1301</v>
      </c>
      <c r="C346" s="12" t="s">
        <v>1302</v>
      </c>
      <c r="D346" s="12"/>
      <c r="E346" s="11" t="s">
        <v>1303</v>
      </c>
      <c r="H346" s="12" t="s">
        <v>1304</v>
      </c>
    </row>
    <row r="347">
      <c r="A347" s="4">
        <v>347.0</v>
      </c>
      <c r="B347" s="10" t="s">
        <v>1305</v>
      </c>
      <c r="C347" s="12" t="s">
        <v>1306</v>
      </c>
      <c r="D347" s="12"/>
      <c r="E347" s="11" t="s">
        <v>1307</v>
      </c>
      <c r="H347" s="12" t="s">
        <v>1308</v>
      </c>
    </row>
    <row r="348">
      <c r="A348" s="4">
        <v>348.0</v>
      </c>
      <c r="B348" s="10" t="s">
        <v>1309</v>
      </c>
      <c r="C348" s="12" t="s">
        <v>1310</v>
      </c>
      <c r="D348" s="12"/>
      <c r="E348" s="11" t="s">
        <v>1311</v>
      </c>
      <c r="H348" s="12" t="s">
        <v>1312</v>
      </c>
    </row>
    <row r="349">
      <c r="A349" s="4">
        <v>349.0</v>
      </c>
      <c r="B349" s="10" t="s">
        <v>1313</v>
      </c>
      <c r="C349" s="12" t="s">
        <v>1314</v>
      </c>
      <c r="D349" s="12"/>
      <c r="E349" s="11" t="s">
        <v>1315</v>
      </c>
      <c r="H349" s="12" t="s">
        <v>1316</v>
      </c>
    </row>
    <row r="350">
      <c r="A350" s="4">
        <v>350.0</v>
      </c>
      <c r="B350" s="10" t="s">
        <v>1317</v>
      </c>
      <c r="C350" s="12" t="s">
        <v>1318</v>
      </c>
      <c r="D350" s="12"/>
      <c r="E350" s="14" t="s">
        <v>1319</v>
      </c>
      <c r="H350" s="12" t="s">
        <v>1320</v>
      </c>
    </row>
    <row r="351">
      <c r="A351" s="4">
        <v>351.0</v>
      </c>
      <c r="B351" s="10" t="s">
        <v>1321</v>
      </c>
      <c r="C351" s="12" t="s">
        <v>1322</v>
      </c>
      <c r="D351" s="12"/>
      <c r="E351" s="14" t="s">
        <v>1323</v>
      </c>
      <c r="H351" s="12" t="s">
        <v>1324</v>
      </c>
    </row>
    <row r="352">
      <c r="A352" s="4">
        <v>352.0</v>
      </c>
      <c r="B352" s="10" t="s">
        <v>1325</v>
      </c>
      <c r="C352" s="12" t="s">
        <v>1326</v>
      </c>
      <c r="D352" s="12"/>
      <c r="E352" s="14" t="s">
        <v>1327</v>
      </c>
      <c r="H352" s="12" t="s">
        <v>1328</v>
      </c>
    </row>
    <row r="353">
      <c r="A353" s="4">
        <v>353.0</v>
      </c>
      <c r="B353" s="10" t="s">
        <v>1329</v>
      </c>
      <c r="C353" s="12" t="s">
        <v>1330</v>
      </c>
      <c r="D353" s="12"/>
      <c r="E353" s="14" t="s">
        <v>1331</v>
      </c>
      <c r="H353" s="12" t="s">
        <v>1332</v>
      </c>
    </row>
    <row r="354">
      <c r="A354" s="4">
        <v>354.0</v>
      </c>
      <c r="B354" s="10" t="s">
        <v>1329</v>
      </c>
      <c r="C354" s="12" t="s">
        <v>1330</v>
      </c>
      <c r="D354" s="12"/>
      <c r="E354" s="14" t="s">
        <v>1333</v>
      </c>
      <c r="H354" s="12" t="s">
        <v>1334</v>
      </c>
    </row>
    <row r="355">
      <c r="A355" s="4">
        <v>355.0</v>
      </c>
      <c r="B355" s="10" t="s">
        <v>1335</v>
      </c>
      <c r="C355" s="12" t="s">
        <v>1336</v>
      </c>
      <c r="D355" s="12"/>
      <c r="E355" s="14" t="s">
        <v>1337</v>
      </c>
      <c r="H355" s="12" t="s">
        <v>1338</v>
      </c>
    </row>
    <row r="356">
      <c r="A356" s="4">
        <v>356.0</v>
      </c>
      <c r="B356" s="10" t="s">
        <v>1339</v>
      </c>
      <c r="C356" s="12" t="s">
        <v>1340</v>
      </c>
      <c r="D356" s="12"/>
      <c r="E356" s="11" t="s">
        <v>1341</v>
      </c>
      <c r="H356" s="12" t="s">
        <v>1342</v>
      </c>
    </row>
    <row r="357">
      <c r="A357" s="4">
        <v>357.0</v>
      </c>
      <c r="B357" s="10" t="s">
        <v>1343</v>
      </c>
      <c r="C357" s="12" t="s">
        <v>1344</v>
      </c>
      <c r="D357" s="12"/>
      <c r="E357" s="14" t="s">
        <v>1345</v>
      </c>
      <c r="H357" s="12" t="s">
        <v>1346</v>
      </c>
    </row>
    <row r="358">
      <c r="A358" s="4">
        <v>358.0</v>
      </c>
      <c r="B358" s="10" t="s">
        <v>1347</v>
      </c>
      <c r="C358" s="12" t="s">
        <v>1348</v>
      </c>
      <c r="D358" s="12"/>
      <c r="E358" s="14" t="s">
        <v>1349</v>
      </c>
      <c r="H358" s="12" t="s">
        <v>1350</v>
      </c>
    </row>
    <row r="359">
      <c r="A359" s="4">
        <v>359.0</v>
      </c>
      <c r="B359" s="10" t="s">
        <v>1351</v>
      </c>
      <c r="C359" s="12" t="s">
        <v>1352</v>
      </c>
      <c r="D359" s="12"/>
      <c r="E359" s="11" t="s">
        <v>1353</v>
      </c>
      <c r="H359" s="12" t="s">
        <v>1354</v>
      </c>
    </row>
    <row r="360">
      <c r="A360" s="4">
        <v>360.0</v>
      </c>
      <c r="B360" s="10" t="s">
        <v>1355</v>
      </c>
      <c r="C360" s="12" t="s">
        <v>1356</v>
      </c>
      <c r="D360" s="12"/>
      <c r="E360" s="14" t="s">
        <v>1357</v>
      </c>
      <c r="H360" s="12" t="s">
        <v>1358</v>
      </c>
    </row>
    <row r="361">
      <c r="A361" s="4">
        <v>361.0</v>
      </c>
      <c r="B361" s="10" t="s">
        <v>1359</v>
      </c>
      <c r="C361" s="12" t="s">
        <v>1360</v>
      </c>
      <c r="D361" s="12"/>
      <c r="E361" s="11" t="s">
        <v>1361</v>
      </c>
      <c r="H361" s="12" t="s">
        <v>1362</v>
      </c>
    </row>
    <row r="362">
      <c r="A362" s="4">
        <v>362.0</v>
      </c>
      <c r="B362" s="10" t="s">
        <v>1363</v>
      </c>
      <c r="C362" s="12" t="s">
        <v>1364</v>
      </c>
      <c r="D362" s="12"/>
      <c r="E362" s="11" t="s">
        <v>1365</v>
      </c>
      <c r="H362" s="12" t="s">
        <v>1366</v>
      </c>
    </row>
    <row r="363">
      <c r="A363" s="4">
        <v>363.0</v>
      </c>
      <c r="B363" s="10" t="s">
        <v>1367</v>
      </c>
      <c r="C363" s="12" t="s">
        <v>1367</v>
      </c>
      <c r="D363" s="12"/>
      <c r="E363" s="14" t="s">
        <v>1368</v>
      </c>
      <c r="H363" s="12" t="s">
        <v>1369</v>
      </c>
    </row>
    <row r="364">
      <c r="A364" s="4">
        <v>364.0</v>
      </c>
      <c r="B364" s="10" t="s">
        <v>1370</v>
      </c>
      <c r="C364" s="12" t="s">
        <v>1371</v>
      </c>
      <c r="D364" s="12"/>
      <c r="E364" s="11" t="s">
        <v>1372</v>
      </c>
      <c r="H364" s="12" t="s">
        <v>1373</v>
      </c>
    </row>
    <row r="365">
      <c r="A365" s="4">
        <v>365.0</v>
      </c>
      <c r="B365" s="10" t="s">
        <v>1374</v>
      </c>
      <c r="C365" s="12" t="s">
        <v>1375</v>
      </c>
      <c r="D365" s="12"/>
      <c r="E365" s="14" t="s">
        <v>1376</v>
      </c>
      <c r="H365" s="12" t="s">
        <v>1377</v>
      </c>
    </row>
    <row r="366">
      <c r="A366" s="4">
        <v>366.0</v>
      </c>
      <c r="B366" s="10" t="s">
        <v>1378</v>
      </c>
      <c r="C366" s="12" t="s">
        <v>1379</v>
      </c>
      <c r="D366" s="12"/>
      <c r="E366" s="14" t="s">
        <v>1380</v>
      </c>
      <c r="H366" s="12" t="s">
        <v>1381</v>
      </c>
    </row>
    <row r="367">
      <c r="A367" s="4">
        <v>367.0</v>
      </c>
      <c r="B367" s="10" t="s">
        <v>1382</v>
      </c>
      <c r="C367" s="12" t="s">
        <v>1382</v>
      </c>
      <c r="D367" s="12"/>
      <c r="E367" s="11" t="s">
        <v>1383</v>
      </c>
      <c r="H367" s="12" t="s">
        <v>1384</v>
      </c>
    </row>
    <row r="368">
      <c r="A368" s="4">
        <v>368.0</v>
      </c>
      <c r="B368" s="10" t="s">
        <v>1385</v>
      </c>
      <c r="C368" s="12" t="s">
        <v>1386</v>
      </c>
      <c r="D368" s="12"/>
      <c r="E368" s="11" t="s">
        <v>1387</v>
      </c>
      <c r="H368" s="12" t="s">
        <v>1388</v>
      </c>
    </row>
    <row r="369">
      <c r="A369" s="4">
        <v>369.0</v>
      </c>
      <c r="B369" s="10" t="s">
        <v>1389</v>
      </c>
      <c r="C369" s="12" t="s">
        <v>1389</v>
      </c>
      <c r="D369" s="12"/>
      <c r="E369" s="11" t="s">
        <v>1390</v>
      </c>
      <c r="H369" s="12" t="s">
        <v>1391</v>
      </c>
    </row>
    <row r="370">
      <c r="A370" s="4">
        <v>370.0</v>
      </c>
      <c r="B370" s="10" t="s">
        <v>1392</v>
      </c>
      <c r="C370" s="12" t="s">
        <v>1392</v>
      </c>
      <c r="D370" s="12"/>
      <c r="E370" s="11" t="s">
        <v>1393</v>
      </c>
      <c r="H370" s="12" t="s">
        <v>1394</v>
      </c>
    </row>
    <row r="371">
      <c r="A371" s="4">
        <v>371.0</v>
      </c>
      <c r="B371" s="10" t="s">
        <v>1395</v>
      </c>
      <c r="C371" s="12" t="s">
        <v>1396</v>
      </c>
      <c r="D371" s="12"/>
      <c r="E371" s="14" t="s">
        <v>1397</v>
      </c>
      <c r="H371" s="12" t="s">
        <v>1398</v>
      </c>
    </row>
    <row r="372">
      <c r="A372" s="4">
        <v>372.0</v>
      </c>
      <c r="B372" s="10" t="s">
        <v>1399</v>
      </c>
      <c r="C372" s="12" t="s">
        <v>1400</v>
      </c>
      <c r="D372" s="12"/>
      <c r="E372" s="11" t="s">
        <v>1401</v>
      </c>
      <c r="H372" s="12" t="s">
        <v>1402</v>
      </c>
    </row>
    <row r="373">
      <c r="A373" s="4">
        <v>373.0</v>
      </c>
      <c r="B373" s="10" t="s">
        <v>1399</v>
      </c>
      <c r="C373" s="12" t="s">
        <v>1400</v>
      </c>
      <c r="D373" s="12"/>
      <c r="E373" s="11" t="s">
        <v>1401</v>
      </c>
      <c r="H373" s="12" t="s">
        <v>1402</v>
      </c>
    </row>
    <row r="374">
      <c r="A374" s="4">
        <v>374.0</v>
      </c>
      <c r="B374" s="10" t="s">
        <v>1403</v>
      </c>
      <c r="C374" s="12" t="s">
        <v>1404</v>
      </c>
      <c r="D374" s="12"/>
      <c r="E374" s="11" t="s">
        <v>1405</v>
      </c>
      <c r="H374" s="12" t="s">
        <v>1406</v>
      </c>
    </row>
    <row r="375">
      <c r="A375" s="4">
        <v>375.0</v>
      </c>
      <c r="B375" s="10" t="s">
        <v>1407</v>
      </c>
      <c r="C375" s="12" t="s">
        <v>1408</v>
      </c>
      <c r="D375" s="12"/>
      <c r="E375" s="11" t="s">
        <v>1409</v>
      </c>
      <c r="H375" s="12" t="s">
        <v>1410</v>
      </c>
    </row>
    <row r="376">
      <c r="A376" s="4">
        <v>376.0</v>
      </c>
      <c r="B376" s="10" t="s">
        <v>1411</v>
      </c>
      <c r="C376" s="12" t="s">
        <v>1412</v>
      </c>
      <c r="D376" s="12"/>
      <c r="E376" s="11" t="s">
        <v>1413</v>
      </c>
      <c r="H376" s="12" t="s">
        <v>1414</v>
      </c>
    </row>
    <row r="377">
      <c r="A377" s="4">
        <v>377.0</v>
      </c>
      <c r="B377" s="10" t="s">
        <v>1415</v>
      </c>
      <c r="C377" s="12" t="s">
        <v>1415</v>
      </c>
      <c r="D377" s="12"/>
      <c r="E377" s="11" t="s">
        <v>1416</v>
      </c>
      <c r="H377" s="12" t="s">
        <v>1417</v>
      </c>
    </row>
    <row r="378">
      <c r="A378" s="4">
        <v>378.0</v>
      </c>
      <c r="B378" s="10" t="s">
        <v>1418</v>
      </c>
      <c r="C378" s="12" t="s">
        <v>1418</v>
      </c>
      <c r="D378" s="12"/>
      <c r="E378" s="14" t="s">
        <v>1419</v>
      </c>
      <c r="H378" s="12" t="s">
        <v>1420</v>
      </c>
    </row>
    <row r="379">
      <c r="A379" s="4">
        <v>379.0</v>
      </c>
      <c r="B379" s="10" t="s">
        <v>1421</v>
      </c>
      <c r="C379" s="12" t="s">
        <v>1422</v>
      </c>
      <c r="D379" s="12"/>
      <c r="E379" s="11" t="s">
        <v>1423</v>
      </c>
      <c r="H379" s="12" t="s">
        <v>1424</v>
      </c>
    </row>
    <row r="380">
      <c r="A380" s="4">
        <v>380.0</v>
      </c>
      <c r="B380" s="10" t="s">
        <v>1425</v>
      </c>
      <c r="C380" s="12" t="s">
        <v>1425</v>
      </c>
      <c r="D380" s="12"/>
      <c r="E380" s="11" t="s">
        <v>1426</v>
      </c>
      <c r="H380" s="12" t="s">
        <v>1427</v>
      </c>
    </row>
    <row r="381">
      <c r="A381" s="4">
        <v>381.0</v>
      </c>
      <c r="B381" s="10" t="s">
        <v>1428</v>
      </c>
      <c r="C381" s="12" t="s">
        <v>1429</v>
      </c>
      <c r="D381" s="12"/>
      <c r="E381" s="11" t="s">
        <v>1430</v>
      </c>
      <c r="H381" s="12" t="s">
        <v>1431</v>
      </c>
    </row>
    <row r="382">
      <c r="A382" s="4">
        <v>382.0</v>
      </c>
      <c r="B382" s="10" t="s">
        <v>1432</v>
      </c>
      <c r="C382" s="12" t="s">
        <v>1433</v>
      </c>
      <c r="D382" s="12"/>
      <c r="E382" s="14" t="s">
        <v>1434</v>
      </c>
      <c r="H382" s="12" t="s">
        <v>1435</v>
      </c>
    </row>
    <row r="383">
      <c r="A383" s="4">
        <v>383.0</v>
      </c>
      <c r="B383" s="10" t="s">
        <v>1436</v>
      </c>
      <c r="C383" s="12" t="s">
        <v>1437</v>
      </c>
      <c r="D383" s="12"/>
      <c r="E383" s="14" t="s">
        <v>1438</v>
      </c>
      <c r="H383" s="12" t="s">
        <v>1439</v>
      </c>
    </row>
    <row r="384">
      <c r="A384" s="4">
        <v>384.0</v>
      </c>
      <c r="B384" s="10" t="s">
        <v>1440</v>
      </c>
      <c r="C384" s="12" t="s">
        <v>1441</v>
      </c>
      <c r="D384" s="12"/>
      <c r="E384" s="11" t="s">
        <v>1442</v>
      </c>
      <c r="H384" s="12" t="s">
        <v>1443</v>
      </c>
    </row>
    <row r="385">
      <c r="A385" s="4">
        <v>385.0</v>
      </c>
      <c r="B385" s="10" t="s">
        <v>1444</v>
      </c>
      <c r="C385" s="12" t="s">
        <v>1445</v>
      </c>
      <c r="D385" s="12"/>
      <c r="E385" s="11" t="s">
        <v>1446</v>
      </c>
      <c r="H385" s="12" t="s">
        <v>1447</v>
      </c>
    </row>
    <row r="386">
      <c r="A386" s="4">
        <v>386.0</v>
      </c>
      <c r="B386" s="10" t="s">
        <v>1448</v>
      </c>
      <c r="C386" s="12" t="s">
        <v>1449</v>
      </c>
      <c r="D386" s="12"/>
      <c r="E386" s="11" t="s">
        <v>1450</v>
      </c>
      <c r="H386" s="12" t="s">
        <v>1451</v>
      </c>
    </row>
    <row r="387">
      <c r="A387" s="4">
        <v>387.0</v>
      </c>
      <c r="B387" s="10" t="s">
        <v>1452</v>
      </c>
      <c r="C387" s="12" t="s">
        <v>1452</v>
      </c>
      <c r="D387" s="12"/>
      <c r="E387" s="11" t="s">
        <v>1453</v>
      </c>
      <c r="H387" s="12" t="s">
        <v>1454</v>
      </c>
    </row>
    <row r="388">
      <c r="A388" s="4">
        <v>388.0</v>
      </c>
      <c r="B388" s="10" t="s">
        <v>1455</v>
      </c>
      <c r="C388" s="12" t="s">
        <v>1456</v>
      </c>
      <c r="D388" s="12"/>
      <c r="E388" s="11" t="s">
        <v>1457</v>
      </c>
      <c r="H388" s="12" t="s">
        <v>1458</v>
      </c>
    </row>
    <row r="389">
      <c r="A389" s="4">
        <v>389.0</v>
      </c>
      <c r="B389" s="10" t="s">
        <v>1459</v>
      </c>
      <c r="C389" s="12" t="s">
        <v>1460</v>
      </c>
      <c r="D389" s="12"/>
      <c r="E389" s="14" t="s">
        <v>1461</v>
      </c>
      <c r="H389" s="12" t="s">
        <v>1462</v>
      </c>
    </row>
    <row r="390">
      <c r="A390" s="4">
        <v>390.0</v>
      </c>
      <c r="B390" s="10" t="s">
        <v>1463</v>
      </c>
      <c r="C390" s="12" t="s">
        <v>1463</v>
      </c>
      <c r="D390" s="12"/>
      <c r="E390" s="11" t="s">
        <v>1464</v>
      </c>
      <c r="H390" s="12" t="s">
        <v>1465</v>
      </c>
    </row>
    <row r="391">
      <c r="A391" s="4">
        <v>391.0</v>
      </c>
      <c r="B391" s="10" t="s">
        <v>1466</v>
      </c>
      <c r="C391" s="12" t="s">
        <v>1467</v>
      </c>
      <c r="D391" s="12"/>
      <c r="E391" s="11" t="s">
        <v>1468</v>
      </c>
      <c r="H391" s="12" t="s">
        <v>1469</v>
      </c>
    </row>
    <row r="392">
      <c r="A392" s="4">
        <v>392.0</v>
      </c>
      <c r="B392" s="10" t="s">
        <v>1470</v>
      </c>
      <c r="C392" s="12" t="s">
        <v>1470</v>
      </c>
      <c r="D392" s="12"/>
      <c r="E392" s="11" t="s">
        <v>1471</v>
      </c>
      <c r="H392" s="12" t="s">
        <v>1472</v>
      </c>
    </row>
    <row r="393">
      <c r="A393" s="4">
        <v>393.0</v>
      </c>
      <c r="B393" s="10" t="s">
        <v>1473</v>
      </c>
      <c r="C393" s="12" t="s">
        <v>1474</v>
      </c>
      <c r="D393" s="12"/>
      <c r="E393" s="11" t="s">
        <v>1475</v>
      </c>
      <c r="H393" s="12" t="s">
        <v>1476</v>
      </c>
    </row>
    <row r="394">
      <c r="A394" s="4">
        <v>394.0</v>
      </c>
      <c r="B394" s="10" t="s">
        <v>1477</v>
      </c>
      <c r="C394" s="12" t="s">
        <v>1477</v>
      </c>
      <c r="D394" s="12"/>
      <c r="E394" s="11" t="s">
        <v>1478</v>
      </c>
      <c r="H394" s="12" t="s">
        <v>1479</v>
      </c>
    </row>
    <row r="395">
      <c r="A395" s="4">
        <v>395.0</v>
      </c>
      <c r="B395" s="10" t="s">
        <v>1480</v>
      </c>
      <c r="C395" s="12" t="s">
        <v>1481</v>
      </c>
      <c r="D395" s="12"/>
      <c r="E395" s="11" t="s">
        <v>1482</v>
      </c>
      <c r="H395" s="12" t="s">
        <v>1483</v>
      </c>
    </row>
    <row r="396">
      <c r="A396" s="4">
        <v>396.0</v>
      </c>
      <c r="B396" s="10" t="s">
        <v>1484</v>
      </c>
      <c r="C396" s="12" t="s">
        <v>1484</v>
      </c>
      <c r="D396" s="12"/>
      <c r="E396" s="11" t="s">
        <v>1485</v>
      </c>
      <c r="H396" s="12" t="s">
        <v>1486</v>
      </c>
    </row>
    <row r="397">
      <c r="A397" s="4">
        <v>397.0</v>
      </c>
      <c r="B397" s="10" t="s">
        <v>1487</v>
      </c>
      <c r="C397" s="12" t="s">
        <v>1487</v>
      </c>
      <c r="D397" s="12"/>
      <c r="E397" s="11" t="s">
        <v>1488</v>
      </c>
      <c r="H397" s="12" t="s">
        <v>1489</v>
      </c>
    </row>
    <row r="398">
      <c r="A398" s="4">
        <v>398.0</v>
      </c>
      <c r="B398" s="10" t="s">
        <v>534</v>
      </c>
      <c r="C398" s="12" t="s">
        <v>535</v>
      </c>
      <c r="D398" s="12"/>
      <c r="E398" s="11" t="s">
        <v>1490</v>
      </c>
      <c r="H398" s="12" t="s">
        <v>1491</v>
      </c>
    </row>
    <row r="399">
      <c r="A399" s="4">
        <v>399.0</v>
      </c>
      <c r="B399" s="10" t="s">
        <v>1492</v>
      </c>
      <c r="C399" s="12" t="s">
        <v>1493</v>
      </c>
      <c r="D399" s="12"/>
      <c r="E399" s="11" t="s">
        <v>1494</v>
      </c>
      <c r="H399" s="12" t="s">
        <v>1495</v>
      </c>
    </row>
    <row r="400">
      <c r="A400" s="4">
        <v>400.0</v>
      </c>
      <c r="B400" s="10" t="s">
        <v>1060</v>
      </c>
      <c r="C400" s="12" t="s">
        <v>1061</v>
      </c>
      <c r="D400" s="12"/>
      <c r="E400" s="11" t="s">
        <v>1496</v>
      </c>
      <c r="H400" s="12" t="s">
        <v>1497</v>
      </c>
    </row>
    <row r="401">
      <c r="A401" s="4">
        <v>401.0</v>
      </c>
      <c r="B401" s="10" t="s">
        <v>1498</v>
      </c>
      <c r="C401" s="12" t="s">
        <v>1499</v>
      </c>
      <c r="D401" s="12"/>
      <c r="E401" s="11" t="s">
        <v>1500</v>
      </c>
      <c r="H401" s="12" t="s">
        <v>1501</v>
      </c>
    </row>
    <row r="402">
      <c r="A402" s="4">
        <v>402.0</v>
      </c>
      <c r="B402" s="10" t="s">
        <v>1502</v>
      </c>
      <c r="C402" s="12" t="s">
        <v>1502</v>
      </c>
      <c r="D402" s="12"/>
      <c r="E402" s="11" t="s">
        <v>1503</v>
      </c>
      <c r="H402" s="12" t="s">
        <v>1504</v>
      </c>
    </row>
    <row r="403">
      <c r="A403" s="4">
        <v>403.0</v>
      </c>
      <c r="B403" s="10" t="s">
        <v>1505</v>
      </c>
      <c r="C403" s="12" t="s">
        <v>1505</v>
      </c>
      <c r="D403" s="12"/>
      <c r="E403" s="11" t="s">
        <v>1506</v>
      </c>
      <c r="H403" s="12" t="s">
        <v>1507</v>
      </c>
    </row>
    <row r="404">
      <c r="A404" s="4">
        <v>404.0</v>
      </c>
      <c r="B404" s="10" t="s">
        <v>1508</v>
      </c>
      <c r="C404" s="12" t="s">
        <v>1508</v>
      </c>
      <c r="D404" s="12"/>
      <c r="E404" s="11" t="s">
        <v>1509</v>
      </c>
      <c r="H404" s="12" t="s">
        <v>1510</v>
      </c>
    </row>
    <row r="405">
      <c r="A405" s="4">
        <v>405.0</v>
      </c>
      <c r="B405" s="10" t="s">
        <v>1511</v>
      </c>
      <c r="C405" s="12" t="s">
        <v>1512</v>
      </c>
      <c r="D405" s="12"/>
      <c r="E405" s="11" t="s">
        <v>1513</v>
      </c>
      <c r="H405" s="12" t="s">
        <v>1514</v>
      </c>
    </row>
    <row r="406">
      <c r="A406" s="4">
        <v>406.0</v>
      </c>
      <c r="B406" s="10" t="s">
        <v>1515</v>
      </c>
      <c r="C406" s="12" t="s">
        <v>1516</v>
      </c>
      <c r="D406" s="12"/>
      <c r="E406" s="11" t="s">
        <v>1517</v>
      </c>
      <c r="H406" s="12" t="s">
        <v>1518</v>
      </c>
    </row>
    <row r="407">
      <c r="A407" s="4">
        <v>407.0</v>
      </c>
      <c r="B407" s="10" t="s">
        <v>1519</v>
      </c>
      <c r="C407" s="12" t="s">
        <v>1520</v>
      </c>
      <c r="D407" s="12"/>
      <c r="E407" s="11" t="s">
        <v>1521</v>
      </c>
      <c r="H407" s="12" t="s">
        <v>1522</v>
      </c>
    </row>
    <row r="408">
      <c r="A408" s="4">
        <v>408.0</v>
      </c>
      <c r="B408" s="10" t="s">
        <v>1523</v>
      </c>
      <c r="C408" s="12" t="s">
        <v>1524</v>
      </c>
      <c r="D408" s="12"/>
      <c r="E408" s="11" t="s">
        <v>1525</v>
      </c>
      <c r="H408" s="12" t="s">
        <v>1526</v>
      </c>
    </row>
    <row r="409">
      <c r="A409" s="4">
        <v>409.0</v>
      </c>
      <c r="B409" s="10" t="s">
        <v>1527</v>
      </c>
      <c r="C409" s="12" t="s">
        <v>1528</v>
      </c>
      <c r="D409" s="12"/>
      <c r="E409" s="11" t="s">
        <v>1529</v>
      </c>
      <c r="H409" s="12" t="s">
        <v>1530</v>
      </c>
    </row>
    <row r="410">
      <c r="A410" s="4">
        <v>410.0</v>
      </c>
      <c r="B410" s="10" t="s">
        <v>1531</v>
      </c>
      <c r="C410" s="12" t="s">
        <v>1532</v>
      </c>
      <c r="D410" s="12"/>
      <c r="E410" s="11" t="s">
        <v>1533</v>
      </c>
      <c r="H410" s="12" t="s">
        <v>1534</v>
      </c>
    </row>
    <row r="411">
      <c r="A411" s="4">
        <v>411.0</v>
      </c>
      <c r="B411" s="10" t="s">
        <v>1535</v>
      </c>
      <c r="C411" s="12" t="s">
        <v>1536</v>
      </c>
      <c r="D411" s="12"/>
      <c r="E411" s="11" t="s">
        <v>1537</v>
      </c>
      <c r="H411" s="12" t="s">
        <v>1538</v>
      </c>
    </row>
    <row r="412">
      <c r="A412" s="4">
        <v>412.0</v>
      </c>
      <c r="B412" s="10" t="s">
        <v>1539</v>
      </c>
      <c r="C412" s="12" t="s">
        <v>1540</v>
      </c>
      <c r="D412" s="12"/>
      <c r="E412" s="11" t="s">
        <v>1541</v>
      </c>
      <c r="H412" s="12" t="s">
        <v>1542</v>
      </c>
    </row>
    <row r="413">
      <c r="A413" s="4">
        <v>413.0</v>
      </c>
      <c r="B413" s="10" t="s">
        <v>1543</v>
      </c>
      <c r="C413" s="12" t="s">
        <v>1543</v>
      </c>
      <c r="D413" s="12"/>
      <c r="E413" s="11" t="s">
        <v>1544</v>
      </c>
      <c r="H413" s="12" t="s">
        <v>1545</v>
      </c>
    </row>
    <row r="414">
      <c r="A414" s="4">
        <v>414.0</v>
      </c>
      <c r="B414" s="10" t="s">
        <v>1546</v>
      </c>
      <c r="C414" s="12" t="s">
        <v>1547</v>
      </c>
      <c r="D414" s="12"/>
      <c r="E414" s="11" t="s">
        <v>1548</v>
      </c>
      <c r="H414" s="12" t="s">
        <v>1549</v>
      </c>
    </row>
    <row r="415">
      <c r="A415" s="4">
        <v>415.0</v>
      </c>
      <c r="B415" s="10" t="s">
        <v>1550</v>
      </c>
      <c r="C415" s="12" t="s">
        <v>1551</v>
      </c>
      <c r="D415" s="12"/>
      <c r="E415" s="11" t="s">
        <v>1552</v>
      </c>
      <c r="H415" s="12" t="s">
        <v>1553</v>
      </c>
    </row>
    <row r="416">
      <c r="A416" s="4">
        <v>416.0</v>
      </c>
      <c r="B416" s="10" t="s">
        <v>1554</v>
      </c>
      <c r="C416" s="12" t="s">
        <v>1555</v>
      </c>
      <c r="D416" s="12"/>
      <c r="E416" s="11" t="s">
        <v>1556</v>
      </c>
      <c r="H416" s="12" t="s">
        <v>1557</v>
      </c>
    </row>
    <row r="417">
      <c r="A417" s="4">
        <v>417.0</v>
      </c>
      <c r="B417" s="10" t="s">
        <v>1558</v>
      </c>
      <c r="C417" s="12" t="s">
        <v>1559</v>
      </c>
      <c r="D417" s="12"/>
      <c r="E417" s="11" t="s">
        <v>1560</v>
      </c>
      <c r="H417" s="12" t="s">
        <v>1561</v>
      </c>
    </row>
    <row r="418">
      <c r="A418" s="4">
        <v>418.0</v>
      </c>
      <c r="B418" s="10" t="s">
        <v>1562</v>
      </c>
      <c r="C418" s="12" t="s">
        <v>1563</v>
      </c>
      <c r="D418" s="12"/>
      <c r="E418" s="11" t="s">
        <v>1564</v>
      </c>
      <c r="H418" s="12" t="s">
        <v>1565</v>
      </c>
    </row>
    <row r="419">
      <c r="A419" s="4">
        <v>419.0</v>
      </c>
      <c r="B419" s="10" t="s">
        <v>1566</v>
      </c>
      <c r="C419" s="12" t="s">
        <v>1567</v>
      </c>
      <c r="D419" s="12"/>
      <c r="E419" s="11" t="s">
        <v>1568</v>
      </c>
      <c r="H419" s="12" t="s">
        <v>1569</v>
      </c>
    </row>
    <row r="420">
      <c r="A420" s="4">
        <v>420.0</v>
      </c>
      <c r="B420" s="10" t="s">
        <v>1570</v>
      </c>
      <c r="C420" s="11" t="s">
        <v>1571</v>
      </c>
      <c r="D420" s="12"/>
      <c r="E420" s="11" t="s">
        <v>1572</v>
      </c>
      <c r="H420" s="12" t="s">
        <v>1573</v>
      </c>
    </row>
    <row r="421">
      <c r="A421" s="4">
        <v>421.0</v>
      </c>
      <c r="B421" s="10" t="s">
        <v>1562</v>
      </c>
      <c r="C421" s="12" t="s">
        <v>1563</v>
      </c>
      <c r="D421" s="12"/>
      <c r="E421" s="11" t="s">
        <v>1574</v>
      </c>
      <c r="H421" s="12" t="s">
        <v>1575</v>
      </c>
    </row>
    <row r="422">
      <c r="A422" s="4">
        <v>422.0</v>
      </c>
      <c r="B422" s="10" t="s">
        <v>1576</v>
      </c>
      <c r="C422" s="12" t="s">
        <v>1577</v>
      </c>
      <c r="D422" s="12"/>
      <c r="E422" s="11" t="s">
        <v>1578</v>
      </c>
      <c r="H422" s="12" t="s">
        <v>1579</v>
      </c>
    </row>
    <row r="423">
      <c r="A423" s="4">
        <v>423.0</v>
      </c>
      <c r="B423" s="10" t="s">
        <v>1580</v>
      </c>
      <c r="C423" s="12" t="s">
        <v>1581</v>
      </c>
      <c r="D423" s="12"/>
      <c r="E423" s="14" t="s">
        <v>1582</v>
      </c>
      <c r="H423" s="12" t="s">
        <v>1583</v>
      </c>
    </row>
    <row r="424">
      <c r="A424" s="4">
        <v>424.0</v>
      </c>
      <c r="B424" s="10" t="s">
        <v>1584</v>
      </c>
      <c r="C424" s="12" t="s">
        <v>1585</v>
      </c>
      <c r="D424" s="12"/>
      <c r="E424" s="11" t="s">
        <v>1586</v>
      </c>
      <c r="H424" s="12" t="s">
        <v>1587</v>
      </c>
    </row>
    <row r="425">
      <c r="A425" s="4">
        <v>425.0</v>
      </c>
      <c r="B425" s="10" t="s">
        <v>1588</v>
      </c>
      <c r="C425" s="12" t="s">
        <v>1589</v>
      </c>
      <c r="D425" s="12"/>
      <c r="E425" s="11" t="s">
        <v>1590</v>
      </c>
      <c r="H425" s="12" t="s">
        <v>1591</v>
      </c>
    </row>
    <row r="426">
      <c r="A426" s="4">
        <v>426.0</v>
      </c>
      <c r="B426" s="10" t="s">
        <v>1592</v>
      </c>
      <c r="C426" s="12" t="s">
        <v>1593</v>
      </c>
      <c r="D426" s="12"/>
      <c r="E426" s="11" t="s">
        <v>1594</v>
      </c>
      <c r="H426" s="12" t="s">
        <v>1595</v>
      </c>
    </row>
    <row r="427">
      <c r="A427" s="4">
        <v>427.0</v>
      </c>
      <c r="B427" s="10" t="s">
        <v>1596</v>
      </c>
      <c r="C427" s="12" t="s">
        <v>1597</v>
      </c>
      <c r="D427" s="12"/>
      <c r="E427" s="11" t="s">
        <v>1598</v>
      </c>
      <c r="H427" s="12" t="s">
        <v>1599</v>
      </c>
    </row>
    <row r="428">
      <c r="A428" s="4">
        <v>428.0</v>
      </c>
      <c r="B428" s="10" t="s">
        <v>1600</v>
      </c>
      <c r="C428" s="12" t="s">
        <v>1601</v>
      </c>
      <c r="D428" s="12"/>
      <c r="E428" s="11" t="s">
        <v>1602</v>
      </c>
      <c r="H428" s="12" t="s">
        <v>1603</v>
      </c>
    </row>
    <row r="429">
      <c r="A429" s="4">
        <v>429.0</v>
      </c>
      <c r="B429" s="10" t="s">
        <v>1604</v>
      </c>
      <c r="C429" s="12" t="s">
        <v>1605</v>
      </c>
      <c r="D429" s="12"/>
      <c r="E429" s="11" t="s">
        <v>1606</v>
      </c>
      <c r="H429" s="12" t="s">
        <v>1607</v>
      </c>
    </row>
    <row r="430">
      <c r="A430" s="4">
        <v>430.0</v>
      </c>
      <c r="B430" s="10" t="s">
        <v>1608</v>
      </c>
      <c r="C430" s="12" t="s">
        <v>1609</v>
      </c>
      <c r="D430" s="12"/>
      <c r="E430" s="11" t="s">
        <v>1610</v>
      </c>
      <c r="H430" s="12" t="s">
        <v>1611</v>
      </c>
    </row>
    <row r="431">
      <c r="A431" s="4">
        <v>431.0</v>
      </c>
      <c r="B431" s="10" t="s">
        <v>1612</v>
      </c>
      <c r="C431" s="12" t="s">
        <v>1613</v>
      </c>
      <c r="D431" s="12"/>
      <c r="E431" s="11" t="s">
        <v>1614</v>
      </c>
      <c r="H431" s="12" t="s">
        <v>1615</v>
      </c>
    </row>
    <row r="432">
      <c r="A432" s="4">
        <v>432.0</v>
      </c>
      <c r="B432" s="10" t="s">
        <v>1616</v>
      </c>
      <c r="C432" s="12" t="s">
        <v>1617</v>
      </c>
      <c r="D432" s="12"/>
      <c r="E432" s="14" t="s">
        <v>1618</v>
      </c>
      <c r="H432" s="12" t="s">
        <v>1619</v>
      </c>
    </row>
    <row r="433">
      <c r="A433" s="4">
        <v>433.0</v>
      </c>
      <c r="B433" s="10" t="s">
        <v>1620</v>
      </c>
      <c r="C433" s="11" t="s">
        <v>1621</v>
      </c>
      <c r="D433" s="12"/>
      <c r="E433" s="14" t="s">
        <v>1622</v>
      </c>
      <c r="H433" s="12" t="s">
        <v>1623</v>
      </c>
    </row>
    <row r="434">
      <c r="A434" s="4">
        <v>434.0</v>
      </c>
      <c r="B434" s="10" t="s">
        <v>1624</v>
      </c>
      <c r="C434" s="12" t="s">
        <v>1625</v>
      </c>
      <c r="D434" s="12"/>
      <c r="E434" s="14" t="s">
        <v>1626</v>
      </c>
      <c r="H434" s="12" t="s">
        <v>1627</v>
      </c>
    </row>
    <row r="435">
      <c r="A435" s="4">
        <v>435.0</v>
      </c>
      <c r="B435" s="10" t="s">
        <v>1628</v>
      </c>
      <c r="C435" s="12" t="s">
        <v>1629</v>
      </c>
      <c r="D435" s="12"/>
      <c r="E435" s="11" t="s">
        <v>1630</v>
      </c>
      <c r="H435" s="12" t="s">
        <v>1631</v>
      </c>
    </row>
    <row r="436">
      <c r="A436" s="4">
        <v>436.0</v>
      </c>
      <c r="B436" s="10" t="s">
        <v>1632</v>
      </c>
      <c r="C436" s="12" t="s">
        <v>1633</v>
      </c>
      <c r="D436" s="12"/>
      <c r="E436" s="11" t="s">
        <v>1634</v>
      </c>
      <c r="H436" s="12" t="s">
        <v>1635</v>
      </c>
    </row>
    <row r="437">
      <c r="A437" s="4">
        <v>437.0</v>
      </c>
      <c r="B437" s="10" t="s">
        <v>1636</v>
      </c>
      <c r="C437" s="12" t="s">
        <v>1637</v>
      </c>
      <c r="D437" s="12"/>
      <c r="E437" s="11" t="s">
        <v>1638</v>
      </c>
      <c r="H437" s="12" t="s">
        <v>1639</v>
      </c>
    </row>
    <row r="438">
      <c r="A438" s="4">
        <v>438.0</v>
      </c>
      <c r="B438" s="10" t="s">
        <v>1640</v>
      </c>
      <c r="C438" s="12" t="s">
        <v>1641</v>
      </c>
      <c r="D438" s="12"/>
      <c r="E438" s="11" t="s">
        <v>1642</v>
      </c>
      <c r="H438" s="12" t="s">
        <v>1643</v>
      </c>
    </row>
    <row r="439">
      <c r="A439" s="4">
        <v>439.0</v>
      </c>
      <c r="B439" s="10" t="s">
        <v>1644</v>
      </c>
      <c r="C439" s="12" t="s">
        <v>1645</v>
      </c>
      <c r="D439" s="12"/>
      <c r="E439" s="11" t="s">
        <v>1646</v>
      </c>
      <c r="H439" s="12" t="s">
        <v>1647</v>
      </c>
    </row>
    <row r="440">
      <c r="A440" s="4">
        <v>440.0</v>
      </c>
      <c r="B440" s="16"/>
      <c r="C440" s="16"/>
      <c r="D440" s="16"/>
      <c r="E440" s="6"/>
      <c r="H440" s="16"/>
    </row>
    <row r="441">
      <c r="A441" s="4">
        <v>441.0</v>
      </c>
      <c r="B441" s="16"/>
      <c r="C441" s="16"/>
      <c r="D441" s="16"/>
      <c r="E441" s="6"/>
      <c r="H441" s="16"/>
    </row>
    <row r="442">
      <c r="A442" s="4">
        <v>442.0</v>
      </c>
      <c r="B442" s="16"/>
      <c r="C442" s="16"/>
      <c r="D442" s="16"/>
      <c r="E442" s="6"/>
      <c r="H442" s="16"/>
    </row>
    <row r="443">
      <c r="A443" s="4">
        <v>443.0</v>
      </c>
      <c r="B443" s="16"/>
      <c r="C443" s="16"/>
      <c r="D443" s="16"/>
      <c r="E443" s="6"/>
      <c r="H443" s="16"/>
    </row>
    <row r="444">
      <c r="A444" s="4">
        <v>444.0</v>
      </c>
      <c r="B444" s="16"/>
      <c r="C444" s="16"/>
      <c r="D444" s="16"/>
      <c r="E444" s="6"/>
      <c r="H444" s="16"/>
    </row>
    <row r="445">
      <c r="A445" s="4">
        <v>445.0</v>
      </c>
      <c r="B445" s="16"/>
      <c r="C445" s="16"/>
      <c r="D445" s="16"/>
      <c r="E445" s="6"/>
      <c r="H445" s="16"/>
    </row>
    <row r="446">
      <c r="A446" s="4">
        <v>446.0</v>
      </c>
      <c r="B446" s="16"/>
      <c r="C446" s="16"/>
      <c r="D446" s="16"/>
      <c r="E446" s="6"/>
      <c r="H446" s="16"/>
    </row>
    <row r="447">
      <c r="A447" s="4">
        <v>447.0</v>
      </c>
      <c r="B447" s="16"/>
      <c r="C447" s="16"/>
      <c r="D447" s="16"/>
      <c r="E447" s="6"/>
      <c r="H447" s="16"/>
    </row>
    <row r="448">
      <c r="A448" s="4">
        <v>448.0</v>
      </c>
      <c r="B448" s="16"/>
      <c r="C448" s="16"/>
      <c r="D448" s="16"/>
      <c r="E448" s="6"/>
      <c r="H448" s="16"/>
    </row>
    <row r="449">
      <c r="A449" s="4">
        <v>449.0</v>
      </c>
      <c r="B449" s="16"/>
      <c r="C449" s="16"/>
      <c r="D449" s="16"/>
      <c r="E449" s="6"/>
      <c r="H449" s="16"/>
    </row>
    <row r="450">
      <c r="A450" s="4">
        <v>450.0</v>
      </c>
      <c r="B450" s="16"/>
      <c r="C450" s="16"/>
      <c r="D450" s="16"/>
      <c r="E450" s="6"/>
      <c r="H450" s="16"/>
    </row>
    <row r="451">
      <c r="A451" s="4">
        <v>451.0</v>
      </c>
      <c r="B451" s="16"/>
      <c r="C451" s="16"/>
      <c r="D451" s="16"/>
      <c r="E451" s="6"/>
      <c r="H451" s="16"/>
    </row>
    <row r="452">
      <c r="A452" s="4">
        <v>452.0</v>
      </c>
      <c r="B452" s="16"/>
      <c r="C452" s="16"/>
      <c r="D452" s="16"/>
      <c r="E452" s="6"/>
      <c r="H452" s="16"/>
    </row>
    <row r="453">
      <c r="A453" s="4">
        <v>453.0</v>
      </c>
      <c r="B453" s="16"/>
      <c r="C453" s="16"/>
      <c r="D453" s="16"/>
      <c r="E453" s="6"/>
      <c r="H453" s="16"/>
    </row>
    <row r="454">
      <c r="A454" s="4">
        <v>454.0</v>
      </c>
      <c r="B454" s="16"/>
      <c r="C454" s="16"/>
      <c r="D454" s="16"/>
      <c r="E454" s="6"/>
      <c r="H454" s="16"/>
    </row>
    <row r="455">
      <c r="A455" s="4">
        <v>455.0</v>
      </c>
      <c r="B455" s="16"/>
      <c r="C455" s="16"/>
      <c r="D455" s="16"/>
      <c r="E455" s="6"/>
      <c r="H455" s="16"/>
    </row>
    <row r="456">
      <c r="A456" s="4">
        <v>456.0</v>
      </c>
      <c r="B456" s="16"/>
      <c r="C456" s="16"/>
      <c r="D456" s="16"/>
      <c r="E456" s="6"/>
      <c r="H456" s="16"/>
    </row>
    <row r="457">
      <c r="A457" s="4">
        <v>457.0</v>
      </c>
      <c r="B457" s="16"/>
      <c r="C457" s="16"/>
      <c r="D457" s="16"/>
      <c r="E457" s="6"/>
      <c r="H457" s="16"/>
    </row>
    <row r="458">
      <c r="A458" s="4">
        <v>458.0</v>
      </c>
      <c r="B458" s="16"/>
      <c r="C458" s="16"/>
      <c r="D458" s="16"/>
      <c r="E458" s="6"/>
      <c r="H458" s="16"/>
    </row>
    <row r="459">
      <c r="A459" s="4">
        <v>459.0</v>
      </c>
      <c r="B459" s="16"/>
      <c r="C459" s="16"/>
      <c r="D459" s="16"/>
      <c r="E459" s="6"/>
      <c r="H459" s="16"/>
    </row>
    <row r="460">
      <c r="A460" s="4">
        <v>460.0</v>
      </c>
      <c r="B460" s="16"/>
      <c r="C460" s="16"/>
      <c r="D460" s="16"/>
      <c r="E460" s="6"/>
      <c r="H460" s="16"/>
    </row>
    <row r="461">
      <c r="A461" s="16"/>
      <c r="B461" s="16"/>
      <c r="C461" s="16"/>
      <c r="D461" s="16"/>
      <c r="E461" s="6"/>
      <c r="H461" s="16"/>
    </row>
    <row r="462">
      <c r="A462" s="16"/>
      <c r="B462" s="16"/>
      <c r="C462" s="16"/>
      <c r="D462" s="16"/>
      <c r="E462" s="6"/>
      <c r="H462" s="16"/>
    </row>
    <row r="463">
      <c r="A463" s="16"/>
      <c r="B463" s="16"/>
      <c r="C463" s="16"/>
      <c r="D463" s="16"/>
      <c r="E463" s="6"/>
      <c r="H463" s="16"/>
    </row>
    <row r="464">
      <c r="A464" s="16"/>
      <c r="B464" s="16"/>
      <c r="C464" s="16"/>
      <c r="D464" s="16"/>
      <c r="E464" s="6"/>
      <c r="H464" s="16"/>
    </row>
    <row r="465">
      <c r="A465" s="16"/>
      <c r="B465" s="16"/>
      <c r="C465" s="16"/>
      <c r="D465" s="16"/>
      <c r="E465" s="6"/>
      <c r="H465" s="16"/>
    </row>
    <row r="466">
      <c r="A466" s="16"/>
      <c r="B466" s="16"/>
      <c r="C466" s="16"/>
      <c r="D466" s="16"/>
      <c r="E466" s="6"/>
      <c r="H466" s="16"/>
    </row>
    <row r="467">
      <c r="A467" s="16"/>
      <c r="B467" s="16"/>
      <c r="C467" s="16"/>
      <c r="D467" s="16"/>
      <c r="E467" s="6"/>
      <c r="H467" s="16"/>
    </row>
    <row r="468">
      <c r="A468" s="16"/>
      <c r="B468" s="16"/>
      <c r="C468" s="16"/>
      <c r="D468" s="16"/>
      <c r="E468" s="6"/>
      <c r="H468" s="16"/>
    </row>
    <row r="469">
      <c r="A469" s="16"/>
      <c r="B469" s="16"/>
      <c r="C469" s="16"/>
      <c r="D469" s="16"/>
      <c r="E469" s="6"/>
      <c r="H469" s="16"/>
    </row>
    <row r="470">
      <c r="A470" s="16"/>
      <c r="B470" s="16"/>
      <c r="C470" s="16"/>
      <c r="D470" s="16"/>
      <c r="E470" s="6"/>
      <c r="H470" s="16"/>
    </row>
    <row r="471">
      <c r="A471" s="16"/>
      <c r="B471" s="16"/>
      <c r="C471" s="16"/>
      <c r="D471" s="16"/>
      <c r="E471" s="6"/>
      <c r="H471" s="16"/>
    </row>
    <row r="472">
      <c r="A472" s="16"/>
      <c r="B472" s="16"/>
      <c r="C472" s="16"/>
      <c r="D472" s="16"/>
      <c r="E472" s="6"/>
      <c r="H472" s="16"/>
    </row>
    <row r="473">
      <c r="A473" s="16"/>
      <c r="B473" s="16"/>
      <c r="C473" s="16"/>
      <c r="D473" s="16"/>
      <c r="E473" s="6"/>
      <c r="H473" s="16"/>
    </row>
    <row r="474">
      <c r="A474" s="16"/>
      <c r="B474" s="16"/>
      <c r="C474" s="16"/>
      <c r="D474" s="16"/>
      <c r="E474" s="6"/>
      <c r="H474" s="16"/>
    </row>
    <row r="475">
      <c r="A475" s="16"/>
      <c r="B475" s="16"/>
      <c r="C475" s="16"/>
      <c r="D475" s="16"/>
      <c r="E475" s="6"/>
      <c r="H475" s="16"/>
    </row>
    <row r="476">
      <c r="A476" s="16"/>
      <c r="B476" s="16"/>
      <c r="C476" s="16"/>
      <c r="D476" s="16"/>
      <c r="E476" s="6"/>
      <c r="H476" s="16"/>
    </row>
    <row r="477">
      <c r="A477" s="16"/>
      <c r="B477" s="16"/>
      <c r="C477" s="16"/>
      <c r="D477" s="16"/>
      <c r="E477" s="6"/>
      <c r="H477" s="16"/>
    </row>
    <row r="478">
      <c r="A478" s="16"/>
      <c r="B478" s="16"/>
      <c r="C478" s="16"/>
      <c r="D478" s="16"/>
      <c r="E478" s="6"/>
      <c r="H478" s="16"/>
    </row>
    <row r="479">
      <c r="A479" s="16"/>
      <c r="B479" s="16"/>
      <c r="C479" s="16"/>
      <c r="D479" s="16"/>
      <c r="E479" s="6"/>
      <c r="H479" s="16"/>
    </row>
    <row r="480">
      <c r="A480" s="16"/>
      <c r="B480" s="16"/>
      <c r="C480" s="16"/>
      <c r="D480" s="16"/>
      <c r="E480" s="6"/>
      <c r="H480" s="16"/>
    </row>
    <row r="481">
      <c r="A481" s="16"/>
      <c r="B481" s="16"/>
      <c r="C481" s="16"/>
      <c r="D481" s="16"/>
      <c r="E481" s="6"/>
      <c r="H481" s="16"/>
    </row>
    <row r="482">
      <c r="A482" s="16"/>
      <c r="B482" s="16"/>
      <c r="C482" s="16"/>
      <c r="D482" s="16"/>
      <c r="E482" s="6"/>
      <c r="H482" s="16"/>
    </row>
    <row r="483">
      <c r="A483" s="16"/>
      <c r="B483" s="16"/>
      <c r="C483" s="16"/>
      <c r="D483" s="16"/>
      <c r="E483" s="6"/>
      <c r="H483" s="16"/>
    </row>
    <row r="484">
      <c r="A484" s="16"/>
      <c r="B484" s="16"/>
      <c r="C484" s="16"/>
      <c r="D484" s="16"/>
      <c r="E484" s="6"/>
      <c r="H484" s="16"/>
    </row>
    <row r="485">
      <c r="A485" s="16"/>
      <c r="B485" s="16"/>
      <c r="C485" s="16"/>
      <c r="D485" s="16"/>
      <c r="E485" s="6"/>
      <c r="H485" s="16"/>
    </row>
    <row r="486">
      <c r="A486" s="16"/>
      <c r="B486" s="16"/>
      <c r="C486" s="16"/>
      <c r="D486" s="16"/>
      <c r="E486" s="6"/>
      <c r="H486" s="16"/>
    </row>
    <row r="487">
      <c r="A487" s="16"/>
      <c r="B487" s="16"/>
      <c r="C487" s="16"/>
      <c r="D487" s="16"/>
      <c r="E487" s="6"/>
      <c r="H487" s="16"/>
    </row>
    <row r="488">
      <c r="A488" s="16"/>
      <c r="B488" s="16"/>
      <c r="C488" s="16"/>
      <c r="D488" s="16"/>
      <c r="E488" s="6"/>
      <c r="H488" s="16"/>
    </row>
    <row r="489">
      <c r="A489" s="16"/>
      <c r="B489" s="16"/>
      <c r="C489" s="16"/>
      <c r="D489" s="16"/>
      <c r="E489" s="6"/>
      <c r="H489" s="16"/>
    </row>
    <row r="490">
      <c r="A490" s="16"/>
      <c r="B490" s="16"/>
      <c r="C490" s="16"/>
      <c r="D490" s="16"/>
      <c r="E490" s="6"/>
      <c r="H490" s="16"/>
    </row>
    <row r="491">
      <c r="A491" s="16"/>
      <c r="B491" s="16"/>
      <c r="C491" s="16"/>
      <c r="D491" s="16"/>
      <c r="E491" s="6"/>
      <c r="H491" s="16"/>
    </row>
    <row r="492">
      <c r="A492" s="16"/>
      <c r="B492" s="16"/>
      <c r="C492" s="16"/>
      <c r="D492" s="16"/>
      <c r="E492" s="6"/>
      <c r="H492" s="16"/>
    </row>
    <row r="493">
      <c r="A493" s="16"/>
      <c r="B493" s="16"/>
      <c r="C493" s="16"/>
      <c r="D493" s="16"/>
      <c r="E493" s="6"/>
      <c r="H493" s="16"/>
    </row>
    <row r="494">
      <c r="A494" s="16"/>
      <c r="B494" s="16"/>
      <c r="C494" s="16"/>
      <c r="D494" s="16"/>
      <c r="E494" s="6"/>
      <c r="H494" s="16"/>
    </row>
    <row r="495">
      <c r="A495" s="16"/>
      <c r="B495" s="16"/>
      <c r="C495" s="16"/>
      <c r="D495" s="16"/>
      <c r="E495" s="6"/>
      <c r="H495" s="16"/>
    </row>
    <row r="496">
      <c r="A496" s="16"/>
      <c r="B496" s="16"/>
      <c r="C496" s="16"/>
      <c r="D496" s="16"/>
      <c r="E496" s="6"/>
      <c r="H496" s="16"/>
    </row>
    <row r="497">
      <c r="A497" s="16"/>
      <c r="B497" s="16"/>
      <c r="C497" s="16"/>
      <c r="D497" s="16"/>
      <c r="E497" s="6"/>
      <c r="H497" s="16"/>
    </row>
    <row r="498">
      <c r="A498" s="16"/>
      <c r="B498" s="16"/>
      <c r="C498" s="16"/>
      <c r="D498" s="16"/>
      <c r="E498" s="6"/>
      <c r="H498" s="16"/>
    </row>
    <row r="499">
      <c r="A499" s="16"/>
      <c r="B499" s="16"/>
      <c r="C499" s="16"/>
      <c r="D499" s="16"/>
      <c r="E499" s="6"/>
      <c r="H499" s="16"/>
    </row>
    <row r="500">
      <c r="A500" s="16"/>
      <c r="B500" s="16"/>
      <c r="C500" s="16"/>
      <c r="D500" s="16"/>
      <c r="E500" s="6"/>
      <c r="H500" s="16"/>
    </row>
    <row r="501">
      <c r="A501" s="16"/>
      <c r="B501" s="16"/>
      <c r="C501" s="16"/>
      <c r="D501" s="16"/>
      <c r="E501" s="6"/>
      <c r="H501" s="16"/>
    </row>
    <row r="502">
      <c r="A502" s="16"/>
      <c r="B502" s="16"/>
      <c r="C502" s="16"/>
      <c r="D502" s="16"/>
      <c r="E502" s="6"/>
      <c r="H502" s="16"/>
    </row>
    <row r="503">
      <c r="A503" s="16"/>
      <c r="B503" s="16"/>
      <c r="C503" s="16"/>
      <c r="D503" s="16"/>
      <c r="E503" s="6"/>
      <c r="H503" s="16"/>
    </row>
    <row r="504">
      <c r="A504" s="16"/>
      <c r="B504" s="16"/>
      <c r="C504" s="16"/>
      <c r="D504" s="16"/>
      <c r="E504" s="6"/>
      <c r="H504" s="16"/>
    </row>
    <row r="505">
      <c r="A505" s="16"/>
      <c r="B505" s="16"/>
      <c r="C505" s="16"/>
      <c r="D505" s="16"/>
      <c r="E505" s="6"/>
      <c r="H505" s="16"/>
    </row>
    <row r="506">
      <c r="A506" s="16"/>
      <c r="B506" s="16"/>
      <c r="C506" s="16"/>
      <c r="D506" s="16"/>
      <c r="E506" s="6"/>
      <c r="H506" s="16"/>
    </row>
    <row r="507">
      <c r="A507" s="16"/>
      <c r="B507" s="16"/>
      <c r="C507" s="16"/>
      <c r="D507" s="16"/>
      <c r="E507" s="6"/>
      <c r="H507" s="16"/>
    </row>
    <row r="508">
      <c r="A508" s="16"/>
      <c r="B508" s="16"/>
      <c r="C508" s="16"/>
      <c r="D508" s="16"/>
      <c r="E508" s="6"/>
      <c r="H508" s="16"/>
    </row>
    <row r="509">
      <c r="A509" s="16"/>
      <c r="B509" s="16"/>
      <c r="C509" s="16"/>
      <c r="D509" s="16"/>
      <c r="E509" s="6"/>
      <c r="H509" s="16"/>
    </row>
    <row r="510">
      <c r="A510" s="16"/>
      <c r="B510" s="16"/>
      <c r="C510" s="16"/>
      <c r="D510" s="16"/>
      <c r="E510" s="6"/>
      <c r="H510" s="16"/>
    </row>
    <row r="511">
      <c r="A511" s="16"/>
      <c r="B511" s="16"/>
      <c r="C511" s="16"/>
      <c r="D511" s="16"/>
      <c r="E511" s="6"/>
      <c r="H511" s="16"/>
    </row>
    <row r="512">
      <c r="A512" s="16"/>
      <c r="B512" s="16"/>
      <c r="C512" s="16"/>
      <c r="D512" s="16"/>
      <c r="E512" s="6"/>
      <c r="H512" s="16"/>
    </row>
    <row r="513">
      <c r="A513" s="16"/>
      <c r="B513" s="16"/>
      <c r="C513" s="16"/>
      <c r="D513" s="16"/>
      <c r="E513" s="6"/>
      <c r="H513" s="16"/>
    </row>
    <row r="514">
      <c r="A514" s="16"/>
      <c r="B514" s="16"/>
      <c r="C514" s="16"/>
      <c r="D514" s="16"/>
      <c r="E514" s="6"/>
      <c r="H514" s="16"/>
    </row>
    <row r="515">
      <c r="A515" s="16"/>
      <c r="B515" s="16"/>
      <c r="C515" s="16"/>
      <c r="D515" s="16"/>
      <c r="E515" s="6"/>
      <c r="H515" s="16"/>
    </row>
    <row r="516">
      <c r="A516" s="16"/>
      <c r="B516" s="16"/>
      <c r="C516" s="16"/>
      <c r="D516" s="16"/>
      <c r="E516" s="6"/>
      <c r="H516" s="16"/>
    </row>
    <row r="517">
      <c r="A517" s="16"/>
      <c r="B517" s="16"/>
      <c r="C517" s="16"/>
      <c r="D517" s="16"/>
      <c r="E517" s="6"/>
      <c r="H517" s="16"/>
    </row>
    <row r="518">
      <c r="A518" s="16"/>
      <c r="B518" s="16"/>
      <c r="C518" s="16"/>
      <c r="D518" s="16"/>
      <c r="E518" s="6"/>
      <c r="H518" s="16"/>
    </row>
    <row r="519">
      <c r="A519" s="16"/>
      <c r="B519" s="16"/>
      <c r="C519" s="16"/>
      <c r="D519" s="16"/>
      <c r="E519" s="6"/>
      <c r="H519" s="16"/>
    </row>
    <row r="520">
      <c r="A520" s="16"/>
      <c r="B520" s="16"/>
      <c r="C520" s="16"/>
      <c r="D520" s="16"/>
      <c r="E520" s="6"/>
      <c r="H520" s="16"/>
    </row>
    <row r="521">
      <c r="A521" s="16"/>
      <c r="B521" s="16"/>
      <c r="C521" s="16"/>
      <c r="D521" s="16"/>
      <c r="E521" s="6"/>
      <c r="H521" s="16"/>
    </row>
    <row r="522">
      <c r="A522" s="16"/>
      <c r="B522" s="16"/>
      <c r="C522" s="16"/>
      <c r="D522" s="16"/>
      <c r="E522" s="6"/>
      <c r="H522" s="16"/>
    </row>
    <row r="523">
      <c r="A523" s="16"/>
      <c r="B523" s="16"/>
      <c r="C523" s="16"/>
      <c r="D523" s="16"/>
      <c r="E523" s="6"/>
      <c r="H523" s="16"/>
    </row>
    <row r="524">
      <c r="A524" s="16"/>
      <c r="B524" s="16"/>
      <c r="C524" s="16"/>
      <c r="D524" s="16"/>
      <c r="E524" s="6"/>
      <c r="H524" s="16"/>
    </row>
    <row r="525">
      <c r="A525" s="16"/>
      <c r="B525" s="16"/>
      <c r="C525" s="16"/>
      <c r="D525" s="16"/>
      <c r="E525" s="6"/>
      <c r="H525" s="16"/>
    </row>
    <row r="526">
      <c r="A526" s="16"/>
      <c r="B526" s="16"/>
      <c r="C526" s="16"/>
      <c r="D526" s="16"/>
      <c r="E526" s="6"/>
      <c r="H526" s="16"/>
    </row>
    <row r="527">
      <c r="A527" s="16"/>
      <c r="B527" s="16"/>
      <c r="C527" s="16"/>
      <c r="D527" s="16"/>
      <c r="E527" s="6"/>
      <c r="H527" s="16"/>
    </row>
    <row r="528">
      <c r="A528" s="16"/>
      <c r="B528" s="16"/>
      <c r="C528" s="16"/>
      <c r="D528" s="16"/>
      <c r="E528" s="6"/>
      <c r="H528" s="16"/>
    </row>
    <row r="529">
      <c r="A529" s="16"/>
      <c r="B529" s="16"/>
      <c r="C529" s="16"/>
      <c r="D529" s="16"/>
      <c r="E529" s="6"/>
      <c r="H529" s="16"/>
    </row>
    <row r="530">
      <c r="A530" s="16"/>
      <c r="B530" s="16"/>
      <c r="C530" s="16"/>
      <c r="D530" s="16"/>
      <c r="E530" s="6"/>
      <c r="H530" s="16"/>
    </row>
    <row r="531">
      <c r="A531" s="16"/>
      <c r="B531" s="16"/>
      <c r="C531" s="16"/>
      <c r="D531" s="16"/>
      <c r="E531" s="6"/>
      <c r="H531" s="16"/>
    </row>
    <row r="532">
      <c r="A532" s="16"/>
      <c r="B532" s="16"/>
      <c r="C532" s="16"/>
      <c r="D532" s="16"/>
      <c r="E532" s="6"/>
      <c r="H532" s="16"/>
    </row>
    <row r="533">
      <c r="A533" s="16"/>
      <c r="B533" s="16"/>
      <c r="C533" s="16"/>
      <c r="D533" s="16"/>
      <c r="E533" s="6"/>
      <c r="H533" s="16"/>
    </row>
    <row r="534">
      <c r="A534" s="16"/>
      <c r="B534" s="16"/>
      <c r="C534" s="16"/>
      <c r="D534" s="16"/>
      <c r="E534" s="6"/>
      <c r="H534" s="16"/>
    </row>
    <row r="535">
      <c r="A535" s="16"/>
      <c r="B535" s="16"/>
      <c r="C535" s="16"/>
      <c r="D535" s="16"/>
      <c r="E535" s="6"/>
      <c r="H535" s="16"/>
    </row>
    <row r="536">
      <c r="A536" s="16"/>
      <c r="B536" s="16"/>
      <c r="C536" s="16"/>
      <c r="D536" s="16"/>
      <c r="E536" s="6"/>
      <c r="H536" s="16"/>
    </row>
    <row r="537">
      <c r="A537" s="16"/>
      <c r="B537" s="16"/>
      <c r="C537" s="16"/>
      <c r="D537" s="16"/>
      <c r="E537" s="6"/>
      <c r="H537" s="16"/>
    </row>
    <row r="538">
      <c r="A538" s="16"/>
      <c r="B538" s="16"/>
      <c r="C538" s="16"/>
      <c r="D538" s="16"/>
      <c r="E538" s="6"/>
      <c r="H538" s="16"/>
    </row>
    <row r="539">
      <c r="A539" s="16"/>
      <c r="B539" s="16"/>
      <c r="C539" s="16"/>
      <c r="D539" s="16"/>
      <c r="E539" s="6"/>
      <c r="H539" s="16"/>
    </row>
    <row r="540">
      <c r="A540" s="16"/>
      <c r="B540" s="16"/>
      <c r="C540" s="16"/>
      <c r="D540" s="16"/>
      <c r="E540" s="6"/>
      <c r="H540" s="16"/>
    </row>
    <row r="541">
      <c r="A541" s="16"/>
      <c r="B541" s="16"/>
      <c r="C541" s="16"/>
      <c r="D541" s="16"/>
      <c r="E541" s="6"/>
      <c r="H541" s="16"/>
    </row>
    <row r="542">
      <c r="A542" s="16"/>
      <c r="B542" s="16"/>
      <c r="C542" s="16"/>
      <c r="D542" s="16"/>
      <c r="E542" s="6"/>
      <c r="H542" s="16"/>
    </row>
    <row r="543">
      <c r="A543" s="16"/>
      <c r="B543" s="16"/>
      <c r="C543" s="16"/>
      <c r="D543" s="16"/>
      <c r="E543" s="6"/>
      <c r="H543" s="16"/>
    </row>
    <row r="544">
      <c r="A544" s="16"/>
      <c r="B544" s="16"/>
      <c r="C544" s="16"/>
      <c r="D544" s="16"/>
      <c r="E544" s="6"/>
      <c r="H544" s="16"/>
    </row>
    <row r="545">
      <c r="A545" s="16"/>
      <c r="B545" s="16"/>
      <c r="C545" s="16"/>
      <c r="D545" s="16"/>
      <c r="E545" s="6"/>
      <c r="H545" s="16"/>
    </row>
    <row r="546">
      <c r="A546" s="16"/>
      <c r="B546" s="16"/>
      <c r="C546" s="16"/>
      <c r="D546" s="16"/>
      <c r="E546" s="6"/>
      <c r="H546" s="16"/>
    </row>
    <row r="547">
      <c r="A547" s="16"/>
      <c r="B547" s="16"/>
      <c r="C547" s="16"/>
      <c r="D547" s="16"/>
      <c r="E547" s="6"/>
      <c r="H547" s="16"/>
    </row>
    <row r="548">
      <c r="A548" s="16"/>
      <c r="B548" s="16"/>
      <c r="C548" s="16"/>
      <c r="D548" s="16"/>
      <c r="E548" s="6"/>
      <c r="H548" s="16"/>
    </row>
    <row r="549">
      <c r="A549" s="16"/>
      <c r="B549" s="16"/>
      <c r="C549" s="16"/>
      <c r="D549" s="16"/>
      <c r="E549" s="6"/>
      <c r="H549" s="16"/>
    </row>
    <row r="550">
      <c r="A550" s="16"/>
      <c r="B550" s="16"/>
      <c r="C550" s="16"/>
      <c r="D550" s="16"/>
      <c r="E550" s="6"/>
      <c r="H550" s="16"/>
    </row>
    <row r="551">
      <c r="A551" s="16"/>
      <c r="B551" s="16"/>
      <c r="C551" s="16"/>
      <c r="D551" s="16"/>
      <c r="E551" s="6"/>
      <c r="H551" s="16"/>
    </row>
    <row r="552">
      <c r="A552" s="16"/>
      <c r="B552" s="16"/>
      <c r="C552" s="16"/>
      <c r="D552" s="16"/>
      <c r="E552" s="6"/>
      <c r="H552" s="16"/>
    </row>
    <row r="553">
      <c r="A553" s="16"/>
      <c r="B553" s="16"/>
      <c r="C553" s="16"/>
      <c r="D553" s="16"/>
      <c r="E553" s="6"/>
      <c r="H553" s="16"/>
    </row>
    <row r="554">
      <c r="A554" s="16"/>
      <c r="B554" s="16"/>
      <c r="C554" s="16"/>
      <c r="D554" s="16"/>
      <c r="E554" s="6"/>
      <c r="H554" s="16"/>
    </row>
    <row r="555">
      <c r="A555" s="16"/>
      <c r="B555" s="16"/>
      <c r="C555" s="16"/>
      <c r="D555" s="16"/>
      <c r="E555" s="6"/>
      <c r="H555" s="16"/>
    </row>
    <row r="556">
      <c r="A556" s="16"/>
      <c r="B556" s="16"/>
      <c r="C556" s="16"/>
      <c r="D556" s="16"/>
      <c r="E556" s="6"/>
      <c r="H556" s="16"/>
    </row>
    <row r="557">
      <c r="A557" s="16"/>
      <c r="B557" s="16"/>
      <c r="C557" s="16"/>
      <c r="D557" s="16"/>
      <c r="E557" s="6"/>
      <c r="H557" s="16"/>
    </row>
    <row r="558">
      <c r="A558" s="16"/>
      <c r="B558" s="16"/>
      <c r="C558" s="16"/>
      <c r="D558" s="16"/>
      <c r="E558" s="6"/>
      <c r="H558" s="16"/>
    </row>
    <row r="559">
      <c r="A559" s="16"/>
      <c r="B559" s="16"/>
      <c r="C559" s="16"/>
      <c r="D559" s="16"/>
      <c r="E559" s="6"/>
      <c r="H559" s="16"/>
    </row>
    <row r="560">
      <c r="A560" s="16"/>
      <c r="B560" s="16"/>
      <c r="C560" s="16"/>
      <c r="D560" s="16"/>
      <c r="E560" s="6"/>
      <c r="H560" s="16"/>
    </row>
    <row r="561">
      <c r="A561" s="16"/>
      <c r="B561" s="16"/>
      <c r="C561" s="16"/>
      <c r="D561" s="16"/>
      <c r="E561" s="6"/>
      <c r="H561" s="16"/>
    </row>
    <row r="562">
      <c r="A562" s="16"/>
      <c r="B562" s="16"/>
      <c r="C562" s="16"/>
      <c r="D562" s="16"/>
      <c r="E562" s="6"/>
      <c r="H562" s="16"/>
    </row>
    <row r="563">
      <c r="A563" s="16"/>
      <c r="B563" s="16"/>
      <c r="C563" s="16"/>
      <c r="D563" s="16"/>
      <c r="E563" s="6"/>
      <c r="H563" s="16"/>
    </row>
    <row r="564">
      <c r="A564" s="16"/>
      <c r="B564" s="16"/>
      <c r="C564" s="16"/>
      <c r="D564" s="16"/>
      <c r="E564" s="6"/>
      <c r="H564" s="16"/>
    </row>
    <row r="565">
      <c r="A565" s="16"/>
      <c r="B565" s="16"/>
      <c r="C565" s="16"/>
      <c r="D565" s="16"/>
      <c r="E565" s="6"/>
      <c r="H565" s="16"/>
    </row>
    <row r="566">
      <c r="A566" s="16"/>
      <c r="B566" s="16"/>
      <c r="C566" s="16"/>
      <c r="D566" s="16"/>
      <c r="E566" s="6"/>
      <c r="H566" s="16"/>
    </row>
    <row r="567">
      <c r="A567" s="16"/>
      <c r="B567" s="16"/>
      <c r="C567" s="16"/>
      <c r="D567" s="16"/>
      <c r="E567" s="6"/>
      <c r="H567" s="16"/>
    </row>
    <row r="568">
      <c r="A568" s="16"/>
      <c r="B568" s="16"/>
      <c r="C568" s="16"/>
      <c r="D568" s="16"/>
      <c r="E568" s="6"/>
      <c r="H568" s="16"/>
    </row>
    <row r="569">
      <c r="A569" s="16"/>
      <c r="B569" s="16"/>
      <c r="C569" s="16"/>
      <c r="D569" s="16"/>
      <c r="E569" s="6"/>
      <c r="H569" s="16"/>
    </row>
    <row r="570">
      <c r="A570" s="16"/>
      <c r="B570" s="16"/>
      <c r="C570" s="16"/>
      <c r="D570" s="16"/>
      <c r="E570" s="6"/>
      <c r="H570" s="16"/>
    </row>
    <row r="571">
      <c r="A571" s="16"/>
      <c r="B571" s="16"/>
      <c r="C571" s="16"/>
      <c r="D571" s="16"/>
      <c r="E571" s="6"/>
      <c r="H571" s="16"/>
    </row>
    <row r="572">
      <c r="A572" s="16"/>
      <c r="B572" s="16"/>
      <c r="C572" s="16"/>
      <c r="D572" s="16"/>
      <c r="E572" s="6"/>
      <c r="H572" s="16"/>
    </row>
    <row r="573">
      <c r="A573" s="16"/>
      <c r="B573" s="16"/>
      <c r="C573" s="16"/>
      <c r="D573" s="16"/>
      <c r="E573" s="6"/>
      <c r="H573" s="16"/>
    </row>
    <row r="574">
      <c r="A574" s="16"/>
      <c r="B574" s="16"/>
      <c r="C574" s="16"/>
      <c r="D574" s="16"/>
      <c r="E574" s="6"/>
      <c r="H574" s="16"/>
    </row>
    <row r="575">
      <c r="A575" s="16"/>
      <c r="B575" s="16"/>
      <c r="C575" s="16"/>
      <c r="D575" s="16"/>
      <c r="E575" s="6"/>
      <c r="H575" s="16"/>
    </row>
    <row r="576">
      <c r="A576" s="16"/>
      <c r="B576" s="16"/>
      <c r="C576" s="16"/>
      <c r="D576" s="16"/>
      <c r="E576" s="6"/>
      <c r="H576" s="16"/>
    </row>
    <row r="577">
      <c r="A577" s="16"/>
      <c r="B577" s="16"/>
      <c r="C577" s="16"/>
      <c r="D577" s="16"/>
      <c r="E577" s="6"/>
      <c r="H577" s="16"/>
    </row>
    <row r="578">
      <c r="A578" s="16"/>
      <c r="B578" s="16"/>
      <c r="C578" s="16"/>
      <c r="D578" s="16"/>
      <c r="E578" s="6"/>
      <c r="H578" s="16"/>
    </row>
    <row r="579">
      <c r="A579" s="16"/>
      <c r="B579" s="16"/>
      <c r="C579" s="16"/>
      <c r="D579" s="16"/>
      <c r="E579" s="6"/>
      <c r="H579" s="16"/>
    </row>
    <row r="580">
      <c r="A580" s="16"/>
      <c r="B580" s="16"/>
      <c r="C580" s="16"/>
      <c r="D580" s="16"/>
      <c r="E580" s="6"/>
      <c r="H580" s="16"/>
    </row>
    <row r="581">
      <c r="A581" s="16"/>
      <c r="B581" s="16"/>
      <c r="C581" s="16"/>
      <c r="D581" s="16"/>
      <c r="E581" s="6"/>
      <c r="H581" s="16"/>
    </row>
    <row r="582">
      <c r="A582" s="16"/>
      <c r="B582" s="16"/>
      <c r="C582" s="16"/>
      <c r="D582" s="16"/>
      <c r="E582" s="6"/>
      <c r="H582" s="16"/>
    </row>
    <row r="583">
      <c r="A583" s="16"/>
      <c r="B583" s="16"/>
      <c r="C583" s="16"/>
      <c r="D583" s="16"/>
      <c r="E583" s="6"/>
      <c r="H583" s="16"/>
    </row>
    <row r="584">
      <c r="A584" s="16"/>
      <c r="B584" s="16"/>
      <c r="C584" s="16"/>
      <c r="D584" s="16"/>
      <c r="E584" s="6"/>
      <c r="H584" s="16"/>
    </row>
    <row r="585">
      <c r="A585" s="16"/>
      <c r="B585" s="16"/>
      <c r="C585" s="16"/>
      <c r="D585" s="16"/>
      <c r="E585" s="6"/>
      <c r="H585" s="16"/>
    </row>
    <row r="586">
      <c r="A586" s="16"/>
      <c r="B586" s="16"/>
      <c r="C586" s="16"/>
      <c r="D586" s="16"/>
      <c r="E586" s="6"/>
      <c r="H586" s="16"/>
    </row>
    <row r="587">
      <c r="A587" s="16"/>
      <c r="B587" s="16"/>
      <c r="C587" s="16"/>
      <c r="D587" s="16"/>
      <c r="E587" s="6"/>
      <c r="H587" s="16"/>
    </row>
    <row r="588">
      <c r="A588" s="16"/>
      <c r="B588" s="16"/>
      <c r="C588" s="16"/>
      <c r="D588" s="16"/>
      <c r="E588" s="6"/>
      <c r="H588" s="16"/>
    </row>
    <row r="589">
      <c r="A589" s="16"/>
      <c r="B589" s="16"/>
      <c r="C589" s="16"/>
      <c r="D589" s="16"/>
      <c r="E589" s="6"/>
      <c r="H589" s="16"/>
    </row>
    <row r="590">
      <c r="A590" s="16"/>
      <c r="B590" s="16"/>
      <c r="C590" s="16"/>
      <c r="D590" s="16"/>
      <c r="E590" s="6"/>
      <c r="H590" s="16"/>
    </row>
    <row r="591">
      <c r="A591" s="16"/>
      <c r="B591" s="16"/>
      <c r="C591" s="16"/>
      <c r="D591" s="16"/>
      <c r="E591" s="6"/>
      <c r="H591" s="16"/>
    </row>
    <row r="592">
      <c r="A592" s="16"/>
      <c r="B592" s="16"/>
      <c r="C592" s="16"/>
      <c r="D592" s="16"/>
      <c r="E592" s="6"/>
      <c r="H592" s="16"/>
    </row>
    <row r="593">
      <c r="A593" s="16"/>
      <c r="B593" s="16"/>
      <c r="C593" s="16"/>
      <c r="D593" s="16"/>
      <c r="E593" s="6"/>
      <c r="H593" s="16"/>
    </row>
    <row r="594">
      <c r="A594" s="16"/>
      <c r="B594" s="16"/>
      <c r="C594" s="16"/>
      <c r="D594" s="16"/>
      <c r="E594" s="6"/>
      <c r="H594" s="16"/>
    </row>
    <row r="595">
      <c r="A595" s="16"/>
      <c r="B595" s="16"/>
      <c r="C595" s="16"/>
      <c r="D595" s="16"/>
      <c r="E595" s="6"/>
      <c r="H595" s="16"/>
    </row>
    <row r="596">
      <c r="A596" s="16"/>
      <c r="B596" s="16"/>
      <c r="C596" s="16"/>
      <c r="D596" s="16"/>
      <c r="E596" s="6"/>
      <c r="H596" s="16"/>
    </row>
    <row r="597">
      <c r="A597" s="16"/>
      <c r="B597" s="16"/>
      <c r="C597" s="16"/>
      <c r="D597" s="16"/>
      <c r="E597" s="6"/>
      <c r="H597" s="16"/>
    </row>
    <row r="598">
      <c r="A598" s="16"/>
      <c r="B598" s="16"/>
      <c r="C598" s="16"/>
      <c r="D598" s="16"/>
      <c r="E598" s="6"/>
      <c r="H598" s="16"/>
    </row>
    <row r="599">
      <c r="A599" s="16"/>
      <c r="B599" s="16"/>
      <c r="C599" s="16"/>
      <c r="D599" s="16"/>
      <c r="E599" s="6"/>
      <c r="H599" s="16"/>
    </row>
    <row r="600">
      <c r="A600" s="16"/>
      <c r="B600" s="16"/>
      <c r="C600" s="16"/>
      <c r="D600" s="16"/>
      <c r="E600" s="6"/>
      <c r="H600" s="16"/>
    </row>
    <row r="601">
      <c r="A601" s="16"/>
      <c r="B601" s="16"/>
      <c r="C601" s="16"/>
      <c r="D601" s="16"/>
      <c r="E601" s="6"/>
      <c r="H601" s="16"/>
    </row>
    <row r="602">
      <c r="A602" s="16"/>
      <c r="B602" s="16"/>
      <c r="C602" s="16"/>
      <c r="D602" s="16"/>
      <c r="E602" s="6"/>
      <c r="H602" s="16"/>
    </row>
    <row r="603">
      <c r="A603" s="16"/>
      <c r="B603" s="16"/>
      <c r="C603" s="16"/>
      <c r="D603" s="16"/>
      <c r="E603" s="6"/>
      <c r="H603" s="16"/>
    </row>
    <row r="604">
      <c r="A604" s="16"/>
      <c r="B604" s="16"/>
      <c r="C604" s="16"/>
      <c r="D604" s="16"/>
      <c r="E604" s="6"/>
      <c r="H604" s="16"/>
    </row>
    <row r="605">
      <c r="A605" s="16"/>
      <c r="B605" s="16"/>
      <c r="C605" s="16"/>
      <c r="D605" s="16"/>
      <c r="E605" s="6"/>
      <c r="H605" s="16"/>
    </row>
    <row r="606">
      <c r="A606" s="16"/>
      <c r="B606" s="16"/>
      <c r="C606" s="16"/>
      <c r="D606" s="16"/>
      <c r="E606" s="6"/>
      <c r="H606" s="16"/>
    </row>
    <row r="607">
      <c r="A607" s="16"/>
      <c r="B607" s="16"/>
      <c r="C607" s="16"/>
      <c r="D607" s="16"/>
      <c r="E607" s="6"/>
      <c r="H607" s="16"/>
    </row>
    <row r="608">
      <c r="A608" s="16"/>
      <c r="B608" s="16"/>
      <c r="C608" s="16"/>
      <c r="D608" s="16"/>
      <c r="E608" s="6"/>
      <c r="H608" s="16"/>
    </row>
    <row r="609">
      <c r="A609" s="16"/>
      <c r="B609" s="16"/>
      <c r="C609" s="16"/>
      <c r="D609" s="16"/>
      <c r="E609" s="6"/>
      <c r="H609" s="16"/>
    </row>
    <row r="610">
      <c r="A610" s="16"/>
      <c r="B610" s="16"/>
      <c r="C610" s="16"/>
      <c r="D610" s="16"/>
      <c r="E610" s="6"/>
      <c r="H610" s="16"/>
    </row>
    <row r="611">
      <c r="A611" s="16"/>
      <c r="B611" s="16"/>
      <c r="C611" s="16"/>
      <c r="D611" s="16"/>
      <c r="E611" s="6"/>
      <c r="H611" s="16"/>
    </row>
    <row r="612">
      <c r="A612" s="16"/>
      <c r="B612" s="16"/>
      <c r="C612" s="16"/>
      <c r="D612" s="16"/>
      <c r="E612" s="6"/>
      <c r="H612" s="16"/>
    </row>
    <row r="613">
      <c r="A613" s="16"/>
      <c r="B613" s="16"/>
      <c r="C613" s="16"/>
      <c r="D613" s="16"/>
      <c r="E613" s="6"/>
      <c r="H613" s="16"/>
    </row>
    <row r="614">
      <c r="A614" s="16"/>
      <c r="B614" s="16"/>
      <c r="C614" s="16"/>
      <c r="D614" s="16"/>
      <c r="E614" s="6"/>
      <c r="H614" s="16"/>
    </row>
    <row r="615">
      <c r="A615" s="16"/>
      <c r="B615" s="16"/>
      <c r="C615" s="16"/>
      <c r="D615" s="16"/>
      <c r="E615" s="6"/>
      <c r="H615" s="16"/>
    </row>
    <row r="616">
      <c r="A616" s="16"/>
      <c r="B616" s="16"/>
      <c r="C616" s="16"/>
      <c r="D616" s="16"/>
      <c r="E616" s="6"/>
      <c r="H616" s="16"/>
    </row>
    <row r="617">
      <c r="A617" s="16"/>
      <c r="B617" s="16"/>
      <c r="C617" s="16"/>
      <c r="D617" s="16"/>
      <c r="E617" s="6"/>
      <c r="H617" s="16"/>
    </row>
    <row r="618">
      <c r="A618" s="16"/>
      <c r="B618" s="16"/>
      <c r="C618" s="16"/>
      <c r="D618" s="16"/>
      <c r="E618" s="6"/>
      <c r="H618" s="16"/>
    </row>
    <row r="619">
      <c r="A619" s="16"/>
      <c r="B619" s="16"/>
      <c r="C619" s="16"/>
      <c r="D619" s="16"/>
      <c r="E619" s="6"/>
      <c r="H619" s="16"/>
    </row>
    <row r="620">
      <c r="A620" s="16"/>
      <c r="B620" s="16"/>
      <c r="C620" s="16"/>
      <c r="D620" s="16"/>
      <c r="E620" s="6"/>
      <c r="H620" s="16"/>
    </row>
    <row r="621">
      <c r="A621" s="16"/>
      <c r="B621" s="16"/>
      <c r="C621" s="16"/>
      <c r="D621" s="16"/>
      <c r="E621" s="6"/>
      <c r="H621" s="16"/>
    </row>
    <row r="622">
      <c r="A622" s="16"/>
      <c r="B622" s="16"/>
      <c r="C622" s="16"/>
      <c r="D622" s="16"/>
      <c r="E622" s="6"/>
      <c r="H622" s="16"/>
    </row>
    <row r="623">
      <c r="A623" s="16"/>
      <c r="B623" s="16"/>
      <c r="C623" s="16"/>
      <c r="D623" s="16"/>
      <c r="E623" s="6"/>
      <c r="H623" s="16"/>
    </row>
    <row r="624">
      <c r="A624" s="16"/>
      <c r="B624" s="16"/>
      <c r="C624" s="16"/>
      <c r="D624" s="16"/>
      <c r="E624" s="6"/>
      <c r="H624" s="16"/>
    </row>
    <row r="625">
      <c r="A625" s="16"/>
      <c r="B625" s="16"/>
      <c r="C625" s="16"/>
      <c r="D625" s="16"/>
      <c r="E625" s="6"/>
      <c r="H625" s="16"/>
    </row>
    <row r="626">
      <c r="A626" s="16"/>
      <c r="B626" s="16"/>
      <c r="C626" s="16"/>
      <c r="D626" s="16"/>
      <c r="E626" s="6"/>
      <c r="H626" s="16"/>
    </row>
    <row r="627">
      <c r="A627" s="16"/>
      <c r="B627" s="16"/>
      <c r="C627" s="16"/>
      <c r="D627" s="16"/>
      <c r="E627" s="6"/>
      <c r="H627" s="16"/>
    </row>
    <row r="628">
      <c r="A628" s="16"/>
      <c r="B628" s="16"/>
      <c r="C628" s="16"/>
      <c r="D628" s="16"/>
      <c r="E628" s="6"/>
      <c r="H628" s="16"/>
    </row>
    <row r="629">
      <c r="A629" s="16"/>
      <c r="B629" s="16"/>
      <c r="C629" s="16"/>
      <c r="D629" s="16"/>
      <c r="E629" s="6"/>
      <c r="H629" s="16"/>
    </row>
    <row r="630">
      <c r="A630" s="16"/>
      <c r="B630" s="16"/>
      <c r="C630" s="16"/>
      <c r="D630" s="16"/>
      <c r="E630" s="6"/>
      <c r="H630" s="16"/>
    </row>
    <row r="631">
      <c r="A631" s="16"/>
      <c r="B631" s="16"/>
      <c r="C631" s="16"/>
      <c r="D631" s="16"/>
      <c r="E631" s="6"/>
      <c r="H631" s="16"/>
    </row>
    <row r="632">
      <c r="A632" s="16"/>
      <c r="B632" s="16"/>
      <c r="C632" s="16"/>
      <c r="D632" s="16"/>
      <c r="E632" s="6"/>
      <c r="H632" s="16"/>
    </row>
    <row r="633">
      <c r="A633" s="16"/>
      <c r="B633" s="16"/>
      <c r="C633" s="16"/>
      <c r="D633" s="16"/>
      <c r="E633" s="6"/>
      <c r="H633" s="16"/>
    </row>
    <row r="634">
      <c r="A634" s="16"/>
      <c r="B634" s="16"/>
      <c r="C634" s="16"/>
      <c r="D634" s="16"/>
      <c r="E634" s="6"/>
      <c r="H634" s="16"/>
    </row>
    <row r="635">
      <c r="A635" s="16"/>
      <c r="B635" s="16"/>
      <c r="C635" s="16"/>
      <c r="D635" s="16"/>
      <c r="E635" s="6"/>
      <c r="H635" s="16"/>
    </row>
    <row r="636">
      <c r="A636" s="16"/>
      <c r="B636" s="16"/>
      <c r="C636" s="16"/>
      <c r="D636" s="16"/>
      <c r="E636" s="6"/>
      <c r="H636" s="16"/>
    </row>
    <row r="637">
      <c r="A637" s="16"/>
      <c r="B637" s="16"/>
      <c r="C637" s="16"/>
      <c r="D637" s="16"/>
      <c r="E637" s="6"/>
      <c r="H637" s="16"/>
    </row>
    <row r="638">
      <c r="A638" s="16"/>
      <c r="B638" s="16"/>
      <c r="C638" s="16"/>
      <c r="D638" s="16"/>
      <c r="E638" s="6"/>
      <c r="H638" s="16"/>
    </row>
    <row r="639">
      <c r="A639" s="16"/>
      <c r="B639" s="16"/>
      <c r="C639" s="16"/>
      <c r="D639" s="16"/>
      <c r="E639" s="6"/>
      <c r="H639" s="16"/>
    </row>
    <row r="640">
      <c r="A640" s="16"/>
      <c r="B640" s="16"/>
      <c r="C640" s="16"/>
      <c r="D640" s="16"/>
      <c r="E640" s="6"/>
      <c r="H640" s="16"/>
    </row>
    <row r="641">
      <c r="A641" s="16"/>
      <c r="B641" s="16"/>
      <c r="C641" s="16"/>
      <c r="D641" s="16"/>
      <c r="E641" s="6"/>
      <c r="H641" s="16"/>
    </row>
    <row r="642">
      <c r="A642" s="16"/>
      <c r="B642" s="16"/>
      <c r="C642" s="16"/>
      <c r="D642" s="16"/>
      <c r="E642" s="6"/>
      <c r="H642" s="16"/>
    </row>
    <row r="643">
      <c r="A643" s="16"/>
      <c r="B643" s="16"/>
      <c r="C643" s="16"/>
      <c r="D643" s="16"/>
      <c r="E643" s="6"/>
      <c r="H643" s="16"/>
    </row>
    <row r="644">
      <c r="A644" s="16"/>
      <c r="B644" s="16"/>
      <c r="C644" s="16"/>
      <c r="D644" s="16"/>
      <c r="E644" s="6"/>
      <c r="H644" s="16"/>
    </row>
    <row r="645">
      <c r="A645" s="16"/>
      <c r="B645" s="16"/>
      <c r="C645" s="16"/>
      <c r="D645" s="16"/>
      <c r="E645" s="6"/>
      <c r="H645" s="16"/>
    </row>
    <row r="646">
      <c r="A646" s="16"/>
      <c r="B646" s="16"/>
      <c r="C646" s="16"/>
      <c r="D646" s="16"/>
      <c r="E646" s="6"/>
      <c r="H646" s="16"/>
    </row>
    <row r="647">
      <c r="A647" s="16"/>
      <c r="B647" s="16"/>
      <c r="C647" s="16"/>
      <c r="D647" s="16"/>
      <c r="E647" s="6"/>
      <c r="H647" s="16"/>
    </row>
    <row r="648">
      <c r="A648" s="16"/>
      <c r="B648" s="16"/>
      <c r="C648" s="16"/>
      <c r="D648" s="16"/>
      <c r="E648" s="6"/>
      <c r="H648" s="16"/>
    </row>
    <row r="649">
      <c r="A649" s="16"/>
      <c r="B649" s="16"/>
      <c r="C649" s="16"/>
      <c r="D649" s="16"/>
      <c r="E649" s="6"/>
      <c r="H649" s="16"/>
    </row>
    <row r="650">
      <c r="A650" s="16"/>
      <c r="B650" s="16"/>
      <c r="C650" s="16"/>
      <c r="D650" s="16"/>
      <c r="E650" s="6"/>
      <c r="H650" s="16"/>
    </row>
    <row r="651">
      <c r="A651" s="16"/>
      <c r="B651" s="16"/>
      <c r="C651" s="16"/>
      <c r="D651" s="16"/>
      <c r="E651" s="6"/>
      <c r="H651" s="16"/>
    </row>
    <row r="652">
      <c r="A652" s="16"/>
      <c r="B652" s="16"/>
      <c r="C652" s="16"/>
      <c r="D652" s="16"/>
      <c r="E652" s="6"/>
      <c r="H652" s="16"/>
    </row>
    <row r="653">
      <c r="A653" s="16"/>
      <c r="B653" s="16"/>
      <c r="C653" s="16"/>
      <c r="D653" s="16"/>
      <c r="E653" s="6"/>
      <c r="H653" s="16"/>
    </row>
    <row r="654">
      <c r="A654" s="16"/>
      <c r="B654" s="16"/>
      <c r="C654" s="16"/>
      <c r="D654" s="16"/>
      <c r="E654" s="6"/>
      <c r="H654" s="16"/>
    </row>
    <row r="655">
      <c r="A655" s="16"/>
      <c r="B655" s="16"/>
      <c r="C655" s="16"/>
      <c r="D655" s="16"/>
      <c r="E655" s="6"/>
      <c r="H655" s="16"/>
    </row>
    <row r="656">
      <c r="A656" s="16"/>
      <c r="B656" s="16"/>
      <c r="C656" s="16"/>
      <c r="D656" s="16"/>
      <c r="E656" s="6"/>
      <c r="H656" s="16"/>
    </row>
    <row r="657">
      <c r="A657" s="16"/>
      <c r="B657" s="16"/>
      <c r="C657" s="16"/>
      <c r="D657" s="16"/>
      <c r="E657" s="6"/>
      <c r="H657" s="16"/>
    </row>
    <row r="658">
      <c r="A658" s="16"/>
      <c r="B658" s="16"/>
      <c r="C658" s="16"/>
      <c r="D658" s="16"/>
      <c r="E658" s="6"/>
      <c r="H658" s="16"/>
    </row>
    <row r="659">
      <c r="A659" s="16"/>
      <c r="B659" s="16"/>
      <c r="C659" s="16"/>
      <c r="D659" s="16"/>
      <c r="E659" s="6"/>
      <c r="H659" s="16"/>
    </row>
    <row r="660">
      <c r="A660" s="16"/>
      <c r="B660" s="16"/>
      <c r="C660" s="16"/>
      <c r="D660" s="16"/>
      <c r="E660" s="6"/>
      <c r="H660" s="16"/>
    </row>
    <row r="661">
      <c r="A661" s="16"/>
      <c r="B661" s="16"/>
      <c r="C661" s="16"/>
      <c r="D661" s="16"/>
      <c r="E661" s="6"/>
      <c r="H661" s="16"/>
    </row>
    <row r="662">
      <c r="A662" s="16"/>
      <c r="B662" s="16"/>
      <c r="C662" s="16"/>
      <c r="D662" s="16"/>
      <c r="E662" s="6"/>
      <c r="H662" s="16"/>
    </row>
    <row r="663">
      <c r="A663" s="16"/>
      <c r="B663" s="16"/>
      <c r="C663" s="16"/>
      <c r="D663" s="16"/>
      <c r="E663" s="6"/>
      <c r="H663" s="16"/>
    </row>
    <row r="664">
      <c r="A664" s="16"/>
      <c r="B664" s="16"/>
      <c r="C664" s="16"/>
      <c r="D664" s="16"/>
      <c r="E664" s="6"/>
      <c r="H664" s="16"/>
    </row>
    <row r="665">
      <c r="A665" s="16"/>
      <c r="B665" s="16"/>
      <c r="C665" s="16"/>
      <c r="D665" s="16"/>
      <c r="E665" s="6"/>
      <c r="H665" s="16"/>
    </row>
    <row r="666">
      <c r="A666" s="16"/>
      <c r="B666" s="16"/>
      <c r="C666" s="16"/>
      <c r="D666" s="16"/>
      <c r="E666" s="6"/>
      <c r="H666" s="16"/>
    </row>
    <row r="667">
      <c r="A667" s="16"/>
      <c r="B667" s="16"/>
      <c r="C667" s="16"/>
      <c r="D667" s="16"/>
      <c r="E667" s="6"/>
      <c r="H667" s="16"/>
    </row>
    <row r="668">
      <c r="A668" s="16"/>
      <c r="B668" s="16"/>
      <c r="C668" s="16"/>
      <c r="D668" s="16"/>
      <c r="E668" s="6"/>
      <c r="H668" s="16"/>
    </row>
    <row r="669">
      <c r="A669" s="16"/>
      <c r="B669" s="16"/>
      <c r="C669" s="16"/>
      <c r="D669" s="16"/>
      <c r="E669" s="6"/>
      <c r="H669" s="16"/>
    </row>
    <row r="670">
      <c r="A670" s="16"/>
      <c r="B670" s="16"/>
      <c r="C670" s="16"/>
      <c r="D670" s="16"/>
      <c r="E670" s="6"/>
      <c r="H670" s="16"/>
    </row>
    <row r="671">
      <c r="A671" s="16"/>
      <c r="B671" s="16"/>
      <c r="C671" s="16"/>
      <c r="D671" s="16"/>
      <c r="E671" s="6"/>
      <c r="H671" s="16"/>
    </row>
    <row r="672">
      <c r="A672" s="16"/>
      <c r="B672" s="16"/>
      <c r="C672" s="16"/>
      <c r="D672" s="16"/>
      <c r="E672" s="6"/>
      <c r="H672" s="16"/>
    </row>
    <row r="673">
      <c r="A673" s="16"/>
      <c r="B673" s="16"/>
      <c r="C673" s="16"/>
      <c r="D673" s="16"/>
      <c r="E673" s="6"/>
      <c r="H673" s="16"/>
    </row>
    <row r="674">
      <c r="A674" s="16"/>
      <c r="B674" s="16"/>
      <c r="C674" s="16"/>
      <c r="D674" s="16"/>
      <c r="E674" s="6"/>
      <c r="H674" s="16"/>
    </row>
    <row r="675">
      <c r="A675" s="16"/>
      <c r="B675" s="16"/>
      <c r="C675" s="16"/>
      <c r="D675" s="16"/>
      <c r="E675" s="6"/>
      <c r="H675" s="16"/>
    </row>
    <row r="676">
      <c r="A676" s="16"/>
      <c r="B676" s="16"/>
      <c r="C676" s="16"/>
      <c r="D676" s="16"/>
      <c r="E676" s="6"/>
      <c r="H676" s="16"/>
    </row>
    <row r="677">
      <c r="A677" s="16"/>
      <c r="B677" s="16"/>
      <c r="C677" s="16"/>
      <c r="D677" s="16"/>
      <c r="E677" s="6"/>
      <c r="H677" s="16"/>
    </row>
    <row r="678">
      <c r="A678" s="16"/>
      <c r="B678" s="16"/>
      <c r="C678" s="16"/>
      <c r="D678" s="16"/>
      <c r="E678" s="6"/>
      <c r="H678" s="16"/>
    </row>
    <row r="679">
      <c r="A679" s="16"/>
      <c r="B679" s="16"/>
      <c r="C679" s="16"/>
      <c r="D679" s="16"/>
      <c r="E679" s="6"/>
      <c r="H679" s="16"/>
    </row>
    <row r="680">
      <c r="A680" s="16"/>
      <c r="B680" s="16"/>
      <c r="C680" s="16"/>
      <c r="D680" s="16"/>
      <c r="E680" s="6"/>
      <c r="H680" s="16"/>
    </row>
    <row r="681">
      <c r="A681" s="16"/>
      <c r="B681" s="16"/>
      <c r="C681" s="16"/>
      <c r="D681" s="16"/>
      <c r="E681" s="6"/>
      <c r="H681" s="16"/>
    </row>
    <row r="682">
      <c r="A682" s="16"/>
      <c r="B682" s="16"/>
      <c r="C682" s="16"/>
      <c r="D682" s="16"/>
      <c r="E682" s="6"/>
      <c r="H682" s="16"/>
    </row>
    <row r="683">
      <c r="A683" s="16"/>
      <c r="B683" s="16"/>
      <c r="C683" s="16"/>
      <c r="D683" s="16"/>
      <c r="E683" s="6"/>
      <c r="H683" s="16"/>
    </row>
    <row r="684">
      <c r="A684" s="16"/>
      <c r="B684" s="16"/>
      <c r="C684" s="16"/>
      <c r="D684" s="16"/>
      <c r="E684" s="6"/>
      <c r="H684" s="16"/>
    </row>
    <row r="685">
      <c r="A685" s="16"/>
      <c r="B685" s="16"/>
      <c r="C685" s="16"/>
      <c r="D685" s="16"/>
      <c r="E685" s="6"/>
      <c r="H685" s="16"/>
    </row>
    <row r="686">
      <c r="A686" s="16"/>
      <c r="B686" s="16"/>
      <c r="C686" s="16"/>
      <c r="D686" s="16"/>
      <c r="E686" s="6"/>
      <c r="H686" s="16"/>
    </row>
    <row r="687">
      <c r="A687" s="16"/>
      <c r="B687" s="16"/>
      <c r="C687" s="16"/>
      <c r="D687" s="16"/>
      <c r="E687" s="6"/>
      <c r="H687" s="16"/>
    </row>
    <row r="688">
      <c r="A688" s="16"/>
      <c r="B688" s="16"/>
      <c r="C688" s="16"/>
      <c r="D688" s="16"/>
      <c r="E688" s="6"/>
      <c r="H688" s="16"/>
    </row>
    <row r="689">
      <c r="A689" s="16"/>
      <c r="B689" s="16"/>
      <c r="C689" s="16"/>
      <c r="D689" s="16"/>
      <c r="E689" s="6"/>
      <c r="H689" s="16"/>
    </row>
    <row r="690">
      <c r="A690" s="16"/>
      <c r="B690" s="16"/>
      <c r="C690" s="16"/>
      <c r="D690" s="16"/>
      <c r="E690" s="6"/>
      <c r="H690" s="16"/>
    </row>
    <row r="691">
      <c r="A691" s="16"/>
      <c r="B691" s="16"/>
      <c r="C691" s="16"/>
      <c r="D691" s="16"/>
      <c r="E691" s="6"/>
      <c r="H691" s="16"/>
    </row>
    <row r="692">
      <c r="A692" s="16"/>
      <c r="B692" s="16"/>
      <c r="C692" s="16"/>
      <c r="D692" s="16"/>
      <c r="E692" s="6"/>
      <c r="H692" s="16"/>
    </row>
    <row r="693">
      <c r="A693" s="16"/>
      <c r="B693" s="16"/>
      <c r="C693" s="16"/>
      <c r="D693" s="16"/>
      <c r="E693" s="6"/>
      <c r="H693" s="16"/>
    </row>
    <row r="694">
      <c r="A694" s="16"/>
      <c r="B694" s="16"/>
      <c r="C694" s="16"/>
      <c r="D694" s="16"/>
      <c r="E694" s="6"/>
      <c r="H694" s="16"/>
    </row>
    <row r="695">
      <c r="A695" s="16"/>
      <c r="B695" s="16"/>
      <c r="C695" s="16"/>
      <c r="D695" s="16"/>
      <c r="E695" s="6"/>
      <c r="H695" s="16"/>
    </row>
    <row r="696">
      <c r="A696" s="16"/>
      <c r="B696" s="16"/>
      <c r="C696" s="16"/>
      <c r="D696" s="16"/>
      <c r="E696" s="6"/>
      <c r="H696" s="16"/>
    </row>
    <row r="697">
      <c r="A697" s="16"/>
      <c r="B697" s="16"/>
      <c r="C697" s="16"/>
      <c r="D697" s="16"/>
      <c r="E697" s="6"/>
      <c r="H697" s="16"/>
    </row>
    <row r="698">
      <c r="A698" s="16"/>
      <c r="B698" s="16"/>
      <c r="C698" s="16"/>
      <c r="D698" s="16"/>
      <c r="E698" s="6"/>
      <c r="H698" s="16"/>
    </row>
    <row r="699">
      <c r="A699" s="16"/>
      <c r="B699" s="16"/>
      <c r="C699" s="16"/>
      <c r="D699" s="16"/>
      <c r="E699" s="6"/>
      <c r="H699" s="16"/>
    </row>
    <row r="700">
      <c r="A700" s="16"/>
      <c r="B700" s="16"/>
      <c r="C700" s="16"/>
      <c r="D700" s="16"/>
      <c r="E700" s="6"/>
      <c r="H700" s="16"/>
    </row>
    <row r="701">
      <c r="A701" s="16"/>
      <c r="B701" s="16"/>
      <c r="C701" s="16"/>
      <c r="D701" s="16"/>
      <c r="E701" s="6"/>
      <c r="H701" s="16"/>
    </row>
    <row r="702">
      <c r="A702" s="16"/>
      <c r="B702" s="16"/>
      <c r="C702" s="16"/>
      <c r="D702" s="16"/>
      <c r="E702" s="6"/>
      <c r="H702" s="16"/>
    </row>
    <row r="703">
      <c r="A703" s="16"/>
      <c r="B703" s="16"/>
      <c r="C703" s="16"/>
      <c r="D703" s="16"/>
      <c r="E703" s="6"/>
      <c r="H703" s="16"/>
    </row>
    <row r="704">
      <c r="A704" s="16"/>
      <c r="B704" s="16"/>
      <c r="C704" s="16"/>
      <c r="D704" s="16"/>
      <c r="E704" s="6"/>
      <c r="H704" s="16"/>
    </row>
    <row r="705">
      <c r="A705" s="16"/>
      <c r="B705" s="16"/>
      <c r="C705" s="16"/>
      <c r="D705" s="16"/>
      <c r="E705" s="6"/>
      <c r="H705" s="16"/>
    </row>
    <row r="706">
      <c r="A706" s="16"/>
      <c r="B706" s="16"/>
      <c r="C706" s="16"/>
      <c r="D706" s="16"/>
      <c r="E706" s="6"/>
      <c r="H706" s="16"/>
    </row>
    <row r="707">
      <c r="A707" s="16"/>
      <c r="B707" s="16"/>
      <c r="C707" s="16"/>
      <c r="D707" s="16"/>
      <c r="E707" s="6"/>
      <c r="H707" s="16"/>
    </row>
    <row r="708">
      <c r="A708" s="16"/>
      <c r="B708" s="16"/>
      <c r="C708" s="16"/>
      <c r="D708" s="16"/>
      <c r="E708" s="6"/>
      <c r="H708" s="16"/>
    </row>
    <row r="709">
      <c r="A709" s="16"/>
      <c r="B709" s="16"/>
      <c r="C709" s="16"/>
      <c r="D709" s="16"/>
      <c r="E709" s="6"/>
      <c r="H709" s="16"/>
    </row>
    <row r="710">
      <c r="A710" s="16"/>
      <c r="B710" s="16"/>
      <c r="C710" s="16"/>
      <c r="D710" s="16"/>
      <c r="E710" s="6"/>
      <c r="H710" s="16"/>
    </row>
    <row r="711">
      <c r="A711" s="16"/>
      <c r="B711" s="16"/>
      <c r="C711" s="16"/>
      <c r="D711" s="16"/>
      <c r="E711" s="6"/>
      <c r="H711" s="16"/>
    </row>
    <row r="712">
      <c r="A712" s="16"/>
      <c r="B712" s="16"/>
      <c r="C712" s="16"/>
      <c r="D712" s="16"/>
      <c r="E712" s="6"/>
      <c r="H712" s="16"/>
    </row>
    <row r="713">
      <c r="A713" s="16"/>
      <c r="B713" s="16"/>
      <c r="C713" s="16"/>
      <c r="D713" s="16"/>
      <c r="E713" s="6"/>
      <c r="H713" s="16"/>
    </row>
    <row r="714">
      <c r="A714" s="16"/>
      <c r="B714" s="16"/>
      <c r="C714" s="16"/>
      <c r="D714" s="16"/>
      <c r="E714" s="6"/>
      <c r="H714" s="16"/>
    </row>
    <row r="715">
      <c r="A715" s="16"/>
      <c r="B715" s="16"/>
      <c r="C715" s="16"/>
      <c r="D715" s="16"/>
      <c r="E715" s="6"/>
      <c r="H715" s="16"/>
    </row>
    <row r="716">
      <c r="A716" s="16"/>
      <c r="B716" s="16"/>
      <c r="C716" s="16"/>
      <c r="D716" s="16"/>
      <c r="E716" s="6"/>
      <c r="H716" s="16"/>
    </row>
    <row r="717">
      <c r="A717" s="16"/>
      <c r="B717" s="16"/>
      <c r="C717" s="16"/>
      <c r="D717" s="16"/>
      <c r="E717" s="6"/>
      <c r="H717" s="16"/>
    </row>
    <row r="718">
      <c r="A718" s="16"/>
      <c r="B718" s="16"/>
      <c r="C718" s="16"/>
      <c r="D718" s="16"/>
      <c r="E718" s="6"/>
      <c r="H718" s="16"/>
    </row>
    <row r="719">
      <c r="A719" s="16"/>
      <c r="B719" s="16"/>
      <c r="C719" s="16"/>
      <c r="D719" s="16"/>
      <c r="E719" s="6"/>
      <c r="H719" s="16"/>
    </row>
    <row r="720">
      <c r="A720" s="16"/>
      <c r="B720" s="16"/>
      <c r="C720" s="16"/>
      <c r="D720" s="16"/>
      <c r="E720" s="6"/>
      <c r="H720" s="16"/>
    </row>
    <row r="721">
      <c r="A721" s="16"/>
      <c r="B721" s="16"/>
      <c r="C721" s="16"/>
      <c r="D721" s="16"/>
      <c r="E721" s="6"/>
      <c r="H721" s="16"/>
    </row>
    <row r="722">
      <c r="A722" s="16"/>
      <c r="B722" s="16"/>
      <c r="C722" s="16"/>
      <c r="D722" s="16"/>
      <c r="E722" s="6"/>
      <c r="H722" s="16"/>
    </row>
    <row r="723">
      <c r="A723" s="16"/>
      <c r="B723" s="16"/>
      <c r="C723" s="16"/>
      <c r="D723" s="16"/>
      <c r="E723" s="6"/>
      <c r="H723" s="16"/>
    </row>
    <row r="724">
      <c r="A724" s="16"/>
      <c r="B724" s="16"/>
      <c r="C724" s="16"/>
      <c r="D724" s="16"/>
      <c r="E724" s="6"/>
      <c r="H724" s="16"/>
    </row>
    <row r="725">
      <c r="A725" s="16"/>
      <c r="B725" s="16"/>
      <c r="C725" s="16"/>
      <c r="D725" s="16"/>
      <c r="E725" s="6"/>
      <c r="H725" s="16"/>
    </row>
    <row r="726">
      <c r="A726" s="16"/>
      <c r="B726" s="16"/>
      <c r="C726" s="16"/>
      <c r="D726" s="16"/>
      <c r="E726" s="6"/>
      <c r="H726" s="16"/>
    </row>
    <row r="727">
      <c r="A727" s="16"/>
      <c r="B727" s="16"/>
      <c r="C727" s="16"/>
      <c r="D727" s="16"/>
      <c r="E727" s="6"/>
      <c r="H727" s="16"/>
    </row>
    <row r="728">
      <c r="A728" s="16"/>
      <c r="B728" s="16"/>
      <c r="C728" s="16"/>
      <c r="D728" s="16"/>
      <c r="E728" s="6"/>
      <c r="H728" s="16"/>
    </row>
    <row r="729">
      <c r="A729" s="16"/>
      <c r="B729" s="16"/>
      <c r="C729" s="16"/>
      <c r="D729" s="16"/>
      <c r="E729" s="6"/>
      <c r="H729" s="16"/>
    </row>
    <row r="730">
      <c r="A730" s="16"/>
      <c r="B730" s="16"/>
      <c r="C730" s="16"/>
      <c r="D730" s="16"/>
      <c r="E730" s="6"/>
      <c r="H730" s="16"/>
    </row>
    <row r="731">
      <c r="A731" s="16"/>
      <c r="B731" s="16"/>
      <c r="C731" s="16"/>
      <c r="D731" s="16"/>
      <c r="E731" s="6"/>
      <c r="H731" s="16"/>
    </row>
    <row r="732">
      <c r="A732" s="16"/>
      <c r="B732" s="16"/>
      <c r="C732" s="16"/>
      <c r="D732" s="16"/>
      <c r="E732" s="6"/>
      <c r="H732" s="16"/>
    </row>
    <row r="733">
      <c r="A733" s="16"/>
      <c r="B733" s="16"/>
      <c r="C733" s="16"/>
      <c r="D733" s="16"/>
      <c r="E733" s="6"/>
      <c r="H733" s="16"/>
    </row>
    <row r="734">
      <c r="A734" s="16"/>
      <c r="B734" s="16"/>
      <c r="C734" s="16"/>
      <c r="D734" s="16"/>
      <c r="E734" s="6"/>
      <c r="H734" s="16"/>
    </row>
    <row r="735">
      <c r="A735" s="16"/>
      <c r="B735" s="16"/>
      <c r="C735" s="16"/>
      <c r="D735" s="16"/>
      <c r="E735" s="6"/>
      <c r="H735" s="16"/>
    </row>
    <row r="736">
      <c r="A736" s="16"/>
      <c r="B736" s="16"/>
      <c r="C736" s="16"/>
      <c r="D736" s="16"/>
      <c r="E736" s="6"/>
      <c r="H736" s="16"/>
    </row>
    <row r="737">
      <c r="A737" s="16"/>
      <c r="B737" s="16"/>
      <c r="C737" s="16"/>
      <c r="D737" s="16"/>
      <c r="E737" s="6"/>
      <c r="H737" s="16"/>
    </row>
    <row r="738">
      <c r="A738" s="16"/>
      <c r="B738" s="16"/>
      <c r="C738" s="16"/>
      <c r="D738" s="16"/>
      <c r="E738" s="6"/>
      <c r="H738" s="16"/>
    </row>
    <row r="739">
      <c r="A739" s="16"/>
      <c r="B739" s="16"/>
      <c r="C739" s="16"/>
      <c r="D739" s="16"/>
      <c r="E739" s="6"/>
      <c r="H739" s="16"/>
    </row>
    <row r="740">
      <c r="A740" s="16"/>
      <c r="B740" s="16"/>
      <c r="C740" s="16"/>
      <c r="D740" s="16"/>
      <c r="E740" s="6"/>
      <c r="H740" s="16"/>
    </row>
    <row r="741">
      <c r="A741" s="16"/>
      <c r="B741" s="16"/>
      <c r="C741" s="16"/>
      <c r="D741" s="16"/>
      <c r="E741" s="6"/>
      <c r="H741" s="16"/>
    </row>
    <row r="742">
      <c r="A742" s="16"/>
      <c r="B742" s="16"/>
      <c r="C742" s="16"/>
      <c r="D742" s="16"/>
      <c r="E742" s="6"/>
      <c r="H742" s="16"/>
    </row>
    <row r="743">
      <c r="A743" s="16"/>
      <c r="B743" s="16"/>
      <c r="C743" s="16"/>
      <c r="D743" s="16"/>
      <c r="E743" s="6"/>
      <c r="H743" s="16"/>
    </row>
    <row r="744">
      <c r="A744" s="16"/>
      <c r="B744" s="16"/>
      <c r="C744" s="16"/>
      <c r="D744" s="16"/>
      <c r="E744" s="6"/>
      <c r="H744" s="16"/>
    </row>
    <row r="745">
      <c r="A745" s="16"/>
      <c r="B745" s="16"/>
      <c r="C745" s="16"/>
      <c r="D745" s="16"/>
      <c r="E745" s="6"/>
      <c r="H745" s="16"/>
    </row>
    <row r="746">
      <c r="A746" s="16"/>
      <c r="B746" s="16"/>
      <c r="C746" s="16"/>
      <c r="D746" s="16"/>
      <c r="E746" s="6"/>
      <c r="H746" s="16"/>
    </row>
    <row r="747">
      <c r="A747" s="16"/>
      <c r="B747" s="16"/>
      <c r="C747" s="16"/>
      <c r="D747" s="16"/>
      <c r="E747" s="6"/>
      <c r="H747" s="16"/>
    </row>
    <row r="748">
      <c r="A748" s="16"/>
      <c r="B748" s="16"/>
      <c r="C748" s="16"/>
      <c r="D748" s="16"/>
      <c r="E748" s="6"/>
      <c r="H748" s="16"/>
    </row>
    <row r="749">
      <c r="A749" s="16"/>
      <c r="B749" s="16"/>
      <c r="C749" s="16"/>
      <c r="D749" s="16"/>
      <c r="E749" s="6"/>
      <c r="H749" s="16"/>
    </row>
    <row r="750">
      <c r="A750" s="16"/>
      <c r="B750" s="16"/>
      <c r="C750" s="16"/>
      <c r="D750" s="16"/>
      <c r="E750" s="6"/>
      <c r="H750" s="16"/>
    </row>
    <row r="751">
      <c r="A751" s="16"/>
      <c r="B751" s="16"/>
      <c r="C751" s="16"/>
      <c r="D751" s="16"/>
      <c r="E751" s="6"/>
      <c r="H751" s="16"/>
    </row>
    <row r="752">
      <c r="A752" s="16"/>
      <c r="B752" s="16"/>
      <c r="C752" s="16"/>
      <c r="D752" s="16"/>
      <c r="E752" s="6"/>
      <c r="H752" s="16"/>
    </row>
    <row r="753">
      <c r="A753" s="16"/>
      <c r="B753" s="16"/>
      <c r="C753" s="16"/>
      <c r="D753" s="16"/>
      <c r="E753" s="6"/>
      <c r="H753" s="16"/>
    </row>
    <row r="754">
      <c r="A754" s="16"/>
      <c r="B754" s="16"/>
      <c r="C754" s="16"/>
      <c r="D754" s="16"/>
      <c r="E754" s="6"/>
      <c r="H754" s="16"/>
    </row>
    <row r="755">
      <c r="A755" s="16"/>
      <c r="B755" s="16"/>
      <c r="C755" s="16"/>
      <c r="D755" s="16"/>
      <c r="E755" s="6"/>
      <c r="H755" s="16"/>
    </row>
    <row r="756">
      <c r="A756" s="16"/>
      <c r="B756" s="16"/>
      <c r="C756" s="16"/>
      <c r="D756" s="16"/>
      <c r="E756" s="6"/>
      <c r="H756" s="16"/>
    </row>
    <row r="757">
      <c r="A757" s="16"/>
      <c r="B757" s="16"/>
      <c r="C757" s="16"/>
      <c r="D757" s="16"/>
      <c r="E757" s="6"/>
      <c r="H757" s="16"/>
    </row>
    <row r="758">
      <c r="A758" s="16"/>
      <c r="B758" s="16"/>
      <c r="C758" s="16"/>
      <c r="D758" s="16"/>
      <c r="E758" s="6"/>
      <c r="H758" s="16"/>
    </row>
    <row r="759">
      <c r="A759" s="16"/>
      <c r="B759" s="16"/>
      <c r="C759" s="16"/>
      <c r="D759" s="16"/>
      <c r="E759" s="6"/>
      <c r="H759" s="16"/>
    </row>
    <row r="760">
      <c r="A760" s="16"/>
      <c r="B760" s="16"/>
      <c r="C760" s="16"/>
      <c r="D760" s="16"/>
      <c r="E760" s="6"/>
      <c r="H760" s="16"/>
    </row>
    <row r="761">
      <c r="A761" s="16"/>
      <c r="B761" s="16"/>
      <c r="C761" s="16"/>
      <c r="D761" s="16"/>
      <c r="E761" s="6"/>
      <c r="H761" s="16"/>
    </row>
    <row r="762">
      <c r="A762" s="16"/>
      <c r="B762" s="16"/>
      <c r="C762" s="16"/>
      <c r="D762" s="16"/>
      <c r="E762" s="6"/>
      <c r="H762" s="16"/>
    </row>
    <row r="763">
      <c r="A763" s="16"/>
      <c r="B763" s="16"/>
      <c r="C763" s="16"/>
      <c r="D763" s="16"/>
      <c r="E763" s="6"/>
      <c r="H763" s="16"/>
    </row>
    <row r="764">
      <c r="A764" s="16"/>
      <c r="B764" s="16"/>
      <c r="C764" s="16"/>
      <c r="D764" s="16"/>
      <c r="E764" s="6"/>
      <c r="H764" s="16"/>
    </row>
    <row r="765">
      <c r="A765" s="16"/>
      <c r="B765" s="16"/>
      <c r="C765" s="16"/>
      <c r="D765" s="16"/>
      <c r="E765" s="6"/>
      <c r="H765" s="16"/>
    </row>
    <row r="766">
      <c r="A766" s="16"/>
      <c r="B766" s="16"/>
      <c r="C766" s="16"/>
      <c r="D766" s="16"/>
      <c r="E766" s="6"/>
      <c r="H766" s="16"/>
    </row>
    <row r="767">
      <c r="A767" s="16"/>
      <c r="B767" s="16"/>
      <c r="C767" s="16"/>
      <c r="D767" s="16"/>
      <c r="E767" s="6"/>
      <c r="H767" s="16"/>
    </row>
    <row r="768">
      <c r="A768" s="16"/>
      <c r="B768" s="16"/>
      <c r="C768" s="16"/>
      <c r="D768" s="16"/>
      <c r="E768" s="6"/>
      <c r="H768" s="16"/>
    </row>
    <row r="769">
      <c r="A769" s="16"/>
      <c r="B769" s="16"/>
      <c r="C769" s="16"/>
      <c r="D769" s="16"/>
      <c r="E769" s="6"/>
      <c r="H769" s="16"/>
    </row>
    <row r="770">
      <c r="A770" s="16"/>
      <c r="B770" s="16"/>
      <c r="C770" s="16"/>
      <c r="D770" s="16"/>
      <c r="E770" s="6"/>
      <c r="H770" s="16"/>
    </row>
    <row r="771">
      <c r="A771" s="16"/>
      <c r="B771" s="16"/>
      <c r="C771" s="16"/>
      <c r="D771" s="16"/>
      <c r="E771" s="6"/>
      <c r="H771" s="16"/>
    </row>
    <row r="772">
      <c r="A772" s="16"/>
      <c r="B772" s="16"/>
      <c r="C772" s="16"/>
      <c r="D772" s="16"/>
      <c r="E772" s="6"/>
      <c r="H772" s="16"/>
    </row>
    <row r="773">
      <c r="A773" s="16"/>
      <c r="B773" s="16"/>
      <c r="C773" s="16"/>
      <c r="D773" s="16"/>
      <c r="E773" s="6"/>
      <c r="H773" s="16"/>
    </row>
    <row r="774">
      <c r="A774" s="16"/>
      <c r="B774" s="16"/>
      <c r="C774" s="16"/>
      <c r="D774" s="16"/>
      <c r="E774" s="6"/>
      <c r="H774" s="16"/>
    </row>
    <row r="775">
      <c r="A775" s="16"/>
      <c r="B775" s="16"/>
      <c r="C775" s="16"/>
      <c r="D775" s="16"/>
      <c r="E775" s="6"/>
      <c r="H775" s="16"/>
    </row>
    <row r="776">
      <c r="A776" s="16"/>
      <c r="B776" s="16"/>
      <c r="C776" s="16"/>
      <c r="D776" s="16"/>
      <c r="E776" s="6"/>
      <c r="H776" s="16"/>
    </row>
    <row r="777">
      <c r="A777" s="16"/>
      <c r="B777" s="16"/>
      <c r="C777" s="16"/>
      <c r="D777" s="16"/>
      <c r="E777" s="6"/>
      <c r="H777" s="16"/>
    </row>
    <row r="778">
      <c r="A778" s="16"/>
      <c r="B778" s="16"/>
      <c r="C778" s="16"/>
      <c r="D778" s="16"/>
      <c r="E778" s="6"/>
      <c r="H778" s="16"/>
    </row>
    <row r="779">
      <c r="A779" s="16"/>
      <c r="B779" s="16"/>
      <c r="C779" s="16"/>
      <c r="D779" s="16"/>
      <c r="E779" s="6"/>
      <c r="H779" s="16"/>
    </row>
    <row r="780">
      <c r="A780" s="16"/>
      <c r="B780" s="16"/>
      <c r="C780" s="16"/>
      <c r="D780" s="16"/>
      <c r="E780" s="6"/>
      <c r="H780" s="16"/>
    </row>
    <row r="781">
      <c r="A781" s="16"/>
      <c r="B781" s="16"/>
      <c r="C781" s="16"/>
      <c r="D781" s="16"/>
      <c r="E781" s="6"/>
      <c r="H781" s="16"/>
    </row>
    <row r="782">
      <c r="A782" s="16"/>
      <c r="B782" s="16"/>
      <c r="C782" s="16"/>
      <c r="D782" s="16"/>
      <c r="E782" s="6"/>
      <c r="H782" s="16"/>
    </row>
    <row r="783">
      <c r="A783" s="16"/>
      <c r="B783" s="16"/>
      <c r="C783" s="16"/>
      <c r="D783" s="16"/>
      <c r="E783" s="6"/>
      <c r="H783" s="16"/>
    </row>
    <row r="784">
      <c r="A784" s="16"/>
      <c r="B784" s="16"/>
      <c r="C784" s="16"/>
      <c r="D784" s="16"/>
      <c r="E784" s="6"/>
      <c r="H784" s="16"/>
    </row>
    <row r="785">
      <c r="A785" s="16"/>
      <c r="B785" s="16"/>
      <c r="C785" s="16"/>
      <c r="D785" s="16"/>
      <c r="E785" s="6"/>
      <c r="H785" s="16"/>
    </row>
    <row r="786">
      <c r="A786" s="16"/>
      <c r="B786" s="16"/>
      <c r="C786" s="16"/>
      <c r="D786" s="16"/>
      <c r="E786" s="6"/>
      <c r="H786" s="16"/>
    </row>
    <row r="787">
      <c r="A787" s="16"/>
      <c r="B787" s="16"/>
      <c r="C787" s="16"/>
      <c r="D787" s="16"/>
      <c r="E787" s="6"/>
      <c r="H787" s="16"/>
    </row>
    <row r="788">
      <c r="A788" s="16"/>
      <c r="B788" s="16"/>
      <c r="C788" s="16"/>
      <c r="D788" s="16"/>
      <c r="E788" s="6"/>
      <c r="H788" s="16"/>
    </row>
    <row r="789">
      <c r="A789" s="16"/>
      <c r="B789" s="16"/>
      <c r="C789" s="16"/>
      <c r="D789" s="16"/>
      <c r="E789" s="6"/>
      <c r="H789" s="16"/>
    </row>
    <row r="790">
      <c r="A790" s="16"/>
      <c r="B790" s="16"/>
      <c r="C790" s="16"/>
      <c r="D790" s="16"/>
      <c r="E790" s="6"/>
      <c r="H790" s="16"/>
    </row>
    <row r="791">
      <c r="A791" s="16"/>
      <c r="B791" s="16"/>
      <c r="C791" s="16"/>
      <c r="D791" s="16"/>
      <c r="E791" s="6"/>
      <c r="H791" s="16"/>
    </row>
    <row r="792">
      <c r="A792" s="16"/>
      <c r="B792" s="16"/>
      <c r="C792" s="16"/>
      <c r="D792" s="16"/>
      <c r="E792" s="6"/>
      <c r="H792" s="16"/>
    </row>
    <row r="793">
      <c r="A793" s="16"/>
      <c r="B793" s="16"/>
      <c r="C793" s="16"/>
      <c r="D793" s="16"/>
      <c r="E793" s="6"/>
      <c r="H793" s="16"/>
    </row>
    <row r="794">
      <c r="A794" s="16"/>
      <c r="B794" s="16"/>
      <c r="C794" s="16"/>
      <c r="D794" s="16"/>
      <c r="E794" s="6"/>
      <c r="H794" s="16"/>
    </row>
    <row r="795">
      <c r="A795" s="16"/>
      <c r="B795" s="16"/>
      <c r="C795" s="16"/>
      <c r="D795" s="16"/>
      <c r="E795" s="6"/>
      <c r="H795" s="16"/>
    </row>
    <row r="796">
      <c r="A796" s="16"/>
      <c r="B796" s="16"/>
      <c r="C796" s="16"/>
      <c r="D796" s="16"/>
      <c r="E796" s="6"/>
      <c r="H796" s="16"/>
    </row>
    <row r="797">
      <c r="A797" s="16"/>
      <c r="B797" s="16"/>
      <c r="C797" s="16"/>
      <c r="D797" s="16"/>
      <c r="E797" s="6"/>
      <c r="H797" s="16"/>
    </row>
    <row r="798">
      <c r="A798" s="16"/>
      <c r="B798" s="16"/>
      <c r="C798" s="16"/>
      <c r="D798" s="16"/>
      <c r="E798" s="6"/>
      <c r="H798" s="16"/>
    </row>
    <row r="799">
      <c r="A799" s="16"/>
      <c r="B799" s="16"/>
      <c r="C799" s="16"/>
      <c r="D799" s="16"/>
      <c r="E799" s="6"/>
      <c r="H799" s="16"/>
    </row>
    <row r="800">
      <c r="A800" s="16"/>
      <c r="B800" s="16"/>
      <c r="C800" s="16"/>
      <c r="D800" s="16"/>
      <c r="E800" s="6"/>
      <c r="H800" s="16"/>
    </row>
    <row r="801">
      <c r="A801" s="16"/>
      <c r="B801" s="16"/>
      <c r="C801" s="16"/>
      <c r="D801" s="16"/>
      <c r="E801" s="6"/>
      <c r="H801" s="16"/>
    </row>
    <row r="802">
      <c r="A802" s="16"/>
      <c r="B802" s="16"/>
      <c r="C802" s="16"/>
      <c r="D802" s="16"/>
      <c r="E802" s="6"/>
      <c r="H802" s="16"/>
    </row>
    <row r="803">
      <c r="A803" s="16"/>
      <c r="B803" s="16"/>
      <c r="C803" s="16"/>
      <c r="D803" s="16"/>
      <c r="E803" s="6"/>
      <c r="H803" s="16"/>
    </row>
    <row r="804">
      <c r="A804" s="16"/>
      <c r="B804" s="16"/>
      <c r="C804" s="16"/>
      <c r="D804" s="16"/>
      <c r="E804" s="6"/>
      <c r="H804" s="16"/>
    </row>
    <row r="805">
      <c r="A805" s="16"/>
      <c r="B805" s="16"/>
      <c r="C805" s="16"/>
      <c r="D805" s="16"/>
      <c r="E805" s="6"/>
      <c r="H805" s="16"/>
    </row>
    <row r="806">
      <c r="A806" s="16"/>
      <c r="B806" s="16"/>
      <c r="C806" s="16"/>
      <c r="D806" s="16"/>
      <c r="E806" s="6"/>
      <c r="H806" s="16"/>
    </row>
    <row r="807">
      <c r="A807" s="16"/>
      <c r="B807" s="16"/>
      <c r="C807" s="16"/>
      <c r="D807" s="16"/>
      <c r="E807" s="6"/>
      <c r="H807" s="16"/>
    </row>
    <row r="808">
      <c r="A808" s="16"/>
      <c r="B808" s="16"/>
      <c r="C808" s="16"/>
      <c r="D808" s="16"/>
      <c r="E808" s="6"/>
      <c r="H808" s="16"/>
    </row>
    <row r="809">
      <c r="A809" s="16"/>
      <c r="B809" s="16"/>
      <c r="C809" s="16"/>
      <c r="D809" s="16"/>
      <c r="E809" s="6"/>
      <c r="H809" s="16"/>
    </row>
    <row r="810">
      <c r="A810" s="16"/>
      <c r="B810" s="16"/>
      <c r="C810" s="16"/>
      <c r="D810" s="16"/>
      <c r="E810" s="6"/>
      <c r="H810" s="16"/>
    </row>
    <row r="811">
      <c r="A811" s="16"/>
      <c r="B811" s="16"/>
      <c r="C811" s="16"/>
      <c r="D811" s="16"/>
      <c r="E811" s="6"/>
      <c r="H811" s="16"/>
    </row>
    <row r="812">
      <c r="A812" s="16"/>
      <c r="B812" s="16"/>
      <c r="C812" s="16"/>
      <c r="D812" s="16"/>
      <c r="E812" s="6"/>
      <c r="H812" s="16"/>
    </row>
    <row r="813">
      <c r="A813" s="16"/>
      <c r="B813" s="16"/>
      <c r="C813" s="16"/>
      <c r="D813" s="16"/>
      <c r="E813" s="6"/>
      <c r="H813" s="16"/>
    </row>
    <row r="814">
      <c r="A814" s="16"/>
      <c r="B814" s="16"/>
      <c r="C814" s="16"/>
      <c r="D814" s="16"/>
      <c r="E814" s="6"/>
      <c r="H814" s="16"/>
    </row>
    <row r="815">
      <c r="A815" s="16"/>
      <c r="B815" s="16"/>
      <c r="C815" s="16"/>
      <c r="D815" s="16"/>
      <c r="E815" s="6"/>
      <c r="H815" s="16"/>
    </row>
    <row r="816">
      <c r="A816" s="16"/>
      <c r="B816" s="16"/>
      <c r="C816" s="16"/>
      <c r="D816" s="16"/>
      <c r="E816" s="6"/>
      <c r="H816" s="16"/>
    </row>
    <row r="817">
      <c r="A817" s="16"/>
      <c r="B817" s="16"/>
      <c r="C817" s="16"/>
      <c r="D817" s="16"/>
      <c r="E817" s="6"/>
      <c r="H817" s="16"/>
    </row>
    <row r="818">
      <c r="A818" s="16"/>
      <c r="B818" s="16"/>
      <c r="C818" s="16"/>
      <c r="D818" s="16"/>
      <c r="E818" s="6"/>
      <c r="H818" s="16"/>
    </row>
    <row r="819">
      <c r="A819" s="16"/>
      <c r="B819" s="16"/>
      <c r="C819" s="16"/>
      <c r="D819" s="16"/>
      <c r="E819" s="6"/>
      <c r="H819" s="16"/>
    </row>
    <row r="820">
      <c r="A820" s="16"/>
      <c r="B820" s="16"/>
      <c r="C820" s="16"/>
      <c r="D820" s="16"/>
      <c r="E820" s="6"/>
      <c r="H820" s="16"/>
    </row>
    <row r="821">
      <c r="A821" s="16"/>
      <c r="B821" s="16"/>
      <c r="C821" s="16"/>
      <c r="D821" s="16"/>
      <c r="E821" s="6"/>
      <c r="H821" s="16"/>
    </row>
    <row r="822">
      <c r="A822" s="16"/>
      <c r="B822" s="16"/>
      <c r="C822" s="16"/>
      <c r="D822" s="16"/>
      <c r="E822" s="6"/>
      <c r="H822" s="16"/>
    </row>
    <row r="823">
      <c r="A823" s="16"/>
      <c r="B823" s="16"/>
      <c r="C823" s="16"/>
      <c r="D823" s="16"/>
      <c r="E823" s="6"/>
      <c r="H823" s="16"/>
    </row>
    <row r="824">
      <c r="A824" s="16"/>
      <c r="B824" s="16"/>
      <c r="C824" s="16"/>
      <c r="D824" s="16"/>
      <c r="E824" s="6"/>
      <c r="H824" s="16"/>
    </row>
    <row r="825">
      <c r="A825" s="16"/>
      <c r="B825" s="16"/>
      <c r="C825" s="16"/>
      <c r="D825" s="16"/>
      <c r="E825" s="6"/>
      <c r="H825" s="16"/>
    </row>
    <row r="826">
      <c r="A826" s="16"/>
      <c r="B826" s="16"/>
      <c r="C826" s="16"/>
      <c r="D826" s="16"/>
      <c r="E826" s="6"/>
      <c r="H826" s="16"/>
    </row>
    <row r="827">
      <c r="A827" s="16"/>
      <c r="B827" s="16"/>
      <c r="C827" s="16"/>
      <c r="D827" s="16"/>
      <c r="E827" s="6"/>
      <c r="H827" s="16"/>
    </row>
    <row r="828">
      <c r="A828" s="16"/>
      <c r="B828" s="16"/>
      <c r="C828" s="16"/>
      <c r="D828" s="16"/>
      <c r="E828" s="6"/>
      <c r="H828" s="16"/>
    </row>
    <row r="829">
      <c r="A829" s="16"/>
      <c r="B829" s="16"/>
      <c r="C829" s="16"/>
      <c r="D829" s="16"/>
      <c r="E829" s="6"/>
      <c r="H829" s="16"/>
    </row>
    <row r="830">
      <c r="A830" s="16"/>
      <c r="B830" s="16"/>
      <c r="C830" s="16"/>
      <c r="D830" s="16"/>
      <c r="E830" s="6"/>
      <c r="H830" s="16"/>
    </row>
    <row r="831">
      <c r="A831" s="16"/>
      <c r="B831" s="16"/>
      <c r="C831" s="16"/>
      <c r="D831" s="16"/>
      <c r="E831" s="6"/>
      <c r="H831" s="16"/>
    </row>
    <row r="832">
      <c r="A832" s="16"/>
      <c r="B832" s="16"/>
      <c r="C832" s="16"/>
      <c r="D832" s="16"/>
      <c r="E832" s="6"/>
      <c r="H832" s="16"/>
    </row>
    <row r="833">
      <c r="A833" s="16"/>
      <c r="B833" s="16"/>
      <c r="C833" s="16"/>
      <c r="D833" s="16"/>
      <c r="E833" s="6"/>
      <c r="H833" s="16"/>
    </row>
    <row r="834">
      <c r="A834" s="16"/>
      <c r="B834" s="16"/>
      <c r="C834" s="16"/>
      <c r="D834" s="16"/>
      <c r="E834" s="6"/>
      <c r="H834" s="16"/>
    </row>
    <row r="835">
      <c r="A835" s="16"/>
      <c r="B835" s="16"/>
      <c r="C835" s="16"/>
      <c r="D835" s="16"/>
      <c r="E835" s="6"/>
      <c r="H835" s="16"/>
    </row>
    <row r="836">
      <c r="A836" s="16"/>
      <c r="B836" s="16"/>
      <c r="C836" s="16"/>
      <c r="D836" s="16"/>
      <c r="E836" s="6"/>
      <c r="H836" s="16"/>
    </row>
    <row r="837">
      <c r="A837" s="16"/>
      <c r="B837" s="16"/>
      <c r="C837" s="16"/>
      <c r="D837" s="16"/>
      <c r="E837" s="6"/>
      <c r="H837" s="16"/>
    </row>
    <row r="838">
      <c r="A838" s="16"/>
      <c r="B838" s="16"/>
      <c r="C838" s="16"/>
      <c r="D838" s="16"/>
      <c r="E838" s="6"/>
      <c r="H838" s="16"/>
    </row>
    <row r="839">
      <c r="A839" s="16"/>
      <c r="B839" s="16"/>
      <c r="C839" s="16"/>
      <c r="D839" s="16"/>
      <c r="E839" s="6"/>
      <c r="H839" s="16"/>
    </row>
    <row r="840">
      <c r="A840" s="16"/>
      <c r="B840" s="16"/>
      <c r="C840" s="16"/>
      <c r="D840" s="16"/>
      <c r="E840" s="6"/>
      <c r="H840" s="16"/>
    </row>
    <row r="841">
      <c r="A841" s="16"/>
      <c r="B841" s="16"/>
      <c r="C841" s="16"/>
      <c r="D841" s="16"/>
      <c r="E841" s="6"/>
      <c r="H841" s="16"/>
    </row>
    <row r="842">
      <c r="A842" s="16"/>
      <c r="B842" s="16"/>
      <c r="C842" s="16"/>
      <c r="D842" s="16"/>
      <c r="E842" s="6"/>
      <c r="H842" s="16"/>
    </row>
    <row r="843">
      <c r="A843" s="16"/>
      <c r="B843" s="16"/>
      <c r="C843" s="16"/>
      <c r="D843" s="16"/>
      <c r="E843" s="6"/>
      <c r="H843" s="16"/>
    </row>
    <row r="844">
      <c r="A844" s="16"/>
      <c r="B844" s="16"/>
      <c r="C844" s="16"/>
      <c r="D844" s="16"/>
      <c r="E844" s="6"/>
      <c r="H844" s="16"/>
    </row>
    <row r="845">
      <c r="A845" s="16"/>
      <c r="B845" s="16"/>
      <c r="C845" s="16"/>
      <c r="D845" s="16"/>
      <c r="E845" s="6"/>
      <c r="H845" s="16"/>
    </row>
    <row r="846">
      <c r="A846" s="16"/>
      <c r="B846" s="16"/>
      <c r="C846" s="16"/>
      <c r="D846" s="16"/>
      <c r="E846" s="6"/>
      <c r="H846" s="16"/>
    </row>
    <row r="847">
      <c r="A847" s="16"/>
      <c r="B847" s="16"/>
      <c r="C847" s="16"/>
      <c r="D847" s="16"/>
      <c r="E847" s="6"/>
      <c r="H847" s="16"/>
    </row>
    <row r="848">
      <c r="A848" s="16"/>
      <c r="B848" s="16"/>
      <c r="C848" s="16"/>
      <c r="D848" s="16"/>
      <c r="E848" s="6"/>
      <c r="H848" s="16"/>
    </row>
    <row r="849">
      <c r="A849" s="16"/>
      <c r="B849" s="16"/>
      <c r="C849" s="16"/>
      <c r="D849" s="16"/>
      <c r="E849" s="6"/>
      <c r="H849" s="16"/>
    </row>
    <row r="850">
      <c r="A850" s="16"/>
      <c r="B850" s="16"/>
      <c r="C850" s="16"/>
      <c r="D850" s="16"/>
      <c r="E850" s="6"/>
      <c r="H850" s="16"/>
    </row>
    <row r="851">
      <c r="A851" s="16"/>
      <c r="B851" s="16"/>
      <c r="C851" s="16"/>
      <c r="D851" s="16"/>
      <c r="E851" s="6"/>
      <c r="H851" s="16"/>
    </row>
    <row r="852">
      <c r="A852" s="16"/>
      <c r="B852" s="16"/>
      <c r="C852" s="16"/>
      <c r="D852" s="16"/>
      <c r="E852" s="6"/>
      <c r="H852" s="16"/>
    </row>
    <row r="853">
      <c r="A853" s="16"/>
      <c r="B853" s="16"/>
      <c r="C853" s="16"/>
      <c r="D853" s="16"/>
      <c r="E853" s="6"/>
      <c r="H853" s="16"/>
    </row>
    <row r="854">
      <c r="A854" s="16"/>
      <c r="B854" s="16"/>
      <c r="C854" s="16"/>
      <c r="D854" s="16"/>
      <c r="E854" s="6"/>
      <c r="H854" s="16"/>
    </row>
    <row r="855">
      <c r="A855" s="16"/>
      <c r="B855" s="16"/>
      <c r="C855" s="16"/>
      <c r="D855" s="16"/>
      <c r="E855" s="6"/>
      <c r="H855" s="16"/>
    </row>
    <row r="856">
      <c r="A856" s="16"/>
      <c r="B856" s="16"/>
      <c r="C856" s="16"/>
      <c r="D856" s="16"/>
      <c r="E856" s="6"/>
      <c r="H856" s="16"/>
    </row>
    <row r="857">
      <c r="A857" s="16"/>
      <c r="B857" s="16"/>
      <c r="C857" s="16"/>
      <c r="D857" s="16"/>
      <c r="E857" s="6"/>
      <c r="H857" s="16"/>
    </row>
    <row r="858">
      <c r="A858" s="16"/>
      <c r="B858" s="16"/>
      <c r="C858" s="16"/>
      <c r="D858" s="16"/>
      <c r="E858" s="6"/>
      <c r="H858" s="16"/>
    </row>
    <row r="859">
      <c r="A859" s="16"/>
      <c r="B859" s="16"/>
      <c r="C859" s="16"/>
      <c r="D859" s="16"/>
      <c r="E859" s="6"/>
      <c r="H859" s="16"/>
    </row>
    <row r="860">
      <c r="A860" s="16"/>
      <c r="B860" s="16"/>
      <c r="C860" s="16"/>
      <c r="D860" s="16"/>
      <c r="E860" s="6"/>
      <c r="H860" s="16"/>
    </row>
    <row r="861">
      <c r="A861" s="16"/>
      <c r="B861" s="16"/>
      <c r="C861" s="16"/>
      <c r="D861" s="16"/>
      <c r="E861" s="6"/>
      <c r="H861" s="16"/>
    </row>
    <row r="862">
      <c r="A862" s="16"/>
      <c r="B862" s="16"/>
      <c r="C862" s="16"/>
      <c r="D862" s="16"/>
      <c r="E862" s="6"/>
      <c r="H862" s="16"/>
    </row>
    <row r="863">
      <c r="A863" s="16"/>
      <c r="B863" s="16"/>
      <c r="C863" s="16"/>
      <c r="D863" s="16"/>
      <c r="E863" s="6"/>
      <c r="H863" s="16"/>
    </row>
    <row r="864">
      <c r="A864" s="16"/>
      <c r="B864" s="16"/>
      <c r="C864" s="16"/>
      <c r="D864" s="16"/>
      <c r="E864" s="6"/>
      <c r="H864" s="16"/>
    </row>
    <row r="865">
      <c r="A865" s="16"/>
      <c r="B865" s="16"/>
      <c r="C865" s="16"/>
      <c r="D865" s="16"/>
      <c r="E865" s="6"/>
      <c r="H865" s="16"/>
    </row>
    <row r="866">
      <c r="A866" s="16"/>
      <c r="B866" s="16"/>
      <c r="C866" s="16"/>
      <c r="D866" s="16"/>
      <c r="E866" s="6"/>
      <c r="H866" s="16"/>
    </row>
    <row r="867">
      <c r="A867" s="16"/>
      <c r="B867" s="16"/>
      <c r="C867" s="16"/>
      <c r="D867" s="16"/>
      <c r="E867" s="6"/>
      <c r="H867" s="16"/>
    </row>
    <row r="868">
      <c r="A868" s="16"/>
      <c r="B868" s="16"/>
      <c r="C868" s="16"/>
      <c r="D868" s="16"/>
      <c r="E868" s="6"/>
      <c r="H868" s="16"/>
    </row>
    <row r="869">
      <c r="A869" s="16"/>
      <c r="B869" s="16"/>
      <c r="C869" s="16"/>
      <c r="D869" s="16"/>
      <c r="E869" s="6"/>
      <c r="H869" s="16"/>
    </row>
    <row r="870">
      <c r="A870" s="16"/>
      <c r="B870" s="16"/>
      <c r="C870" s="16"/>
      <c r="D870" s="16"/>
      <c r="E870" s="6"/>
      <c r="H870" s="16"/>
    </row>
    <row r="871">
      <c r="A871" s="16"/>
      <c r="B871" s="16"/>
      <c r="C871" s="16"/>
      <c r="D871" s="16"/>
      <c r="E871" s="6"/>
      <c r="H871" s="16"/>
    </row>
    <row r="872">
      <c r="A872" s="16"/>
      <c r="B872" s="16"/>
      <c r="C872" s="16"/>
      <c r="D872" s="16"/>
      <c r="E872" s="6"/>
      <c r="H872" s="16"/>
    </row>
    <row r="873">
      <c r="A873" s="16"/>
      <c r="B873" s="16"/>
      <c r="C873" s="16"/>
      <c r="D873" s="16"/>
      <c r="E873" s="6"/>
      <c r="H873" s="16"/>
    </row>
    <row r="874">
      <c r="A874" s="16"/>
      <c r="B874" s="16"/>
      <c r="C874" s="16"/>
      <c r="D874" s="16"/>
      <c r="E874" s="6"/>
      <c r="H874" s="16"/>
    </row>
    <row r="875">
      <c r="A875" s="16"/>
      <c r="B875" s="16"/>
      <c r="C875" s="16"/>
      <c r="D875" s="16"/>
      <c r="E875" s="6"/>
      <c r="H875" s="16"/>
    </row>
    <row r="876">
      <c r="A876" s="16"/>
      <c r="B876" s="16"/>
      <c r="C876" s="16"/>
      <c r="D876" s="16"/>
      <c r="E876" s="6"/>
      <c r="H876" s="16"/>
    </row>
    <row r="877">
      <c r="A877" s="16"/>
      <c r="B877" s="16"/>
      <c r="C877" s="16"/>
      <c r="D877" s="16"/>
      <c r="E877" s="6"/>
      <c r="H877" s="16"/>
    </row>
    <row r="878">
      <c r="A878" s="16"/>
      <c r="B878" s="16"/>
      <c r="C878" s="16"/>
      <c r="D878" s="16"/>
      <c r="E878" s="6"/>
      <c r="H878" s="16"/>
    </row>
    <row r="879">
      <c r="A879" s="16"/>
      <c r="B879" s="16"/>
      <c r="C879" s="16"/>
      <c r="D879" s="16"/>
      <c r="E879" s="6"/>
      <c r="H879" s="16"/>
    </row>
    <row r="880">
      <c r="A880" s="16"/>
      <c r="B880" s="16"/>
      <c r="C880" s="16"/>
      <c r="D880" s="16"/>
      <c r="E880" s="6"/>
      <c r="H880" s="16"/>
    </row>
    <row r="881">
      <c r="A881" s="16"/>
      <c r="B881" s="16"/>
      <c r="C881" s="16"/>
      <c r="D881" s="16"/>
      <c r="E881" s="6"/>
      <c r="H881" s="16"/>
    </row>
    <row r="882">
      <c r="A882" s="16"/>
      <c r="B882" s="16"/>
      <c r="C882" s="16"/>
      <c r="D882" s="16"/>
      <c r="E882" s="6"/>
      <c r="H882" s="16"/>
    </row>
    <row r="883">
      <c r="A883" s="16"/>
      <c r="B883" s="16"/>
      <c r="C883" s="16"/>
      <c r="D883" s="16"/>
      <c r="E883" s="6"/>
      <c r="H883" s="16"/>
    </row>
    <row r="884">
      <c r="A884" s="16"/>
      <c r="B884" s="16"/>
      <c r="C884" s="16"/>
      <c r="D884" s="16"/>
      <c r="E884" s="6"/>
      <c r="H884" s="16"/>
    </row>
    <row r="885">
      <c r="A885" s="16"/>
      <c r="B885" s="16"/>
      <c r="C885" s="16"/>
      <c r="D885" s="16"/>
      <c r="E885" s="6"/>
      <c r="H885" s="16"/>
    </row>
    <row r="886">
      <c r="A886" s="16"/>
      <c r="B886" s="16"/>
      <c r="C886" s="16"/>
      <c r="D886" s="16"/>
      <c r="E886" s="6"/>
      <c r="H886" s="16"/>
    </row>
    <row r="887">
      <c r="A887" s="16"/>
      <c r="B887" s="16"/>
      <c r="C887" s="16"/>
      <c r="D887" s="16"/>
      <c r="E887" s="6"/>
      <c r="H887" s="16"/>
    </row>
    <row r="888">
      <c r="A888" s="16"/>
      <c r="B888" s="16"/>
      <c r="C888" s="16"/>
      <c r="D888" s="16"/>
      <c r="E888" s="6"/>
      <c r="H888" s="16"/>
    </row>
    <row r="889">
      <c r="A889" s="16"/>
      <c r="B889" s="16"/>
      <c r="C889" s="16"/>
      <c r="D889" s="16"/>
      <c r="E889" s="6"/>
      <c r="H889" s="16"/>
    </row>
    <row r="890">
      <c r="A890" s="16"/>
      <c r="B890" s="16"/>
      <c r="C890" s="16"/>
      <c r="D890" s="16"/>
      <c r="E890" s="6"/>
      <c r="H890" s="16"/>
    </row>
    <row r="891">
      <c r="A891" s="16"/>
      <c r="B891" s="16"/>
      <c r="C891" s="16"/>
      <c r="D891" s="16"/>
      <c r="E891" s="6"/>
      <c r="H891" s="16"/>
    </row>
    <row r="892">
      <c r="A892" s="16"/>
      <c r="B892" s="16"/>
      <c r="C892" s="16"/>
      <c r="D892" s="16"/>
      <c r="E892" s="6"/>
      <c r="H892" s="16"/>
    </row>
    <row r="893">
      <c r="A893" s="16"/>
      <c r="B893" s="16"/>
      <c r="C893" s="16"/>
      <c r="D893" s="16"/>
      <c r="E893" s="6"/>
      <c r="H893" s="16"/>
    </row>
    <row r="894">
      <c r="A894" s="16"/>
      <c r="B894" s="16"/>
      <c r="C894" s="16"/>
      <c r="D894" s="16"/>
      <c r="E894" s="6"/>
      <c r="H894" s="16"/>
    </row>
    <row r="895">
      <c r="A895" s="16"/>
      <c r="B895" s="16"/>
      <c r="C895" s="16"/>
      <c r="D895" s="16"/>
      <c r="E895" s="6"/>
      <c r="H895" s="16"/>
    </row>
    <row r="896">
      <c r="A896" s="16"/>
      <c r="B896" s="16"/>
      <c r="C896" s="16"/>
      <c r="D896" s="16"/>
      <c r="E896" s="6"/>
      <c r="H896" s="16"/>
    </row>
    <row r="897">
      <c r="A897" s="16"/>
      <c r="B897" s="16"/>
      <c r="C897" s="16"/>
      <c r="D897" s="16"/>
      <c r="E897" s="6"/>
      <c r="H897" s="16"/>
    </row>
    <row r="898">
      <c r="A898" s="16"/>
      <c r="B898" s="16"/>
      <c r="C898" s="16"/>
      <c r="D898" s="16"/>
      <c r="E898" s="6"/>
      <c r="H898" s="16"/>
    </row>
    <row r="899">
      <c r="A899" s="16"/>
      <c r="B899" s="16"/>
      <c r="C899" s="16"/>
      <c r="D899" s="16"/>
      <c r="E899" s="6"/>
      <c r="H899" s="16"/>
    </row>
    <row r="900">
      <c r="A900" s="16"/>
      <c r="B900" s="16"/>
      <c r="C900" s="16"/>
      <c r="D900" s="16"/>
      <c r="E900" s="6"/>
      <c r="H900" s="16"/>
    </row>
    <row r="901">
      <c r="A901" s="16"/>
      <c r="B901" s="16"/>
      <c r="C901" s="16"/>
      <c r="D901" s="16"/>
      <c r="E901" s="6"/>
      <c r="H901" s="16"/>
    </row>
    <row r="902">
      <c r="A902" s="16"/>
      <c r="B902" s="16"/>
      <c r="C902" s="16"/>
      <c r="D902" s="16"/>
      <c r="E902" s="6"/>
      <c r="H902" s="16"/>
    </row>
    <row r="903">
      <c r="A903" s="16"/>
      <c r="B903" s="16"/>
      <c r="C903" s="16"/>
      <c r="D903" s="16"/>
      <c r="E903" s="6"/>
      <c r="H903" s="16"/>
    </row>
    <row r="904">
      <c r="A904" s="16"/>
      <c r="B904" s="16"/>
      <c r="C904" s="16"/>
      <c r="D904" s="16"/>
      <c r="E904" s="6"/>
      <c r="H904" s="16"/>
    </row>
    <row r="905">
      <c r="A905" s="16"/>
      <c r="B905" s="16"/>
      <c r="C905" s="16"/>
      <c r="D905" s="16"/>
      <c r="E905" s="6"/>
      <c r="H905" s="16"/>
    </row>
    <row r="906">
      <c r="A906" s="16"/>
      <c r="B906" s="16"/>
      <c r="C906" s="16"/>
      <c r="D906" s="16"/>
      <c r="E906" s="6"/>
      <c r="H906" s="16"/>
    </row>
    <row r="907">
      <c r="A907" s="16"/>
      <c r="B907" s="16"/>
      <c r="C907" s="16"/>
      <c r="D907" s="16"/>
      <c r="E907" s="6"/>
      <c r="H907" s="16"/>
    </row>
    <row r="908">
      <c r="A908" s="16"/>
      <c r="B908" s="16"/>
      <c r="C908" s="16"/>
      <c r="D908" s="16"/>
      <c r="E908" s="6"/>
      <c r="H908" s="16"/>
    </row>
    <row r="909">
      <c r="A909" s="16"/>
      <c r="B909" s="16"/>
      <c r="C909" s="16"/>
      <c r="D909" s="16"/>
      <c r="E909" s="6"/>
      <c r="H909" s="16"/>
    </row>
    <row r="910">
      <c r="A910" s="16"/>
      <c r="B910" s="16"/>
      <c r="C910" s="16"/>
      <c r="D910" s="16"/>
      <c r="E910" s="6"/>
      <c r="H910" s="16"/>
    </row>
    <row r="911">
      <c r="A911" s="16"/>
      <c r="B911" s="16"/>
      <c r="C911" s="16"/>
      <c r="D911" s="16"/>
      <c r="E911" s="6"/>
      <c r="H911" s="16"/>
    </row>
    <row r="912">
      <c r="A912" s="16"/>
      <c r="B912" s="16"/>
      <c r="C912" s="16"/>
      <c r="D912" s="16"/>
      <c r="E912" s="6"/>
      <c r="H912" s="16"/>
    </row>
    <row r="913">
      <c r="A913" s="16"/>
      <c r="B913" s="16"/>
      <c r="C913" s="16"/>
      <c r="D913" s="16"/>
      <c r="E913" s="6"/>
      <c r="H913" s="16"/>
    </row>
    <row r="914">
      <c r="A914" s="16"/>
      <c r="B914" s="16"/>
      <c r="C914" s="16"/>
      <c r="D914" s="16"/>
      <c r="E914" s="6"/>
      <c r="H914" s="16"/>
    </row>
    <row r="915">
      <c r="A915" s="16"/>
      <c r="B915" s="16"/>
      <c r="C915" s="16"/>
      <c r="D915" s="16"/>
      <c r="E915" s="6"/>
      <c r="H915" s="16"/>
    </row>
    <row r="916">
      <c r="A916" s="16"/>
      <c r="B916" s="16"/>
      <c r="C916" s="16"/>
      <c r="D916" s="16"/>
      <c r="E916" s="6"/>
      <c r="H916" s="16"/>
    </row>
    <row r="917">
      <c r="A917" s="16"/>
      <c r="B917" s="16"/>
      <c r="C917" s="16"/>
      <c r="D917" s="16"/>
      <c r="E917" s="6"/>
      <c r="H917" s="16"/>
    </row>
    <row r="918">
      <c r="A918" s="16"/>
      <c r="B918" s="16"/>
      <c r="C918" s="16"/>
      <c r="D918" s="16"/>
      <c r="E918" s="6"/>
      <c r="H918" s="16"/>
    </row>
    <row r="919">
      <c r="A919" s="16"/>
      <c r="B919" s="16"/>
      <c r="C919" s="16"/>
      <c r="D919" s="16"/>
      <c r="E919" s="6"/>
      <c r="H919" s="16"/>
    </row>
    <row r="920">
      <c r="A920" s="16"/>
      <c r="B920" s="16"/>
      <c r="C920" s="16"/>
      <c r="D920" s="16"/>
      <c r="E920" s="6"/>
      <c r="H920" s="16"/>
    </row>
    <row r="921">
      <c r="A921" s="16"/>
      <c r="B921" s="16"/>
      <c r="C921" s="16"/>
      <c r="D921" s="16"/>
      <c r="E921" s="6"/>
      <c r="H921" s="16"/>
    </row>
    <row r="922">
      <c r="A922" s="16"/>
      <c r="B922" s="16"/>
      <c r="C922" s="16"/>
      <c r="D922" s="16"/>
      <c r="E922" s="6"/>
      <c r="H922" s="16"/>
    </row>
    <row r="923">
      <c r="A923" s="16"/>
      <c r="B923" s="16"/>
      <c r="C923" s="16"/>
      <c r="D923" s="16"/>
      <c r="E923" s="6"/>
      <c r="H923" s="16"/>
    </row>
    <row r="924">
      <c r="A924" s="16"/>
      <c r="B924" s="16"/>
      <c r="C924" s="16"/>
      <c r="D924" s="16"/>
      <c r="E924" s="6"/>
      <c r="H924" s="16"/>
    </row>
    <row r="925">
      <c r="A925" s="16"/>
      <c r="B925" s="16"/>
      <c r="C925" s="16"/>
      <c r="D925" s="16"/>
      <c r="E925" s="6"/>
      <c r="H925" s="16"/>
    </row>
    <row r="926">
      <c r="A926" s="16"/>
      <c r="B926" s="16"/>
      <c r="C926" s="16"/>
      <c r="D926" s="16"/>
      <c r="E926" s="6"/>
      <c r="H926" s="16"/>
    </row>
    <row r="927">
      <c r="A927" s="16"/>
      <c r="B927" s="16"/>
      <c r="C927" s="16"/>
      <c r="D927" s="16"/>
      <c r="E927" s="6"/>
      <c r="H927" s="16"/>
    </row>
    <row r="928">
      <c r="A928" s="16"/>
      <c r="B928" s="16"/>
      <c r="C928" s="16"/>
      <c r="D928" s="16"/>
      <c r="E928" s="6"/>
      <c r="H928" s="16"/>
    </row>
    <row r="929">
      <c r="A929" s="16"/>
      <c r="B929" s="16"/>
      <c r="C929" s="16"/>
      <c r="D929" s="16"/>
      <c r="E929" s="6"/>
      <c r="H929" s="16"/>
    </row>
    <row r="930">
      <c r="A930" s="16"/>
      <c r="B930" s="16"/>
      <c r="C930" s="16"/>
      <c r="D930" s="16"/>
      <c r="E930" s="6"/>
      <c r="H930" s="16"/>
    </row>
    <row r="931">
      <c r="A931" s="16"/>
      <c r="B931" s="16"/>
      <c r="C931" s="16"/>
      <c r="D931" s="16"/>
      <c r="E931" s="6"/>
      <c r="H931" s="16"/>
    </row>
    <row r="932">
      <c r="A932" s="16"/>
      <c r="B932" s="16"/>
      <c r="C932" s="16"/>
      <c r="D932" s="16"/>
      <c r="E932" s="6"/>
      <c r="H932" s="16"/>
    </row>
    <row r="933">
      <c r="A933" s="16"/>
      <c r="B933" s="16"/>
      <c r="C933" s="16"/>
      <c r="D933" s="16"/>
      <c r="E933" s="6"/>
      <c r="H933" s="16"/>
    </row>
    <row r="934">
      <c r="A934" s="16"/>
      <c r="B934" s="16"/>
      <c r="C934" s="16"/>
      <c r="D934" s="16"/>
      <c r="E934" s="6"/>
      <c r="H934" s="16"/>
    </row>
    <row r="935">
      <c r="A935" s="16"/>
      <c r="B935" s="16"/>
      <c r="C935" s="16"/>
      <c r="D935" s="16"/>
      <c r="E935" s="6"/>
      <c r="H935" s="16"/>
    </row>
    <row r="936">
      <c r="A936" s="16"/>
      <c r="B936" s="16"/>
      <c r="C936" s="16"/>
      <c r="D936" s="16"/>
      <c r="E936" s="6"/>
      <c r="H936" s="16"/>
    </row>
    <row r="937">
      <c r="A937" s="16"/>
      <c r="B937" s="16"/>
      <c r="C937" s="16"/>
      <c r="D937" s="16"/>
      <c r="E937" s="6"/>
      <c r="H937" s="16"/>
    </row>
    <row r="938">
      <c r="A938" s="16"/>
      <c r="B938" s="16"/>
      <c r="C938" s="16"/>
      <c r="D938" s="16"/>
      <c r="E938" s="6"/>
      <c r="H938" s="16"/>
    </row>
    <row r="939">
      <c r="A939" s="16"/>
      <c r="B939" s="16"/>
      <c r="C939" s="16"/>
      <c r="D939" s="16"/>
      <c r="E939" s="6"/>
      <c r="H939" s="16"/>
    </row>
    <row r="940">
      <c r="A940" s="16"/>
      <c r="B940" s="16"/>
      <c r="C940" s="16"/>
      <c r="D940" s="16"/>
      <c r="E940" s="6"/>
      <c r="H940" s="16"/>
    </row>
    <row r="941">
      <c r="A941" s="16"/>
      <c r="B941" s="16"/>
      <c r="C941" s="16"/>
      <c r="D941" s="16"/>
      <c r="E941" s="6"/>
      <c r="H941" s="16"/>
    </row>
    <row r="942">
      <c r="A942" s="16"/>
      <c r="B942" s="16"/>
      <c r="C942" s="16"/>
      <c r="D942" s="16"/>
      <c r="E942" s="6"/>
      <c r="H942" s="16"/>
    </row>
    <row r="943">
      <c r="A943" s="16"/>
      <c r="B943" s="16"/>
      <c r="C943" s="16"/>
      <c r="D943" s="16"/>
      <c r="E943" s="6"/>
      <c r="H943" s="16"/>
    </row>
    <row r="944">
      <c r="A944" s="16"/>
      <c r="B944" s="16"/>
      <c r="C944" s="16"/>
      <c r="D944" s="16"/>
      <c r="E944" s="6"/>
      <c r="H944" s="16"/>
    </row>
    <row r="945">
      <c r="A945" s="16"/>
      <c r="B945" s="16"/>
      <c r="C945" s="16"/>
      <c r="D945" s="16"/>
      <c r="E945" s="6"/>
      <c r="H945" s="16"/>
    </row>
    <row r="946">
      <c r="A946" s="16"/>
      <c r="B946" s="16"/>
      <c r="C946" s="16"/>
      <c r="D946" s="16"/>
      <c r="E946" s="6"/>
      <c r="H946" s="16"/>
    </row>
    <row r="947">
      <c r="A947" s="16"/>
      <c r="B947" s="16"/>
      <c r="C947" s="16"/>
      <c r="D947" s="16"/>
      <c r="E947" s="6"/>
      <c r="H947" s="16"/>
    </row>
    <row r="948">
      <c r="A948" s="16"/>
      <c r="B948" s="16"/>
      <c r="C948" s="16"/>
      <c r="D948" s="16"/>
      <c r="E948" s="6"/>
      <c r="H948" s="16"/>
    </row>
    <row r="949">
      <c r="A949" s="16"/>
      <c r="B949" s="16"/>
      <c r="C949" s="16"/>
      <c r="D949" s="16"/>
      <c r="E949" s="6"/>
      <c r="H949" s="16"/>
    </row>
    <row r="950">
      <c r="A950" s="16"/>
      <c r="B950" s="16"/>
      <c r="C950" s="16"/>
      <c r="D950" s="16"/>
      <c r="E950" s="6"/>
      <c r="H950" s="16"/>
    </row>
    <row r="951">
      <c r="A951" s="16"/>
      <c r="B951" s="16"/>
      <c r="C951" s="16"/>
      <c r="D951" s="16"/>
      <c r="E951" s="6"/>
      <c r="H951" s="16"/>
    </row>
    <row r="952">
      <c r="A952" s="16"/>
      <c r="B952" s="16"/>
      <c r="C952" s="16"/>
      <c r="D952" s="16"/>
      <c r="E952" s="6"/>
      <c r="H952" s="16"/>
    </row>
    <row r="953">
      <c r="A953" s="16"/>
      <c r="B953" s="16"/>
      <c r="C953" s="16"/>
      <c r="D953" s="16"/>
      <c r="E953" s="6"/>
      <c r="H953" s="16"/>
    </row>
    <row r="954">
      <c r="A954" s="16"/>
      <c r="B954" s="16"/>
      <c r="C954" s="16"/>
      <c r="D954" s="16"/>
      <c r="E954" s="6"/>
      <c r="H954" s="16"/>
    </row>
    <row r="955">
      <c r="A955" s="16"/>
      <c r="B955" s="16"/>
      <c r="C955" s="16"/>
      <c r="D955" s="16"/>
      <c r="E955" s="6"/>
      <c r="H955" s="16"/>
    </row>
    <row r="956">
      <c r="A956" s="16"/>
      <c r="B956" s="16"/>
      <c r="C956" s="16"/>
      <c r="D956" s="16"/>
      <c r="E956" s="6"/>
      <c r="H956" s="16"/>
    </row>
    <row r="957">
      <c r="A957" s="16"/>
      <c r="B957" s="16"/>
      <c r="C957" s="16"/>
      <c r="D957" s="16"/>
      <c r="E957" s="6"/>
      <c r="H957" s="16"/>
    </row>
    <row r="958">
      <c r="A958" s="16"/>
      <c r="B958" s="16"/>
      <c r="C958" s="16"/>
      <c r="D958" s="16"/>
      <c r="E958" s="6"/>
      <c r="H958" s="16"/>
    </row>
    <row r="959">
      <c r="A959" s="16"/>
      <c r="B959" s="16"/>
      <c r="C959" s="16"/>
      <c r="D959" s="16"/>
      <c r="E959" s="6"/>
      <c r="H959" s="16"/>
    </row>
    <row r="960">
      <c r="A960" s="16"/>
      <c r="B960" s="16"/>
      <c r="C960" s="16"/>
      <c r="D960" s="16"/>
      <c r="E960" s="6"/>
      <c r="H960" s="16"/>
    </row>
    <row r="961">
      <c r="A961" s="16"/>
      <c r="B961" s="16"/>
      <c r="C961" s="16"/>
      <c r="D961" s="16"/>
      <c r="E961" s="6"/>
      <c r="H961" s="16"/>
    </row>
    <row r="962">
      <c r="A962" s="16"/>
      <c r="B962" s="16"/>
      <c r="C962" s="16"/>
      <c r="D962" s="16"/>
      <c r="E962" s="6"/>
      <c r="H962" s="16"/>
    </row>
    <row r="963">
      <c r="A963" s="16"/>
      <c r="B963" s="16"/>
      <c r="C963" s="16"/>
      <c r="D963" s="16"/>
      <c r="E963" s="6"/>
      <c r="H963" s="16"/>
    </row>
    <row r="964">
      <c r="A964" s="16"/>
      <c r="B964" s="16"/>
      <c r="C964" s="16"/>
      <c r="D964" s="16"/>
      <c r="E964" s="6"/>
      <c r="H964" s="16"/>
    </row>
    <row r="965">
      <c r="A965" s="16"/>
      <c r="B965" s="16"/>
      <c r="C965" s="16"/>
      <c r="D965" s="16"/>
      <c r="E965" s="6"/>
      <c r="H965" s="16"/>
    </row>
    <row r="966">
      <c r="A966" s="16"/>
      <c r="B966" s="16"/>
      <c r="C966" s="16"/>
      <c r="D966" s="16"/>
      <c r="E966" s="6"/>
      <c r="H966" s="16"/>
    </row>
    <row r="967">
      <c r="A967" s="16"/>
      <c r="B967" s="16"/>
      <c r="C967" s="16"/>
      <c r="D967" s="16"/>
      <c r="E967" s="6"/>
      <c r="H967" s="16"/>
    </row>
    <row r="968">
      <c r="A968" s="16"/>
      <c r="B968" s="16"/>
      <c r="C968" s="16"/>
      <c r="D968" s="16"/>
      <c r="E968" s="6"/>
      <c r="H968" s="16"/>
    </row>
    <row r="969">
      <c r="A969" s="16"/>
      <c r="B969" s="16"/>
      <c r="C969" s="16"/>
      <c r="D969" s="16"/>
      <c r="E969" s="6"/>
      <c r="H969" s="16"/>
    </row>
    <row r="970">
      <c r="A970" s="16"/>
      <c r="B970" s="16"/>
      <c r="C970" s="16"/>
      <c r="D970" s="16"/>
      <c r="E970" s="6"/>
      <c r="H970" s="16"/>
    </row>
    <row r="971">
      <c r="A971" s="16"/>
      <c r="B971" s="16"/>
      <c r="C971" s="16"/>
      <c r="D971" s="16"/>
      <c r="E971" s="6"/>
      <c r="H971" s="16"/>
    </row>
    <row r="972">
      <c r="A972" s="16"/>
      <c r="B972" s="16"/>
      <c r="C972" s="16"/>
      <c r="D972" s="16"/>
      <c r="E972" s="6"/>
      <c r="H972" s="16"/>
    </row>
    <row r="973">
      <c r="A973" s="16"/>
      <c r="B973" s="16"/>
      <c r="C973" s="16"/>
      <c r="D973" s="16"/>
      <c r="E973" s="6"/>
      <c r="H973" s="16"/>
    </row>
    <row r="974">
      <c r="A974" s="16"/>
      <c r="B974" s="16"/>
      <c r="C974" s="16"/>
      <c r="D974" s="16"/>
      <c r="E974" s="6"/>
      <c r="H974" s="16"/>
    </row>
    <row r="975">
      <c r="A975" s="16"/>
      <c r="B975" s="16"/>
      <c r="C975" s="16"/>
      <c r="D975" s="16"/>
      <c r="E975" s="6"/>
      <c r="H975" s="16"/>
    </row>
    <row r="976">
      <c r="A976" s="16"/>
      <c r="B976" s="16"/>
      <c r="C976" s="16"/>
      <c r="D976" s="16"/>
      <c r="E976" s="6"/>
      <c r="H976" s="16"/>
    </row>
    <row r="977">
      <c r="A977" s="16"/>
      <c r="B977" s="16"/>
      <c r="C977" s="16"/>
      <c r="D977" s="16"/>
      <c r="E977" s="6"/>
      <c r="H977" s="16"/>
    </row>
    <row r="978">
      <c r="A978" s="16"/>
      <c r="B978" s="16"/>
      <c r="C978" s="16"/>
      <c r="D978" s="16"/>
      <c r="E978" s="6"/>
      <c r="H978" s="16"/>
    </row>
    <row r="979">
      <c r="A979" s="16"/>
      <c r="B979" s="16"/>
      <c r="C979" s="16"/>
      <c r="D979" s="16"/>
      <c r="E979" s="6"/>
      <c r="H979" s="16"/>
    </row>
    <row r="980">
      <c r="A980" s="16"/>
      <c r="B980" s="16"/>
      <c r="C980" s="16"/>
      <c r="D980" s="16"/>
      <c r="E980" s="6"/>
      <c r="H980" s="16"/>
    </row>
    <row r="981">
      <c r="A981" s="16"/>
      <c r="B981" s="16"/>
      <c r="C981" s="16"/>
      <c r="D981" s="16"/>
      <c r="E981" s="6"/>
      <c r="H981" s="16"/>
    </row>
    <row r="982">
      <c r="A982" s="16"/>
      <c r="B982" s="16"/>
      <c r="C982" s="16"/>
      <c r="D982" s="16"/>
      <c r="E982" s="6"/>
      <c r="H982" s="16"/>
    </row>
    <row r="983">
      <c r="A983" s="16"/>
      <c r="B983" s="16"/>
      <c r="C983" s="16"/>
      <c r="D983" s="16"/>
      <c r="E983" s="6"/>
      <c r="H983" s="16"/>
    </row>
    <row r="984">
      <c r="A984" s="16"/>
      <c r="B984" s="16"/>
      <c r="C984" s="16"/>
      <c r="D984" s="16"/>
      <c r="E984" s="6"/>
      <c r="H984" s="16"/>
    </row>
    <row r="985">
      <c r="A985" s="16"/>
      <c r="B985" s="16"/>
      <c r="C985" s="16"/>
      <c r="D985" s="16"/>
      <c r="E985" s="6"/>
      <c r="H985" s="16"/>
    </row>
    <row r="986">
      <c r="A986" s="16"/>
      <c r="B986" s="16"/>
      <c r="C986" s="16"/>
      <c r="D986" s="16"/>
      <c r="E986" s="6"/>
      <c r="H986" s="16"/>
    </row>
    <row r="987">
      <c r="A987" s="16"/>
      <c r="B987" s="16"/>
      <c r="C987" s="16"/>
      <c r="D987" s="16"/>
      <c r="E987" s="6"/>
      <c r="H987" s="16"/>
    </row>
    <row r="988">
      <c r="A988" s="16"/>
      <c r="B988" s="16"/>
      <c r="C988" s="16"/>
      <c r="D988" s="16"/>
      <c r="E988" s="6"/>
      <c r="H988" s="16"/>
    </row>
    <row r="989">
      <c r="A989" s="16"/>
      <c r="B989" s="16"/>
      <c r="C989" s="16"/>
      <c r="D989" s="16"/>
      <c r="E989" s="6"/>
      <c r="H989" s="16"/>
    </row>
    <row r="990">
      <c r="A990" s="16"/>
      <c r="B990" s="16"/>
      <c r="C990" s="16"/>
      <c r="D990" s="16"/>
      <c r="E990" s="6"/>
      <c r="H990" s="16"/>
    </row>
    <row r="991">
      <c r="A991" s="16"/>
      <c r="B991" s="16"/>
      <c r="C991" s="16"/>
      <c r="D991" s="16"/>
      <c r="E991" s="6"/>
      <c r="H991" s="16"/>
    </row>
    <row r="992">
      <c r="A992" s="16"/>
      <c r="B992" s="16"/>
      <c r="C992" s="16"/>
      <c r="D992" s="16"/>
      <c r="E992" s="6"/>
      <c r="H992" s="16"/>
    </row>
    <row r="993">
      <c r="A993" s="16"/>
      <c r="B993" s="16"/>
      <c r="C993" s="16"/>
      <c r="D993" s="16"/>
      <c r="E993" s="6"/>
      <c r="H993" s="16"/>
    </row>
    <row r="994">
      <c r="A994" s="16"/>
      <c r="B994" s="16"/>
      <c r="C994" s="16"/>
      <c r="D994" s="16"/>
      <c r="E994" s="6"/>
      <c r="H994" s="16"/>
    </row>
    <row r="995">
      <c r="A995" s="16"/>
      <c r="B995" s="16"/>
      <c r="C995" s="16"/>
      <c r="D995" s="16"/>
      <c r="E995" s="6"/>
      <c r="H995" s="16"/>
    </row>
    <row r="996">
      <c r="A996" s="16"/>
      <c r="B996" s="16"/>
      <c r="C996" s="16"/>
      <c r="D996" s="16"/>
      <c r="E996" s="6"/>
      <c r="H996" s="16"/>
    </row>
    <row r="997">
      <c r="A997" s="16"/>
      <c r="B997" s="16"/>
      <c r="C997" s="16"/>
      <c r="D997" s="16"/>
      <c r="E997" s="6"/>
      <c r="H997" s="16"/>
    </row>
    <row r="998">
      <c r="A998" s="16"/>
      <c r="B998" s="16"/>
      <c r="C998" s="16"/>
      <c r="D998" s="16"/>
      <c r="E998" s="6"/>
      <c r="H998" s="16"/>
    </row>
    <row r="999">
      <c r="A999" s="16"/>
      <c r="B999" s="16"/>
      <c r="C999" s="16"/>
      <c r="D999" s="16"/>
      <c r="E999" s="6"/>
      <c r="H999" s="16"/>
    </row>
    <row r="1000">
      <c r="A1000" s="16"/>
      <c r="B1000" s="16"/>
      <c r="C1000" s="16"/>
      <c r="D1000" s="16"/>
      <c r="E1000" s="6"/>
      <c r="H1000" s="16"/>
    </row>
    <row r="1001">
      <c r="A1001" s="16"/>
      <c r="B1001" s="16"/>
      <c r="C1001" s="16"/>
      <c r="D1001" s="16"/>
      <c r="E1001" s="6"/>
      <c r="H1001" s="16"/>
    </row>
    <row r="1002">
      <c r="A1002" s="16"/>
      <c r="B1002" s="16"/>
      <c r="C1002" s="16"/>
      <c r="D1002" s="16"/>
      <c r="E1002" s="6"/>
      <c r="H1002" s="16"/>
    </row>
    <row r="1003">
      <c r="A1003" s="16"/>
      <c r="B1003" s="16"/>
      <c r="C1003" s="16"/>
      <c r="D1003" s="16"/>
      <c r="E1003" s="6"/>
      <c r="H1003" s="16"/>
    </row>
    <row r="1004">
      <c r="A1004" s="16"/>
      <c r="B1004" s="16"/>
      <c r="C1004" s="16"/>
      <c r="D1004" s="16"/>
      <c r="E1004" s="6"/>
      <c r="H1004" s="16"/>
    </row>
    <row r="1005">
      <c r="A1005" s="16"/>
      <c r="B1005" s="16"/>
      <c r="C1005" s="16"/>
      <c r="D1005" s="16"/>
      <c r="E1005" s="6"/>
      <c r="H1005" s="16"/>
    </row>
    <row r="1006">
      <c r="A1006" s="16"/>
      <c r="B1006" s="16"/>
      <c r="C1006" s="16"/>
      <c r="D1006" s="16"/>
      <c r="E1006" s="6"/>
      <c r="H1006" s="16"/>
    </row>
    <row r="1007">
      <c r="A1007" s="16"/>
      <c r="B1007" s="16"/>
      <c r="C1007" s="16"/>
      <c r="D1007" s="16"/>
      <c r="E1007" s="6"/>
      <c r="H1007" s="16"/>
    </row>
    <row r="1008">
      <c r="A1008" s="16"/>
      <c r="B1008" s="16"/>
      <c r="C1008" s="16"/>
      <c r="D1008" s="16"/>
      <c r="E1008" s="6"/>
      <c r="H1008" s="16"/>
    </row>
    <row r="1009">
      <c r="A1009" s="16"/>
      <c r="B1009" s="16"/>
      <c r="C1009" s="16"/>
      <c r="D1009" s="16"/>
      <c r="E1009" s="6"/>
      <c r="H1009" s="16"/>
    </row>
    <row r="1010">
      <c r="A1010" s="16"/>
      <c r="B1010" s="16"/>
      <c r="C1010" s="16"/>
      <c r="D1010" s="16"/>
      <c r="E1010" s="6"/>
      <c r="H1010" s="16"/>
    </row>
    <row r="1011">
      <c r="A1011" s="16"/>
      <c r="B1011" s="16"/>
      <c r="C1011" s="16"/>
      <c r="D1011" s="16"/>
      <c r="E1011" s="6"/>
      <c r="H1011" s="16"/>
    </row>
    <row r="1012">
      <c r="A1012" s="16"/>
      <c r="B1012" s="16"/>
      <c r="C1012" s="16"/>
      <c r="D1012" s="16"/>
      <c r="E1012" s="6"/>
      <c r="H1012" s="16"/>
    </row>
    <row r="1013">
      <c r="A1013" s="16"/>
      <c r="B1013" s="16"/>
      <c r="C1013" s="16"/>
      <c r="D1013" s="16"/>
      <c r="E1013" s="6"/>
      <c r="H1013" s="16"/>
    </row>
    <row r="1014">
      <c r="A1014" s="16"/>
      <c r="B1014" s="16"/>
      <c r="C1014" s="16"/>
      <c r="D1014" s="16"/>
      <c r="E1014" s="6"/>
      <c r="H1014" s="16"/>
    </row>
    <row r="1015">
      <c r="A1015" s="16"/>
      <c r="B1015" s="16"/>
      <c r="C1015" s="16"/>
      <c r="D1015" s="16"/>
      <c r="E1015" s="6"/>
      <c r="H1015" s="16"/>
    </row>
    <row r="1016">
      <c r="A1016" s="16"/>
      <c r="B1016" s="16"/>
      <c r="C1016" s="16"/>
      <c r="D1016" s="16"/>
      <c r="E1016" s="6"/>
      <c r="H1016" s="16"/>
    </row>
    <row r="1017">
      <c r="A1017" s="16"/>
      <c r="B1017" s="16"/>
      <c r="C1017" s="16"/>
      <c r="D1017" s="16"/>
      <c r="E1017" s="6"/>
      <c r="H1017" s="16"/>
    </row>
    <row r="1018">
      <c r="A1018" s="16"/>
      <c r="B1018" s="16"/>
      <c r="C1018" s="16"/>
      <c r="D1018" s="16"/>
      <c r="E1018" s="6"/>
      <c r="H1018" s="16"/>
    </row>
    <row r="1019">
      <c r="A1019" s="16"/>
      <c r="B1019" s="16"/>
      <c r="C1019" s="16"/>
      <c r="D1019" s="16"/>
      <c r="E1019" s="6"/>
      <c r="H1019" s="16"/>
    </row>
    <row r="1020">
      <c r="A1020" s="16"/>
      <c r="B1020" s="16"/>
      <c r="C1020" s="16"/>
      <c r="D1020" s="16"/>
      <c r="E1020" s="6"/>
      <c r="H1020" s="16"/>
    </row>
    <row r="1021">
      <c r="A1021" s="16"/>
      <c r="B1021" s="16"/>
      <c r="C1021" s="16"/>
      <c r="D1021" s="16"/>
      <c r="E1021" s="6"/>
      <c r="H1021" s="16"/>
    </row>
    <row r="1022">
      <c r="A1022" s="16"/>
      <c r="B1022" s="16"/>
      <c r="C1022" s="16"/>
      <c r="D1022" s="16"/>
      <c r="E1022" s="6"/>
      <c r="H1022" s="16"/>
    </row>
    <row r="1023">
      <c r="A1023" s="16"/>
      <c r="B1023" s="16"/>
      <c r="C1023" s="16"/>
      <c r="D1023" s="16"/>
      <c r="E1023" s="6"/>
      <c r="H1023" s="16"/>
    </row>
    <row r="1024">
      <c r="A1024" s="16"/>
      <c r="B1024" s="16"/>
      <c r="C1024" s="16"/>
      <c r="D1024" s="16"/>
      <c r="E1024" s="6"/>
      <c r="H1024" s="16"/>
    </row>
    <row r="1025">
      <c r="A1025" s="16"/>
      <c r="B1025" s="16"/>
      <c r="C1025" s="16"/>
      <c r="D1025" s="16"/>
      <c r="E1025" s="6"/>
      <c r="H1025" s="16"/>
    </row>
    <row r="1026">
      <c r="A1026" s="16"/>
      <c r="B1026" s="16"/>
      <c r="C1026" s="16"/>
      <c r="D1026" s="16"/>
      <c r="E1026" s="6"/>
      <c r="H1026" s="16"/>
    </row>
    <row r="1027">
      <c r="A1027" s="16"/>
      <c r="B1027" s="16"/>
      <c r="C1027" s="16"/>
      <c r="D1027" s="16"/>
      <c r="E1027" s="6"/>
      <c r="H1027" s="16"/>
    </row>
    <row r="1028">
      <c r="A1028" s="16"/>
      <c r="B1028" s="16"/>
      <c r="C1028" s="16"/>
      <c r="D1028" s="16"/>
      <c r="E1028" s="6"/>
      <c r="H1028" s="16"/>
    </row>
    <row r="1029">
      <c r="A1029" s="16"/>
      <c r="B1029" s="16"/>
      <c r="C1029" s="16"/>
      <c r="D1029" s="16"/>
      <c r="E1029" s="6"/>
      <c r="H1029" s="16"/>
    </row>
    <row r="1030">
      <c r="A1030" s="16"/>
      <c r="B1030" s="16"/>
      <c r="C1030" s="16"/>
      <c r="D1030" s="16"/>
      <c r="E1030" s="6"/>
      <c r="H1030" s="16"/>
    </row>
    <row r="1031">
      <c r="A1031" s="16"/>
      <c r="B1031" s="16"/>
      <c r="C1031" s="16"/>
      <c r="D1031" s="16"/>
      <c r="E1031" s="6"/>
      <c r="H1031" s="16"/>
    </row>
    <row r="1032">
      <c r="A1032" s="16"/>
      <c r="B1032" s="16"/>
      <c r="C1032" s="16"/>
      <c r="D1032" s="16"/>
      <c r="E1032" s="6"/>
      <c r="H1032" s="16"/>
    </row>
    <row r="1033">
      <c r="A1033" s="16"/>
      <c r="B1033" s="16"/>
      <c r="C1033" s="16"/>
      <c r="D1033" s="16"/>
      <c r="E1033" s="6"/>
      <c r="H1033" s="16"/>
    </row>
    <row r="1034">
      <c r="A1034" s="16"/>
      <c r="B1034" s="16"/>
      <c r="C1034" s="16"/>
      <c r="D1034" s="16"/>
      <c r="E1034" s="6"/>
      <c r="H1034" s="16"/>
    </row>
    <row r="1035">
      <c r="A1035" s="16"/>
      <c r="B1035" s="16"/>
      <c r="C1035" s="16"/>
      <c r="D1035" s="16"/>
      <c r="E1035" s="6"/>
      <c r="H1035" s="16"/>
    </row>
    <row r="1036">
      <c r="A1036" s="16"/>
      <c r="B1036" s="16"/>
      <c r="C1036" s="16"/>
      <c r="D1036" s="16"/>
      <c r="E1036" s="6"/>
      <c r="H1036" s="16"/>
    </row>
    <row r="1037">
      <c r="A1037" s="16"/>
      <c r="B1037" s="16"/>
      <c r="C1037" s="16"/>
      <c r="D1037" s="16"/>
      <c r="E1037" s="6"/>
      <c r="H1037" s="16"/>
    </row>
    <row r="1038">
      <c r="A1038" s="16"/>
      <c r="B1038" s="16"/>
      <c r="C1038" s="16"/>
      <c r="D1038" s="16"/>
      <c r="E1038" s="6"/>
      <c r="H1038" s="16"/>
    </row>
  </sheetData>
  <conditionalFormatting sqref="B1:B2 C1:C24 D1:D65 E1:E1038 C26:C27 C29 C31:C41 B44:C1038 D68:D1038">
    <cfRule type="containsBlanks" dxfId="0" priority="1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63"/>
    <col customWidth="1" min="3" max="3" width="3.25"/>
    <col customWidth="1" min="4" max="4" width="83.38"/>
    <col customWidth="1" min="5" max="5" width="4.13"/>
    <col customWidth="1" min="8" max="8" width="7.0"/>
    <col customWidth="1" min="9" max="9" width="26.75"/>
    <col customWidth="1" min="10" max="10" width="21.75"/>
  </cols>
  <sheetData>
    <row r="1">
      <c r="A1" s="17"/>
      <c r="B1" s="17"/>
      <c r="C1" s="17" t="s">
        <v>1648</v>
      </c>
      <c r="D1" s="17" t="s">
        <v>1649</v>
      </c>
      <c r="E1" s="17"/>
      <c r="F1" s="17" t="s">
        <v>1650</v>
      </c>
      <c r="G1" s="17" t="s">
        <v>1651</v>
      </c>
      <c r="H1" s="17"/>
      <c r="I1" s="17" t="s">
        <v>1652</v>
      </c>
      <c r="J1" s="17" t="s">
        <v>1653</v>
      </c>
      <c r="K1" s="17" t="s">
        <v>1654</v>
      </c>
      <c r="L1" s="18" t="s">
        <v>1655</v>
      </c>
    </row>
    <row r="2">
      <c r="A2" s="17"/>
      <c r="B2" s="17"/>
      <c r="C2" s="17" t="str">
        <f t="shared" ref="C2:C8" si="1">IF(ISBLANK(D2),"",COUNTA($C$2:C2))</f>
        <v>#REF!</v>
      </c>
      <c r="D2" s="17" t="s">
        <v>1656</v>
      </c>
      <c r="E2" s="17">
        <v>0.01</v>
      </c>
      <c r="F2" s="19"/>
      <c r="G2" s="17" t="s">
        <v>1657</v>
      </c>
      <c r="H2" s="17"/>
      <c r="I2" s="17" t="s">
        <v>1658</v>
      </c>
      <c r="J2" s="17" t="s">
        <v>1659</v>
      </c>
      <c r="K2" s="20">
        <v>100075.0</v>
      </c>
      <c r="L2" s="18">
        <v>100001.0</v>
      </c>
      <c r="M2" s="18" t="s">
        <v>1660</v>
      </c>
      <c r="N2" s="18" t="s">
        <v>1661</v>
      </c>
    </row>
    <row r="3">
      <c r="A3" s="17"/>
      <c r="B3" s="17"/>
      <c r="C3" s="17" t="str">
        <f t="shared" si="1"/>
        <v>#REF!</v>
      </c>
      <c r="D3" s="17" t="s">
        <v>1662</v>
      </c>
      <c r="E3" s="17"/>
      <c r="F3" s="19"/>
      <c r="G3" s="19"/>
      <c r="H3" s="17"/>
      <c r="I3" s="17" t="s">
        <v>1658</v>
      </c>
      <c r="J3" s="17" t="s">
        <v>1659</v>
      </c>
      <c r="K3" s="20">
        <v>100002.0</v>
      </c>
    </row>
    <row r="4">
      <c r="A4" s="17"/>
      <c r="B4" s="17"/>
      <c r="C4" s="17" t="str">
        <f t="shared" si="1"/>
        <v>#REF!</v>
      </c>
      <c r="D4" s="17" t="s">
        <v>1663</v>
      </c>
      <c r="E4" s="17"/>
      <c r="F4" s="19"/>
      <c r="G4" s="19"/>
      <c r="H4" s="17"/>
      <c r="I4" s="17" t="s">
        <v>1658</v>
      </c>
      <c r="J4" s="17" t="s">
        <v>1659</v>
      </c>
      <c r="K4" s="20">
        <v>100003.0</v>
      </c>
    </row>
    <row r="5">
      <c r="A5" s="17"/>
      <c r="B5" s="17"/>
      <c r="C5" s="17" t="str">
        <f t="shared" si="1"/>
        <v>#REF!</v>
      </c>
      <c r="D5" s="17" t="s">
        <v>1664</v>
      </c>
      <c r="E5" s="17"/>
      <c r="F5" s="19"/>
      <c r="G5" s="19"/>
      <c r="H5" s="17"/>
      <c r="I5" s="17" t="s">
        <v>1658</v>
      </c>
      <c r="J5" s="17" t="s">
        <v>1659</v>
      </c>
      <c r="K5" s="20">
        <v>100008.0</v>
      </c>
    </row>
    <row r="6">
      <c r="A6" s="17"/>
      <c r="B6" s="17"/>
      <c r="C6" s="17" t="str">
        <f t="shared" si="1"/>
        <v>#REF!</v>
      </c>
      <c r="D6" s="17" t="s">
        <v>22</v>
      </c>
      <c r="E6" s="17"/>
      <c r="F6" s="19"/>
      <c r="G6" s="19"/>
      <c r="H6" s="17"/>
      <c r="I6" s="17" t="s">
        <v>1658</v>
      </c>
      <c r="J6" s="17" t="s">
        <v>1659</v>
      </c>
      <c r="K6" s="20">
        <v>100104.0</v>
      </c>
    </row>
    <row r="7">
      <c r="A7" s="17"/>
      <c r="B7" s="17"/>
      <c r="C7" s="17" t="str">
        <f t="shared" si="1"/>
        <v>#REF!</v>
      </c>
      <c r="D7" s="17" t="s">
        <v>27</v>
      </c>
      <c r="E7" s="17"/>
      <c r="F7" s="19"/>
      <c r="G7" s="19"/>
      <c r="H7" s="17"/>
      <c r="I7" s="17" t="s">
        <v>1658</v>
      </c>
      <c r="J7" s="17" t="s">
        <v>1659</v>
      </c>
      <c r="K7" s="20">
        <v>100040.0</v>
      </c>
    </row>
    <row r="8">
      <c r="A8" s="17"/>
      <c r="B8" s="17"/>
      <c r="C8" s="17" t="str">
        <f t="shared" si="1"/>
        <v>#REF!</v>
      </c>
      <c r="D8" s="17" t="s">
        <v>32</v>
      </c>
      <c r="E8" s="17"/>
      <c r="F8" s="19"/>
      <c r="G8" s="19"/>
      <c r="H8" s="17"/>
      <c r="I8" s="17" t="s">
        <v>1658</v>
      </c>
      <c r="J8" s="17" t="s">
        <v>1659</v>
      </c>
      <c r="K8" s="20">
        <v>100013.0</v>
      </c>
    </row>
    <row r="9">
      <c r="A9" s="17"/>
      <c r="B9" s="17"/>
      <c r="C9" s="17"/>
      <c r="D9" s="17" t="s">
        <v>1665</v>
      </c>
      <c r="E9" s="17"/>
      <c r="F9" s="19"/>
      <c r="G9" s="19"/>
      <c r="H9" s="17"/>
      <c r="I9" s="17" t="s">
        <v>1658</v>
      </c>
      <c r="J9" s="17" t="s">
        <v>1659</v>
      </c>
      <c r="K9" s="20"/>
    </row>
    <row r="10">
      <c r="A10" s="17"/>
      <c r="B10" s="17"/>
      <c r="C10" s="17" t="str">
        <f t="shared" ref="C10:C322" si="2">IF(ISBLANK(D10),"",COUNTA($C$2:C10))</f>
        <v>#REF!</v>
      </c>
      <c r="D10" s="17" t="s">
        <v>39</v>
      </c>
      <c r="E10" s="17"/>
      <c r="F10" s="19"/>
      <c r="G10" s="19"/>
      <c r="H10" s="17"/>
      <c r="I10" s="17" t="s">
        <v>1658</v>
      </c>
      <c r="J10" s="17" t="s">
        <v>1659</v>
      </c>
      <c r="K10" s="20">
        <v>100011.0</v>
      </c>
    </row>
    <row r="11">
      <c r="A11" s="17"/>
      <c r="B11" s="17"/>
      <c r="C11" s="17" t="str">
        <f t="shared" si="2"/>
        <v>#REF!</v>
      </c>
      <c r="D11" s="17" t="s">
        <v>43</v>
      </c>
      <c r="E11" s="17"/>
      <c r="F11" s="19"/>
      <c r="G11" s="19"/>
      <c r="H11" s="17"/>
      <c r="I11" s="17" t="s">
        <v>1658</v>
      </c>
      <c r="J11" s="17" t="s">
        <v>1659</v>
      </c>
      <c r="K11" s="20">
        <v>100084.0</v>
      </c>
    </row>
    <row r="12">
      <c r="A12" s="17"/>
      <c r="B12" s="17"/>
      <c r="C12" s="17" t="str">
        <f t="shared" si="2"/>
        <v>#REF!</v>
      </c>
      <c r="D12" s="17" t="s">
        <v>47</v>
      </c>
      <c r="E12" s="17"/>
      <c r="F12" s="19"/>
      <c r="G12" s="19"/>
      <c r="H12" s="17"/>
      <c r="I12" s="17" t="s">
        <v>1658</v>
      </c>
      <c r="J12" s="17" t="s">
        <v>1659</v>
      </c>
      <c r="K12" s="20">
        <v>100012.0</v>
      </c>
    </row>
    <row r="13">
      <c r="A13" s="17"/>
      <c r="B13" s="17"/>
      <c r="C13" s="17" t="str">
        <f t="shared" si="2"/>
        <v>#REF!</v>
      </c>
      <c r="D13" s="17" t="s">
        <v>51</v>
      </c>
      <c r="E13" s="17"/>
      <c r="F13" s="19"/>
      <c r="G13" s="19"/>
      <c r="H13" s="17"/>
      <c r="I13" s="17" t="s">
        <v>1658</v>
      </c>
      <c r="J13" s="17" t="s">
        <v>1659</v>
      </c>
      <c r="K13" s="20">
        <v>100010.0</v>
      </c>
    </row>
    <row r="14">
      <c r="A14" s="17"/>
      <c r="B14" s="17"/>
      <c r="C14" s="17" t="str">
        <f t="shared" si="2"/>
        <v>#REF!</v>
      </c>
      <c r="D14" s="17" t="s">
        <v>55</v>
      </c>
      <c r="E14" s="17"/>
      <c r="F14" s="19"/>
      <c r="G14" s="19"/>
      <c r="H14" s="17"/>
      <c r="I14" s="17" t="s">
        <v>1658</v>
      </c>
      <c r="J14" s="17" t="s">
        <v>1659</v>
      </c>
      <c r="K14" s="20">
        <v>100018.0</v>
      </c>
    </row>
    <row r="15">
      <c r="A15" s="17"/>
      <c r="B15" s="17"/>
      <c r="C15" s="17" t="str">
        <f t="shared" si="2"/>
        <v>#REF!</v>
      </c>
      <c r="D15" s="17" t="s">
        <v>60</v>
      </c>
      <c r="E15" s="17"/>
      <c r="F15" s="19"/>
      <c r="G15" s="19"/>
      <c r="H15" s="17"/>
      <c r="I15" s="17" t="s">
        <v>1658</v>
      </c>
      <c r="J15" s="17" t="s">
        <v>1659</v>
      </c>
      <c r="K15" s="20">
        <v>100019.0</v>
      </c>
    </row>
    <row r="16">
      <c r="A16" s="17"/>
      <c r="B16" s="17"/>
      <c r="C16" s="17" t="str">
        <f t="shared" si="2"/>
        <v>#REF!</v>
      </c>
      <c r="D16" s="17" t="s">
        <v>65</v>
      </c>
      <c r="E16" s="17"/>
      <c r="F16" s="19"/>
      <c r="G16" s="19"/>
      <c r="H16" s="17"/>
      <c r="I16" s="17" t="s">
        <v>1658</v>
      </c>
      <c r="J16" s="17" t="s">
        <v>1659</v>
      </c>
      <c r="K16" s="20">
        <v>100022.0</v>
      </c>
    </row>
    <row r="17">
      <c r="A17" s="17"/>
      <c r="B17" s="17"/>
      <c r="C17" s="17" t="str">
        <f t="shared" si="2"/>
        <v>#REF!</v>
      </c>
      <c r="D17" s="17" t="s">
        <v>70</v>
      </c>
      <c r="E17" s="17"/>
      <c r="F17" s="19"/>
      <c r="G17" s="19"/>
      <c r="H17" s="17"/>
      <c r="I17" s="17" t="s">
        <v>1658</v>
      </c>
      <c r="J17" s="17" t="s">
        <v>1659</v>
      </c>
      <c r="K17" s="20">
        <v>100023.0</v>
      </c>
    </row>
    <row r="18">
      <c r="A18" s="17"/>
      <c r="B18" s="17"/>
      <c r="C18" s="17" t="str">
        <f t="shared" si="2"/>
        <v>#REF!</v>
      </c>
      <c r="D18" s="17" t="s">
        <v>75</v>
      </c>
      <c r="E18" s="17"/>
      <c r="F18" s="19"/>
      <c r="G18" s="19"/>
      <c r="H18" s="17"/>
      <c r="I18" s="17" t="s">
        <v>1658</v>
      </c>
      <c r="J18" s="17" t="s">
        <v>1659</v>
      </c>
      <c r="K18" s="20">
        <v>100024.0</v>
      </c>
    </row>
    <row r="19">
      <c r="A19" s="17"/>
      <c r="B19" s="17"/>
      <c r="C19" s="17" t="str">
        <f t="shared" si="2"/>
        <v>#REF!</v>
      </c>
      <c r="D19" s="17" t="s">
        <v>80</v>
      </c>
      <c r="E19" s="17"/>
      <c r="F19" s="19"/>
      <c r="G19" s="19"/>
      <c r="H19" s="17"/>
      <c r="I19" s="17" t="s">
        <v>1658</v>
      </c>
      <c r="J19" s="17" t="s">
        <v>1659</v>
      </c>
      <c r="K19" s="20">
        <v>100107.0</v>
      </c>
    </row>
    <row r="20">
      <c r="A20" s="17"/>
      <c r="B20" s="17"/>
      <c r="C20" s="17" t="str">
        <f t="shared" si="2"/>
        <v>#REF!</v>
      </c>
      <c r="D20" s="17" t="s">
        <v>85</v>
      </c>
      <c r="E20" s="17"/>
      <c r="F20" s="19"/>
      <c r="G20" s="19"/>
      <c r="H20" s="17"/>
      <c r="I20" s="17" t="s">
        <v>1658</v>
      </c>
      <c r="J20" s="17" t="s">
        <v>1659</v>
      </c>
      <c r="K20" s="20">
        <v>100025.0</v>
      </c>
    </row>
    <row r="21">
      <c r="A21" s="17"/>
      <c r="B21" s="17"/>
      <c r="C21" s="17" t="str">
        <f t="shared" si="2"/>
        <v>#REF!</v>
      </c>
      <c r="D21" s="17" t="s">
        <v>90</v>
      </c>
      <c r="E21" s="17"/>
      <c r="F21" s="19"/>
      <c r="G21" s="19"/>
      <c r="H21" s="17"/>
      <c r="I21" s="17" t="s">
        <v>1658</v>
      </c>
      <c r="J21" s="17" t="s">
        <v>1659</v>
      </c>
      <c r="K21" s="20">
        <v>100021.0</v>
      </c>
    </row>
    <row r="22">
      <c r="A22" s="17"/>
      <c r="B22" s="17"/>
      <c r="C22" s="17" t="str">
        <f t="shared" si="2"/>
        <v>#REF!</v>
      </c>
      <c r="D22" s="17" t="s">
        <v>95</v>
      </c>
      <c r="E22" s="17"/>
      <c r="F22" s="19"/>
      <c r="G22" s="19"/>
      <c r="H22" s="17"/>
      <c r="I22" s="17" t="s">
        <v>1658</v>
      </c>
      <c r="J22" s="17" t="s">
        <v>1659</v>
      </c>
      <c r="K22" s="20">
        <v>100026.0</v>
      </c>
    </row>
    <row r="23">
      <c r="A23" s="17"/>
      <c r="B23" s="17"/>
      <c r="C23" s="17" t="str">
        <f t="shared" si="2"/>
        <v>#REF!</v>
      </c>
      <c r="D23" s="17" t="s">
        <v>100</v>
      </c>
      <c r="E23" s="17"/>
      <c r="F23" s="19"/>
      <c r="G23" s="19"/>
      <c r="H23" s="17"/>
      <c r="I23" s="17" t="s">
        <v>1658</v>
      </c>
      <c r="J23" s="17" t="s">
        <v>1659</v>
      </c>
      <c r="K23" s="20">
        <v>100027.0</v>
      </c>
    </row>
    <row r="24">
      <c r="A24" s="17"/>
      <c r="B24" s="17"/>
      <c r="C24" s="17" t="str">
        <f t="shared" si="2"/>
        <v>#REF!</v>
      </c>
      <c r="D24" s="17" t="s">
        <v>105</v>
      </c>
      <c r="E24" s="17"/>
      <c r="F24" s="19"/>
      <c r="G24" s="19"/>
      <c r="H24" s="17"/>
      <c r="I24" s="17" t="s">
        <v>1658</v>
      </c>
      <c r="J24" s="17" t="s">
        <v>1659</v>
      </c>
      <c r="K24" s="20">
        <v>100028.0</v>
      </c>
    </row>
    <row r="25">
      <c r="A25" s="17"/>
      <c r="B25" s="17"/>
      <c r="C25" s="17" t="str">
        <f t="shared" si="2"/>
        <v>#REF!</v>
      </c>
      <c r="D25" s="17" t="s">
        <v>110</v>
      </c>
      <c r="E25" s="17"/>
      <c r="F25" s="19"/>
      <c r="G25" s="19"/>
      <c r="H25" s="17"/>
      <c r="I25" s="17"/>
      <c r="J25" s="17"/>
      <c r="K25" s="20"/>
    </row>
    <row r="26">
      <c r="A26" s="17"/>
      <c r="B26" s="17"/>
      <c r="C26" s="17" t="str">
        <f t="shared" si="2"/>
        <v>#REF!</v>
      </c>
      <c r="D26" s="17" t="s">
        <v>114</v>
      </c>
      <c r="E26" s="17"/>
      <c r="F26" s="19"/>
      <c r="G26" s="19"/>
      <c r="H26" s="17"/>
      <c r="I26" s="17" t="s">
        <v>1658</v>
      </c>
      <c r="J26" s="17" t="s">
        <v>1659</v>
      </c>
      <c r="K26" s="20">
        <v>100034.0</v>
      </c>
    </row>
    <row r="27">
      <c r="A27" s="17"/>
      <c r="B27" s="17"/>
      <c r="C27" s="17" t="str">
        <f t="shared" si="2"/>
        <v>#REF!</v>
      </c>
      <c r="D27" s="17" t="s">
        <v>119</v>
      </c>
      <c r="E27" s="17"/>
      <c r="F27" s="19"/>
      <c r="G27" s="19"/>
      <c r="H27" s="17"/>
      <c r="I27" s="17" t="s">
        <v>1658</v>
      </c>
      <c r="J27" s="17" t="s">
        <v>1659</v>
      </c>
      <c r="K27" s="20">
        <v>100042.0</v>
      </c>
    </row>
    <row r="28">
      <c r="A28" s="17"/>
      <c r="B28" s="17"/>
      <c r="C28" s="17" t="str">
        <f t="shared" si="2"/>
        <v>#REF!</v>
      </c>
      <c r="D28" s="17" t="s">
        <v>124</v>
      </c>
      <c r="E28" s="17"/>
      <c r="F28" s="19"/>
      <c r="G28" s="19"/>
      <c r="H28" s="17"/>
      <c r="I28" s="17" t="s">
        <v>1658</v>
      </c>
      <c r="J28" s="17" t="s">
        <v>1659</v>
      </c>
      <c r="K28" s="20">
        <v>100113.0</v>
      </c>
    </row>
    <row r="29">
      <c r="A29" s="17"/>
      <c r="B29" s="17"/>
      <c r="C29" s="17" t="str">
        <f t="shared" si="2"/>
        <v>#REF!</v>
      </c>
      <c r="D29" s="17" t="s">
        <v>129</v>
      </c>
      <c r="E29" s="17"/>
      <c r="F29" s="19"/>
      <c r="G29" s="19"/>
      <c r="H29" s="17"/>
      <c r="I29" s="17" t="s">
        <v>1658</v>
      </c>
      <c r="J29" s="17" t="s">
        <v>1659</v>
      </c>
      <c r="K29" s="20">
        <v>100073.0</v>
      </c>
    </row>
    <row r="30">
      <c r="A30" s="17"/>
      <c r="B30" s="17"/>
      <c r="C30" s="17" t="str">
        <f t="shared" si="2"/>
        <v>#REF!</v>
      </c>
      <c r="D30" s="17" t="s">
        <v>133</v>
      </c>
      <c r="E30" s="17"/>
      <c r="F30" s="19"/>
      <c r="G30" s="19"/>
      <c r="H30" s="17"/>
      <c r="I30" s="17" t="s">
        <v>1658</v>
      </c>
      <c r="J30" s="17" t="s">
        <v>1659</v>
      </c>
      <c r="K30" s="20">
        <v>100046.0</v>
      </c>
    </row>
    <row r="31">
      <c r="A31" s="17"/>
      <c r="B31" s="17"/>
      <c r="C31" s="17" t="str">
        <f t="shared" si="2"/>
        <v>#REF!</v>
      </c>
      <c r="D31" s="17" t="s">
        <v>138</v>
      </c>
      <c r="E31" s="17"/>
      <c r="F31" s="19"/>
      <c r="G31" s="19"/>
      <c r="H31" s="17"/>
      <c r="I31" s="17" t="s">
        <v>1658</v>
      </c>
      <c r="J31" s="17" t="s">
        <v>1659</v>
      </c>
      <c r="K31" s="20">
        <v>100093.0</v>
      </c>
    </row>
    <row r="32">
      <c r="A32" s="17"/>
      <c r="B32" s="17"/>
      <c r="C32" s="17" t="str">
        <f t="shared" si="2"/>
        <v>#REF!</v>
      </c>
      <c r="D32" s="17" t="s">
        <v>142</v>
      </c>
      <c r="E32" s="17"/>
      <c r="F32" s="19"/>
      <c r="G32" s="19"/>
      <c r="H32" s="17"/>
      <c r="I32" s="17" t="s">
        <v>1658</v>
      </c>
      <c r="J32" s="17" t="s">
        <v>1659</v>
      </c>
      <c r="K32" s="20">
        <v>100049.0</v>
      </c>
    </row>
    <row r="33">
      <c r="A33" s="17"/>
      <c r="B33" s="17"/>
      <c r="C33" s="17" t="str">
        <f t="shared" si="2"/>
        <v>#REF!</v>
      </c>
      <c r="D33" s="17" t="s">
        <v>146</v>
      </c>
      <c r="E33" s="17"/>
      <c r="F33" s="19"/>
      <c r="G33" s="19"/>
      <c r="H33" s="17"/>
      <c r="I33" s="17" t="s">
        <v>1658</v>
      </c>
      <c r="J33" s="17" t="s">
        <v>1659</v>
      </c>
      <c r="K33" s="20">
        <v>100094.0</v>
      </c>
    </row>
    <row r="34">
      <c r="A34" s="17"/>
      <c r="B34" s="17"/>
      <c r="C34" s="17" t="str">
        <f t="shared" si="2"/>
        <v>#REF!</v>
      </c>
      <c r="D34" s="17" t="s">
        <v>151</v>
      </c>
      <c r="E34" s="17"/>
      <c r="F34" s="19"/>
      <c r="G34" s="19"/>
      <c r="H34" s="17"/>
      <c r="I34" s="17" t="s">
        <v>1658</v>
      </c>
      <c r="J34" s="17" t="s">
        <v>1659</v>
      </c>
      <c r="K34" s="20">
        <v>100051.0</v>
      </c>
    </row>
    <row r="35">
      <c r="A35" s="17"/>
      <c r="B35" s="17"/>
      <c r="C35" s="17" t="str">
        <f t="shared" si="2"/>
        <v>#REF!</v>
      </c>
      <c r="D35" s="17" t="s">
        <v>156</v>
      </c>
      <c r="E35" s="17"/>
      <c r="F35" s="19"/>
      <c r="G35" s="19"/>
      <c r="H35" s="17"/>
      <c r="I35" s="17" t="s">
        <v>1658</v>
      </c>
      <c r="J35" s="17" t="s">
        <v>1659</v>
      </c>
      <c r="K35" s="20">
        <v>100055.0</v>
      </c>
    </row>
    <row r="36">
      <c r="A36" s="17"/>
      <c r="B36" s="17"/>
      <c r="C36" s="17" t="str">
        <f t="shared" si="2"/>
        <v>#REF!</v>
      </c>
      <c r="D36" s="17" t="s">
        <v>160</v>
      </c>
      <c r="E36" s="17"/>
      <c r="F36" s="19"/>
      <c r="G36" s="19"/>
      <c r="H36" s="17"/>
      <c r="I36" s="17" t="s">
        <v>1658</v>
      </c>
      <c r="J36" s="17" t="s">
        <v>1659</v>
      </c>
      <c r="K36" s="20">
        <v>100054.0</v>
      </c>
    </row>
    <row r="37">
      <c r="A37" s="17"/>
      <c r="B37" s="17"/>
      <c r="C37" s="17" t="str">
        <f t="shared" si="2"/>
        <v>#REF!</v>
      </c>
      <c r="D37" s="17" t="s">
        <v>165</v>
      </c>
      <c r="E37" s="17"/>
      <c r="F37" s="19"/>
      <c r="G37" s="19"/>
      <c r="H37" s="17"/>
      <c r="I37" s="17" t="s">
        <v>1658</v>
      </c>
      <c r="J37" s="17" t="s">
        <v>1659</v>
      </c>
      <c r="K37" s="20">
        <v>100053.0</v>
      </c>
    </row>
    <row r="38">
      <c r="A38" s="17"/>
      <c r="B38" s="17"/>
      <c r="C38" s="17" t="str">
        <f t="shared" si="2"/>
        <v>#REF!</v>
      </c>
      <c r="D38" s="17" t="s">
        <v>170</v>
      </c>
      <c r="E38" s="17"/>
      <c r="F38" s="19"/>
      <c r="G38" s="19"/>
      <c r="H38" s="17"/>
      <c r="I38" s="17" t="s">
        <v>1658</v>
      </c>
      <c r="J38" s="17" t="s">
        <v>1659</v>
      </c>
      <c r="K38" s="20">
        <v>100064.0</v>
      </c>
    </row>
    <row r="39">
      <c r="A39" s="17"/>
      <c r="B39" s="17"/>
      <c r="C39" s="17" t="str">
        <f t="shared" si="2"/>
        <v>#REF!</v>
      </c>
      <c r="D39" s="17" t="s">
        <v>175</v>
      </c>
      <c r="E39" s="17"/>
      <c r="F39" s="19"/>
      <c r="G39" s="19"/>
      <c r="H39" s="17"/>
      <c r="I39" s="17" t="s">
        <v>1658</v>
      </c>
      <c r="J39" s="17" t="s">
        <v>1659</v>
      </c>
      <c r="K39" s="20">
        <v>100071.0</v>
      </c>
    </row>
    <row r="40">
      <c r="A40" s="17"/>
      <c r="B40" s="17"/>
      <c r="C40" s="17" t="str">
        <f t="shared" si="2"/>
        <v>#REF!</v>
      </c>
      <c r="D40" s="17" t="s">
        <v>180</v>
      </c>
      <c r="E40" s="17"/>
      <c r="F40" s="19"/>
      <c r="G40" s="19"/>
      <c r="H40" s="17"/>
      <c r="I40" s="17" t="s">
        <v>1658</v>
      </c>
      <c r="J40" s="17" t="s">
        <v>1659</v>
      </c>
      <c r="K40" s="20">
        <v>100059.0</v>
      </c>
    </row>
    <row r="41">
      <c r="A41" s="17"/>
      <c r="B41" s="17"/>
      <c r="C41" s="17" t="str">
        <f t="shared" si="2"/>
        <v>#REF!</v>
      </c>
      <c r="D41" s="17" t="s">
        <v>183</v>
      </c>
      <c r="E41" s="17"/>
      <c r="F41" s="19"/>
      <c r="G41" s="19"/>
      <c r="H41" s="17"/>
      <c r="I41" s="17" t="s">
        <v>1658</v>
      </c>
      <c r="J41" s="17" t="s">
        <v>1659</v>
      </c>
      <c r="K41" s="20">
        <v>100060.0</v>
      </c>
    </row>
    <row r="42">
      <c r="A42" s="17"/>
      <c r="B42" s="17"/>
      <c r="C42" s="17" t="str">
        <f t="shared" si="2"/>
        <v>#REF!</v>
      </c>
      <c r="D42" s="17" t="s">
        <v>188</v>
      </c>
      <c r="E42" s="17"/>
      <c r="F42" s="19"/>
      <c r="G42" s="19"/>
      <c r="H42" s="17"/>
      <c r="I42" s="17" t="s">
        <v>1658</v>
      </c>
      <c r="J42" s="17" t="s">
        <v>1659</v>
      </c>
      <c r="K42" s="20">
        <v>100061.0</v>
      </c>
    </row>
    <row r="43">
      <c r="A43" s="17"/>
      <c r="B43" s="17"/>
      <c r="C43" s="17" t="str">
        <f t="shared" si="2"/>
        <v>#REF!</v>
      </c>
      <c r="D43" s="17" t="s">
        <v>193</v>
      </c>
      <c r="E43" s="17"/>
      <c r="F43" s="19"/>
      <c r="G43" s="19"/>
      <c r="H43" s="17"/>
      <c r="I43" s="17" t="s">
        <v>1658</v>
      </c>
      <c r="J43" s="17" t="s">
        <v>1659</v>
      </c>
      <c r="K43" s="20">
        <v>100062.0</v>
      </c>
    </row>
    <row r="44">
      <c r="A44" s="17"/>
      <c r="B44" s="17"/>
      <c r="C44" s="17" t="str">
        <f t="shared" si="2"/>
        <v>#REF!</v>
      </c>
      <c r="D44" s="17" t="s">
        <v>1666</v>
      </c>
      <c r="E44" s="17"/>
      <c r="F44" s="19"/>
      <c r="G44" s="19"/>
      <c r="H44" s="17"/>
      <c r="I44" s="17" t="s">
        <v>1658</v>
      </c>
      <c r="J44" s="17" t="s">
        <v>1667</v>
      </c>
      <c r="K44" s="20">
        <v>110082.0</v>
      </c>
    </row>
    <row r="45">
      <c r="A45" s="17"/>
      <c r="B45" s="17"/>
      <c r="C45" s="17" t="str">
        <f t="shared" si="2"/>
        <v>#REF!</v>
      </c>
      <c r="D45" s="17" t="s">
        <v>1668</v>
      </c>
      <c r="E45" s="17"/>
      <c r="F45" s="19"/>
      <c r="G45" s="19"/>
      <c r="H45" s="17"/>
      <c r="I45" s="17" t="s">
        <v>1658</v>
      </c>
      <c r="J45" s="17" t="s">
        <v>1669</v>
      </c>
      <c r="K45" s="20"/>
    </row>
    <row r="46">
      <c r="A46" s="17"/>
      <c r="B46" s="17"/>
      <c r="C46" s="17" t="str">
        <f t="shared" si="2"/>
        <v>#REF!</v>
      </c>
      <c r="D46" s="17" t="s">
        <v>1670</v>
      </c>
      <c r="E46" s="17"/>
      <c r="F46" s="19"/>
      <c r="G46" s="19"/>
      <c r="H46" s="17"/>
      <c r="I46" s="17"/>
      <c r="J46" s="17"/>
      <c r="K46" s="20"/>
    </row>
    <row r="47">
      <c r="A47" s="17"/>
      <c r="B47" s="17"/>
      <c r="C47" s="17" t="str">
        <f t="shared" si="2"/>
        <v>#REF!</v>
      </c>
      <c r="D47" s="17" t="s">
        <v>1671</v>
      </c>
      <c r="E47" s="17"/>
      <c r="F47" s="19"/>
      <c r="G47" s="19"/>
      <c r="H47" s="17"/>
      <c r="I47" s="17" t="s">
        <v>1658</v>
      </c>
      <c r="J47" s="17" t="s">
        <v>1667</v>
      </c>
      <c r="K47" s="20">
        <v>110083.0</v>
      </c>
    </row>
    <row r="48">
      <c r="A48" s="17"/>
      <c r="B48" s="17"/>
      <c r="C48" s="17" t="str">
        <f t="shared" si="2"/>
        <v>#REF!</v>
      </c>
      <c r="D48" s="17" t="s">
        <v>1672</v>
      </c>
      <c r="E48" s="17"/>
      <c r="F48" s="19"/>
      <c r="G48" s="19"/>
      <c r="H48" s="17"/>
      <c r="I48" s="17" t="s">
        <v>1658</v>
      </c>
      <c r="J48" s="17" t="s">
        <v>1667</v>
      </c>
      <c r="K48" s="20">
        <v>110084.0</v>
      </c>
    </row>
    <row r="49">
      <c r="A49" s="17"/>
      <c r="B49" s="17"/>
      <c r="C49" s="17" t="str">
        <f t="shared" si="2"/>
        <v>#REF!</v>
      </c>
      <c r="D49" s="17" t="s">
        <v>1673</v>
      </c>
      <c r="E49" s="17"/>
      <c r="F49" s="19"/>
      <c r="G49" s="19"/>
      <c r="H49" s="17"/>
      <c r="I49" s="17" t="s">
        <v>1658</v>
      </c>
      <c r="J49" s="17" t="s">
        <v>1667</v>
      </c>
      <c r="K49" s="20">
        <v>110085.0</v>
      </c>
    </row>
    <row r="50">
      <c r="A50" s="17"/>
      <c r="B50" s="17"/>
      <c r="C50" s="17" t="str">
        <f t="shared" si="2"/>
        <v>#REF!</v>
      </c>
      <c r="D50" s="17" t="s">
        <v>1674</v>
      </c>
      <c r="E50" s="17"/>
      <c r="F50" s="19"/>
      <c r="G50" s="19"/>
      <c r="H50" s="17"/>
      <c r="I50" s="17" t="s">
        <v>1658</v>
      </c>
      <c r="J50" s="17" t="s">
        <v>1667</v>
      </c>
      <c r="K50" s="20">
        <v>110087.0</v>
      </c>
    </row>
    <row r="51">
      <c r="A51" s="17"/>
      <c r="B51" s="17"/>
      <c r="C51" s="17" t="str">
        <f t="shared" si="2"/>
        <v>#REF!</v>
      </c>
      <c r="D51" s="17" t="s">
        <v>1675</v>
      </c>
      <c r="E51" s="17"/>
      <c r="F51" s="19"/>
      <c r="G51" s="19"/>
      <c r="H51" s="17"/>
      <c r="I51" s="17" t="s">
        <v>1658</v>
      </c>
      <c r="J51" s="17" t="s">
        <v>1667</v>
      </c>
      <c r="K51" s="20">
        <v>110153.0</v>
      </c>
    </row>
    <row r="52">
      <c r="A52" s="17"/>
      <c r="B52" s="17"/>
      <c r="C52" s="17" t="str">
        <f t="shared" si="2"/>
        <v>#REF!</v>
      </c>
      <c r="D52" s="17" t="s">
        <v>1676</v>
      </c>
      <c r="E52" s="17"/>
      <c r="F52" s="19"/>
      <c r="G52" s="19"/>
      <c r="H52" s="17"/>
      <c r="I52" s="17" t="s">
        <v>1658</v>
      </c>
      <c r="J52" s="17" t="s">
        <v>1667</v>
      </c>
      <c r="K52" s="20">
        <v>110088.0</v>
      </c>
    </row>
    <row r="53">
      <c r="A53" s="17"/>
      <c r="B53" s="17"/>
      <c r="C53" s="17" t="str">
        <f t="shared" si="2"/>
        <v>#REF!</v>
      </c>
      <c r="D53" s="17" t="s">
        <v>1677</v>
      </c>
      <c r="E53" s="17"/>
      <c r="F53" s="19"/>
      <c r="G53" s="19"/>
      <c r="H53" s="17"/>
      <c r="I53" s="17" t="s">
        <v>1658</v>
      </c>
      <c r="J53" s="17" t="s">
        <v>1667</v>
      </c>
      <c r="K53" s="20">
        <v>110183.0</v>
      </c>
    </row>
    <row r="54">
      <c r="A54" s="17"/>
      <c r="B54" s="17"/>
      <c r="C54" s="17" t="str">
        <f t="shared" si="2"/>
        <v>#REF!</v>
      </c>
      <c r="D54" s="17" t="s">
        <v>1678</v>
      </c>
      <c r="E54" s="17"/>
      <c r="F54" s="19"/>
      <c r="G54" s="19"/>
      <c r="H54" s="17"/>
      <c r="I54" s="17" t="s">
        <v>1658</v>
      </c>
      <c r="J54" s="17" t="s">
        <v>1667</v>
      </c>
      <c r="K54" s="20">
        <v>110106.0</v>
      </c>
    </row>
    <row r="55">
      <c r="A55" s="17"/>
      <c r="B55" s="17"/>
      <c r="C55" s="17" t="str">
        <f t="shared" si="2"/>
        <v>#REF!</v>
      </c>
      <c r="D55" s="17" t="s">
        <v>1679</v>
      </c>
      <c r="E55" s="17"/>
      <c r="F55" s="19"/>
      <c r="G55" s="19"/>
      <c r="H55" s="17"/>
      <c r="I55" s="17" t="s">
        <v>1658</v>
      </c>
      <c r="J55" s="17" t="s">
        <v>1667</v>
      </c>
      <c r="K55" s="20">
        <v>110151.0</v>
      </c>
    </row>
    <row r="56">
      <c r="A56" s="17"/>
      <c r="B56" s="17"/>
      <c r="C56" s="17" t="str">
        <f t="shared" si="2"/>
        <v>#REF!</v>
      </c>
      <c r="D56" s="17" t="s">
        <v>1680</v>
      </c>
      <c r="E56" s="17"/>
      <c r="F56" s="19"/>
      <c r="G56" s="19"/>
      <c r="H56" s="17"/>
      <c r="I56" s="17" t="s">
        <v>1658</v>
      </c>
      <c r="J56" s="17" t="s">
        <v>1667</v>
      </c>
      <c r="K56" s="20">
        <v>110090.0</v>
      </c>
    </row>
    <row r="57">
      <c r="A57" s="17"/>
      <c r="B57" s="17"/>
      <c r="C57" s="17" t="str">
        <f t="shared" si="2"/>
        <v>#REF!</v>
      </c>
      <c r="D57" s="17" t="s">
        <v>1681</v>
      </c>
      <c r="E57" s="17"/>
      <c r="F57" s="19"/>
      <c r="G57" s="19"/>
      <c r="H57" s="17"/>
      <c r="I57" s="17" t="s">
        <v>1682</v>
      </c>
      <c r="J57" s="17"/>
      <c r="K57" s="20"/>
    </row>
    <row r="58">
      <c r="A58" s="17"/>
      <c r="B58" s="17"/>
      <c r="C58" s="17" t="str">
        <f t="shared" si="2"/>
        <v>#REF!</v>
      </c>
      <c r="D58" s="17" t="s">
        <v>1683</v>
      </c>
      <c r="E58" s="17"/>
      <c r="F58" s="19"/>
      <c r="G58" s="19"/>
      <c r="H58" s="17"/>
      <c r="I58" s="17" t="s">
        <v>1658</v>
      </c>
      <c r="J58" s="17" t="s">
        <v>1667</v>
      </c>
      <c r="K58" s="20">
        <v>110091.0</v>
      </c>
    </row>
    <row r="59">
      <c r="A59" s="17"/>
      <c r="B59" s="17"/>
      <c r="C59" s="17" t="str">
        <f t="shared" si="2"/>
        <v>#REF!</v>
      </c>
      <c r="D59" s="17" t="s">
        <v>1684</v>
      </c>
      <c r="E59" s="17"/>
      <c r="F59" s="19"/>
      <c r="G59" s="19"/>
      <c r="H59" s="17"/>
      <c r="I59" s="17" t="s">
        <v>1658</v>
      </c>
      <c r="J59" s="17" t="s">
        <v>1667</v>
      </c>
      <c r="K59" s="20">
        <v>110105.0</v>
      </c>
    </row>
    <row r="60">
      <c r="A60" s="17"/>
      <c r="B60" s="17"/>
      <c r="C60" s="17" t="str">
        <f t="shared" si="2"/>
        <v>#REF!</v>
      </c>
      <c r="D60" s="17" t="s">
        <v>1685</v>
      </c>
      <c r="E60" s="17"/>
      <c r="F60" s="19"/>
      <c r="G60" s="19"/>
      <c r="H60" s="17"/>
      <c r="I60" s="17" t="s">
        <v>1658</v>
      </c>
      <c r="J60" s="17" t="s">
        <v>1667</v>
      </c>
      <c r="K60" s="20">
        <v>110157.0</v>
      </c>
    </row>
    <row r="61">
      <c r="A61" s="17"/>
      <c r="B61" s="17"/>
      <c r="C61" s="17" t="str">
        <f t="shared" si="2"/>
        <v>#REF!</v>
      </c>
      <c r="D61" s="17" t="s">
        <v>1686</v>
      </c>
      <c r="E61" s="17"/>
      <c r="F61" s="19"/>
      <c r="G61" s="19"/>
      <c r="H61" s="17"/>
      <c r="I61" s="17" t="s">
        <v>1658</v>
      </c>
      <c r="J61" s="17" t="s">
        <v>1667</v>
      </c>
      <c r="K61" s="20">
        <v>110187.0</v>
      </c>
    </row>
    <row r="62">
      <c r="A62" s="17"/>
      <c r="B62" s="17"/>
      <c r="C62" s="17" t="str">
        <f t="shared" si="2"/>
        <v>#REF!</v>
      </c>
      <c r="D62" s="17" t="s">
        <v>1687</v>
      </c>
      <c r="E62" s="17"/>
      <c r="F62" s="19"/>
      <c r="G62" s="19"/>
      <c r="H62" s="17"/>
      <c r="I62" s="17" t="s">
        <v>1658</v>
      </c>
      <c r="J62" s="17" t="s">
        <v>1667</v>
      </c>
      <c r="K62" s="20">
        <v>110095.0</v>
      </c>
    </row>
    <row r="63">
      <c r="A63" s="17"/>
      <c r="B63" s="17"/>
      <c r="C63" s="17" t="str">
        <f t="shared" si="2"/>
        <v>#REF!</v>
      </c>
      <c r="D63" s="17" t="s">
        <v>1688</v>
      </c>
      <c r="E63" s="17"/>
      <c r="F63" s="19"/>
      <c r="G63" s="19"/>
      <c r="H63" s="17"/>
      <c r="I63" s="17" t="s">
        <v>1658</v>
      </c>
      <c r="J63" s="17" t="s">
        <v>1667</v>
      </c>
      <c r="K63" s="20">
        <v>110152.0</v>
      </c>
    </row>
    <row r="64">
      <c r="A64" s="17"/>
      <c r="B64" s="17"/>
      <c r="C64" s="17" t="str">
        <f t="shared" si="2"/>
        <v>#REF!</v>
      </c>
      <c r="D64" s="17" t="s">
        <v>1689</v>
      </c>
      <c r="E64" s="17"/>
      <c r="F64" s="19"/>
      <c r="G64" s="19"/>
      <c r="H64" s="17"/>
      <c r="I64" s="17" t="s">
        <v>1658</v>
      </c>
      <c r="J64" s="17" t="s">
        <v>1667</v>
      </c>
      <c r="K64" s="20">
        <v>110099.0</v>
      </c>
    </row>
    <row r="65">
      <c r="A65" s="17"/>
      <c r="B65" s="17"/>
      <c r="C65" s="17" t="str">
        <f t="shared" si="2"/>
        <v>#REF!</v>
      </c>
      <c r="D65" s="17" t="s">
        <v>1690</v>
      </c>
      <c r="E65" s="17"/>
      <c r="F65" s="19"/>
      <c r="G65" s="19"/>
      <c r="H65" s="17"/>
      <c r="I65" s="17" t="s">
        <v>1658</v>
      </c>
      <c r="J65" s="17" t="s">
        <v>1667</v>
      </c>
      <c r="K65" s="20">
        <v>110190.0</v>
      </c>
    </row>
    <row r="66">
      <c r="A66" s="17"/>
      <c r="B66" s="17"/>
      <c r="C66" s="17" t="str">
        <f t="shared" si="2"/>
        <v>#REF!</v>
      </c>
      <c r="D66" s="17" t="s">
        <v>1691</v>
      </c>
      <c r="E66" s="17"/>
      <c r="F66" s="19"/>
      <c r="G66" s="19"/>
      <c r="H66" s="17"/>
      <c r="I66" s="17" t="s">
        <v>1658</v>
      </c>
      <c r="J66" s="17" t="s">
        <v>1667</v>
      </c>
      <c r="K66" s="20">
        <v>110103.0</v>
      </c>
    </row>
    <row r="67">
      <c r="A67" s="17"/>
      <c r="B67" s="17"/>
      <c r="C67" s="17" t="str">
        <f t="shared" si="2"/>
        <v>#REF!</v>
      </c>
      <c r="D67" s="17" t="s">
        <v>1692</v>
      </c>
      <c r="E67" s="17"/>
      <c r="F67" s="19"/>
      <c r="G67" s="19"/>
      <c r="H67" s="17"/>
      <c r="I67" s="17" t="s">
        <v>1658</v>
      </c>
      <c r="J67" s="17" t="s">
        <v>1667</v>
      </c>
      <c r="K67" s="20">
        <v>110191.0</v>
      </c>
    </row>
    <row r="68">
      <c r="A68" s="17"/>
      <c r="B68" s="17"/>
      <c r="C68" s="17" t="str">
        <f t="shared" si="2"/>
        <v>#REF!</v>
      </c>
      <c r="D68" s="17" t="s">
        <v>1693</v>
      </c>
      <c r="E68" s="17"/>
      <c r="F68" s="19"/>
      <c r="G68" s="19"/>
      <c r="H68" s="17"/>
      <c r="I68" s="17" t="s">
        <v>1658</v>
      </c>
      <c r="J68" s="17" t="s">
        <v>1667</v>
      </c>
      <c r="K68" s="20">
        <v>110104.0</v>
      </c>
    </row>
    <row r="69">
      <c r="A69" s="17"/>
      <c r="B69" s="17"/>
      <c r="C69" s="17" t="str">
        <f t="shared" si="2"/>
        <v>#REF!</v>
      </c>
      <c r="D69" s="17" t="s">
        <v>1694</v>
      </c>
      <c r="E69" s="17"/>
      <c r="F69" s="19"/>
      <c r="G69" s="19"/>
      <c r="H69" s="17"/>
      <c r="I69" s="17" t="s">
        <v>1658</v>
      </c>
      <c r="J69" s="17" t="s">
        <v>1667</v>
      </c>
      <c r="K69" s="20">
        <v>110107.0</v>
      </c>
    </row>
    <row r="70">
      <c r="A70" s="17"/>
      <c r="B70" s="17"/>
      <c r="C70" s="17" t="str">
        <f t="shared" si="2"/>
        <v>#REF!</v>
      </c>
      <c r="D70" s="17" t="s">
        <v>1695</v>
      </c>
      <c r="E70" s="17"/>
      <c r="F70" s="19"/>
      <c r="G70" s="19"/>
      <c r="H70" s="17"/>
      <c r="I70" s="17" t="s">
        <v>1658</v>
      </c>
      <c r="J70" s="17" t="s">
        <v>1667</v>
      </c>
      <c r="K70" s="20">
        <v>110110.0</v>
      </c>
    </row>
    <row r="71">
      <c r="A71" s="17"/>
      <c r="B71" s="17"/>
      <c r="C71" s="17" t="str">
        <f t="shared" si="2"/>
        <v>#REF!</v>
      </c>
      <c r="D71" s="17" t="s">
        <v>1696</v>
      </c>
      <c r="E71" s="17"/>
      <c r="F71" s="19"/>
      <c r="G71" s="19"/>
      <c r="H71" s="17"/>
      <c r="I71" s="17" t="s">
        <v>1658</v>
      </c>
      <c r="J71" s="17" t="s">
        <v>1667</v>
      </c>
      <c r="K71" s="20">
        <v>110197.0</v>
      </c>
    </row>
    <row r="72">
      <c r="A72" s="17"/>
      <c r="B72" s="17"/>
      <c r="C72" s="17" t="str">
        <f t="shared" si="2"/>
        <v>#REF!</v>
      </c>
      <c r="D72" s="17" t="s">
        <v>1697</v>
      </c>
      <c r="E72" s="17"/>
      <c r="F72" s="19"/>
      <c r="G72" s="19"/>
      <c r="H72" s="17"/>
      <c r="I72" s="17" t="s">
        <v>1658</v>
      </c>
      <c r="J72" s="17" t="s">
        <v>1667</v>
      </c>
      <c r="K72" s="20">
        <v>110111.0</v>
      </c>
    </row>
    <row r="73">
      <c r="A73" s="17"/>
      <c r="B73" s="17"/>
      <c r="C73" s="17" t="str">
        <f t="shared" si="2"/>
        <v>#REF!</v>
      </c>
      <c r="D73" s="17" t="s">
        <v>1698</v>
      </c>
      <c r="E73" s="17"/>
      <c r="F73" s="19"/>
      <c r="G73" s="19"/>
      <c r="H73" s="17"/>
      <c r="I73" s="17" t="s">
        <v>1658</v>
      </c>
      <c r="J73" s="17" t="s">
        <v>1667</v>
      </c>
      <c r="K73" s="20">
        <v>110198.0</v>
      </c>
    </row>
    <row r="74">
      <c r="A74" s="17"/>
      <c r="B74" s="17"/>
      <c r="C74" s="17" t="str">
        <f t="shared" si="2"/>
        <v>#REF!</v>
      </c>
      <c r="D74" s="17" t="s">
        <v>1699</v>
      </c>
      <c r="E74" s="17"/>
      <c r="F74" s="19"/>
      <c r="G74" s="19"/>
      <c r="H74" s="17"/>
      <c r="I74" s="17" t="s">
        <v>1658</v>
      </c>
      <c r="J74" s="17" t="s">
        <v>1667</v>
      </c>
      <c r="K74" s="20">
        <v>110112.0</v>
      </c>
    </row>
    <row r="75">
      <c r="A75" s="17"/>
      <c r="B75" s="17"/>
      <c r="C75" s="17" t="str">
        <f t="shared" si="2"/>
        <v>#REF!</v>
      </c>
      <c r="D75" s="17" t="s">
        <v>1700</v>
      </c>
      <c r="E75" s="17"/>
      <c r="F75" s="19"/>
      <c r="G75" s="19"/>
      <c r="H75" s="17"/>
      <c r="I75" s="17" t="s">
        <v>1658</v>
      </c>
      <c r="J75" s="17" t="s">
        <v>1667</v>
      </c>
      <c r="K75" s="20">
        <v>110114.0</v>
      </c>
    </row>
    <row r="76">
      <c r="A76" s="17"/>
      <c r="B76" s="17"/>
      <c r="C76" s="17" t="str">
        <f t="shared" si="2"/>
        <v>#REF!</v>
      </c>
      <c r="D76" s="17" t="s">
        <v>1701</v>
      </c>
      <c r="E76" s="17"/>
      <c r="F76" s="19"/>
      <c r="G76" s="19"/>
      <c r="H76" s="17"/>
      <c r="I76" s="17" t="s">
        <v>1658</v>
      </c>
      <c r="J76" s="17" t="s">
        <v>1667</v>
      </c>
      <c r="K76" s="20">
        <v>110199.0</v>
      </c>
    </row>
    <row r="77">
      <c r="A77" s="17"/>
      <c r="B77" s="17"/>
      <c r="C77" s="17" t="str">
        <f t="shared" si="2"/>
        <v>#REF!</v>
      </c>
      <c r="D77" s="17" t="s">
        <v>1702</v>
      </c>
      <c r="E77" s="17"/>
      <c r="F77" s="19"/>
      <c r="G77" s="19"/>
      <c r="H77" s="17"/>
      <c r="I77" s="17" t="s">
        <v>1658</v>
      </c>
      <c r="J77" s="17" t="s">
        <v>1667</v>
      </c>
      <c r="K77" s="20">
        <v>110211.0</v>
      </c>
    </row>
    <row r="78">
      <c r="A78" s="17"/>
      <c r="B78" s="17"/>
      <c r="C78" s="17" t="str">
        <f t="shared" si="2"/>
        <v>#REF!</v>
      </c>
      <c r="D78" s="17" t="s">
        <v>1703</v>
      </c>
      <c r="E78" s="17"/>
      <c r="F78" s="19"/>
      <c r="G78" s="19"/>
      <c r="H78" s="17"/>
      <c r="I78" s="17" t="s">
        <v>1658</v>
      </c>
      <c r="J78" s="17" t="s">
        <v>1667</v>
      </c>
      <c r="K78" s="20">
        <v>110149.0</v>
      </c>
    </row>
    <row r="79">
      <c r="A79" s="21"/>
      <c r="B79" s="21"/>
      <c r="C79" s="17" t="str">
        <f t="shared" si="2"/>
        <v>#REF!</v>
      </c>
      <c r="D79" s="21" t="s">
        <v>1704</v>
      </c>
      <c r="E79" s="21"/>
      <c r="F79" s="19"/>
      <c r="G79" s="19"/>
      <c r="H79" s="17"/>
      <c r="I79" s="17" t="s">
        <v>1658</v>
      </c>
      <c r="J79" s="17" t="s">
        <v>1667</v>
      </c>
      <c r="K79" s="20">
        <v>110119.0</v>
      </c>
    </row>
    <row r="80">
      <c r="A80" s="18"/>
      <c r="B80" s="18"/>
      <c r="C80" s="17" t="str">
        <f t="shared" si="2"/>
        <v>#REF!</v>
      </c>
      <c r="D80" s="18" t="s">
        <v>1705</v>
      </c>
      <c r="E80" s="18"/>
      <c r="F80" s="19"/>
      <c r="G80" s="19"/>
      <c r="H80" s="17"/>
      <c r="I80" s="17" t="s">
        <v>1658</v>
      </c>
      <c r="J80" s="17" t="s">
        <v>1667</v>
      </c>
      <c r="K80" s="20">
        <v>110201.0</v>
      </c>
    </row>
    <row r="81">
      <c r="A81" s="18"/>
      <c r="B81" s="18"/>
      <c r="C81" s="17" t="str">
        <f t="shared" si="2"/>
        <v>#REF!</v>
      </c>
      <c r="D81" s="18" t="s">
        <v>1706</v>
      </c>
      <c r="E81" s="18"/>
      <c r="F81" s="19"/>
      <c r="G81" s="19"/>
      <c r="H81" s="17"/>
      <c r="I81" s="17" t="s">
        <v>1658</v>
      </c>
      <c r="J81" s="17" t="s">
        <v>1667</v>
      </c>
      <c r="K81" s="20">
        <v>110166.0</v>
      </c>
    </row>
    <row r="82">
      <c r="A82" s="18"/>
      <c r="B82" s="18"/>
      <c r="C82" s="17" t="str">
        <f t="shared" si="2"/>
        <v>#REF!</v>
      </c>
      <c r="D82" s="18" t="s">
        <v>1707</v>
      </c>
      <c r="E82" s="18"/>
      <c r="F82" s="19"/>
      <c r="G82" s="19"/>
      <c r="H82" s="17"/>
      <c r="I82" s="17" t="s">
        <v>1658</v>
      </c>
      <c r="J82" s="17" t="s">
        <v>1667</v>
      </c>
      <c r="K82" s="20">
        <v>110122.0</v>
      </c>
    </row>
    <row r="83">
      <c r="A83" s="18"/>
      <c r="B83" s="18"/>
      <c r="C83" s="17" t="str">
        <f t="shared" si="2"/>
        <v>#REF!</v>
      </c>
      <c r="D83" s="18" t="s">
        <v>1708</v>
      </c>
      <c r="E83" s="18"/>
      <c r="F83" s="19"/>
      <c r="G83" s="19"/>
      <c r="H83" s="17"/>
      <c r="I83" s="17" t="s">
        <v>1658</v>
      </c>
      <c r="J83" s="17" t="s">
        <v>1667</v>
      </c>
      <c r="K83" s="20">
        <v>110202.0</v>
      </c>
    </row>
    <row r="84">
      <c r="A84" s="18"/>
      <c r="B84" s="18"/>
      <c r="C84" s="17" t="str">
        <f t="shared" si="2"/>
        <v>#REF!</v>
      </c>
      <c r="D84" s="18" t="s">
        <v>1709</v>
      </c>
      <c r="E84" s="18"/>
      <c r="F84" s="19"/>
      <c r="G84" s="19"/>
      <c r="H84" s="17"/>
      <c r="I84" s="17" t="s">
        <v>1658</v>
      </c>
      <c r="J84" s="17" t="s">
        <v>1667</v>
      </c>
      <c r="K84" s="20">
        <v>110123.0</v>
      </c>
    </row>
    <row r="85">
      <c r="A85" s="18"/>
      <c r="B85" s="18"/>
      <c r="C85" s="17" t="str">
        <f t="shared" si="2"/>
        <v>#REF!</v>
      </c>
      <c r="D85" s="18" t="s">
        <v>1710</v>
      </c>
      <c r="E85" s="18"/>
      <c r="F85" s="19"/>
      <c r="G85" s="19"/>
      <c r="H85" s="17"/>
      <c r="I85" s="17" t="s">
        <v>1658</v>
      </c>
      <c r="J85" s="17" t="s">
        <v>1667</v>
      </c>
      <c r="K85" s="20">
        <v>110126.0</v>
      </c>
    </row>
    <row r="86">
      <c r="A86" s="18"/>
      <c r="B86" s="18"/>
      <c r="C86" s="17" t="str">
        <f t="shared" si="2"/>
        <v>#REF!</v>
      </c>
      <c r="D86" s="18" t="s">
        <v>1711</v>
      </c>
      <c r="E86" s="18"/>
      <c r="F86" s="19"/>
      <c r="G86" s="19"/>
      <c r="H86" s="17"/>
      <c r="I86" s="17" t="s">
        <v>1658</v>
      </c>
      <c r="J86" s="17" t="s">
        <v>1667</v>
      </c>
      <c r="K86" s="20">
        <v>110204.0</v>
      </c>
    </row>
    <row r="87">
      <c r="A87" s="18"/>
      <c r="B87" s="18"/>
      <c r="C87" s="17" t="str">
        <f t="shared" si="2"/>
        <v>#REF!</v>
      </c>
      <c r="D87" s="18" t="s">
        <v>1712</v>
      </c>
      <c r="E87" s="18"/>
      <c r="F87" s="19"/>
      <c r="G87" s="19"/>
      <c r="H87" s="17"/>
      <c r="I87" s="17" t="s">
        <v>1658</v>
      </c>
      <c r="J87" s="17" t="s">
        <v>1667</v>
      </c>
      <c r="K87" s="20">
        <v>110129.0</v>
      </c>
    </row>
    <row r="88">
      <c r="A88" s="18"/>
      <c r="B88" s="18"/>
      <c r="C88" s="17" t="str">
        <f t="shared" si="2"/>
        <v>#REF!</v>
      </c>
      <c r="D88" s="18" t="s">
        <v>1713</v>
      </c>
      <c r="E88" s="18"/>
      <c r="F88" s="19"/>
      <c r="G88" s="19"/>
      <c r="H88" s="17"/>
      <c r="I88" s="17" t="s">
        <v>1658</v>
      </c>
      <c r="J88" s="17" t="s">
        <v>1667</v>
      </c>
      <c r="K88" s="20">
        <v>110179.0</v>
      </c>
    </row>
    <row r="89">
      <c r="A89" s="18"/>
      <c r="B89" s="18"/>
      <c r="C89" s="17" t="str">
        <f t="shared" si="2"/>
        <v>#REF!</v>
      </c>
      <c r="D89" s="18" t="s">
        <v>1714</v>
      </c>
      <c r="E89" s="18"/>
      <c r="F89" s="19"/>
      <c r="G89" s="19"/>
      <c r="H89" s="17"/>
      <c r="I89" s="17" t="s">
        <v>1658</v>
      </c>
      <c r="J89" s="17" t="s">
        <v>1667</v>
      </c>
      <c r="K89" s="20">
        <v>110130.0</v>
      </c>
    </row>
    <row r="90">
      <c r="A90" s="18"/>
      <c r="B90" s="18"/>
      <c r="C90" s="17" t="str">
        <f t="shared" si="2"/>
        <v>#REF!</v>
      </c>
      <c r="D90" s="18" t="s">
        <v>1715</v>
      </c>
      <c r="E90" s="18"/>
      <c r="F90" s="19"/>
      <c r="G90" s="19"/>
      <c r="H90" s="17"/>
      <c r="I90" s="17" t="s">
        <v>1658</v>
      </c>
      <c r="J90" s="17" t="s">
        <v>1667</v>
      </c>
      <c r="K90" s="20">
        <v>110134.0</v>
      </c>
    </row>
    <row r="91">
      <c r="A91" s="18"/>
      <c r="B91" s="18"/>
      <c r="C91" s="17" t="str">
        <f t="shared" si="2"/>
        <v>#REF!</v>
      </c>
      <c r="D91" s="18" t="s">
        <v>1716</v>
      </c>
      <c r="E91" s="18"/>
      <c r="F91" s="19"/>
      <c r="G91" s="19"/>
      <c r="H91" s="17"/>
      <c r="I91" s="17" t="s">
        <v>1658</v>
      </c>
      <c r="J91" s="17" t="s">
        <v>1667</v>
      </c>
      <c r="K91" s="20">
        <v>110206.0</v>
      </c>
    </row>
    <row r="92">
      <c r="A92" s="18"/>
      <c r="B92" s="18"/>
      <c r="C92" s="17" t="str">
        <f t="shared" si="2"/>
        <v>#REF!</v>
      </c>
      <c r="D92" s="18" t="s">
        <v>1717</v>
      </c>
      <c r="E92" s="18"/>
      <c r="F92" s="19"/>
      <c r="G92" s="19"/>
      <c r="H92" s="17"/>
      <c r="I92" s="17" t="s">
        <v>1658</v>
      </c>
      <c r="J92" s="17" t="s">
        <v>1667</v>
      </c>
      <c r="K92" s="20">
        <v>110136.0</v>
      </c>
    </row>
    <row r="93">
      <c r="A93" s="18"/>
      <c r="B93" s="18"/>
      <c r="C93" s="17" t="str">
        <f t="shared" si="2"/>
        <v>#REF!</v>
      </c>
      <c r="D93" s="18" t="s">
        <v>1718</v>
      </c>
      <c r="E93" s="18"/>
      <c r="F93" s="19"/>
      <c r="G93" s="19"/>
      <c r="H93" s="17"/>
      <c r="I93" s="17" t="s">
        <v>1658</v>
      </c>
      <c r="J93" s="17" t="s">
        <v>1667</v>
      </c>
      <c r="K93" s="20">
        <v>110135.0</v>
      </c>
    </row>
    <row r="94">
      <c r="A94" s="18"/>
      <c r="B94" s="18"/>
      <c r="C94" s="17" t="str">
        <f t="shared" si="2"/>
        <v>#REF!</v>
      </c>
      <c r="D94" s="18" t="s">
        <v>1719</v>
      </c>
      <c r="E94" s="18"/>
      <c r="F94" s="19"/>
      <c r="G94" s="19"/>
      <c r="H94" s="17"/>
      <c r="I94" s="17" t="s">
        <v>1658</v>
      </c>
      <c r="J94" s="17" t="s">
        <v>1667</v>
      </c>
      <c r="K94" s="20">
        <v>110174.0</v>
      </c>
    </row>
    <row r="95">
      <c r="A95" s="18"/>
      <c r="B95" s="18"/>
      <c r="C95" s="17" t="str">
        <f t="shared" si="2"/>
        <v>#REF!</v>
      </c>
      <c r="D95" s="18" t="s">
        <v>1720</v>
      </c>
      <c r="E95" s="18"/>
      <c r="F95" s="19"/>
      <c r="G95" s="19"/>
      <c r="H95" s="17"/>
      <c r="I95" s="17" t="s">
        <v>1658</v>
      </c>
      <c r="J95" s="17" t="s">
        <v>1667</v>
      </c>
      <c r="K95" s="20">
        <v>110140.0</v>
      </c>
    </row>
    <row r="96">
      <c r="A96" s="18"/>
      <c r="B96" s="18"/>
      <c r="C96" s="17" t="str">
        <f t="shared" si="2"/>
        <v>#REF!</v>
      </c>
      <c r="D96" s="18" t="s">
        <v>1721</v>
      </c>
      <c r="E96" s="18"/>
      <c r="F96" s="19"/>
      <c r="G96" s="19"/>
      <c r="H96" s="17"/>
      <c r="I96" s="17" t="s">
        <v>1658</v>
      </c>
      <c r="J96" s="17" t="s">
        <v>1667</v>
      </c>
      <c r="K96" s="20">
        <v>110141.0</v>
      </c>
    </row>
    <row r="97">
      <c r="A97" s="18"/>
      <c r="B97" s="18"/>
      <c r="C97" s="17" t="str">
        <f t="shared" si="2"/>
        <v>#REF!</v>
      </c>
      <c r="D97" s="18" t="s">
        <v>1722</v>
      </c>
      <c r="E97" s="18"/>
      <c r="F97" s="19"/>
      <c r="G97" s="19"/>
      <c r="H97" s="17"/>
      <c r="I97" s="17" t="s">
        <v>1658</v>
      </c>
      <c r="J97" s="17" t="s">
        <v>1667</v>
      </c>
      <c r="K97" s="20">
        <v>110220.0</v>
      </c>
    </row>
    <row r="98">
      <c r="A98" s="18"/>
      <c r="B98" s="18"/>
      <c r="C98" s="17" t="str">
        <f t="shared" si="2"/>
        <v>#REF!</v>
      </c>
      <c r="D98" s="18" t="s">
        <v>1723</v>
      </c>
      <c r="E98" s="18"/>
      <c r="F98" s="19"/>
      <c r="G98" s="19"/>
      <c r="H98" s="17"/>
      <c r="I98" s="17" t="s">
        <v>1658</v>
      </c>
      <c r="J98" s="17" t="s">
        <v>1667</v>
      </c>
      <c r="K98" s="20">
        <v>110147.0</v>
      </c>
    </row>
    <row r="99">
      <c r="A99" s="18"/>
      <c r="B99" s="18"/>
      <c r="C99" s="17" t="str">
        <f t="shared" si="2"/>
        <v>#REF!</v>
      </c>
      <c r="D99" s="18" t="s">
        <v>1724</v>
      </c>
      <c r="E99" s="18"/>
      <c r="F99" s="19"/>
      <c r="G99" s="19"/>
      <c r="H99" s="17"/>
      <c r="I99" s="17" t="s">
        <v>1658</v>
      </c>
      <c r="J99" s="17" t="s">
        <v>1667</v>
      </c>
      <c r="K99" s="20">
        <v>110209.0</v>
      </c>
    </row>
    <row r="100">
      <c r="A100" s="18"/>
      <c r="B100" s="18"/>
      <c r="C100" s="17" t="str">
        <f t="shared" si="2"/>
        <v>#REF!</v>
      </c>
      <c r="D100" s="18" t="s">
        <v>1725</v>
      </c>
      <c r="E100" s="18"/>
      <c r="F100" s="19"/>
      <c r="G100" s="19"/>
      <c r="H100" s="17"/>
      <c r="I100" s="17" t="s">
        <v>1658</v>
      </c>
      <c r="J100" s="21" t="s">
        <v>1726</v>
      </c>
      <c r="K100" s="18">
        <v>120168.0</v>
      </c>
    </row>
    <row r="101">
      <c r="A101" s="18"/>
      <c r="B101" s="18"/>
      <c r="C101" s="17" t="str">
        <f t="shared" si="2"/>
        <v>#REF!</v>
      </c>
      <c r="D101" s="18" t="s">
        <v>1727</v>
      </c>
      <c r="E101" s="18"/>
      <c r="F101" s="19"/>
      <c r="G101" s="19"/>
      <c r="H101" s="17"/>
      <c r="I101" s="17" t="s">
        <v>1658</v>
      </c>
      <c r="J101" s="21" t="s">
        <v>1726</v>
      </c>
      <c r="K101" s="21">
        <v>120164.0</v>
      </c>
    </row>
    <row r="102">
      <c r="A102" s="18"/>
      <c r="B102" s="18"/>
      <c r="C102" s="17" t="str">
        <f t="shared" si="2"/>
        <v>#REF!</v>
      </c>
      <c r="D102" s="18" t="s">
        <v>1728</v>
      </c>
      <c r="E102" s="18"/>
      <c r="H102" s="21"/>
      <c r="I102" s="21" t="s">
        <v>1658</v>
      </c>
      <c r="J102" s="21"/>
      <c r="K102" s="18"/>
    </row>
    <row r="103">
      <c r="A103" s="18"/>
      <c r="B103" s="18"/>
      <c r="C103" s="17" t="str">
        <f t="shared" si="2"/>
        <v>#REF!</v>
      </c>
      <c r="D103" s="18" t="s">
        <v>1729</v>
      </c>
      <c r="E103" s="18"/>
      <c r="H103" s="21"/>
      <c r="I103" s="21" t="s">
        <v>1730</v>
      </c>
      <c r="J103" s="21"/>
      <c r="K103" s="18">
        <v>130180.0</v>
      </c>
    </row>
    <row r="104">
      <c r="A104" s="18"/>
      <c r="B104" s="18"/>
      <c r="C104" s="17" t="str">
        <f t="shared" si="2"/>
        <v>#REF!</v>
      </c>
      <c r="D104" s="18" t="s">
        <v>1731</v>
      </c>
      <c r="E104" s="18"/>
      <c r="H104" s="21"/>
      <c r="I104" s="21" t="s">
        <v>1732</v>
      </c>
      <c r="J104" s="21"/>
      <c r="K104" s="18">
        <v>130181.0</v>
      </c>
    </row>
    <row r="105">
      <c r="A105" s="18"/>
      <c r="B105" s="18"/>
      <c r="C105" s="17" t="str">
        <f t="shared" si="2"/>
        <v>#REF!</v>
      </c>
      <c r="D105" s="18" t="s">
        <v>1733</v>
      </c>
      <c r="E105" s="18"/>
      <c r="H105" s="21"/>
      <c r="I105" s="21" t="s">
        <v>1732</v>
      </c>
      <c r="J105" s="21"/>
      <c r="K105" s="18">
        <v>130182.0</v>
      </c>
    </row>
    <row r="106">
      <c r="A106" s="18"/>
      <c r="B106" s="18"/>
      <c r="C106" s="17" t="str">
        <f t="shared" si="2"/>
        <v>#REF!</v>
      </c>
      <c r="D106" s="18" t="s">
        <v>1734</v>
      </c>
      <c r="E106" s="18"/>
      <c r="H106" s="21"/>
      <c r="I106" s="21" t="s">
        <v>1732</v>
      </c>
      <c r="J106" s="21"/>
      <c r="K106" s="18">
        <v>130183.0</v>
      </c>
    </row>
    <row r="107">
      <c r="A107" s="18"/>
      <c r="B107" s="18"/>
      <c r="C107" s="17" t="str">
        <f t="shared" si="2"/>
        <v>#REF!</v>
      </c>
      <c r="D107" s="18" t="s">
        <v>1735</v>
      </c>
      <c r="E107" s="18"/>
      <c r="H107" s="21"/>
      <c r="I107" s="21" t="s">
        <v>1732</v>
      </c>
      <c r="J107" s="21"/>
      <c r="K107" s="18">
        <v>130184.0</v>
      </c>
    </row>
    <row r="108">
      <c r="A108" s="18"/>
      <c r="B108" s="18"/>
      <c r="C108" s="17" t="str">
        <f t="shared" si="2"/>
        <v>#REF!</v>
      </c>
      <c r="D108" s="18" t="s">
        <v>1736</v>
      </c>
      <c r="E108" s="18"/>
      <c r="H108" s="21"/>
      <c r="I108" s="21" t="s">
        <v>1732</v>
      </c>
      <c r="J108" s="21"/>
      <c r="K108" s="18">
        <v>130186.0</v>
      </c>
    </row>
    <row r="109">
      <c r="A109" s="18"/>
      <c r="B109" s="18"/>
      <c r="C109" s="17" t="str">
        <f t="shared" si="2"/>
        <v>#REF!</v>
      </c>
      <c r="D109" s="18" t="s">
        <v>1737</v>
      </c>
      <c r="E109" s="18"/>
      <c r="H109" s="21"/>
      <c r="I109" s="21" t="s">
        <v>1732</v>
      </c>
      <c r="J109" s="21"/>
      <c r="K109" s="18">
        <v>130189.0</v>
      </c>
    </row>
    <row r="110">
      <c r="A110" s="18"/>
      <c r="B110" s="18"/>
      <c r="C110" s="17" t="str">
        <f t="shared" si="2"/>
        <v>#REF!</v>
      </c>
      <c r="D110" s="18" t="s">
        <v>1738</v>
      </c>
      <c r="E110" s="18"/>
      <c r="H110" s="21"/>
      <c r="I110" s="21" t="s">
        <v>1732</v>
      </c>
      <c r="J110" s="21"/>
      <c r="K110" s="18">
        <v>130190.0</v>
      </c>
    </row>
    <row r="111">
      <c r="A111" s="18"/>
      <c r="B111" s="18"/>
      <c r="C111" s="17" t="str">
        <f t="shared" si="2"/>
        <v>#REF!</v>
      </c>
      <c r="D111" s="18" t="s">
        <v>1739</v>
      </c>
      <c r="E111" s="18"/>
      <c r="H111" s="21"/>
      <c r="I111" s="21" t="s">
        <v>1732</v>
      </c>
      <c r="J111" s="21"/>
      <c r="K111" s="18">
        <v>130192.0</v>
      </c>
    </row>
    <row r="112">
      <c r="A112" s="18"/>
      <c r="B112" s="18"/>
      <c r="C112" s="17" t="str">
        <f t="shared" si="2"/>
        <v>#REF!</v>
      </c>
      <c r="D112" s="18" t="s">
        <v>1740</v>
      </c>
      <c r="E112" s="18"/>
      <c r="H112" s="21"/>
      <c r="I112" s="21" t="s">
        <v>1732</v>
      </c>
      <c r="J112" s="21"/>
      <c r="K112" s="18">
        <v>130194.0</v>
      </c>
    </row>
    <row r="113">
      <c r="A113" s="18"/>
      <c r="B113" s="18"/>
      <c r="C113" s="17" t="str">
        <f t="shared" si="2"/>
        <v>#REF!</v>
      </c>
      <c r="D113" s="18" t="s">
        <v>1741</v>
      </c>
      <c r="E113" s="18"/>
      <c r="H113" s="21"/>
      <c r="I113" s="21" t="s">
        <v>1732</v>
      </c>
      <c r="J113" s="21"/>
      <c r="K113" s="18">
        <v>130193.0</v>
      </c>
    </row>
    <row r="114">
      <c r="A114" s="18"/>
      <c r="B114" s="18"/>
      <c r="C114" s="17" t="str">
        <f t="shared" si="2"/>
        <v>#REF!</v>
      </c>
      <c r="D114" s="18" t="s">
        <v>1742</v>
      </c>
      <c r="E114" s="18"/>
      <c r="H114" s="21"/>
      <c r="I114" s="21" t="s">
        <v>1732</v>
      </c>
      <c r="J114" s="21"/>
      <c r="K114" s="18">
        <v>130196.0</v>
      </c>
    </row>
    <row r="115">
      <c r="A115" s="18"/>
      <c r="B115" s="18"/>
      <c r="C115" s="17" t="str">
        <f t="shared" si="2"/>
        <v>#REF!</v>
      </c>
      <c r="D115" s="18" t="s">
        <v>1743</v>
      </c>
      <c r="E115" s="18"/>
      <c r="H115" s="21"/>
      <c r="I115" s="21" t="s">
        <v>1744</v>
      </c>
      <c r="J115" s="21"/>
      <c r="K115" s="18"/>
    </row>
    <row r="116">
      <c r="A116" s="18"/>
      <c r="B116" s="18"/>
      <c r="C116" s="17" t="str">
        <f t="shared" si="2"/>
        <v>#REF!</v>
      </c>
      <c r="D116" s="18" t="s">
        <v>1745</v>
      </c>
      <c r="E116" s="18"/>
      <c r="H116" s="21"/>
      <c r="I116" s="21" t="s">
        <v>1746</v>
      </c>
      <c r="J116" s="21"/>
      <c r="K116" s="18"/>
    </row>
    <row r="117">
      <c r="A117" s="18"/>
      <c r="B117" s="18"/>
      <c r="C117" s="17" t="str">
        <f t="shared" si="2"/>
        <v>#REF!</v>
      </c>
      <c r="D117" s="18" t="s">
        <v>1747</v>
      </c>
      <c r="E117" s="18"/>
      <c r="H117" s="21"/>
      <c r="I117" s="21" t="s">
        <v>1732</v>
      </c>
      <c r="J117" s="21"/>
      <c r="K117" s="18">
        <v>130199.0</v>
      </c>
    </row>
    <row r="118">
      <c r="A118" s="18"/>
      <c r="B118" s="18"/>
      <c r="C118" s="17" t="str">
        <f t="shared" si="2"/>
        <v>#REF!</v>
      </c>
      <c r="D118" s="18" t="s">
        <v>1748</v>
      </c>
      <c r="E118" s="18"/>
      <c r="H118" s="21"/>
      <c r="I118" s="21" t="s">
        <v>1732</v>
      </c>
      <c r="K118" s="18">
        <v>130299.0</v>
      </c>
    </row>
    <row r="119">
      <c r="A119" s="18"/>
      <c r="B119" s="18"/>
      <c r="C119" s="17" t="str">
        <f t="shared" si="2"/>
        <v>#REF!</v>
      </c>
      <c r="D119" s="18" t="s">
        <v>1749</v>
      </c>
      <c r="E119" s="18"/>
      <c r="H119" s="21"/>
      <c r="I119" s="21" t="s">
        <v>1732</v>
      </c>
      <c r="K119" s="18">
        <v>130198.0</v>
      </c>
    </row>
    <row r="120">
      <c r="A120" s="18"/>
      <c r="B120" s="18"/>
      <c r="C120" s="17" t="str">
        <f t="shared" si="2"/>
        <v>#REF!</v>
      </c>
      <c r="D120" s="18" t="s">
        <v>1750</v>
      </c>
      <c r="E120" s="18"/>
      <c r="H120" s="21"/>
      <c r="I120" s="21" t="s">
        <v>1732</v>
      </c>
      <c r="K120" s="18">
        <v>130200.0</v>
      </c>
    </row>
    <row r="121">
      <c r="A121" s="18"/>
      <c r="B121" s="18"/>
      <c r="C121" s="17" t="str">
        <f t="shared" si="2"/>
        <v>#REF!</v>
      </c>
      <c r="D121" s="18" t="s">
        <v>1751</v>
      </c>
      <c r="E121" s="18"/>
      <c r="H121" s="21"/>
      <c r="I121" s="21" t="s">
        <v>1732</v>
      </c>
      <c r="K121" s="18">
        <v>130202.0</v>
      </c>
    </row>
    <row r="122">
      <c r="A122" s="18"/>
      <c r="B122" s="18"/>
      <c r="C122" s="17" t="str">
        <f t="shared" si="2"/>
        <v>#REF!</v>
      </c>
      <c r="D122" s="18" t="s">
        <v>1752</v>
      </c>
      <c r="E122" s="18"/>
      <c r="H122" s="21"/>
      <c r="I122" s="21" t="s">
        <v>1732</v>
      </c>
      <c r="K122" s="18"/>
    </row>
    <row r="123">
      <c r="A123" s="18"/>
      <c r="B123" s="18"/>
      <c r="C123" s="17" t="str">
        <f t="shared" si="2"/>
        <v>#REF!</v>
      </c>
      <c r="D123" s="18" t="s">
        <v>1753</v>
      </c>
      <c r="E123" s="18"/>
      <c r="H123" s="21"/>
      <c r="I123" s="21" t="s">
        <v>1732</v>
      </c>
      <c r="K123" s="18">
        <v>130206.0</v>
      </c>
    </row>
    <row r="124">
      <c r="A124" s="18"/>
      <c r="B124" s="18"/>
      <c r="C124" s="17" t="str">
        <f t="shared" si="2"/>
        <v>#REF!</v>
      </c>
      <c r="D124" s="18" t="s">
        <v>1754</v>
      </c>
      <c r="E124" s="18"/>
      <c r="H124" s="21"/>
      <c r="I124" s="21" t="s">
        <v>1732</v>
      </c>
      <c r="K124" s="18"/>
    </row>
    <row r="125">
      <c r="A125" s="18"/>
      <c r="B125" s="18"/>
      <c r="C125" s="17" t="str">
        <f t="shared" si="2"/>
        <v>#REF!</v>
      </c>
      <c r="D125" s="18" t="s">
        <v>1755</v>
      </c>
      <c r="E125" s="18"/>
      <c r="H125" s="21"/>
      <c r="I125" s="21" t="s">
        <v>1732</v>
      </c>
      <c r="K125" s="18">
        <v>130205.0</v>
      </c>
    </row>
    <row r="126">
      <c r="A126" s="18"/>
      <c r="B126" s="18"/>
      <c r="C126" s="17" t="str">
        <f t="shared" si="2"/>
        <v>#REF!</v>
      </c>
      <c r="D126" s="18" t="s">
        <v>1756</v>
      </c>
      <c r="E126" s="18"/>
      <c r="H126" s="21"/>
      <c r="I126" s="21" t="s">
        <v>1732</v>
      </c>
      <c r="K126" s="18">
        <v>130255.0</v>
      </c>
    </row>
    <row r="127">
      <c r="A127" s="18"/>
      <c r="B127" s="18"/>
      <c r="C127" s="17" t="str">
        <f t="shared" si="2"/>
        <v>#REF!</v>
      </c>
      <c r="D127" s="18" t="s">
        <v>1757</v>
      </c>
      <c r="E127" s="18"/>
      <c r="H127" s="21"/>
      <c r="I127" s="21" t="s">
        <v>1732</v>
      </c>
      <c r="K127" s="18">
        <v>130208.0</v>
      </c>
    </row>
    <row r="128">
      <c r="A128" s="18"/>
      <c r="B128" s="18"/>
      <c r="C128" s="17" t="str">
        <f t="shared" si="2"/>
        <v>#REF!</v>
      </c>
      <c r="D128" s="18" t="s">
        <v>1758</v>
      </c>
      <c r="E128" s="18"/>
      <c r="H128" s="21"/>
      <c r="I128" s="21" t="s">
        <v>1732</v>
      </c>
      <c r="K128" s="18">
        <v>130209.0</v>
      </c>
    </row>
    <row r="129">
      <c r="A129" s="18"/>
      <c r="B129" s="18"/>
      <c r="C129" s="17" t="str">
        <f t="shared" si="2"/>
        <v>#REF!</v>
      </c>
      <c r="D129" s="18" t="s">
        <v>1759</v>
      </c>
      <c r="E129" s="18"/>
      <c r="H129" s="21"/>
      <c r="I129" s="21" t="s">
        <v>1732</v>
      </c>
      <c r="K129" s="18">
        <v>130212.0</v>
      </c>
    </row>
    <row r="130">
      <c r="A130" s="18"/>
      <c r="B130" s="18"/>
      <c r="C130" s="17" t="str">
        <f t="shared" si="2"/>
        <v>#REF!</v>
      </c>
      <c r="D130" s="18" t="s">
        <v>1760</v>
      </c>
      <c r="E130" s="18"/>
      <c r="H130" s="21"/>
      <c r="I130" s="21" t="s">
        <v>1732</v>
      </c>
      <c r="K130" s="18">
        <v>130214.0</v>
      </c>
    </row>
    <row r="131">
      <c r="A131" s="18"/>
      <c r="B131" s="18"/>
      <c r="C131" s="17" t="str">
        <f t="shared" si="2"/>
        <v>#REF!</v>
      </c>
      <c r="D131" s="18" t="s">
        <v>1761</v>
      </c>
      <c r="E131" s="18"/>
      <c r="H131" s="21"/>
      <c r="I131" s="21" t="s">
        <v>1732</v>
      </c>
      <c r="K131" s="18"/>
    </row>
    <row r="132">
      <c r="A132" s="18"/>
      <c r="B132" s="18"/>
      <c r="C132" s="17" t="str">
        <f t="shared" si="2"/>
        <v>#REF!</v>
      </c>
      <c r="D132" s="18" t="s">
        <v>1762</v>
      </c>
      <c r="E132" s="18"/>
      <c r="H132" s="21"/>
      <c r="I132" s="21" t="s">
        <v>1732</v>
      </c>
      <c r="K132" s="18">
        <v>130215.0</v>
      </c>
    </row>
    <row r="133">
      <c r="A133" s="18"/>
      <c r="B133" s="18"/>
      <c r="C133" s="17" t="str">
        <f t="shared" si="2"/>
        <v>#REF!</v>
      </c>
      <c r="D133" s="18" t="s">
        <v>1763</v>
      </c>
      <c r="E133" s="18"/>
      <c r="H133" s="21"/>
      <c r="I133" s="21" t="s">
        <v>1732</v>
      </c>
      <c r="K133" s="18">
        <v>130216.0</v>
      </c>
    </row>
    <row r="134">
      <c r="A134" s="18"/>
      <c r="B134" s="18"/>
      <c r="C134" s="17" t="str">
        <f t="shared" si="2"/>
        <v>#REF!</v>
      </c>
      <c r="D134" s="18" t="s">
        <v>1764</v>
      </c>
      <c r="E134" s="18"/>
      <c r="H134" s="21"/>
      <c r="I134" s="21" t="s">
        <v>1732</v>
      </c>
      <c r="K134" s="18">
        <v>130217.0</v>
      </c>
    </row>
    <row r="135">
      <c r="A135" s="18"/>
      <c r="B135" s="18"/>
      <c r="C135" s="17" t="str">
        <f t="shared" si="2"/>
        <v>#REF!</v>
      </c>
      <c r="D135" s="18" t="s">
        <v>1765</v>
      </c>
      <c r="E135" s="18"/>
      <c r="H135" s="21"/>
      <c r="I135" s="21" t="s">
        <v>1766</v>
      </c>
      <c r="K135" s="18"/>
    </row>
    <row r="136">
      <c r="A136" s="18"/>
      <c r="B136" s="18"/>
      <c r="C136" s="17" t="str">
        <f t="shared" si="2"/>
        <v>#REF!</v>
      </c>
      <c r="D136" s="18" t="s">
        <v>1765</v>
      </c>
      <c r="E136" s="18"/>
      <c r="H136" s="21"/>
      <c r="I136" s="21" t="s">
        <v>1732</v>
      </c>
      <c r="K136" s="18"/>
    </row>
    <row r="137">
      <c r="A137" s="18"/>
      <c r="B137" s="18"/>
      <c r="C137" s="17" t="str">
        <f t="shared" si="2"/>
        <v>#REF!</v>
      </c>
      <c r="D137" s="18" t="s">
        <v>1767</v>
      </c>
      <c r="E137" s="18"/>
      <c r="H137" s="21"/>
      <c r="I137" s="21" t="s">
        <v>1732</v>
      </c>
      <c r="K137" s="18">
        <v>130219.0</v>
      </c>
    </row>
    <row r="138">
      <c r="A138" s="18"/>
      <c r="B138" s="18"/>
      <c r="C138" s="17" t="str">
        <f t="shared" si="2"/>
        <v>#REF!</v>
      </c>
      <c r="D138" s="18" t="s">
        <v>1768</v>
      </c>
      <c r="E138" s="18"/>
      <c r="H138" s="21"/>
      <c r="I138" s="21" t="s">
        <v>1732</v>
      </c>
      <c r="K138" s="18">
        <v>130220.0</v>
      </c>
    </row>
    <row r="139">
      <c r="A139" s="18"/>
      <c r="B139" s="18"/>
      <c r="C139" s="17" t="str">
        <f t="shared" si="2"/>
        <v>#REF!</v>
      </c>
      <c r="D139" s="18" t="s">
        <v>1769</v>
      </c>
      <c r="E139" s="18"/>
      <c r="H139" s="21"/>
      <c r="I139" s="21" t="s">
        <v>1744</v>
      </c>
      <c r="K139" s="18"/>
    </row>
    <row r="140">
      <c r="A140" s="18"/>
      <c r="B140" s="18"/>
      <c r="C140" s="17" t="str">
        <f t="shared" si="2"/>
        <v>#REF!</v>
      </c>
      <c r="D140" s="18" t="s">
        <v>1769</v>
      </c>
      <c r="E140" s="18"/>
      <c r="H140" s="21"/>
      <c r="I140" s="21" t="s">
        <v>1744</v>
      </c>
      <c r="K140" s="18"/>
    </row>
    <row r="141">
      <c r="A141" s="18"/>
      <c r="B141" s="18"/>
      <c r="C141" s="17" t="str">
        <f t="shared" si="2"/>
        <v>#REF!</v>
      </c>
      <c r="D141" s="18" t="s">
        <v>1770</v>
      </c>
      <c r="E141" s="18"/>
      <c r="H141" s="21"/>
      <c r="I141" s="21" t="s">
        <v>1744</v>
      </c>
      <c r="K141" s="18"/>
    </row>
    <row r="142">
      <c r="A142" s="18"/>
      <c r="B142" s="18"/>
      <c r="C142" s="17" t="str">
        <f t="shared" si="2"/>
        <v>#REF!</v>
      </c>
      <c r="D142" s="18" t="s">
        <v>1771</v>
      </c>
      <c r="E142" s="18"/>
      <c r="H142" s="21"/>
      <c r="I142" s="21" t="s">
        <v>1732</v>
      </c>
      <c r="K142" s="18">
        <v>130221.0</v>
      </c>
    </row>
    <row r="143">
      <c r="A143" s="18"/>
      <c r="B143" s="18"/>
      <c r="C143" s="17" t="str">
        <f t="shared" si="2"/>
        <v>#REF!</v>
      </c>
      <c r="D143" s="18" t="s">
        <v>1772</v>
      </c>
      <c r="E143" s="18"/>
      <c r="H143" s="21"/>
      <c r="I143" s="21" t="s">
        <v>1732</v>
      </c>
      <c r="K143" s="18">
        <v>130223.0</v>
      </c>
    </row>
    <row r="144">
      <c r="A144" s="18"/>
      <c r="B144" s="18"/>
      <c r="C144" s="17" t="str">
        <f t="shared" si="2"/>
        <v>#REF!</v>
      </c>
      <c r="D144" s="18" t="s">
        <v>1773</v>
      </c>
      <c r="E144" s="18"/>
      <c r="H144" s="21"/>
      <c r="I144" s="21" t="s">
        <v>1732</v>
      </c>
      <c r="K144" s="18"/>
    </row>
    <row r="145">
      <c r="A145" s="18"/>
      <c r="B145" s="18"/>
      <c r="C145" s="17" t="str">
        <f t="shared" si="2"/>
        <v>#REF!</v>
      </c>
      <c r="D145" s="18" t="s">
        <v>1773</v>
      </c>
      <c r="E145" s="18"/>
      <c r="H145" s="21"/>
      <c r="I145" s="21" t="s">
        <v>1732</v>
      </c>
      <c r="K145" s="18">
        <v>130225.0</v>
      </c>
    </row>
    <row r="146">
      <c r="A146" s="18"/>
      <c r="B146" s="18"/>
      <c r="C146" s="17" t="str">
        <f t="shared" si="2"/>
        <v>#REF!</v>
      </c>
      <c r="D146" s="18" t="s">
        <v>1774</v>
      </c>
      <c r="E146" s="18"/>
      <c r="H146" s="21"/>
      <c r="I146" s="21" t="s">
        <v>1732</v>
      </c>
      <c r="K146" s="18">
        <v>130228.0</v>
      </c>
    </row>
    <row r="147">
      <c r="A147" s="18"/>
      <c r="B147" s="18"/>
      <c r="C147" s="17" t="str">
        <f t="shared" si="2"/>
        <v>#REF!</v>
      </c>
      <c r="D147" s="18" t="s">
        <v>1775</v>
      </c>
      <c r="E147" s="18"/>
      <c r="H147" s="21"/>
      <c r="I147" s="21" t="s">
        <v>1732</v>
      </c>
      <c r="K147" s="18">
        <v>130229.0</v>
      </c>
    </row>
    <row r="148">
      <c r="A148" s="18"/>
      <c r="B148" s="18"/>
      <c r="C148" s="17" t="str">
        <f t="shared" si="2"/>
        <v>#REF!</v>
      </c>
      <c r="D148" s="18" t="s">
        <v>1776</v>
      </c>
      <c r="E148" s="18"/>
      <c r="H148" s="21"/>
      <c r="I148" s="21" t="s">
        <v>1732</v>
      </c>
      <c r="K148" s="18"/>
    </row>
    <row r="149">
      <c r="A149" s="18"/>
      <c r="B149" s="18"/>
      <c r="C149" s="17" t="str">
        <f t="shared" si="2"/>
        <v>#REF!</v>
      </c>
      <c r="D149" s="18" t="s">
        <v>1777</v>
      </c>
      <c r="E149" s="18"/>
      <c r="H149" s="21"/>
      <c r="I149" s="21" t="s">
        <v>1732</v>
      </c>
      <c r="K149" s="18">
        <v>130238.0</v>
      </c>
    </row>
    <row r="150">
      <c r="A150" s="18"/>
      <c r="B150" s="18"/>
      <c r="C150" s="17" t="str">
        <f t="shared" si="2"/>
        <v>#REF!</v>
      </c>
      <c r="D150" s="18" t="s">
        <v>1777</v>
      </c>
      <c r="E150" s="18"/>
      <c r="H150" s="21"/>
      <c r="I150" s="21" t="s">
        <v>1732</v>
      </c>
      <c r="K150" s="18">
        <v>130293.0</v>
      </c>
    </row>
    <row r="151">
      <c r="A151" s="18"/>
      <c r="B151" s="18"/>
      <c r="C151" s="17" t="str">
        <f t="shared" si="2"/>
        <v>#REF!</v>
      </c>
      <c r="D151" s="18" t="s">
        <v>1778</v>
      </c>
      <c r="E151" s="18"/>
      <c r="H151" s="21"/>
      <c r="I151" s="21" t="s">
        <v>1732</v>
      </c>
      <c r="K151" s="18">
        <v>130289.0</v>
      </c>
    </row>
    <row r="152">
      <c r="A152" s="18"/>
      <c r="B152" s="18"/>
      <c r="C152" s="17" t="str">
        <f t="shared" si="2"/>
        <v>#REF!</v>
      </c>
      <c r="D152" s="18" t="s">
        <v>1779</v>
      </c>
      <c r="E152" s="18"/>
      <c r="H152" s="21"/>
      <c r="I152" s="21" t="s">
        <v>1732</v>
      </c>
      <c r="K152" s="18">
        <v>130235.0</v>
      </c>
    </row>
    <row r="153">
      <c r="A153" s="18"/>
      <c r="B153" s="18"/>
      <c r="C153" s="17" t="str">
        <f t="shared" si="2"/>
        <v>#REF!</v>
      </c>
      <c r="D153" s="18" t="s">
        <v>1780</v>
      </c>
      <c r="E153" s="18"/>
      <c r="H153" s="21"/>
      <c r="I153" s="21" t="s">
        <v>1732</v>
      </c>
      <c r="K153" s="18"/>
    </row>
    <row r="154">
      <c r="A154" s="18"/>
      <c r="B154" s="18"/>
      <c r="C154" s="17" t="str">
        <f t="shared" si="2"/>
        <v>#REF!</v>
      </c>
      <c r="D154" s="18" t="s">
        <v>1781</v>
      </c>
      <c r="E154" s="18"/>
      <c r="H154" s="21"/>
      <c r="I154" s="21" t="s">
        <v>1732</v>
      </c>
      <c r="K154" s="18">
        <v>130239.0</v>
      </c>
    </row>
    <row r="155">
      <c r="A155" s="18"/>
      <c r="B155" s="18"/>
      <c r="C155" s="17" t="str">
        <f t="shared" si="2"/>
        <v>#REF!</v>
      </c>
      <c r="D155" s="18" t="s">
        <v>1782</v>
      </c>
      <c r="E155" s="18"/>
      <c r="H155" s="21"/>
      <c r="I155" s="21" t="s">
        <v>1732</v>
      </c>
      <c r="K155" s="18">
        <v>130240.0</v>
      </c>
    </row>
    <row r="156">
      <c r="A156" s="18"/>
      <c r="B156" s="18"/>
      <c r="C156" s="17" t="str">
        <f t="shared" si="2"/>
        <v>#REF!</v>
      </c>
      <c r="D156" s="18" t="s">
        <v>1782</v>
      </c>
      <c r="E156" s="18"/>
      <c r="H156" s="21"/>
      <c r="I156" s="21" t="s">
        <v>1744</v>
      </c>
      <c r="K156" s="18"/>
    </row>
    <row r="157">
      <c r="A157" s="18"/>
      <c r="B157" s="18"/>
      <c r="C157" s="17" t="str">
        <f t="shared" si="2"/>
        <v>#REF!</v>
      </c>
      <c r="D157" s="18" t="s">
        <v>1783</v>
      </c>
      <c r="E157" s="18"/>
      <c r="H157" s="21"/>
      <c r="I157" s="21" t="s">
        <v>1732</v>
      </c>
      <c r="K157" s="18">
        <v>130241.0</v>
      </c>
    </row>
    <row r="158">
      <c r="A158" s="18"/>
      <c r="B158" s="18"/>
      <c r="C158" s="17" t="str">
        <f t="shared" si="2"/>
        <v>#REF!</v>
      </c>
      <c r="D158" s="18" t="s">
        <v>1784</v>
      </c>
      <c r="E158" s="18"/>
      <c r="H158" s="21"/>
      <c r="I158" s="21" t="s">
        <v>1732</v>
      </c>
      <c r="K158" s="18">
        <v>130250.0</v>
      </c>
    </row>
    <row r="159">
      <c r="A159" s="18"/>
      <c r="B159" s="18"/>
      <c r="C159" s="17" t="str">
        <f t="shared" si="2"/>
        <v>#REF!</v>
      </c>
      <c r="D159" s="18" t="s">
        <v>1785</v>
      </c>
      <c r="E159" s="18"/>
      <c r="H159" s="21"/>
      <c r="I159" s="21" t="s">
        <v>1732</v>
      </c>
      <c r="K159" s="18"/>
    </row>
    <row r="160">
      <c r="A160" s="18"/>
      <c r="B160" s="18"/>
      <c r="C160" s="17" t="str">
        <f t="shared" si="2"/>
        <v>#REF!</v>
      </c>
      <c r="D160" s="18" t="s">
        <v>1786</v>
      </c>
      <c r="E160" s="18"/>
      <c r="H160" s="21"/>
      <c r="I160" s="21" t="s">
        <v>1732</v>
      </c>
      <c r="K160" s="18"/>
    </row>
    <row r="161">
      <c r="A161" s="18"/>
      <c r="B161" s="18"/>
      <c r="C161" s="17" t="str">
        <f t="shared" si="2"/>
        <v>#REF!</v>
      </c>
      <c r="D161" s="18" t="s">
        <v>1787</v>
      </c>
      <c r="E161" s="18"/>
      <c r="H161" s="21"/>
      <c r="I161" s="21" t="s">
        <v>1732</v>
      </c>
      <c r="K161" s="18"/>
    </row>
    <row r="162">
      <c r="A162" s="18"/>
      <c r="B162" s="18"/>
      <c r="C162" s="17" t="str">
        <f t="shared" si="2"/>
        <v>#REF!</v>
      </c>
      <c r="D162" s="18" t="s">
        <v>1788</v>
      </c>
      <c r="E162" s="18"/>
      <c r="H162" s="21"/>
      <c r="I162" s="21" t="s">
        <v>1744</v>
      </c>
      <c r="K162" s="18"/>
    </row>
    <row r="163">
      <c r="A163" s="18"/>
      <c r="B163" s="18"/>
      <c r="C163" s="17" t="str">
        <f t="shared" si="2"/>
        <v>#REF!</v>
      </c>
      <c r="D163" s="18" t="s">
        <v>1788</v>
      </c>
      <c r="E163" s="18"/>
      <c r="H163" s="21"/>
      <c r="I163" s="21" t="s">
        <v>1744</v>
      </c>
      <c r="K163" s="18"/>
    </row>
    <row r="164">
      <c r="A164" s="18"/>
      <c r="B164" s="18"/>
      <c r="C164" s="17" t="str">
        <f t="shared" si="2"/>
        <v>#REF!</v>
      </c>
      <c r="D164" s="18" t="s">
        <v>1789</v>
      </c>
      <c r="E164" s="18"/>
      <c r="H164" s="21"/>
      <c r="I164" s="21" t="s">
        <v>1790</v>
      </c>
      <c r="K164" s="18"/>
    </row>
    <row r="165">
      <c r="A165" s="18"/>
      <c r="B165" s="18"/>
      <c r="C165" s="17" t="str">
        <f t="shared" si="2"/>
        <v>#REF!</v>
      </c>
      <c r="D165" s="18" t="s">
        <v>1791</v>
      </c>
      <c r="E165" s="18"/>
      <c r="H165" s="21"/>
      <c r="I165" s="21" t="s">
        <v>1732</v>
      </c>
      <c r="K165" s="18"/>
    </row>
    <row r="166">
      <c r="A166" s="18"/>
      <c r="B166" s="18"/>
      <c r="C166" s="17" t="str">
        <f t="shared" si="2"/>
        <v>#REF!</v>
      </c>
      <c r="D166" s="18" t="s">
        <v>1792</v>
      </c>
      <c r="E166" s="18"/>
      <c r="H166" s="21"/>
      <c r="I166" s="21" t="s">
        <v>1732</v>
      </c>
      <c r="K166" s="18">
        <v>130262.0</v>
      </c>
    </row>
    <row r="167">
      <c r="A167" s="18"/>
      <c r="B167" s="18"/>
      <c r="C167" s="17" t="str">
        <f t="shared" si="2"/>
        <v>#REF!</v>
      </c>
      <c r="D167" s="18" t="s">
        <v>1793</v>
      </c>
      <c r="E167" s="18"/>
      <c r="H167" s="21"/>
      <c r="I167" s="21" t="s">
        <v>1732</v>
      </c>
      <c r="K167" s="18">
        <v>130254.0</v>
      </c>
    </row>
    <row r="168">
      <c r="A168" s="18"/>
      <c r="B168" s="18"/>
      <c r="C168" s="17" t="str">
        <f t="shared" si="2"/>
        <v>#REF!</v>
      </c>
      <c r="D168" s="18" t="s">
        <v>1794</v>
      </c>
      <c r="E168" s="18"/>
      <c r="H168" s="21"/>
      <c r="I168" s="21" t="s">
        <v>1732</v>
      </c>
      <c r="K168" s="18">
        <v>130258.0</v>
      </c>
    </row>
    <row r="169">
      <c r="A169" s="18"/>
      <c r="B169" s="18"/>
      <c r="C169" s="17" t="str">
        <f t="shared" si="2"/>
        <v>#REF!</v>
      </c>
      <c r="D169" s="18" t="s">
        <v>1795</v>
      </c>
      <c r="E169" s="18"/>
      <c r="H169" s="21"/>
      <c r="I169" s="21" t="s">
        <v>1732</v>
      </c>
      <c r="K169" s="18"/>
    </row>
    <row r="170">
      <c r="A170" s="18"/>
      <c r="B170" s="18"/>
      <c r="C170" s="17" t="str">
        <f t="shared" si="2"/>
        <v>#REF!</v>
      </c>
      <c r="D170" s="18" t="s">
        <v>1796</v>
      </c>
      <c r="E170" s="18"/>
      <c r="H170" s="21"/>
      <c r="I170" s="21" t="s">
        <v>1732</v>
      </c>
      <c r="K170" s="18">
        <v>130259.0</v>
      </c>
    </row>
    <row r="171">
      <c r="A171" s="18"/>
      <c r="B171" s="18"/>
      <c r="C171" s="17" t="str">
        <f t="shared" si="2"/>
        <v>#REF!</v>
      </c>
      <c r="D171" s="18" t="s">
        <v>1797</v>
      </c>
      <c r="E171" s="18"/>
      <c r="H171" s="21"/>
      <c r="I171" s="21" t="s">
        <v>1732</v>
      </c>
      <c r="K171" s="18"/>
    </row>
    <row r="172">
      <c r="A172" s="18"/>
      <c r="B172" s="18"/>
      <c r="C172" s="17" t="str">
        <f t="shared" si="2"/>
        <v>#REF!</v>
      </c>
      <c r="D172" s="18" t="s">
        <v>1798</v>
      </c>
      <c r="E172" s="18"/>
      <c r="H172" s="21"/>
      <c r="I172" s="21" t="s">
        <v>1732</v>
      </c>
      <c r="K172" s="18"/>
    </row>
    <row r="173">
      <c r="A173" s="18"/>
      <c r="B173" s="18"/>
      <c r="C173" s="17" t="str">
        <f t="shared" si="2"/>
        <v>#REF!</v>
      </c>
      <c r="D173" s="18" t="s">
        <v>1799</v>
      </c>
      <c r="E173" s="18"/>
      <c r="H173" s="21"/>
      <c r="I173" s="21" t="s">
        <v>1732</v>
      </c>
      <c r="K173" s="18">
        <v>130263.0</v>
      </c>
    </row>
    <row r="174">
      <c r="A174" s="18"/>
      <c r="B174" s="18"/>
      <c r="C174" s="17" t="str">
        <f t="shared" si="2"/>
        <v>#REF!</v>
      </c>
      <c r="D174" s="18" t="s">
        <v>1800</v>
      </c>
      <c r="E174" s="18"/>
      <c r="H174" s="21"/>
      <c r="I174" s="21" t="s">
        <v>1732</v>
      </c>
      <c r="K174" s="18"/>
    </row>
    <row r="175">
      <c r="A175" s="18"/>
      <c r="B175" s="18"/>
      <c r="C175" s="17" t="str">
        <f t="shared" si="2"/>
        <v>#REF!</v>
      </c>
      <c r="D175" s="18" t="s">
        <v>1801</v>
      </c>
      <c r="E175" s="18"/>
      <c r="H175" s="21"/>
      <c r="I175" s="21" t="s">
        <v>1732</v>
      </c>
      <c r="K175" s="18">
        <v>130266.0</v>
      </c>
    </row>
    <row r="176">
      <c r="A176" s="18"/>
      <c r="B176" s="18"/>
      <c r="C176" s="17" t="str">
        <f t="shared" si="2"/>
        <v>#REF!</v>
      </c>
      <c r="D176" s="18" t="s">
        <v>1801</v>
      </c>
      <c r="E176" s="18"/>
      <c r="H176" s="21"/>
      <c r="I176" s="21" t="s">
        <v>1744</v>
      </c>
      <c r="K176" s="18"/>
    </row>
    <row r="177">
      <c r="A177" s="18"/>
      <c r="B177" s="18"/>
      <c r="C177" s="17" t="str">
        <f t="shared" si="2"/>
        <v>#REF!</v>
      </c>
      <c r="D177" s="18" t="s">
        <v>1802</v>
      </c>
      <c r="E177" s="18"/>
      <c r="H177" s="21"/>
      <c r="I177" s="21" t="s">
        <v>1732</v>
      </c>
      <c r="K177" s="18">
        <v>130267.0</v>
      </c>
    </row>
    <row r="178">
      <c r="A178" s="18"/>
      <c r="B178" s="18"/>
      <c r="C178" s="17" t="str">
        <f t="shared" si="2"/>
        <v>#REF!</v>
      </c>
      <c r="D178" s="18" t="s">
        <v>1803</v>
      </c>
      <c r="E178" s="18"/>
      <c r="H178" s="21"/>
      <c r="I178" s="21" t="s">
        <v>1732</v>
      </c>
      <c r="K178" s="18">
        <v>130270.0</v>
      </c>
    </row>
    <row r="179">
      <c r="A179" s="18"/>
      <c r="B179" s="18"/>
      <c r="C179" s="17" t="str">
        <f t="shared" si="2"/>
        <v>#REF!</v>
      </c>
      <c r="D179" s="18" t="s">
        <v>1804</v>
      </c>
      <c r="E179" s="18"/>
      <c r="H179" s="21"/>
      <c r="I179" s="21" t="s">
        <v>1732</v>
      </c>
      <c r="K179" s="18">
        <v>130277.0</v>
      </c>
    </row>
    <row r="180">
      <c r="A180" s="18"/>
      <c r="B180" s="18"/>
      <c r="C180" s="17" t="str">
        <f t="shared" si="2"/>
        <v>#REF!</v>
      </c>
      <c r="D180" s="18" t="s">
        <v>1805</v>
      </c>
      <c r="E180" s="18"/>
      <c r="H180" s="21"/>
      <c r="I180" s="21" t="s">
        <v>1732</v>
      </c>
      <c r="K180" s="18">
        <v>130272.0</v>
      </c>
    </row>
    <row r="181">
      <c r="A181" s="18"/>
      <c r="B181" s="18"/>
      <c r="C181" s="17" t="str">
        <f t="shared" si="2"/>
        <v>#REF!</v>
      </c>
      <c r="D181" s="18" t="s">
        <v>1806</v>
      </c>
      <c r="E181" s="18"/>
      <c r="H181" s="21"/>
      <c r="I181" s="21" t="s">
        <v>1744</v>
      </c>
      <c r="K181" s="18"/>
    </row>
    <row r="182">
      <c r="A182" s="18"/>
      <c r="B182" s="18"/>
      <c r="C182" s="17" t="str">
        <f t="shared" si="2"/>
        <v>#REF!</v>
      </c>
      <c r="D182" s="18" t="s">
        <v>1807</v>
      </c>
      <c r="E182" s="18"/>
      <c r="H182" s="21"/>
      <c r="I182" s="21" t="s">
        <v>1808</v>
      </c>
      <c r="K182" s="18"/>
    </row>
    <row r="183">
      <c r="A183" s="18"/>
      <c r="B183" s="18"/>
      <c r="C183" s="17" t="str">
        <f t="shared" si="2"/>
        <v>#REF!</v>
      </c>
      <c r="D183" s="18" t="s">
        <v>1809</v>
      </c>
      <c r="E183" s="18"/>
      <c r="H183" s="21"/>
      <c r="I183" s="21" t="s">
        <v>1732</v>
      </c>
      <c r="K183" s="18"/>
    </row>
    <row r="184">
      <c r="A184" s="18"/>
      <c r="B184" s="18"/>
      <c r="C184" s="17" t="str">
        <f t="shared" si="2"/>
        <v>#REF!</v>
      </c>
      <c r="D184" s="18" t="s">
        <v>1810</v>
      </c>
      <c r="E184" s="18"/>
      <c r="H184" s="21"/>
      <c r="I184" s="21" t="s">
        <v>1732</v>
      </c>
      <c r="K184" s="18"/>
    </row>
    <row r="185">
      <c r="A185" s="18"/>
      <c r="B185" s="18"/>
      <c r="C185" s="17" t="str">
        <f t="shared" si="2"/>
        <v>#REF!</v>
      </c>
      <c r="D185" s="18" t="s">
        <v>1811</v>
      </c>
      <c r="E185" s="18"/>
      <c r="H185" s="21"/>
      <c r="I185" s="21" t="s">
        <v>1732</v>
      </c>
      <c r="K185" s="18">
        <v>130278.0</v>
      </c>
    </row>
    <row r="186">
      <c r="A186" s="18"/>
      <c r="B186" s="18"/>
      <c r="C186" s="17" t="str">
        <f t="shared" si="2"/>
        <v>#REF!</v>
      </c>
      <c r="D186" s="18" t="s">
        <v>1812</v>
      </c>
      <c r="E186" s="18"/>
      <c r="H186" s="21"/>
      <c r="I186" s="21" t="s">
        <v>1732</v>
      </c>
      <c r="K186" s="18">
        <v>130283.0</v>
      </c>
    </row>
    <row r="187">
      <c r="A187" s="18"/>
      <c r="B187" s="18"/>
      <c r="C187" s="17" t="str">
        <f t="shared" si="2"/>
        <v>#REF!</v>
      </c>
      <c r="D187" s="18" t="s">
        <v>1812</v>
      </c>
      <c r="E187" s="18"/>
      <c r="H187" s="21"/>
      <c r="I187" s="21" t="s">
        <v>1732</v>
      </c>
      <c r="K187" s="18"/>
    </row>
    <row r="188">
      <c r="A188" s="18"/>
      <c r="B188" s="18"/>
      <c r="C188" s="17" t="str">
        <f t="shared" si="2"/>
        <v>#REF!</v>
      </c>
      <c r="D188" s="18" t="s">
        <v>1813</v>
      </c>
      <c r="E188" s="18"/>
      <c r="H188" s="21"/>
      <c r="I188" s="21" t="s">
        <v>1732</v>
      </c>
      <c r="K188" s="18">
        <v>130284.0</v>
      </c>
    </row>
    <row r="189">
      <c r="A189" s="18"/>
      <c r="B189" s="18"/>
      <c r="C189" s="17" t="str">
        <f t="shared" si="2"/>
        <v>#REF!</v>
      </c>
      <c r="D189" s="18" t="s">
        <v>1814</v>
      </c>
      <c r="E189" s="18"/>
      <c r="H189" s="18"/>
      <c r="I189" s="18" t="s">
        <v>1732</v>
      </c>
      <c r="J189" s="18"/>
      <c r="K189" s="18"/>
    </row>
    <row r="190">
      <c r="A190" s="18"/>
      <c r="B190" s="18"/>
      <c r="C190" s="17" t="str">
        <f t="shared" si="2"/>
        <v>#REF!</v>
      </c>
      <c r="D190" s="18" t="s">
        <v>1815</v>
      </c>
      <c r="E190" s="18"/>
      <c r="H190" s="18"/>
      <c r="I190" s="18" t="s">
        <v>1732</v>
      </c>
      <c r="J190" s="18"/>
      <c r="K190" s="18"/>
    </row>
    <row r="191">
      <c r="A191" s="18"/>
      <c r="B191" s="18"/>
      <c r="C191" s="17" t="str">
        <f t="shared" si="2"/>
        <v>#REF!</v>
      </c>
      <c r="D191" s="18" t="s">
        <v>1816</v>
      </c>
      <c r="E191" s="18"/>
      <c r="H191" s="18"/>
      <c r="I191" s="18" t="s">
        <v>1732</v>
      </c>
      <c r="J191" s="18"/>
      <c r="K191" s="18"/>
    </row>
    <row r="192">
      <c r="A192" s="18"/>
      <c r="B192" s="18"/>
      <c r="C192" s="17" t="str">
        <f t="shared" si="2"/>
        <v>#REF!</v>
      </c>
      <c r="D192" s="18" t="s">
        <v>1817</v>
      </c>
      <c r="E192" s="18"/>
      <c r="H192" s="18"/>
      <c r="I192" s="18" t="s">
        <v>1732</v>
      </c>
      <c r="J192" s="18"/>
      <c r="K192" s="18"/>
    </row>
    <row r="193">
      <c r="A193" s="18"/>
      <c r="B193" s="18"/>
      <c r="C193" s="17" t="str">
        <f t="shared" si="2"/>
        <v>#REF!</v>
      </c>
      <c r="D193" s="18" t="s">
        <v>1818</v>
      </c>
      <c r="E193" s="18"/>
      <c r="H193" s="18"/>
      <c r="I193" s="18" t="s">
        <v>1744</v>
      </c>
      <c r="J193" s="18"/>
      <c r="K193" s="18"/>
    </row>
    <row r="194">
      <c r="A194" s="18"/>
      <c r="B194" s="18"/>
      <c r="C194" s="17" t="str">
        <f t="shared" si="2"/>
        <v>#REF!</v>
      </c>
      <c r="D194" s="18" t="s">
        <v>1819</v>
      </c>
      <c r="E194" s="18"/>
      <c r="H194" s="18"/>
      <c r="I194" s="18" t="s">
        <v>1744</v>
      </c>
      <c r="J194" s="18"/>
      <c r="K194" s="18"/>
    </row>
    <row r="195">
      <c r="A195" s="18"/>
      <c r="B195" s="18"/>
      <c r="C195" s="17" t="str">
        <f t="shared" si="2"/>
        <v>#REF!</v>
      </c>
      <c r="D195" s="18" t="s">
        <v>1820</v>
      </c>
      <c r="E195" s="18"/>
      <c r="H195" s="18"/>
      <c r="I195" s="18" t="s">
        <v>1744</v>
      </c>
      <c r="J195" s="18"/>
      <c r="K195" s="18"/>
    </row>
    <row r="196">
      <c r="A196" s="18"/>
      <c r="B196" s="18"/>
      <c r="C196" s="17" t="str">
        <f t="shared" si="2"/>
        <v>#REF!</v>
      </c>
      <c r="D196" s="18" t="s">
        <v>1821</v>
      </c>
      <c r="E196" s="18"/>
      <c r="H196" s="18"/>
      <c r="I196" s="18" t="s">
        <v>1744</v>
      </c>
      <c r="J196" s="18"/>
      <c r="K196" s="18"/>
    </row>
    <row r="197">
      <c r="A197" s="18"/>
      <c r="B197" s="18"/>
      <c r="C197" s="17" t="str">
        <f t="shared" si="2"/>
        <v>#REF!</v>
      </c>
      <c r="D197" s="18" t="s">
        <v>1822</v>
      </c>
      <c r="E197" s="18"/>
      <c r="H197" s="18"/>
      <c r="I197" s="18" t="s">
        <v>1744</v>
      </c>
      <c r="J197" s="18"/>
      <c r="K197" s="18"/>
    </row>
    <row r="198">
      <c r="A198" s="18"/>
      <c r="B198" s="18"/>
      <c r="C198" s="17" t="str">
        <f t="shared" si="2"/>
        <v>#REF!</v>
      </c>
      <c r="D198" s="18" t="s">
        <v>1823</v>
      </c>
      <c r="E198" s="18"/>
      <c r="H198" s="18"/>
      <c r="I198" s="18" t="s">
        <v>1744</v>
      </c>
      <c r="J198" s="18"/>
      <c r="K198" s="18"/>
    </row>
    <row r="199">
      <c r="A199" s="18"/>
      <c r="B199" s="18"/>
      <c r="C199" s="17" t="str">
        <f t="shared" si="2"/>
        <v>#REF!</v>
      </c>
      <c r="D199" s="18" t="s">
        <v>1824</v>
      </c>
      <c r="E199" s="18"/>
      <c r="H199" s="18"/>
      <c r="I199" s="18" t="s">
        <v>1744</v>
      </c>
      <c r="J199" s="18"/>
      <c r="K199" s="18"/>
    </row>
    <row r="200">
      <c r="A200" s="18"/>
      <c r="B200" s="18"/>
      <c r="C200" s="17" t="str">
        <f t="shared" si="2"/>
        <v>#REF!</v>
      </c>
      <c r="D200" s="18" t="s">
        <v>1825</v>
      </c>
      <c r="E200" s="18"/>
      <c r="H200" s="18"/>
      <c r="I200" s="18" t="s">
        <v>1826</v>
      </c>
      <c r="J200" s="18"/>
      <c r="K200" s="18"/>
    </row>
    <row r="201">
      <c r="A201" s="18"/>
      <c r="B201" s="18"/>
      <c r="C201" s="17" t="str">
        <f t="shared" si="2"/>
        <v>#REF!</v>
      </c>
      <c r="D201" s="18" t="s">
        <v>1827</v>
      </c>
      <c r="E201" s="18"/>
      <c r="H201" s="18"/>
      <c r="I201" s="18" t="s">
        <v>1744</v>
      </c>
      <c r="J201" s="18"/>
      <c r="K201" s="18"/>
    </row>
    <row r="202">
      <c r="A202" s="18"/>
      <c r="B202" s="18"/>
      <c r="C202" s="17" t="str">
        <f t="shared" si="2"/>
        <v>#REF!</v>
      </c>
      <c r="D202" s="18" t="s">
        <v>1828</v>
      </c>
      <c r="E202" s="18"/>
      <c r="H202" s="18"/>
      <c r="I202" s="18" t="s">
        <v>1744</v>
      </c>
      <c r="J202" s="18"/>
      <c r="K202" s="18"/>
    </row>
    <row r="203">
      <c r="A203" s="18"/>
      <c r="B203" s="18"/>
      <c r="C203" s="17" t="str">
        <f t="shared" si="2"/>
        <v>#REF!</v>
      </c>
      <c r="D203" s="18" t="s">
        <v>1829</v>
      </c>
      <c r="E203" s="18"/>
      <c r="H203" s="18"/>
      <c r="I203" s="18" t="s">
        <v>1830</v>
      </c>
      <c r="J203" s="18"/>
      <c r="K203" s="18"/>
    </row>
    <row r="204">
      <c r="A204" s="18"/>
      <c r="B204" s="18"/>
      <c r="C204" s="17" t="str">
        <f t="shared" si="2"/>
        <v>#REF!</v>
      </c>
      <c r="D204" s="18" t="s">
        <v>1831</v>
      </c>
      <c r="E204" s="18"/>
      <c r="H204" s="18"/>
      <c r="I204" s="18" t="s">
        <v>1830</v>
      </c>
      <c r="J204" s="18"/>
      <c r="K204" s="18"/>
    </row>
    <row r="205">
      <c r="A205" s="18"/>
      <c r="B205" s="18"/>
      <c r="C205" s="17" t="str">
        <f t="shared" si="2"/>
        <v>#REF!</v>
      </c>
      <c r="D205" s="18" t="s">
        <v>1831</v>
      </c>
      <c r="E205" s="18"/>
      <c r="H205" s="18"/>
      <c r="I205" s="18" t="s">
        <v>1830</v>
      </c>
      <c r="J205" s="18"/>
      <c r="K205" s="18"/>
    </row>
    <row r="206">
      <c r="A206" s="18"/>
      <c r="B206" s="18"/>
      <c r="C206" s="17" t="str">
        <f t="shared" si="2"/>
        <v>#REF!</v>
      </c>
      <c r="D206" s="18" t="s">
        <v>1832</v>
      </c>
      <c r="E206" s="18"/>
      <c r="H206" s="18"/>
      <c r="I206" s="18" t="s">
        <v>1833</v>
      </c>
      <c r="J206" s="18"/>
      <c r="K206" s="18"/>
    </row>
    <row r="207">
      <c r="A207" s="18"/>
      <c r="B207" s="18"/>
      <c r="C207" s="17" t="str">
        <f t="shared" si="2"/>
        <v>#REF!</v>
      </c>
      <c r="D207" s="18" t="s">
        <v>1834</v>
      </c>
      <c r="E207" s="18"/>
      <c r="H207" s="18"/>
      <c r="I207" s="18" t="s">
        <v>1835</v>
      </c>
      <c r="J207" s="18"/>
      <c r="K207" s="18"/>
    </row>
    <row r="208">
      <c r="A208" s="18"/>
      <c r="B208" s="18"/>
      <c r="C208" s="17" t="str">
        <f t="shared" si="2"/>
        <v>#REF!</v>
      </c>
      <c r="D208" s="18" t="s">
        <v>1836</v>
      </c>
      <c r="E208" s="18"/>
      <c r="H208" s="18"/>
      <c r="I208" s="18" t="s">
        <v>1830</v>
      </c>
      <c r="J208" s="18" t="s">
        <v>1837</v>
      </c>
      <c r="K208" s="18">
        <v>140306.0</v>
      </c>
    </row>
    <row r="209">
      <c r="A209" s="18"/>
      <c r="B209" s="18"/>
      <c r="C209" s="17" t="str">
        <f t="shared" si="2"/>
        <v>#REF!</v>
      </c>
      <c r="D209" s="18" t="s">
        <v>1838</v>
      </c>
      <c r="E209" s="18"/>
      <c r="H209" s="18"/>
      <c r="I209" s="18" t="s">
        <v>1830</v>
      </c>
      <c r="J209" s="18" t="s">
        <v>1837</v>
      </c>
      <c r="K209" s="18">
        <v>140327.0</v>
      </c>
    </row>
    <row r="210">
      <c r="A210" s="18"/>
      <c r="B210" s="18"/>
      <c r="C210" s="17" t="str">
        <f t="shared" si="2"/>
        <v>#REF!</v>
      </c>
      <c r="D210" s="18" t="s">
        <v>1839</v>
      </c>
      <c r="E210" s="18"/>
      <c r="H210" s="18"/>
      <c r="I210" s="18" t="s">
        <v>1830</v>
      </c>
      <c r="J210" s="18" t="s">
        <v>1837</v>
      </c>
      <c r="K210" s="18">
        <v>140307.0</v>
      </c>
    </row>
    <row r="211">
      <c r="A211" s="18"/>
      <c r="B211" s="18"/>
      <c r="C211" s="17" t="str">
        <f t="shared" si="2"/>
        <v>#REF!</v>
      </c>
      <c r="D211" s="18" t="s">
        <v>1840</v>
      </c>
      <c r="E211" s="18"/>
      <c r="H211" s="18"/>
      <c r="I211" s="18" t="s">
        <v>1830</v>
      </c>
      <c r="J211" s="18" t="s">
        <v>1837</v>
      </c>
      <c r="K211" s="18">
        <v>140309.0</v>
      </c>
    </row>
    <row r="212">
      <c r="A212" s="18"/>
      <c r="B212" s="18"/>
      <c r="C212" s="17" t="str">
        <f t="shared" si="2"/>
        <v>#REF!</v>
      </c>
      <c r="D212" s="18" t="s">
        <v>1841</v>
      </c>
      <c r="E212" s="18"/>
      <c r="H212" s="18"/>
      <c r="I212" s="18" t="s">
        <v>1830</v>
      </c>
      <c r="J212" s="18" t="s">
        <v>1837</v>
      </c>
      <c r="K212" s="18">
        <v>140332.0</v>
      </c>
    </row>
    <row r="213">
      <c r="A213" s="18"/>
      <c r="B213" s="18"/>
      <c r="C213" s="17" t="str">
        <f t="shared" si="2"/>
        <v>#REF!</v>
      </c>
      <c r="D213" s="18" t="s">
        <v>1842</v>
      </c>
      <c r="E213" s="18"/>
      <c r="H213" s="18"/>
      <c r="I213" s="18" t="s">
        <v>1833</v>
      </c>
      <c r="J213" s="18"/>
      <c r="K213" s="18"/>
    </row>
    <row r="214">
      <c r="A214" s="18"/>
      <c r="B214" s="18"/>
      <c r="C214" s="17" t="str">
        <f t="shared" si="2"/>
        <v>#REF!</v>
      </c>
      <c r="D214" s="18" t="s">
        <v>1843</v>
      </c>
      <c r="E214" s="18"/>
      <c r="H214" s="18"/>
      <c r="I214" s="18" t="s">
        <v>1830</v>
      </c>
      <c r="J214" s="18" t="s">
        <v>1837</v>
      </c>
      <c r="K214" s="18">
        <v>140310.0</v>
      </c>
    </row>
    <row r="215">
      <c r="A215" s="18"/>
      <c r="B215" s="18"/>
      <c r="C215" s="17" t="str">
        <f t="shared" si="2"/>
        <v>#REF!</v>
      </c>
      <c r="D215" s="18" t="s">
        <v>1844</v>
      </c>
      <c r="E215" s="18"/>
      <c r="H215" s="18"/>
      <c r="I215" s="18" t="s">
        <v>1830</v>
      </c>
      <c r="J215" s="18"/>
      <c r="K215" s="18"/>
    </row>
    <row r="216">
      <c r="A216" s="18"/>
      <c r="B216" s="18"/>
      <c r="C216" s="17" t="str">
        <f t="shared" si="2"/>
        <v>#REF!</v>
      </c>
      <c r="D216" s="18" t="s">
        <v>1845</v>
      </c>
      <c r="E216" s="18"/>
      <c r="H216" s="18"/>
      <c r="I216" s="18" t="s">
        <v>1835</v>
      </c>
      <c r="J216" s="18"/>
      <c r="K216" s="18"/>
    </row>
    <row r="217">
      <c r="A217" s="18"/>
      <c r="B217" s="18"/>
      <c r="C217" s="17" t="str">
        <f t="shared" si="2"/>
        <v>#REF!</v>
      </c>
      <c r="D217" s="18" t="s">
        <v>1846</v>
      </c>
      <c r="E217" s="18"/>
      <c r="H217" s="18"/>
      <c r="I217" s="18" t="s">
        <v>1830</v>
      </c>
      <c r="J217" s="18" t="s">
        <v>1837</v>
      </c>
      <c r="K217" s="18">
        <v>140313.0</v>
      </c>
    </row>
    <row r="218">
      <c r="A218" s="18"/>
      <c r="B218" s="18"/>
      <c r="C218" s="17" t="str">
        <f t="shared" si="2"/>
        <v>#REF!</v>
      </c>
      <c r="D218" s="18" t="s">
        <v>1847</v>
      </c>
      <c r="E218" s="18"/>
      <c r="H218" s="18"/>
      <c r="I218" s="18" t="s">
        <v>1830</v>
      </c>
      <c r="J218" s="18" t="s">
        <v>1837</v>
      </c>
      <c r="K218" s="18">
        <v>140329.0</v>
      </c>
    </row>
    <row r="219">
      <c r="A219" s="18"/>
      <c r="B219" s="18"/>
      <c r="C219" s="17" t="str">
        <f t="shared" si="2"/>
        <v>#REF!</v>
      </c>
      <c r="D219" s="18" t="s">
        <v>1848</v>
      </c>
      <c r="E219" s="18"/>
      <c r="H219" s="18"/>
      <c r="I219" s="18" t="s">
        <v>1830</v>
      </c>
      <c r="J219" s="18" t="s">
        <v>1837</v>
      </c>
      <c r="K219" s="18">
        <v>140319.0</v>
      </c>
    </row>
    <row r="220">
      <c r="A220" s="18"/>
      <c r="B220" s="18"/>
      <c r="C220" s="17" t="str">
        <f t="shared" si="2"/>
        <v>#REF!</v>
      </c>
      <c r="D220" s="18" t="s">
        <v>1849</v>
      </c>
      <c r="E220" s="18"/>
      <c r="H220" s="18"/>
      <c r="I220" s="18" t="s">
        <v>1835</v>
      </c>
      <c r="J220" s="18"/>
      <c r="K220" s="18"/>
    </row>
    <row r="221">
      <c r="A221" s="18"/>
      <c r="B221" s="18"/>
      <c r="C221" s="17" t="str">
        <f t="shared" si="2"/>
        <v>#REF!</v>
      </c>
      <c r="D221" s="18" t="s">
        <v>1850</v>
      </c>
      <c r="E221" s="18"/>
      <c r="H221" s="18"/>
      <c r="I221" s="18" t="s">
        <v>1833</v>
      </c>
      <c r="J221" s="18"/>
      <c r="K221" s="18"/>
    </row>
    <row r="222">
      <c r="A222" s="18"/>
      <c r="B222" s="18"/>
      <c r="C222" s="17" t="str">
        <f t="shared" si="2"/>
        <v>#REF!</v>
      </c>
      <c r="D222" s="18" t="s">
        <v>1851</v>
      </c>
      <c r="E222" s="18"/>
      <c r="H222" s="18"/>
      <c r="I222" s="18" t="s">
        <v>1830</v>
      </c>
      <c r="J222" s="18" t="s">
        <v>1837</v>
      </c>
      <c r="K222" s="18">
        <v>140321.0</v>
      </c>
    </row>
    <row r="223">
      <c r="A223" s="18"/>
      <c r="B223" s="18"/>
      <c r="C223" s="17" t="str">
        <f t="shared" si="2"/>
        <v>#REF!</v>
      </c>
      <c r="D223" s="18" t="s">
        <v>1852</v>
      </c>
      <c r="E223" s="18"/>
      <c r="H223" s="18"/>
      <c r="I223" s="18" t="s">
        <v>1830</v>
      </c>
      <c r="J223" s="18" t="s">
        <v>1837</v>
      </c>
      <c r="K223" s="18">
        <v>140322.0</v>
      </c>
    </row>
    <row r="224">
      <c r="A224" s="18"/>
      <c r="B224" s="18"/>
      <c r="C224" s="17" t="str">
        <f t="shared" si="2"/>
        <v>#REF!</v>
      </c>
      <c r="D224" s="18" t="s">
        <v>1852</v>
      </c>
      <c r="E224" s="18"/>
      <c r="H224" s="18"/>
      <c r="I224" s="18" t="s">
        <v>1853</v>
      </c>
      <c r="J224" s="18"/>
      <c r="K224" s="18"/>
    </row>
    <row r="225">
      <c r="A225" s="18"/>
      <c r="B225" s="18"/>
      <c r="C225" s="17" t="str">
        <f t="shared" si="2"/>
        <v>#REF!</v>
      </c>
      <c r="D225" s="18" t="s">
        <v>1854</v>
      </c>
      <c r="E225" s="18"/>
      <c r="H225" s="18"/>
      <c r="I225" s="18" t="s">
        <v>1830</v>
      </c>
      <c r="J225" s="18" t="s">
        <v>1837</v>
      </c>
      <c r="K225" s="18">
        <v>140323.0</v>
      </c>
    </row>
    <row r="226">
      <c r="A226" s="18"/>
      <c r="B226" s="18"/>
      <c r="C226" s="17" t="str">
        <f t="shared" si="2"/>
        <v>#REF!</v>
      </c>
      <c r="D226" s="18" t="s">
        <v>1855</v>
      </c>
      <c r="E226" s="18"/>
      <c r="H226" s="18"/>
      <c r="I226" s="18" t="s">
        <v>1830</v>
      </c>
      <c r="J226" s="18"/>
      <c r="K226" s="18"/>
    </row>
    <row r="227">
      <c r="A227" s="18"/>
      <c r="B227" s="18"/>
      <c r="C227" s="17" t="str">
        <f t="shared" si="2"/>
        <v>#REF!</v>
      </c>
      <c r="D227" s="18" t="s">
        <v>1856</v>
      </c>
      <c r="E227" s="18"/>
      <c r="H227" s="18"/>
      <c r="I227" s="18" t="s">
        <v>1835</v>
      </c>
      <c r="J227" s="18"/>
      <c r="K227" s="18"/>
    </row>
    <row r="228">
      <c r="A228" s="18"/>
      <c r="B228" s="18"/>
      <c r="C228" s="17" t="str">
        <f t="shared" si="2"/>
        <v>#REF!</v>
      </c>
      <c r="D228" s="18" t="s">
        <v>1857</v>
      </c>
      <c r="E228" s="18"/>
      <c r="H228" s="18"/>
      <c r="I228" s="18" t="s">
        <v>1830</v>
      </c>
      <c r="J228" s="18" t="s">
        <v>1858</v>
      </c>
      <c r="K228" s="18">
        <v>150339.0</v>
      </c>
    </row>
    <row r="229">
      <c r="A229" s="18"/>
      <c r="B229" s="18"/>
      <c r="C229" s="17" t="str">
        <f t="shared" si="2"/>
        <v>#REF!</v>
      </c>
      <c r="D229" s="18" t="s">
        <v>1859</v>
      </c>
      <c r="E229" s="18"/>
      <c r="H229" s="18"/>
      <c r="I229" s="18" t="s">
        <v>1830</v>
      </c>
      <c r="J229" s="18" t="s">
        <v>1858</v>
      </c>
      <c r="K229" s="18">
        <v>150342.0</v>
      </c>
    </row>
    <row r="230">
      <c r="A230" s="18"/>
      <c r="B230" s="18"/>
      <c r="C230" s="17" t="str">
        <f t="shared" si="2"/>
        <v>#REF!</v>
      </c>
      <c r="D230" s="18" t="s">
        <v>1860</v>
      </c>
      <c r="E230" s="18"/>
      <c r="H230" s="18"/>
      <c r="I230" s="18" t="s">
        <v>1830</v>
      </c>
      <c r="J230" s="18" t="s">
        <v>1858</v>
      </c>
      <c r="K230" s="18">
        <v>150343.0</v>
      </c>
    </row>
    <row r="231">
      <c r="A231" s="18"/>
      <c r="B231" s="18"/>
      <c r="C231" s="17" t="str">
        <f t="shared" si="2"/>
        <v>#REF!</v>
      </c>
      <c r="D231" s="18" t="s">
        <v>1861</v>
      </c>
      <c r="E231" s="18"/>
      <c r="H231" s="18"/>
      <c r="I231" s="18" t="s">
        <v>1833</v>
      </c>
      <c r="J231" s="18"/>
      <c r="K231" s="18"/>
    </row>
    <row r="232">
      <c r="A232" s="18"/>
      <c r="B232" s="18"/>
      <c r="C232" s="17" t="str">
        <f t="shared" si="2"/>
        <v>#REF!</v>
      </c>
      <c r="D232" s="18" t="s">
        <v>1862</v>
      </c>
      <c r="E232" s="18"/>
      <c r="H232" s="18"/>
      <c r="I232" s="18" t="s">
        <v>1835</v>
      </c>
      <c r="J232" s="18"/>
      <c r="K232" s="18"/>
    </row>
    <row r="233">
      <c r="A233" s="18"/>
      <c r="B233" s="18"/>
      <c r="C233" s="17" t="str">
        <f t="shared" si="2"/>
        <v>#REF!</v>
      </c>
      <c r="D233" s="18" t="s">
        <v>1863</v>
      </c>
      <c r="E233" s="18"/>
      <c r="H233" s="18"/>
      <c r="I233" s="18" t="s">
        <v>1830</v>
      </c>
      <c r="J233" s="18" t="s">
        <v>1864</v>
      </c>
      <c r="K233" s="18">
        <v>160353.0</v>
      </c>
    </row>
    <row r="234">
      <c r="A234" s="18"/>
      <c r="B234" s="18"/>
      <c r="C234" s="17" t="str">
        <f t="shared" si="2"/>
        <v>#REF!</v>
      </c>
      <c r="D234" s="18" t="s">
        <v>1865</v>
      </c>
      <c r="E234" s="18"/>
      <c r="H234" s="18"/>
      <c r="I234" s="18" t="s">
        <v>1830</v>
      </c>
      <c r="J234" s="18" t="s">
        <v>1864</v>
      </c>
      <c r="K234" s="18">
        <v>160354.0</v>
      </c>
    </row>
    <row r="235">
      <c r="A235" s="18"/>
      <c r="B235" s="18"/>
      <c r="C235" s="17" t="str">
        <f t="shared" si="2"/>
        <v>#REF!</v>
      </c>
      <c r="D235" s="18" t="s">
        <v>1866</v>
      </c>
      <c r="E235" s="18"/>
      <c r="H235" s="18"/>
      <c r="I235" s="18" t="s">
        <v>1833</v>
      </c>
      <c r="J235" s="18"/>
      <c r="K235" s="18"/>
    </row>
    <row r="236">
      <c r="A236" s="18"/>
      <c r="B236" s="18"/>
      <c r="C236" s="17" t="str">
        <f t="shared" si="2"/>
        <v>#REF!</v>
      </c>
      <c r="D236" s="18" t="s">
        <v>1867</v>
      </c>
      <c r="E236" s="18"/>
      <c r="H236" s="18"/>
      <c r="I236" s="18" t="s">
        <v>1830</v>
      </c>
      <c r="J236" s="18" t="s">
        <v>1868</v>
      </c>
      <c r="K236" s="18">
        <v>170356.0</v>
      </c>
    </row>
    <row r="237">
      <c r="A237" s="18"/>
      <c r="B237" s="18"/>
      <c r="C237" s="17" t="str">
        <f t="shared" si="2"/>
        <v>#REF!</v>
      </c>
      <c r="D237" s="18" t="s">
        <v>1869</v>
      </c>
      <c r="E237" s="18"/>
      <c r="H237" s="18"/>
      <c r="I237" s="18" t="s">
        <v>1853</v>
      </c>
      <c r="J237" s="18"/>
      <c r="K237" s="18"/>
    </row>
    <row r="238">
      <c r="A238" s="18"/>
      <c r="B238" s="18"/>
      <c r="C238" s="17" t="str">
        <f t="shared" si="2"/>
        <v>#REF!</v>
      </c>
      <c r="D238" s="18" t="s">
        <v>1870</v>
      </c>
      <c r="E238" s="18"/>
      <c r="H238" s="18"/>
      <c r="I238" s="18" t="s">
        <v>1833</v>
      </c>
      <c r="J238" s="18"/>
      <c r="K238" s="18"/>
    </row>
    <row r="239">
      <c r="A239" s="18"/>
      <c r="B239" s="18"/>
      <c r="C239" s="17" t="str">
        <f t="shared" si="2"/>
        <v>#REF!</v>
      </c>
      <c r="D239" s="18" t="s">
        <v>1871</v>
      </c>
      <c r="E239" s="18"/>
      <c r="H239" s="18"/>
      <c r="I239" s="18" t="s">
        <v>1833</v>
      </c>
      <c r="J239" s="18"/>
      <c r="K239" s="18"/>
    </row>
    <row r="240">
      <c r="A240" s="18"/>
      <c r="B240" s="18"/>
      <c r="C240" s="17" t="str">
        <f t="shared" si="2"/>
        <v>#REF!</v>
      </c>
      <c r="D240" s="18" t="s">
        <v>1872</v>
      </c>
      <c r="E240" s="18"/>
      <c r="H240" s="18"/>
      <c r="I240" s="18" t="s">
        <v>1833</v>
      </c>
      <c r="J240" s="18"/>
      <c r="K240" s="18"/>
    </row>
    <row r="241">
      <c r="A241" s="18"/>
      <c r="B241" s="18"/>
      <c r="C241" s="17" t="str">
        <f t="shared" si="2"/>
        <v>#REF!</v>
      </c>
      <c r="D241" s="18" t="s">
        <v>1873</v>
      </c>
      <c r="E241" s="18"/>
      <c r="H241" s="18"/>
      <c r="I241" s="18" t="s">
        <v>1833</v>
      </c>
      <c r="J241" s="18"/>
      <c r="K241" s="18"/>
    </row>
    <row r="242">
      <c r="A242" s="18"/>
      <c r="B242" s="18"/>
      <c r="C242" s="17" t="str">
        <f t="shared" si="2"/>
        <v>#REF!</v>
      </c>
      <c r="D242" s="18" t="s">
        <v>1874</v>
      </c>
      <c r="E242" s="18"/>
      <c r="H242" s="18"/>
      <c r="I242" s="18" t="s">
        <v>1830</v>
      </c>
      <c r="J242" s="18" t="s">
        <v>1868</v>
      </c>
      <c r="K242" s="18">
        <v>170363.0</v>
      </c>
    </row>
    <row r="243">
      <c r="A243" s="18"/>
      <c r="B243" s="18"/>
      <c r="C243" s="17" t="str">
        <f t="shared" si="2"/>
        <v>#REF!</v>
      </c>
      <c r="D243" s="18" t="s">
        <v>1875</v>
      </c>
      <c r="E243" s="18"/>
      <c r="H243" s="18"/>
      <c r="I243" s="18" t="s">
        <v>1830</v>
      </c>
      <c r="J243" s="18" t="s">
        <v>1868</v>
      </c>
      <c r="K243" s="18">
        <v>170364.0</v>
      </c>
    </row>
    <row r="244">
      <c r="A244" s="18"/>
      <c r="B244" s="18"/>
      <c r="C244" s="17" t="str">
        <f t="shared" si="2"/>
        <v>#REF!</v>
      </c>
      <c r="D244" s="18" t="s">
        <v>1876</v>
      </c>
      <c r="E244" s="18"/>
      <c r="H244" s="18"/>
      <c r="I244" s="18" t="s">
        <v>1830</v>
      </c>
      <c r="J244" s="18" t="s">
        <v>1868</v>
      </c>
      <c r="K244" s="18">
        <v>170367.0</v>
      </c>
    </row>
    <row r="245">
      <c r="A245" s="18"/>
      <c r="B245" s="18"/>
      <c r="C245" s="17" t="str">
        <f t="shared" si="2"/>
        <v>#REF!</v>
      </c>
      <c r="D245" s="18" t="s">
        <v>1877</v>
      </c>
      <c r="E245" s="18"/>
      <c r="H245" s="18"/>
      <c r="I245" s="18" t="s">
        <v>1830</v>
      </c>
      <c r="J245" s="18" t="s">
        <v>1868</v>
      </c>
      <c r="K245" s="18">
        <v>170365.0</v>
      </c>
    </row>
    <row r="246">
      <c r="A246" s="18"/>
      <c r="B246" s="18"/>
      <c r="C246" s="17" t="str">
        <f t="shared" si="2"/>
        <v>#REF!</v>
      </c>
      <c r="D246" s="18" t="s">
        <v>1878</v>
      </c>
      <c r="E246" s="18"/>
      <c r="H246" s="18"/>
      <c r="I246" s="18" t="s">
        <v>1833</v>
      </c>
      <c r="K246" s="18"/>
    </row>
    <row r="247">
      <c r="A247" s="18"/>
      <c r="B247" s="18"/>
      <c r="C247" s="17" t="str">
        <f t="shared" si="2"/>
        <v>#REF!</v>
      </c>
      <c r="D247" s="18" t="s">
        <v>1879</v>
      </c>
      <c r="E247" s="18"/>
      <c r="H247" s="18"/>
      <c r="I247" s="18" t="s">
        <v>1880</v>
      </c>
      <c r="K247" s="18"/>
    </row>
    <row r="248">
      <c r="A248" s="18"/>
      <c r="B248" s="18"/>
      <c r="C248" s="17" t="str">
        <f t="shared" si="2"/>
        <v>#REF!</v>
      </c>
      <c r="D248" s="18" t="s">
        <v>1881</v>
      </c>
      <c r="E248" s="18"/>
      <c r="H248" s="18"/>
      <c r="I248" s="18" t="s">
        <v>1880</v>
      </c>
      <c r="K248" s="18"/>
    </row>
    <row r="249">
      <c r="A249" s="18"/>
      <c r="B249" s="18"/>
      <c r="C249" s="17" t="str">
        <f t="shared" si="2"/>
        <v>#REF!</v>
      </c>
      <c r="D249" s="18" t="s">
        <v>1882</v>
      </c>
      <c r="E249" s="18"/>
      <c r="H249" s="18"/>
      <c r="I249" s="18" t="s">
        <v>1880</v>
      </c>
      <c r="K249" s="18"/>
    </row>
    <row r="250">
      <c r="A250" s="18"/>
      <c r="B250" s="18"/>
      <c r="C250" s="17" t="str">
        <f t="shared" si="2"/>
        <v>#REF!</v>
      </c>
      <c r="D250" s="18" t="s">
        <v>1883</v>
      </c>
      <c r="E250" s="18"/>
      <c r="H250" s="18"/>
      <c r="I250" s="18" t="s">
        <v>1880</v>
      </c>
      <c r="K250" s="18"/>
    </row>
    <row r="251">
      <c r="A251" s="18"/>
      <c r="B251" s="18"/>
      <c r="C251" s="17" t="str">
        <f t="shared" si="2"/>
        <v>#REF!</v>
      </c>
      <c r="D251" s="18" t="s">
        <v>1884</v>
      </c>
      <c r="E251" s="18"/>
      <c r="H251" s="18"/>
      <c r="I251" s="18" t="s">
        <v>1885</v>
      </c>
      <c r="K251" s="18"/>
    </row>
    <row r="252">
      <c r="A252" s="18"/>
      <c r="B252" s="18"/>
      <c r="C252" s="17" t="str">
        <f t="shared" si="2"/>
        <v>#REF!</v>
      </c>
      <c r="D252" s="18" t="s">
        <v>1886</v>
      </c>
      <c r="E252" s="18"/>
      <c r="H252" s="18"/>
      <c r="I252" s="18" t="s">
        <v>1885</v>
      </c>
      <c r="K252" s="18"/>
    </row>
    <row r="253">
      <c r="A253" s="18"/>
      <c r="B253" s="18"/>
      <c r="C253" s="17" t="str">
        <f t="shared" si="2"/>
        <v>#REF!</v>
      </c>
      <c r="D253" s="18" t="s">
        <v>1887</v>
      </c>
      <c r="E253" s="18"/>
      <c r="H253" s="18"/>
      <c r="I253" s="18" t="s">
        <v>1885</v>
      </c>
      <c r="K253" s="18">
        <v>180394.0</v>
      </c>
    </row>
    <row r="254">
      <c r="A254" s="18"/>
      <c r="B254" s="18"/>
      <c r="C254" s="17" t="str">
        <f t="shared" si="2"/>
        <v>#REF!</v>
      </c>
      <c r="D254" s="18" t="s">
        <v>1888</v>
      </c>
      <c r="E254" s="18"/>
      <c r="H254" s="18"/>
      <c r="I254" s="18" t="s">
        <v>1885</v>
      </c>
      <c r="K254" s="18">
        <v>180386.0</v>
      </c>
    </row>
    <row r="255">
      <c r="A255" s="18"/>
      <c r="B255" s="18"/>
      <c r="C255" s="17" t="str">
        <f t="shared" si="2"/>
        <v>#REF!</v>
      </c>
      <c r="D255" s="18" t="s">
        <v>1889</v>
      </c>
      <c r="E255" s="18"/>
      <c r="H255" s="18"/>
      <c r="I255" s="18" t="s">
        <v>1885</v>
      </c>
      <c r="K255" s="18"/>
    </row>
    <row r="256">
      <c r="A256" s="18"/>
      <c r="B256" s="18"/>
      <c r="C256" s="17" t="str">
        <f t="shared" si="2"/>
        <v>#REF!</v>
      </c>
      <c r="D256" s="18" t="s">
        <v>1890</v>
      </c>
      <c r="E256" s="18"/>
      <c r="H256" s="18"/>
      <c r="I256" s="18" t="s">
        <v>1885</v>
      </c>
      <c r="K256" s="18"/>
    </row>
    <row r="257">
      <c r="A257" s="18"/>
      <c r="B257" s="18"/>
      <c r="C257" s="17" t="str">
        <f t="shared" si="2"/>
        <v>#REF!</v>
      </c>
      <c r="D257" s="18" t="s">
        <v>1891</v>
      </c>
      <c r="E257" s="18"/>
      <c r="H257" s="18"/>
      <c r="I257" s="18" t="s">
        <v>1885</v>
      </c>
      <c r="K257" s="18"/>
    </row>
    <row r="258">
      <c r="A258" s="18"/>
      <c r="B258" s="18"/>
      <c r="C258" s="17" t="str">
        <f t="shared" si="2"/>
        <v>#REF!</v>
      </c>
      <c r="D258" s="18" t="s">
        <v>1892</v>
      </c>
      <c r="E258" s="18"/>
      <c r="H258" s="18"/>
      <c r="I258" s="18" t="s">
        <v>1893</v>
      </c>
      <c r="K258" s="18">
        <v>180385.0</v>
      </c>
    </row>
    <row r="259">
      <c r="A259" s="18"/>
      <c r="B259" s="18"/>
      <c r="C259" s="17" t="str">
        <f t="shared" si="2"/>
        <v>#REF!</v>
      </c>
      <c r="D259" s="18" t="s">
        <v>1894</v>
      </c>
      <c r="E259" s="18"/>
      <c r="H259" s="18"/>
      <c r="I259" s="18" t="s">
        <v>1893</v>
      </c>
      <c r="K259" s="18">
        <v>180389.0</v>
      </c>
    </row>
    <row r="260">
      <c r="A260" s="18"/>
      <c r="B260" s="18"/>
      <c r="C260" s="17" t="str">
        <f t="shared" si="2"/>
        <v>#REF!</v>
      </c>
      <c r="D260" s="18" t="s">
        <v>1895</v>
      </c>
      <c r="E260" s="18"/>
      <c r="H260" s="18"/>
      <c r="I260" s="18" t="s">
        <v>1893</v>
      </c>
      <c r="K260" s="18">
        <v>180400.0</v>
      </c>
    </row>
    <row r="261">
      <c r="A261" s="18"/>
      <c r="B261" s="18"/>
      <c r="C261" s="17" t="str">
        <f t="shared" si="2"/>
        <v>#REF!</v>
      </c>
      <c r="D261" s="18" t="s">
        <v>1896</v>
      </c>
      <c r="E261" s="18"/>
      <c r="H261" s="18"/>
      <c r="I261" s="18" t="s">
        <v>1893</v>
      </c>
      <c r="K261" s="18">
        <v>180399.0</v>
      </c>
    </row>
    <row r="262">
      <c r="A262" s="18"/>
      <c r="B262" s="18"/>
      <c r="C262" s="17" t="str">
        <f t="shared" si="2"/>
        <v>#REF!</v>
      </c>
      <c r="D262" s="18" t="s">
        <v>1897</v>
      </c>
      <c r="E262" s="18"/>
      <c r="H262" s="18"/>
      <c r="I262" s="18" t="s">
        <v>1893</v>
      </c>
      <c r="K262" s="18">
        <v>180403.0</v>
      </c>
    </row>
    <row r="263">
      <c r="A263" s="18"/>
      <c r="B263" s="18"/>
      <c r="C263" s="17" t="str">
        <f t="shared" si="2"/>
        <v>#REF!</v>
      </c>
      <c r="D263" s="18" t="s">
        <v>1898</v>
      </c>
      <c r="E263" s="18"/>
      <c r="H263" s="18"/>
      <c r="I263" s="18" t="s">
        <v>1893</v>
      </c>
      <c r="K263" s="18">
        <v>180382.0</v>
      </c>
    </row>
    <row r="264">
      <c r="A264" s="18"/>
      <c r="B264" s="18"/>
      <c r="C264" s="17" t="str">
        <f t="shared" si="2"/>
        <v>#REF!</v>
      </c>
      <c r="D264" s="18" t="s">
        <v>1898</v>
      </c>
      <c r="E264" s="18"/>
      <c r="H264" s="18"/>
      <c r="I264" s="18" t="s">
        <v>1899</v>
      </c>
      <c r="J264" s="22"/>
      <c r="K264" s="18"/>
    </row>
    <row r="265">
      <c r="A265" s="18"/>
      <c r="B265" s="18"/>
      <c r="C265" s="17" t="str">
        <f t="shared" si="2"/>
        <v>#REF!</v>
      </c>
      <c r="D265" s="18" t="s">
        <v>1900</v>
      </c>
      <c r="E265" s="18"/>
      <c r="H265" s="18"/>
      <c r="I265" s="18" t="s">
        <v>1893</v>
      </c>
      <c r="J265" s="22"/>
      <c r="K265" s="18"/>
    </row>
    <row r="266">
      <c r="A266" s="18"/>
      <c r="B266" s="18"/>
      <c r="C266" s="17" t="str">
        <f t="shared" si="2"/>
        <v>#REF!</v>
      </c>
      <c r="D266" s="18" t="s">
        <v>1901</v>
      </c>
      <c r="E266" s="18"/>
      <c r="H266" s="18"/>
      <c r="I266" s="18" t="s">
        <v>1893</v>
      </c>
      <c r="J266" s="22"/>
      <c r="K266" s="18"/>
    </row>
    <row r="267">
      <c r="A267" s="18"/>
      <c r="B267" s="18"/>
      <c r="C267" s="17" t="str">
        <f t="shared" si="2"/>
        <v>#REF!</v>
      </c>
      <c r="D267" s="18" t="s">
        <v>1902</v>
      </c>
      <c r="E267" s="18"/>
      <c r="H267" s="18"/>
      <c r="I267" s="18" t="s">
        <v>1893</v>
      </c>
      <c r="J267" s="22"/>
      <c r="K267" s="18"/>
    </row>
    <row r="268">
      <c r="A268" s="18"/>
      <c r="B268" s="18"/>
      <c r="C268" s="17" t="str">
        <f t="shared" si="2"/>
        <v>#REF!</v>
      </c>
      <c r="D268" s="18" t="s">
        <v>1903</v>
      </c>
      <c r="E268" s="18"/>
      <c r="H268" s="18"/>
      <c r="I268" s="18" t="s">
        <v>1899</v>
      </c>
      <c r="J268" s="22"/>
      <c r="K268" s="18"/>
    </row>
    <row r="269">
      <c r="A269" s="18"/>
      <c r="B269" s="18"/>
      <c r="C269" s="17" t="str">
        <f t="shared" si="2"/>
        <v>#REF!</v>
      </c>
      <c r="D269" s="18" t="s">
        <v>1904</v>
      </c>
      <c r="E269" s="18"/>
      <c r="H269" s="18"/>
      <c r="I269" s="18" t="s">
        <v>1893</v>
      </c>
      <c r="J269" s="22"/>
      <c r="K269" s="18"/>
    </row>
    <row r="270">
      <c r="A270" s="18"/>
      <c r="B270" s="18"/>
      <c r="C270" s="17" t="str">
        <f t="shared" si="2"/>
        <v>#REF!</v>
      </c>
      <c r="D270" s="18" t="s">
        <v>1905</v>
      </c>
      <c r="E270" s="18"/>
      <c r="H270" s="18"/>
      <c r="I270" s="18" t="s">
        <v>1893</v>
      </c>
      <c r="J270" s="22"/>
      <c r="K270" s="18"/>
    </row>
    <row r="271">
      <c r="A271" s="18"/>
      <c r="B271" s="18"/>
      <c r="C271" s="17" t="str">
        <f t="shared" si="2"/>
        <v>#REF!</v>
      </c>
      <c r="D271" s="18" t="s">
        <v>1906</v>
      </c>
      <c r="E271" s="18"/>
      <c r="H271" s="18"/>
      <c r="I271" s="18" t="s">
        <v>1893</v>
      </c>
      <c r="J271" s="22"/>
      <c r="K271" s="18"/>
    </row>
    <row r="272">
      <c r="A272" s="18"/>
      <c r="B272" s="18"/>
      <c r="C272" s="17" t="str">
        <f t="shared" si="2"/>
        <v>#REF!</v>
      </c>
      <c r="D272" s="18" t="s">
        <v>1906</v>
      </c>
      <c r="E272" s="18"/>
      <c r="H272" s="18"/>
      <c r="I272" s="18" t="s">
        <v>1893</v>
      </c>
      <c r="J272" s="22"/>
      <c r="K272" s="18"/>
    </row>
    <row r="273">
      <c r="A273" s="18"/>
      <c r="B273" s="18"/>
      <c r="C273" s="17" t="str">
        <f t="shared" si="2"/>
        <v>#REF!</v>
      </c>
      <c r="D273" s="18" t="s">
        <v>1907</v>
      </c>
      <c r="E273" s="18"/>
      <c r="H273" s="18"/>
      <c r="I273" s="18" t="s">
        <v>1893</v>
      </c>
      <c r="J273" s="22"/>
      <c r="K273" s="18"/>
    </row>
    <row r="274">
      <c r="A274" s="18"/>
      <c r="B274" s="18"/>
      <c r="C274" s="17" t="str">
        <f t="shared" si="2"/>
        <v>#REF!</v>
      </c>
      <c r="D274" s="18" t="s">
        <v>1908</v>
      </c>
      <c r="E274" s="18"/>
      <c r="H274" s="18"/>
      <c r="I274" s="18" t="s">
        <v>958</v>
      </c>
      <c r="J274" s="22"/>
      <c r="K274" s="18"/>
    </row>
    <row r="275">
      <c r="A275" s="18"/>
      <c r="B275" s="18"/>
      <c r="C275" s="17" t="str">
        <f t="shared" si="2"/>
        <v>#REF!</v>
      </c>
      <c r="D275" s="18" t="s">
        <v>1909</v>
      </c>
      <c r="E275" s="18"/>
      <c r="H275" s="18"/>
      <c r="I275" s="18" t="s">
        <v>1910</v>
      </c>
      <c r="J275" s="22"/>
      <c r="K275" s="18"/>
    </row>
    <row r="276">
      <c r="A276" s="18"/>
      <c r="B276" s="18"/>
      <c r="C276" s="17" t="str">
        <f t="shared" si="2"/>
        <v>#REF!</v>
      </c>
      <c r="D276" s="18" t="s">
        <v>1911</v>
      </c>
      <c r="E276" s="18"/>
      <c r="H276" s="18"/>
      <c r="I276" s="18" t="s">
        <v>966</v>
      </c>
      <c r="J276" s="22"/>
      <c r="K276" s="18"/>
    </row>
    <row r="277">
      <c r="A277" s="18"/>
      <c r="B277" s="18"/>
      <c r="C277" s="17" t="str">
        <f t="shared" si="2"/>
        <v>#REF!</v>
      </c>
      <c r="D277" s="18" t="s">
        <v>1912</v>
      </c>
      <c r="E277" s="18"/>
      <c r="H277" s="18"/>
      <c r="I277" s="18" t="s">
        <v>1913</v>
      </c>
      <c r="J277" s="22" t="s">
        <v>1914</v>
      </c>
      <c r="K277" s="18">
        <v>190455.0</v>
      </c>
    </row>
    <row r="278">
      <c r="A278" s="18"/>
      <c r="B278" s="18"/>
      <c r="C278" s="17" t="str">
        <f t="shared" si="2"/>
        <v>#REF!</v>
      </c>
      <c r="D278" s="18" t="s">
        <v>1915</v>
      </c>
      <c r="E278" s="18"/>
      <c r="H278" s="18"/>
      <c r="I278" s="18" t="s">
        <v>1913</v>
      </c>
      <c r="J278" s="22" t="s">
        <v>1914</v>
      </c>
      <c r="K278" s="18">
        <v>190415.0</v>
      </c>
    </row>
    <row r="279">
      <c r="A279" s="18"/>
      <c r="B279" s="18"/>
      <c r="C279" s="17" t="str">
        <f t="shared" si="2"/>
        <v>#REF!</v>
      </c>
      <c r="D279" s="18" t="s">
        <v>1916</v>
      </c>
      <c r="E279" s="18"/>
      <c r="H279" s="18"/>
      <c r="I279" s="18" t="s">
        <v>1913</v>
      </c>
      <c r="J279" s="22" t="s">
        <v>1914</v>
      </c>
      <c r="K279" s="18">
        <v>190416.0</v>
      </c>
    </row>
    <row r="280">
      <c r="A280" s="18"/>
      <c r="B280" s="18"/>
      <c r="C280" s="17" t="str">
        <f t="shared" si="2"/>
        <v>#REF!</v>
      </c>
      <c r="D280" s="18" t="s">
        <v>1917</v>
      </c>
      <c r="E280" s="18"/>
      <c r="H280" s="18"/>
      <c r="I280" s="18" t="s">
        <v>1913</v>
      </c>
      <c r="J280" s="22"/>
      <c r="K280" s="18"/>
    </row>
    <row r="281">
      <c r="A281" s="18"/>
      <c r="B281" s="18"/>
      <c r="C281" s="17" t="str">
        <f t="shared" si="2"/>
        <v>#REF!</v>
      </c>
      <c r="D281" s="18" t="s">
        <v>1918</v>
      </c>
      <c r="E281" s="18"/>
      <c r="H281" s="18"/>
      <c r="I281" s="18" t="s">
        <v>1913</v>
      </c>
      <c r="J281" s="22" t="s">
        <v>1914</v>
      </c>
      <c r="K281" s="18">
        <v>190418.0</v>
      </c>
    </row>
    <row r="282">
      <c r="A282" s="18"/>
      <c r="B282" s="18"/>
      <c r="C282" s="17" t="str">
        <f t="shared" si="2"/>
        <v>#REF!</v>
      </c>
      <c r="D282" s="18" t="s">
        <v>1918</v>
      </c>
      <c r="E282" s="18"/>
      <c r="H282" s="18"/>
      <c r="I282" s="18" t="s">
        <v>1913</v>
      </c>
      <c r="J282" s="22"/>
      <c r="K282" s="18"/>
    </row>
    <row r="283">
      <c r="A283" s="18"/>
      <c r="B283" s="18"/>
      <c r="C283" s="17" t="str">
        <f t="shared" si="2"/>
        <v>#REF!</v>
      </c>
      <c r="D283" s="18" t="s">
        <v>1919</v>
      </c>
      <c r="E283" s="18"/>
      <c r="H283" s="18"/>
      <c r="I283" s="18" t="s">
        <v>1913</v>
      </c>
      <c r="J283" s="22"/>
      <c r="K283" s="18"/>
    </row>
    <row r="284">
      <c r="A284" s="18"/>
      <c r="B284" s="18"/>
      <c r="C284" s="17" t="str">
        <f t="shared" si="2"/>
        <v>#REF!</v>
      </c>
      <c r="D284" s="18" t="s">
        <v>1920</v>
      </c>
      <c r="E284" s="18"/>
      <c r="H284" s="18"/>
      <c r="I284" s="18" t="s">
        <v>1921</v>
      </c>
      <c r="J284" s="22"/>
      <c r="K284" s="18"/>
    </row>
    <row r="285">
      <c r="A285" s="18"/>
      <c r="B285" s="18"/>
      <c r="C285" s="17" t="str">
        <f t="shared" si="2"/>
        <v>#REF!</v>
      </c>
      <c r="D285" s="18" t="s">
        <v>1922</v>
      </c>
      <c r="E285" s="18"/>
      <c r="H285" s="18"/>
      <c r="I285" s="18" t="s">
        <v>1913</v>
      </c>
      <c r="J285" s="22"/>
      <c r="K285" s="18"/>
    </row>
    <row r="286">
      <c r="A286" s="18"/>
      <c r="B286" s="18"/>
      <c r="C286" s="17" t="str">
        <f t="shared" si="2"/>
        <v>#REF!</v>
      </c>
      <c r="D286" s="18" t="s">
        <v>1923</v>
      </c>
      <c r="E286" s="18"/>
      <c r="H286" s="18"/>
      <c r="I286" s="18" t="s">
        <v>1913</v>
      </c>
      <c r="J286" s="22" t="s">
        <v>1914</v>
      </c>
      <c r="K286" s="18">
        <v>190457.0</v>
      </c>
    </row>
    <row r="287">
      <c r="A287" s="18"/>
      <c r="B287" s="18"/>
      <c r="C287" s="17" t="str">
        <f t="shared" si="2"/>
        <v>#REF!</v>
      </c>
      <c r="D287" s="18" t="s">
        <v>1924</v>
      </c>
      <c r="E287" s="18"/>
      <c r="H287" s="18"/>
      <c r="I287" s="18" t="s">
        <v>1913</v>
      </c>
      <c r="J287" s="22" t="s">
        <v>1914</v>
      </c>
      <c r="K287" s="18">
        <v>190434.0</v>
      </c>
    </row>
    <row r="288">
      <c r="A288" s="18"/>
      <c r="B288" s="18"/>
      <c r="C288" s="17" t="str">
        <f t="shared" si="2"/>
        <v>#REF!</v>
      </c>
      <c r="D288" s="18" t="s">
        <v>1925</v>
      </c>
      <c r="E288" s="18"/>
      <c r="H288" s="18"/>
      <c r="I288" s="18" t="s">
        <v>1913</v>
      </c>
      <c r="J288" s="22" t="s">
        <v>1914</v>
      </c>
      <c r="K288" s="18">
        <v>190435.0</v>
      </c>
    </row>
    <row r="289">
      <c r="A289" s="18"/>
      <c r="B289" s="18"/>
      <c r="C289" s="17" t="str">
        <f t="shared" si="2"/>
        <v>#REF!</v>
      </c>
      <c r="D289" s="18" t="s">
        <v>1926</v>
      </c>
      <c r="E289" s="18"/>
      <c r="H289" s="18"/>
      <c r="I289" s="18" t="s">
        <v>1913</v>
      </c>
      <c r="J289" s="22" t="s">
        <v>1914</v>
      </c>
      <c r="K289" s="18">
        <v>190438.0</v>
      </c>
    </row>
    <row r="290">
      <c r="A290" s="18"/>
      <c r="B290" s="18"/>
      <c r="C290" s="17" t="str">
        <f t="shared" si="2"/>
        <v>#REF!</v>
      </c>
      <c r="D290" s="18" t="s">
        <v>1927</v>
      </c>
      <c r="E290" s="18"/>
      <c r="H290" s="18"/>
      <c r="I290" s="18" t="s">
        <v>1913</v>
      </c>
      <c r="J290" s="22" t="s">
        <v>1914</v>
      </c>
      <c r="K290" s="18">
        <v>190439.0</v>
      </c>
    </row>
    <row r="291">
      <c r="A291" s="18"/>
      <c r="B291" s="18"/>
      <c r="C291" s="17" t="str">
        <f t="shared" si="2"/>
        <v>#REF!</v>
      </c>
      <c r="D291" s="18" t="s">
        <v>1928</v>
      </c>
      <c r="E291" s="18"/>
      <c r="H291" s="18"/>
      <c r="I291" s="18" t="s">
        <v>1913</v>
      </c>
      <c r="J291" s="22" t="s">
        <v>1914</v>
      </c>
      <c r="K291" s="18">
        <v>190441.0</v>
      </c>
    </row>
    <row r="292">
      <c r="A292" s="18"/>
      <c r="B292" s="18"/>
      <c r="C292" s="17" t="str">
        <f t="shared" si="2"/>
        <v>#REF!</v>
      </c>
      <c r="D292" s="18" t="s">
        <v>1929</v>
      </c>
      <c r="E292" s="18"/>
      <c r="H292" s="18"/>
      <c r="I292" s="18" t="s">
        <v>1913</v>
      </c>
      <c r="J292" s="22" t="s">
        <v>1914</v>
      </c>
      <c r="K292" s="18">
        <v>190443.0</v>
      </c>
    </row>
    <row r="293">
      <c r="A293" s="18"/>
      <c r="B293" s="18"/>
      <c r="C293" s="17" t="str">
        <f t="shared" si="2"/>
        <v>#REF!</v>
      </c>
      <c r="D293" s="18" t="s">
        <v>1930</v>
      </c>
      <c r="E293" s="18"/>
      <c r="H293" s="18"/>
      <c r="I293" s="18" t="s">
        <v>1913</v>
      </c>
      <c r="J293" s="22" t="s">
        <v>1914</v>
      </c>
      <c r="K293" s="18">
        <v>190440.0</v>
      </c>
    </row>
    <row r="294">
      <c r="A294" s="18"/>
      <c r="B294" s="18"/>
      <c r="C294" s="17" t="str">
        <f t="shared" si="2"/>
        <v>#REF!</v>
      </c>
      <c r="D294" s="18" t="s">
        <v>1931</v>
      </c>
      <c r="E294" s="18"/>
      <c r="H294" s="18"/>
      <c r="I294" s="18" t="s">
        <v>1913</v>
      </c>
      <c r="J294" s="22" t="s">
        <v>1914</v>
      </c>
      <c r="K294" s="18">
        <v>190442.0</v>
      </c>
    </row>
    <row r="295">
      <c r="A295" s="18"/>
      <c r="B295" s="18"/>
      <c r="C295" s="17" t="str">
        <f t="shared" si="2"/>
        <v>#REF!</v>
      </c>
      <c r="D295" s="18" t="s">
        <v>1932</v>
      </c>
      <c r="E295" s="18"/>
      <c r="H295" s="18"/>
      <c r="I295" s="18" t="s">
        <v>1933</v>
      </c>
      <c r="J295" s="22"/>
      <c r="K295" s="18"/>
    </row>
    <row r="296">
      <c r="A296" s="18"/>
      <c r="B296" s="18"/>
      <c r="C296" s="17" t="str">
        <f t="shared" si="2"/>
        <v>#REF!</v>
      </c>
      <c r="D296" s="18" t="s">
        <v>1934</v>
      </c>
      <c r="E296" s="18"/>
      <c r="H296" s="18"/>
      <c r="I296" s="18" t="s">
        <v>1913</v>
      </c>
      <c r="J296" s="18" t="s">
        <v>1935</v>
      </c>
      <c r="K296" s="18">
        <v>200457.0</v>
      </c>
    </row>
    <row r="297">
      <c r="A297" s="18"/>
      <c r="B297" s="18"/>
      <c r="C297" s="17" t="str">
        <f t="shared" si="2"/>
        <v>#REF!</v>
      </c>
      <c r="D297" s="18" t="s">
        <v>1936</v>
      </c>
      <c r="E297" s="18"/>
      <c r="H297" s="18"/>
      <c r="I297" s="18" t="s">
        <v>1933</v>
      </c>
      <c r="K297" s="18"/>
    </row>
    <row r="298">
      <c r="A298" s="18"/>
      <c r="B298" s="18"/>
      <c r="C298" s="17" t="str">
        <f t="shared" si="2"/>
        <v>#REF!</v>
      </c>
      <c r="D298" s="18" t="s">
        <v>1937</v>
      </c>
      <c r="E298" s="18"/>
      <c r="H298" s="18"/>
      <c r="I298" s="18" t="s">
        <v>1938</v>
      </c>
      <c r="K298" s="18"/>
    </row>
    <row r="299">
      <c r="A299" s="18"/>
      <c r="B299" s="18"/>
      <c r="C299" s="17" t="str">
        <f t="shared" si="2"/>
        <v>#REF!</v>
      </c>
      <c r="D299" s="18" t="s">
        <v>1939</v>
      </c>
      <c r="E299" s="18"/>
      <c r="H299" s="18"/>
      <c r="I299" s="18" t="s">
        <v>1940</v>
      </c>
      <c r="K299" s="18"/>
    </row>
    <row r="300">
      <c r="A300" s="18"/>
      <c r="B300" s="18"/>
      <c r="C300" s="17" t="str">
        <f t="shared" si="2"/>
        <v>#REF!</v>
      </c>
      <c r="D300" s="18" t="s">
        <v>1941</v>
      </c>
      <c r="E300" s="18"/>
      <c r="H300" s="18"/>
      <c r="I300" s="18" t="s">
        <v>1940</v>
      </c>
      <c r="K300" s="18"/>
    </row>
    <row r="301">
      <c r="A301" s="18"/>
      <c r="B301" s="18"/>
      <c r="C301" s="17" t="str">
        <f t="shared" si="2"/>
        <v>#REF!</v>
      </c>
      <c r="D301" s="18" t="s">
        <v>1942</v>
      </c>
      <c r="E301" s="18"/>
      <c r="H301" s="18"/>
      <c r="I301" s="18" t="s">
        <v>1943</v>
      </c>
      <c r="K301" s="18">
        <v>210464.0</v>
      </c>
    </row>
    <row r="302">
      <c r="A302" s="18"/>
      <c r="B302" s="18"/>
      <c r="C302" s="17" t="str">
        <f t="shared" si="2"/>
        <v>#REF!</v>
      </c>
      <c r="D302" s="18" t="s">
        <v>1944</v>
      </c>
      <c r="E302" s="18"/>
      <c r="H302" s="18"/>
      <c r="I302" s="18" t="s">
        <v>1943</v>
      </c>
      <c r="K302" s="18">
        <v>210465.0</v>
      </c>
    </row>
    <row r="303">
      <c r="A303" s="18"/>
      <c r="B303" s="18"/>
      <c r="C303" s="17" t="str">
        <f t="shared" si="2"/>
        <v>#REF!</v>
      </c>
      <c r="D303" s="18" t="s">
        <v>1945</v>
      </c>
      <c r="E303" s="18"/>
      <c r="H303" s="18"/>
      <c r="I303" s="18" t="s">
        <v>1943</v>
      </c>
      <c r="K303" s="18">
        <v>210471.0</v>
      </c>
    </row>
    <row r="304">
      <c r="A304" s="18"/>
      <c r="B304" s="18"/>
      <c r="C304" s="17" t="str">
        <f t="shared" si="2"/>
        <v>#REF!</v>
      </c>
      <c r="D304" s="18" t="s">
        <v>1946</v>
      </c>
      <c r="E304" s="18"/>
      <c r="H304" s="18"/>
      <c r="I304" s="18" t="s">
        <v>1940</v>
      </c>
      <c r="K304" s="18"/>
    </row>
    <row r="305">
      <c r="A305" s="18"/>
      <c r="B305" s="18"/>
      <c r="C305" s="17" t="str">
        <f t="shared" si="2"/>
        <v>#REF!</v>
      </c>
      <c r="D305" s="18" t="s">
        <v>1947</v>
      </c>
      <c r="E305" s="18"/>
      <c r="H305" s="18"/>
      <c r="I305" s="18" t="s">
        <v>1940</v>
      </c>
      <c r="K305" s="18"/>
    </row>
    <row r="306">
      <c r="A306" s="18"/>
      <c r="B306" s="18"/>
      <c r="C306" s="17" t="str">
        <f t="shared" si="2"/>
        <v>#REF!</v>
      </c>
      <c r="D306" s="18" t="s">
        <v>1948</v>
      </c>
      <c r="E306" s="18"/>
      <c r="H306" s="18"/>
      <c r="I306" s="18" t="s">
        <v>1949</v>
      </c>
      <c r="K306" s="18"/>
    </row>
    <row r="307">
      <c r="A307" s="18"/>
      <c r="B307" s="18"/>
      <c r="C307" s="17" t="str">
        <f t="shared" si="2"/>
        <v>#REF!</v>
      </c>
      <c r="D307" s="18" t="s">
        <v>1950</v>
      </c>
      <c r="E307" s="18"/>
      <c r="H307" s="18"/>
      <c r="I307" s="18" t="s">
        <v>1072</v>
      </c>
      <c r="K307" s="18">
        <v>220481.0</v>
      </c>
    </row>
    <row r="308">
      <c r="A308" s="18"/>
      <c r="B308" s="18"/>
      <c r="C308" s="17" t="str">
        <f t="shared" si="2"/>
        <v>#REF!</v>
      </c>
      <c r="D308" s="18" t="s">
        <v>1951</v>
      </c>
      <c r="E308" s="18"/>
      <c r="H308" s="18"/>
      <c r="I308" s="18" t="s">
        <v>1072</v>
      </c>
      <c r="K308" s="18">
        <v>220482.0</v>
      </c>
    </row>
    <row r="309">
      <c r="A309" s="18"/>
      <c r="B309" s="18"/>
      <c r="C309" s="17" t="str">
        <f t="shared" si="2"/>
        <v>#REF!</v>
      </c>
      <c r="D309" s="18" t="s">
        <v>1952</v>
      </c>
      <c r="E309" s="18"/>
      <c r="H309" s="18"/>
      <c r="I309" s="18" t="s">
        <v>1072</v>
      </c>
      <c r="K309" s="18">
        <v>220483.0</v>
      </c>
    </row>
    <row r="310">
      <c r="A310" s="18"/>
      <c r="B310" s="18"/>
      <c r="C310" s="17" t="str">
        <f t="shared" si="2"/>
        <v>#REF!</v>
      </c>
      <c r="D310" s="18" t="s">
        <v>1953</v>
      </c>
      <c r="E310" s="18"/>
      <c r="H310" s="18"/>
      <c r="I310" s="18" t="s">
        <v>1072</v>
      </c>
      <c r="K310" s="18">
        <v>220484.0</v>
      </c>
    </row>
    <row r="311">
      <c r="A311" s="18"/>
      <c r="B311" s="18"/>
      <c r="C311" s="17" t="str">
        <f t="shared" si="2"/>
        <v>#REF!</v>
      </c>
      <c r="D311" s="18" t="s">
        <v>1954</v>
      </c>
      <c r="E311" s="18"/>
      <c r="H311" s="18"/>
      <c r="I311" s="18" t="s">
        <v>1072</v>
      </c>
      <c r="K311" s="18">
        <v>220486.0</v>
      </c>
    </row>
    <row r="312">
      <c r="A312" s="18"/>
      <c r="B312" s="18"/>
      <c r="C312" s="17" t="str">
        <f t="shared" si="2"/>
        <v>#REF!</v>
      </c>
      <c r="D312" s="18" t="s">
        <v>1955</v>
      </c>
      <c r="E312" s="18"/>
      <c r="H312" s="18"/>
      <c r="I312" s="18" t="s">
        <v>1072</v>
      </c>
      <c r="K312" s="18">
        <v>220487.0</v>
      </c>
    </row>
    <row r="313">
      <c r="A313" s="18"/>
      <c r="B313" s="18"/>
      <c r="C313" s="17" t="str">
        <f t="shared" si="2"/>
        <v>#REF!</v>
      </c>
      <c r="D313" s="18" t="s">
        <v>1956</v>
      </c>
      <c r="E313" s="18"/>
      <c r="H313" s="18"/>
      <c r="I313" s="18" t="s">
        <v>1072</v>
      </c>
      <c r="K313" s="18">
        <v>220490.0</v>
      </c>
    </row>
    <row r="314">
      <c r="A314" s="18"/>
      <c r="B314" s="18"/>
      <c r="C314" s="17" t="str">
        <f t="shared" si="2"/>
        <v>#REF!</v>
      </c>
      <c r="D314" s="18" t="s">
        <v>1957</v>
      </c>
      <c r="E314" s="18"/>
      <c r="H314" s="18"/>
      <c r="I314" s="18" t="s">
        <v>1072</v>
      </c>
      <c r="K314" s="18">
        <v>220493.0</v>
      </c>
    </row>
    <row r="315">
      <c r="A315" s="18"/>
      <c r="B315" s="18"/>
      <c r="C315" s="17" t="str">
        <f t="shared" si="2"/>
        <v>#REF!</v>
      </c>
      <c r="D315" s="18" t="s">
        <v>1958</v>
      </c>
      <c r="E315" s="18"/>
      <c r="H315" s="18"/>
      <c r="I315" s="18" t="s">
        <v>1072</v>
      </c>
      <c r="K315" s="18">
        <v>220494.0</v>
      </c>
    </row>
    <row r="316">
      <c r="A316" s="18"/>
      <c r="B316" s="18"/>
      <c r="C316" s="17" t="str">
        <f t="shared" si="2"/>
        <v>#REF!</v>
      </c>
      <c r="D316" s="18" t="s">
        <v>1959</v>
      </c>
      <c r="E316" s="18"/>
      <c r="H316" s="18"/>
      <c r="I316" s="18" t="s">
        <v>1072</v>
      </c>
      <c r="K316" s="18">
        <v>220497.0</v>
      </c>
    </row>
    <row r="317">
      <c r="A317" s="18"/>
      <c r="B317" s="18"/>
      <c r="C317" s="17" t="str">
        <f t="shared" si="2"/>
        <v>#REF!</v>
      </c>
      <c r="D317" s="18" t="s">
        <v>1960</v>
      </c>
      <c r="E317" s="18"/>
      <c r="H317" s="18"/>
      <c r="I317" s="18" t="s">
        <v>1072</v>
      </c>
      <c r="K317" s="18">
        <v>220498.0</v>
      </c>
    </row>
    <row r="318">
      <c r="A318" s="18"/>
      <c r="B318" s="18"/>
      <c r="C318" s="17" t="str">
        <f t="shared" si="2"/>
        <v>#REF!</v>
      </c>
      <c r="D318" s="18" t="s">
        <v>1961</v>
      </c>
      <c r="E318" s="18"/>
      <c r="H318" s="18"/>
      <c r="I318" s="18" t="s">
        <v>1072</v>
      </c>
      <c r="K318" s="18">
        <v>220499.0</v>
      </c>
    </row>
    <row r="319">
      <c r="A319" s="18"/>
      <c r="B319" s="18"/>
      <c r="C319" s="17" t="str">
        <f t="shared" si="2"/>
        <v>#REF!</v>
      </c>
      <c r="D319" s="18" t="s">
        <v>1962</v>
      </c>
      <c r="E319" s="18"/>
      <c r="H319" s="18"/>
      <c r="I319" s="18" t="s">
        <v>1072</v>
      </c>
      <c r="K319" s="18">
        <v>220500.0</v>
      </c>
    </row>
    <row r="320">
      <c r="A320" s="18"/>
      <c r="B320" s="18"/>
      <c r="C320" s="17" t="str">
        <f t="shared" si="2"/>
        <v>#REF!</v>
      </c>
      <c r="D320" s="18" t="s">
        <v>1963</v>
      </c>
      <c r="E320" s="18"/>
      <c r="H320" s="18"/>
      <c r="I320" s="18" t="s">
        <v>1072</v>
      </c>
      <c r="K320" s="18"/>
    </row>
    <row r="321">
      <c r="A321" s="18"/>
      <c r="B321" s="18"/>
      <c r="C321" s="17" t="str">
        <f t="shared" si="2"/>
        <v>#REF!</v>
      </c>
      <c r="D321" s="18" t="s">
        <v>1964</v>
      </c>
      <c r="E321" s="18"/>
      <c r="H321" s="18"/>
      <c r="I321" s="18" t="s">
        <v>1072</v>
      </c>
      <c r="K321" s="18"/>
    </row>
    <row r="322">
      <c r="A322" s="18"/>
      <c r="B322" s="18"/>
      <c r="C322" s="17" t="str">
        <f t="shared" si="2"/>
        <v>#REF!</v>
      </c>
      <c r="D322" s="18" t="s">
        <v>1965</v>
      </c>
      <c r="E322" s="18"/>
      <c r="H322" s="18"/>
      <c r="I322" s="18" t="s">
        <v>1072</v>
      </c>
      <c r="K322" s="18">
        <v>220492.0</v>
      </c>
    </row>
    <row r="323">
      <c r="A323" s="18"/>
      <c r="B323" s="18"/>
      <c r="C323" s="17" t="s">
        <v>1966</v>
      </c>
      <c r="D323" s="18"/>
      <c r="E323" s="18"/>
      <c r="H323" s="18"/>
      <c r="I323" s="18" t="s">
        <v>1949</v>
      </c>
      <c r="K323" s="18"/>
    </row>
    <row r="324">
      <c r="A324" s="18"/>
      <c r="B324" s="18"/>
      <c r="C324" s="17" t="str">
        <f t="shared" ref="C324:C431" si="3">IF(ISBLANK(D324),"",COUNTA($C$2:C324))</f>
        <v>#REF!</v>
      </c>
      <c r="D324" s="18" t="s">
        <v>1967</v>
      </c>
      <c r="E324" s="18"/>
      <c r="H324" s="18"/>
      <c r="I324" s="18" t="s">
        <v>1072</v>
      </c>
      <c r="K324" s="18">
        <v>220491.0</v>
      </c>
    </row>
    <row r="325">
      <c r="A325" s="18"/>
      <c r="B325" s="18"/>
      <c r="C325" s="17" t="str">
        <f t="shared" si="3"/>
        <v>#REF!</v>
      </c>
      <c r="D325" s="18" t="s">
        <v>1968</v>
      </c>
      <c r="E325" s="18"/>
      <c r="H325" s="18"/>
      <c r="I325" s="18" t="s">
        <v>1072</v>
      </c>
      <c r="K325" s="18"/>
    </row>
    <row r="326">
      <c r="A326" s="18"/>
      <c r="B326" s="18"/>
      <c r="C326" s="17" t="str">
        <f t="shared" si="3"/>
        <v>#REF!</v>
      </c>
      <c r="D326" s="18" t="s">
        <v>1969</v>
      </c>
      <c r="E326" s="18"/>
      <c r="H326" s="18"/>
      <c r="I326" s="18" t="s">
        <v>1970</v>
      </c>
      <c r="K326" s="18"/>
    </row>
    <row r="327">
      <c r="A327" s="18"/>
      <c r="B327" s="18"/>
      <c r="C327" s="17" t="str">
        <f t="shared" si="3"/>
        <v>#REF!</v>
      </c>
      <c r="D327" s="18" t="s">
        <v>1971</v>
      </c>
      <c r="E327" s="18"/>
      <c r="H327" s="18"/>
      <c r="I327" s="18" t="s">
        <v>1949</v>
      </c>
      <c r="K327" s="18"/>
    </row>
    <row r="328">
      <c r="A328" s="18"/>
      <c r="B328" s="18"/>
      <c r="C328" s="17" t="str">
        <f t="shared" si="3"/>
        <v>#REF!</v>
      </c>
      <c r="D328" s="18" t="s">
        <v>1972</v>
      </c>
      <c r="E328" s="18"/>
      <c r="H328" s="18"/>
      <c r="I328" s="18" t="s">
        <v>1973</v>
      </c>
      <c r="K328" s="18"/>
    </row>
    <row r="329">
      <c r="A329" s="18"/>
      <c r="B329" s="18"/>
      <c r="C329" s="17" t="str">
        <f t="shared" si="3"/>
        <v>#REF!</v>
      </c>
      <c r="D329" s="18" t="s">
        <v>1974</v>
      </c>
      <c r="E329" s="18"/>
      <c r="H329" s="18"/>
      <c r="I329" s="18" t="s">
        <v>1973</v>
      </c>
      <c r="K329" s="18"/>
    </row>
    <row r="330">
      <c r="A330" s="18"/>
      <c r="B330" s="18"/>
      <c r="C330" s="17" t="str">
        <f t="shared" si="3"/>
        <v>#REF!</v>
      </c>
      <c r="D330" s="18" t="s">
        <v>1975</v>
      </c>
      <c r="E330" s="18"/>
      <c r="H330" s="18"/>
      <c r="I330" s="18" t="s">
        <v>1976</v>
      </c>
      <c r="K330" s="18"/>
    </row>
    <row r="331">
      <c r="A331" s="18"/>
      <c r="B331" s="18"/>
      <c r="C331" s="17" t="str">
        <f t="shared" si="3"/>
        <v>#REF!</v>
      </c>
      <c r="D331" s="18" t="s">
        <v>1977</v>
      </c>
      <c r="E331" s="18"/>
      <c r="H331" s="18"/>
      <c r="I331" s="18" t="s">
        <v>1973</v>
      </c>
      <c r="K331" s="18">
        <v>230512.0</v>
      </c>
    </row>
    <row r="332">
      <c r="A332" s="18"/>
      <c r="B332" s="18"/>
      <c r="C332" s="17" t="str">
        <f t="shared" si="3"/>
        <v>#REF!</v>
      </c>
      <c r="D332" s="18" t="s">
        <v>1978</v>
      </c>
      <c r="E332" s="18"/>
      <c r="H332" s="18"/>
      <c r="I332" s="18" t="s">
        <v>1973</v>
      </c>
      <c r="K332" s="18">
        <v>230514.0</v>
      </c>
    </row>
    <row r="333">
      <c r="A333" s="18"/>
      <c r="B333" s="18"/>
      <c r="C333" s="17" t="str">
        <f t="shared" si="3"/>
        <v>#REF!</v>
      </c>
      <c r="D333" s="18" t="s">
        <v>1979</v>
      </c>
      <c r="E333" s="18"/>
      <c r="H333" s="18"/>
      <c r="I333" s="18" t="s">
        <v>1973</v>
      </c>
      <c r="K333" s="18">
        <v>230516.0</v>
      </c>
    </row>
    <row r="334">
      <c r="A334" s="18"/>
      <c r="B334" s="18"/>
      <c r="C334" s="17" t="str">
        <f t="shared" si="3"/>
        <v>#REF!</v>
      </c>
      <c r="D334" s="18" t="s">
        <v>1980</v>
      </c>
      <c r="E334" s="18"/>
      <c r="H334" s="18"/>
      <c r="I334" s="18" t="s">
        <v>1973</v>
      </c>
      <c r="K334" s="18">
        <v>230520.0</v>
      </c>
    </row>
    <row r="335">
      <c r="A335" s="18"/>
      <c r="B335" s="18"/>
      <c r="C335" s="17" t="str">
        <f t="shared" si="3"/>
        <v>#REF!</v>
      </c>
      <c r="D335" s="18" t="s">
        <v>1981</v>
      </c>
      <c r="E335" s="18"/>
      <c r="H335" s="18"/>
      <c r="I335" s="18" t="s">
        <v>1973</v>
      </c>
      <c r="K335" s="18">
        <v>230521.0</v>
      </c>
    </row>
    <row r="336">
      <c r="A336" s="18"/>
      <c r="B336" s="18"/>
      <c r="C336" s="17" t="str">
        <f t="shared" si="3"/>
        <v>#REF!</v>
      </c>
      <c r="D336" s="18" t="s">
        <v>1982</v>
      </c>
      <c r="E336" s="18"/>
      <c r="H336" s="18"/>
      <c r="I336" s="18" t="s">
        <v>1973</v>
      </c>
      <c r="K336" s="18">
        <v>230522.0</v>
      </c>
    </row>
    <row r="337">
      <c r="A337" s="18"/>
      <c r="B337" s="18"/>
      <c r="C337" s="17" t="str">
        <f t="shared" si="3"/>
        <v>#REF!</v>
      </c>
      <c r="D337" s="18" t="s">
        <v>1983</v>
      </c>
      <c r="E337" s="18"/>
      <c r="H337" s="18"/>
      <c r="I337" s="18" t="s">
        <v>1973</v>
      </c>
      <c r="K337" s="18">
        <v>230523.0</v>
      </c>
    </row>
    <row r="338">
      <c r="A338" s="18"/>
      <c r="B338" s="18"/>
      <c r="C338" s="17" t="str">
        <f t="shared" si="3"/>
        <v>#REF!</v>
      </c>
      <c r="D338" s="18" t="s">
        <v>1984</v>
      </c>
      <c r="E338" s="18"/>
      <c r="H338" s="18"/>
      <c r="I338" s="18" t="s">
        <v>1973</v>
      </c>
      <c r="K338" s="18">
        <v>230529.0</v>
      </c>
    </row>
    <row r="339">
      <c r="A339" s="18"/>
      <c r="B339" s="18"/>
      <c r="C339" s="17" t="str">
        <f t="shared" si="3"/>
        <v>#REF!</v>
      </c>
      <c r="D339" s="18" t="s">
        <v>1985</v>
      </c>
      <c r="E339" s="18"/>
      <c r="H339" s="18"/>
      <c r="I339" s="18" t="s">
        <v>1973</v>
      </c>
      <c r="K339" s="18">
        <v>230532.0</v>
      </c>
    </row>
    <row r="340">
      <c r="A340" s="18"/>
      <c r="B340" s="18"/>
      <c r="C340" s="17" t="str">
        <f t="shared" si="3"/>
        <v>#REF!</v>
      </c>
      <c r="D340" s="18" t="s">
        <v>1986</v>
      </c>
      <c r="E340" s="18"/>
      <c r="H340" s="18"/>
      <c r="I340" s="18" t="s">
        <v>1973</v>
      </c>
      <c r="K340" s="18">
        <v>230524.0</v>
      </c>
    </row>
    <row r="341">
      <c r="A341" s="18"/>
      <c r="B341" s="18"/>
      <c r="C341" s="17" t="str">
        <f t="shared" si="3"/>
        <v>#REF!</v>
      </c>
      <c r="D341" s="18" t="s">
        <v>1987</v>
      </c>
      <c r="E341" s="18"/>
      <c r="H341" s="18"/>
      <c r="I341" s="18" t="s">
        <v>1973</v>
      </c>
      <c r="K341" s="18">
        <v>230526.0</v>
      </c>
    </row>
    <row r="342">
      <c r="A342" s="18"/>
      <c r="B342" s="18"/>
      <c r="C342" s="17" t="str">
        <f t="shared" si="3"/>
        <v>#REF!</v>
      </c>
      <c r="D342" s="18" t="s">
        <v>1988</v>
      </c>
      <c r="E342" s="18"/>
      <c r="H342" s="18"/>
      <c r="I342" s="18" t="s">
        <v>1973</v>
      </c>
      <c r="K342" s="18">
        <v>230542.0</v>
      </c>
    </row>
    <row r="343">
      <c r="A343" s="18"/>
      <c r="B343" s="18"/>
      <c r="C343" s="17" t="str">
        <f t="shared" si="3"/>
        <v>#REF!</v>
      </c>
      <c r="D343" s="18" t="s">
        <v>1989</v>
      </c>
      <c r="E343" s="18"/>
      <c r="H343" s="18"/>
      <c r="I343" s="18" t="s">
        <v>1973</v>
      </c>
      <c r="K343" s="18"/>
    </row>
    <row r="344">
      <c r="A344" s="18"/>
      <c r="B344" s="18"/>
      <c r="C344" s="17" t="str">
        <f t="shared" si="3"/>
        <v>#REF!</v>
      </c>
      <c r="D344" s="18" t="s">
        <v>1990</v>
      </c>
      <c r="E344" s="18"/>
      <c r="H344" s="18"/>
      <c r="I344" s="18" t="s">
        <v>1973</v>
      </c>
      <c r="K344" s="18"/>
    </row>
    <row r="345">
      <c r="A345" s="18"/>
      <c r="B345" s="18"/>
      <c r="C345" s="17" t="str">
        <f t="shared" si="3"/>
        <v>#REF!</v>
      </c>
      <c r="D345" s="18" t="s">
        <v>1991</v>
      </c>
      <c r="E345" s="18"/>
      <c r="H345" s="18"/>
      <c r="I345" s="18" t="s">
        <v>1973</v>
      </c>
      <c r="K345" s="18"/>
    </row>
    <row r="346">
      <c r="A346" s="18"/>
      <c r="B346" s="18"/>
      <c r="C346" s="17" t="str">
        <f t="shared" si="3"/>
        <v>#REF!</v>
      </c>
      <c r="D346" s="18" t="s">
        <v>1992</v>
      </c>
      <c r="E346" s="18"/>
      <c r="H346" s="18"/>
      <c r="I346" s="18" t="s">
        <v>1973</v>
      </c>
    </row>
    <row r="347">
      <c r="A347" s="18"/>
      <c r="B347" s="18"/>
      <c r="C347" s="17" t="str">
        <f t="shared" si="3"/>
        <v>#REF!</v>
      </c>
      <c r="D347" s="18" t="s">
        <v>1993</v>
      </c>
      <c r="E347" s="18"/>
      <c r="H347" s="18"/>
      <c r="I347" s="18" t="s">
        <v>1994</v>
      </c>
      <c r="K347" s="18">
        <v>240555.0</v>
      </c>
    </row>
    <row r="348">
      <c r="A348" s="18"/>
      <c r="B348" s="18"/>
      <c r="C348" s="17" t="str">
        <f t="shared" si="3"/>
        <v>#REF!</v>
      </c>
      <c r="D348" s="18" t="s">
        <v>1993</v>
      </c>
      <c r="E348" s="18"/>
      <c r="H348" s="18"/>
      <c r="I348" s="18" t="s">
        <v>1994</v>
      </c>
      <c r="K348" s="18"/>
    </row>
    <row r="349">
      <c r="A349" s="18"/>
      <c r="B349" s="18"/>
      <c r="C349" s="17" t="str">
        <f t="shared" si="3"/>
        <v>#REF!</v>
      </c>
      <c r="D349" s="18" t="s">
        <v>1995</v>
      </c>
      <c r="E349" s="18"/>
      <c r="H349" s="18"/>
      <c r="I349" s="18" t="s">
        <v>1994</v>
      </c>
      <c r="K349" s="18"/>
    </row>
    <row r="350">
      <c r="A350" s="18"/>
      <c r="B350" s="18"/>
      <c r="C350" s="17" t="str">
        <f t="shared" si="3"/>
        <v>#REF!</v>
      </c>
      <c r="D350" s="18" t="s">
        <v>1996</v>
      </c>
      <c r="E350" s="18"/>
      <c r="H350" s="18"/>
      <c r="I350" s="18" t="s">
        <v>1994</v>
      </c>
      <c r="K350" s="18">
        <v>240556.0</v>
      </c>
    </row>
    <row r="351">
      <c r="A351" s="18"/>
      <c r="B351" s="18"/>
      <c r="C351" s="17" t="str">
        <f t="shared" si="3"/>
        <v>#REF!</v>
      </c>
      <c r="D351" s="18" t="s">
        <v>1997</v>
      </c>
      <c r="E351" s="18"/>
      <c r="H351" s="18"/>
      <c r="I351" s="18" t="s">
        <v>1994</v>
      </c>
      <c r="K351" s="18"/>
    </row>
    <row r="352">
      <c r="A352" s="18"/>
      <c r="B352" s="18"/>
      <c r="C352" s="17" t="str">
        <f t="shared" si="3"/>
        <v>#REF!</v>
      </c>
      <c r="D352" s="18" t="s">
        <v>1998</v>
      </c>
      <c r="E352" s="18"/>
      <c r="H352" s="18"/>
      <c r="I352" s="18" t="s">
        <v>1994</v>
      </c>
      <c r="K352" s="18"/>
    </row>
    <row r="353">
      <c r="A353" s="18"/>
      <c r="B353" s="18"/>
      <c r="C353" s="17" t="str">
        <f t="shared" si="3"/>
        <v>#REF!</v>
      </c>
      <c r="D353" s="18" t="s">
        <v>1999</v>
      </c>
      <c r="E353" s="18"/>
      <c r="H353" s="18"/>
      <c r="I353" s="18" t="s">
        <v>1994</v>
      </c>
      <c r="K353" s="18"/>
    </row>
    <row r="354">
      <c r="A354" s="18"/>
      <c r="B354" s="18"/>
      <c r="C354" s="17" t="str">
        <f t="shared" si="3"/>
        <v>#REF!</v>
      </c>
      <c r="D354" s="18" t="s">
        <v>2000</v>
      </c>
      <c r="E354" s="18"/>
      <c r="H354" s="18"/>
      <c r="I354" s="18" t="s">
        <v>2001</v>
      </c>
      <c r="K354" s="18"/>
    </row>
    <row r="355">
      <c r="A355" s="18"/>
      <c r="B355" s="18"/>
      <c r="C355" s="17" t="str">
        <f t="shared" si="3"/>
        <v>#REF!</v>
      </c>
      <c r="D355" s="18" t="s">
        <v>2002</v>
      </c>
      <c r="E355" s="18"/>
      <c r="H355" s="18"/>
      <c r="I355" s="18" t="s">
        <v>1994</v>
      </c>
      <c r="K355" s="18"/>
    </row>
    <row r="356">
      <c r="A356" s="18"/>
      <c r="B356" s="18"/>
      <c r="C356" s="17" t="str">
        <f t="shared" si="3"/>
        <v>#REF!</v>
      </c>
      <c r="D356" s="18" t="s">
        <v>2003</v>
      </c>
      <c r="E356" s="18"/>
      <c r="H356" s="18"/>
      <c r="I356" s="18" t="s">
        <v>1994</v>
      </c>
      <c r="K356" s="18">
        <v>240558.0</v>
      </c>
    </row>
    <row r="357">
      <c r="A357" s="18"/>
      <c r="B357" s="18"/>
      <c r="C357" s="17" t="str">
        <f t="shared" si="3"/>
        <v>#REF!</v>
      </c>
      <c r="D357" s="18" t="s">
        <v>2004</v>
      </c>
      <c r="E357" s="18"/>
      <c r="H357" s="18"/>
      <c r="I357" s="18" t="s">
        <v>1994</v>
      </c>
      <c r="K357" s="18">
        <v>240559.0</v>
      </c>
    </row>
    <row r="358">
      <c r="A358" s="18"/>
      <c r="B358" s="18"/>
      <c r="C358" s="17" t="str">
        <f t="shared" si="3"/>
        <v>#REF!</v>
      </c>
      <c r="D358" s="18" t="s">
        <v>2005</v>
      </c>
      <c r="E358" s="18"/>
      <c r="H358" s="18"/>
      <c r="I358" s="18" t="s">
        <v>2001</v>
      </c>
      <c r="K358" s="18"/>
    </row>
    <row r="359">
      <c r="A359" s="18"/>
      <c r="B359" s="18"/>
      <c r="C359" s="17" t="str">
        <f t="shared" si="3"/>
        <v>#REF!</v>
      </c>
      <c r="D359" s="18" t="s">
        <v>2006</v>
      </c>
      <c r="E359" s="18"/>
      <c r="H359" s="18"/>
      <c r="I359" s="18" t="s">
        <v>2001</v>
      </c>
      <c r="K359" s="18"/>
    </row>
    <row r="360">
      <c r="A360" s="18"/>
      <c r="B360" s="18"/>
      <c r="C360" s="17" t="str">
        <f t="shared" si="3"/>
        <v>#REF!</v>
      </c>
      <c r="D360" s="18" t="s">
        <v>2007</v>
      </c>
      <c r="E360" s="18"/>
      <c r="H360" s="18"/>
      <c r="I360" s="18" t="s">
        <v>1994</v>
      </c>
      <c r="K360" s="18"/>
    </row>
    <row r="361">
      <c r="A361" s="18"/>
      <c r="B361" s="18"/>
      <c r="C361" s="17" t="str">
        <f t="shared" si="3"/>
        <v>#REF!</v>
      </c>
      <c r="D361" s="18" t="s">
        <v>2008</v>
      </c>
      <c r="E361" s="18"/>
      <c r="H361" s="18"/>
      <c r="I361" s="18" t="s">
        <v>1994</v>
      </c>
      <c r="K361" s="18"/>
    </row>
    <row r="362">
      <c r="A362" s="18"/>
      <c r="B362" s="18"/>
      <c r="C362" s="17" t="str">
        <f t="shared" si="3"/>
        <v>#REF!</v>
      </c>
      <c r="D362" s="18" t="s">
        <v>2009</v>
      </c>
      <c r="E362" s="18"/>
      <c r="H362" s="18"/>
      <c r="I362" s="18" t="s">
        <v>1994</v>
      </c>
      <c r="K362" s="18">
        <v>240562.0</v>
      </c>
    </row>
    <row r="363">
      <c r="A363" s="18"/>
      <c r="B363" s="18"/>
      <c r="C363" s="17" t="str">
        <f t="shared" si="3"/>
        <v>#REF!</v>
      </c>
      <c r="D363" s="18" t="s">
        <v>2010</v>
      </c>
      <c r="E363" s="18"/>
      <c r="H363" s="18"/>
      <c r="I363" s="18" t="s">
        <v>1994</v>
      </c>
      <c r="K363" s="18">
        <v>240563.0</v>
      </c>
    </row>
    <row r="364">
      <c r="A364" s="18"/>
      <c r="B364" s="18"/>
      <c r="C364" s="17" t="str">
        <f t="shared" si="3"/>
        <v>#REF!</v>
      </c>
      <c r="D364" s="18" t="s">
        <v>2011</v>
      </c>
      <c r="E364" s="18"/>
      <c r="H364" s="18"/>
      <c r="I364" s="18" t="s">
        <v>1994</v>
      </c>
      <c r="K364" s="18">
        <v>240560.0</v>
      </c>
    </row>
    <row r="365">
      <c r="A365" s="18"/>
      <c r="B365" s="18"/>
      <c r="C365" s="17" t="str">
        <f t="shared" si="3"/>
        <v>#REF!</v>
      </c>
      <c r="D365" s="18" t="s">
        <v>2012</v>
      </c>
      <c r="E365" s="18"/>
      <c r="H365" s="18"/>
      <c r="I365" s="18" t="s">
        <v>1994</v>
      </c>
      <c r="K365" s="18">
        <v>240564.0</v>
      </c>
    </row>
    <row r="366">
      <c r="A366" s="18"/>
      <c r="B366" s="18"/>
      <c r="C366" s="17" t="str">
        <f t="shared" si="3"/>
        <v>#REF!</v>
      </c>
      <c r="D366" s="18" t="s">
        <v>2013</v>
      </c>
      <c r="E366" s="18"/>
      <c r="H366" s="18"/>
      <c r="I366" s="18" t="s">
        <v>1994</v>
      </c>
      <c r="K366" s="18"/>
    </row>
    <row r="367">
      <c r="A367" s="18"/>
      <c r="B367" s="18"/>
      <c r="C367" s="17" t="str">
        <f t="shared" si="3"/>
        <v>#REF!</v>
      </c>
      <c r="D367" s="18" t="s">
        <v>2014</v>
      </c>
      <c r="E367" s="18"/>
      <c r="H367" s="18"/>
      <c r="I367" s="18" t="s">
        <v>1994</v>
      </c>
      <c r="K367" s="18"/>
    </row>
    <row r="368">
      <c r="A368" s="18"/>
      <c r="B368" s="18"/>
      <c r="C368" s="17" t="str">
        <f t="shared" si="3"/>
        <v>#REF!</v>
      </c>
      <c r="D368" s="18" t="s">
        <v>2015</v>
      </c>
      <c r="E368" s="18"/>
      <c r="H368" s="18"/>
      <c r="I368" s="18" t="s">
        <v>1994</v>
      </c>
      <c r="K368" s="18">
        <v>240565.0</v>
      </c>
    </row>
    <row r="369">
      <c r="A369" s="18"/>
      <c r="B369" s="18"/>
      <c r="C369" s="17" t="str">
        <f t="shared" si="3"/>
        <v>#REF!</v>
      </c>
      <c r="D369" s="18" t="s">
        <v>2015</v>
      </c>
      <c r="E369" s="18"/>
      <c r="H369" s="18"/>
      <c r="I369" s="18" t="s">
        <v>1994</v>
      </c>
      <c r="K369" s="18"/>
    </row>
    <row r="370">
      <c r="A370" s="18"/>
      <c r="B370" s="18"/>
      <c r="C370" s="17" t="str">
        <f t="shared" si="3"/>
        <v>#REF!</v>
      </c>
      <c r="D370" s="18" t="s">
        <v>2016</v>
      </c>
      <c r="E370" s="18"/>
      <c r="H370" s="18"/>
      <c r="I370" s="18" t="s">
        <v>1994</v>
      </c>
      <c r="K370" s="18"/>
    </row>
    <row r="371">
      <c r="A371" s="18"/>
      <c r="B371" s="18"/>
      <c r="C371" s="17" t="str">
        <f t="shared" si="3"/>
        <v>#REF!</v>
      </c>
      <c r="D371" s="18" t="s">
        <v>2017</v>
      </c>
      <c r="E371" s="18"/>
      <c r="H371" s="18"/>
      <c r="I371" s="18" t="s">
        <v>1994</v>
      </c>
      <c r="K371" s="18"/>
    </row>
    <row r="372">
      <c r="A372" s="18"/>
      <c r="B372" s="18"/>
      <c r="C372" s="17" t="str">
        <f t="shared" si="3"/>
        <v>#REF!</v>
      </c>
      <c r="D372" s="18" t="s">
        <v>2018</v>
      </c>
      <c r="E372" s="18"/>
      <c r="H372" s="18"/>
      <c r="I372" s="18" t="s">
        <v>2001</v>
      </c>
      <c r="K372" s="18"/>
    </row>
    <row r="373">
      <c r="A373" s="18"/>
      <c r="B373" s="18"/>
      <c r="C373" s="17" t="str">
        <f t="shared" si="3"/>
        <v>#REF!</v>
      </c>
      <c r="D373" s="18" t="s">
        <v>2019</v>
      </c>
      <c r="E373" s="18"/>
      <c r="H373" s="18"/>
      <c r="I373" s="18" t="s">
        <v>2020</v>
      </c>
      <c r="K373" s="18"/>
    </row>
    <row r="374">
      <c r="A374" s="18"/>
      <c r="B374" s="18"/>
      <c r="C374" s="17" t="str">
        <f t="shared" si="3"/>
        <v>#REF!</v>
      </c>
      <c r="D374" s="18" t="s">
        <v>2021</v>
      </c>
      <c r="E374" s="18"/>
      <c r="H374" s="18"/>
      <c r="I374" s="18" t="s">
        <v>2022</v>
      </c>
      <c r="K374" s="18">
        <v>250600.0</v>
      </c>
    </row>
    <row r="375">
      <c r="A375" s="18"/>
      <c r="B375" s="18"/>
      <c r="C375" s="17" t="str">
        <f t="shared" si="3"/>
        <v>#REF!</v>
      </c>
      <c r="D375" s="18" t="s">
        <v>2023</v>
      </c>
      <c r="E375" s="18"/>
      <c r="H375" s="18"/>
      <c r="I375" s="18" t="s">
        <v>2022</v>
      </c>
      <c r="K375" s="18">
        <v>250601.0</v>
      </c>
    </row>
    <row r="376">
      <c r="A376" s="18"/>
      <c r="B376" s="18"/>
      <c r="C376" s="17" t="str">
        <f t="shared" si="3"/>
        <v>#REF!</v>
      </c>
      <c r="D376" s="18" t="s">
        <v>2024</v>
      </c>
      <c r="E376" s="18"/>
      <c r="H376" s="18"/>
      <c r="I376" s="18" t="s">
        <v>2022</v>
      </c>
      <c r="K376" s="18">
        <v>250603.0</v>
      </c>
    </row>
    <row r="377">
      <c r="A377" s="18"/>
      <c r="B377" s="18"/>
      <c r="C377" s="17" t="str">
        <f t="shared" si="3"/>
        <v>#REF!</v>
      </c>
      <c r="D377" s="18" t="s">
        <v>2025</v>
      </c>
      <c r="E377" s="18"/>
      <c r="H377" s="18"/>
      <c r="I377" s="18" t="s">
        <v>2022</v>
      </c>
      <c r="K377" s="18">
        <v>250622.0</v>
      </c>
    </row>
    <row r="378">
      <c r="A378" s="18"/>
      <c r="B378" s="18"/>
      <c r="C378" s="17" t="str">
        <f t="shared" si="3"/>
        <v>#REF!</v>
      </c>
      <c r="D378" s="18" t="s">
        <v>2026</v>
      </c>
      <c r="E378" s="18"/>
      <c r="H378" s="18"/>
      <c r="I378" s="18" t="s">
        <v>2022</v>
      </c>
      <c r="K378" s="18">
        <v>250604.0</v>
      </c>
    </row>
    <row r="379">
      <c r="A379" s="18"/>
      <c r="B379" s="18"/>
      <c r="C379" s="17" t="str">
        <f t="shared" si="3"/>
        <v>#REF!</v>
      </c>
      <c r="D379" s="18" t="s">
        <v>2027</v>
      </c>
      <c r="E379" s="18"/>
      <c r="H379" s="18"/>
      <c r="I379" s="18" t="s">
        <v>2022</v>
      </c>
      <c r="K379" s="18">
        <v>250623.0</v>
      </c>
    </row>
    <row r="380">
      <c r="A380" s="18"/>
      <c r="B380" s="18"/>
      <c r="C380" s="17" t="str">
        <f t="shared" si="3"/>
        <v>#REF!</v>
      </c>
      <c r="D380" s="18" t="s">
        <v>2028</v>
      </c>
      <c r="E380" s="18"/>
      <c r="H380" s="18"/>
      <c r="I380" s="18" t="s">
        <v>2022</v>
      </c>
      <c r="K380" s="18"/>
    </row>
    <row r="381">
      <c r="A381" s="18"/>
      <c r="B381" s="18"/>
      <c r="C381" s="17" t="str">
        <f t="shared" si="3"/>
        <v>#REF!</v>
      </c>
      <c r="D381" s="18" t="s">
        <v>2029</v>
      </c>
      <c r="E381" s="18"/>
      <c r="H381" s="18"/>
      <c r="I381" s="18" t="s">
        <v>2022</v>
      </c>
      <c r="K381" s="18">
        <v>250606.0</v>
      </c>
    </row>
    <row r="382">
      <c r="A382" s="18"/>
      <c r="B382" s="18"/>
      <c r="C382" s="17" t="str">
        <f t="shared" si="3"/>
        <v>#REF!</v>
      </c>
      <c r="D382" s="18" t="s">
        <v>2030</v>
      </c>
      <c r="E382" s="18"/>
      <c r="H382" s="18"/>
      <c r="I382" s="18" t="s">
        <v>2022</v>
      </c>
      <c r="K382" s="18"/>
    </row>
    <row r="383">
      <c r="A383" s="18"/>
      <c r="B383" s="18"/>
      <c r="C383" s="17" t="str">
        <f t="shared" si="3"/>
        <v>#REF!</v>
      </c>
      <c r="D383" s="18" t="s">
        <v>2031</v>
      </c>
      <c r="E383" s="18"/>
      <c r="H383" s="18"/>
      <c r="I383" s="18" t="s">
        <v>2022</v>
      </c>
      <c r="K383" s="18">
        <v>250609.0</v>
      </c>
    </row>
    <row r="384">
      <c r="A384" s="18"/>
      <c r="B384" s="18"/>
      <c r="C384" s="17" t="str">
        <f t="shared" si="3"/>
        <v>#REF!</v>
      </c>
      <c r="D384" s="18" t="s">
        <v>2031</v>
      </c>
      <c r="E384" s="18"/>
      <c r="H384" s="18"/>
      <c r="I384" s="18" t="s">
        <v>2022</v>
      </c>
      <c r="K384" s="18"/>
    </row>
    <row r="385">
      <c r="A385" s="18"/>
      <c r="B385" s="18"/>
      <c r="C385" s="17" t="str">
        <f t="shared" si="3"/>
        <v>#REF!</v>
      </c>
      <c r="D385" s="18" t="s">
        <v>2032</v>
      </c>
      <c r="E385" s="18"/>
      <c r="H385" s="18"/>
      <c r="I385" s="18" t="s">
        <v>2022</v>
      </c>
      <c r="K385" s="18">
        <v>250625.0</v>
      </c>
    </row>
    <row r="386">
      <c r="A386" s="18"/>
      <c r="B386" s="18"/>
      <c r="C386" s="17" t="str">
        <f t="shared" si="3"/>
        <v>#REF!</v>
      </c>
      <c r="D386" s="18" t="s">
        <v>2033</v>
      </c>
      <c r="E386" s="18"/>
      <c r="H386" s="18"/>
      <c r="I386" s="18" t="s">
        <v>2022</v>
      </c>
      <c r="K386" s="18">
        <v>250610.0</v>
      </c>
    </row>
    <row r="387">
      <c r="A387" s="18"/>
      <c r="B387" s="18"/>
      <c r="C387" s="17" t="str">
        <f t="shared" si="3"/>
        <v>#REF!</v>
      </c>
      <c r="D387" s="18" t="s">
        <v>2034</v>
      </c>
      <c r="E387" s="18"/>
      <c r="H387" s="18"/>
      <c r="I387" s="18" t="s">
        <v>2022</v>
      </c>
      <c r="K387" s="18">
        <v>250611.0</v>
      </c>
    </row>
    <row r="388">
      <c r="A388" s="18"/>
      <c r="B388" s="18"/>
      <c r="C388" s="17" t="str">
        <f t="shared" si="3"/>
        <v>#REF!</v>
      </c>
      <c r="D388" s="18" t="s">
        <v>2035</v>
      </c>
      <c r="E388" s="18"/>
      <c r="H388" s="18"/>
      <c r="I388" s="18" t="s">
        <v>2022</v>
      </c>
      <c r="K388" s="18"/>
    </row>
    <row r="389">
      <c r="A389" s="18"/>
      <c r="B389" s="18"/>
      <c r="C389" s="17" t="str">
        <f t="shared" si="3"/>
        <v>#REF!</v>
      </c>
      <c r="D389" s="18" t="s">
        <v>2036</v>
      </c>
      <c r="E389" s="18"/>
      <c r="H389" s="18"/>
      <c r="I389" s="18" t="s">
        <v>2022</v>
      </c>
      <c r="K389" s="18">
        <v>250618.0</v>
      </c>
    </row>
    <row r="390">
      <c r="A390" s="18"/>
      <c r="B390" s="18"/>
      <c r="C390" s="17" t="str">
        <f t="shared" si="3"/>
        <v>#REF!</v>
      </c>
      <c r="D390" s="18" t="s">
        <v>2037</v>
      </c>
      <c r="E390" s="18"/>
      <c r="H390" s="18"/>
      <c r="I390" s="18" t="s">
        <v>2022</v>
      </c>
      <c r="K390" s="18"/>
    </row>
    <row r="391">
      <c r="A391" s="18"/>
      <c r="B391" s="18"/>
      <c r="C391" s="17" t="str">
        <f t="shared" si="3"/>
        <v>#REF!</v>
      </c>
      <c r="D391" s="18" t="s">
        <v>2038</v>
      </c>
      <c r="E391" s="18"/>
      <c r="H391" s="18"/>
      <c r="I391" s="18" t="s">
        <v>2022</v>
      </c>
      <c r="K391" s="18"/>
    </row>
    <row r="392">
      <c r="A392" s="18"/>
      <c r="B392" s="18"/>
      <c r="C392" s="17" t="str">
        <f t="shared" si="3"/>
        <v>#REF!</v>
      </c>
      <c r="D392" s="18" t="s">
        <v>2039</v>
      </c>
      <c r="E392" s="18"/>
      <c r="H392" s="18"/>
      <c r="I392" s="18" t="s">
        <v>2022</v>
      </c>
      <c r="K392" s="18"/>
    </row>
    <row r="393">
      <c r="A393" s="18"/>
      <c r="B393" s="18"/>
      <c r="C393" s="17" t="str">
        <f t="shared" si="3"/>
        <v>#REF!</v>
      </c>
      <c r="D393" s="18" t="s">
        <v>2040</v>
      </c>
      <c r="E393" s="18"/>
      <c r="H393" s="18"/>
      <c r="I393" s="18" t="s">
        <v>2041</v>
      </c>
      <c r="K393" s="18">
        <v>260630.0</v>
      </c>
    </row>
    <row r="394">
      <c r="A394" s="18"/>
      <c r="B394" s="18"/>
      <c r="C394" s="17" t="str">
        <f t="shared" si="3"/>
        <v>#REF!</v>
      </c>
      <c r="D394" s="18" t="s">
        <v>2042</v>
      </c>
      <c r="E394" s="18"/>
      <c r="H394" s="18"/>
      <c r="I394" s="18" t="s">
        <v>2041</v>
      </c>
      <c r="K394" s="18">
        <v>260652.0</v>
      </c>
    </row>
    <row r="395">
      <c r="A395" s="18"/>
      <c r="B395" s="18"/>
      <c r="C395" s="17" t="str">
        <f t="shared" si="3"/>
        <v>#REF!</v>
      </c>
      <c r="D395" s="18" t="s">
        <v>2043</v>
      </c>
      <c r="E395" s="18"/>
      <c r="H395" s="18"/>
      <c r="I395" s="18" t="s">
        <v>2041</v>
      </c>
      <c r="K395" s="18"/>
    </row>
    <row r="396">
      <c r="A396" s="18"/>
      <c r="B396" s="18"/>
      <c r="C396" s="17" t="str">
        <f t="shared" si="3"/>
        <v>#REF!</v>
      </c>
      <c r="D396" s="18" t="s">
        <v>2044</v>
      </c>
      <c r="E396" s="18"/>
      <c r="H396" s="18"/>
      <c r="I396" s="18" t="s">
        <v>2041</v>
      </c>
      <c r="K396" s="18"/>
    </row>
    <row r="397">
      <c r="A397" s="18"/>
      <c r="B397" s="18"/>
      <c r="C397" s="17" t="str">
        <f t="shared" si="3"/>
        <v>#REF!</v>
      </c>
      <c r="D397" s="18" t="s">
        <v>2045</v>
      </c>
      <c r="E397" s="18"/>
      <c r="H397" s="18"/>
      <c r="I397" s="18" t="s">
        <v>2041</v>
      </c>
      <c r="K397" s="18">
        <v>260660.0</v>
      </c>
    </row>
    <row r="398">
      <c r="A398" s="18"/>
      <c r="B398" s="18"/>
      <c r="C398" s="17" t="str">
        <f t="shared" si="3"/>
        <v>#REF!</v>
      </c>
      <c r="D398" s="18" t="s">
        <v>2046</v>
      </c>
      <c r="E398" s="18"/>
      <c r="H398" s="18"/>
      <c r="I398" s="18" t="s">
        <v>2041</v>
      </c>
      <c r="K398" s="18">
        <v>260635.0</v>
      </c>
    </row>
    <row r="399">
      <c r="A399" s="18"/>
      <c r="B399" s="18"/>
      <c r="C399" s="17" t="str">
        <f t="shared" si="3"/>
        <v>#REF!</v>
      </c>
      <c r="D399" s="18" t="s">
        <v>2047</v>
      </c>
      <c r="E399" s="18"/>
      <c r="H399" s="18"/>
      <c r="I399" s="18" t="s">
        <v>2041</v>
      </c>
      <c r="K399" s="18">
        <v>260654.0</v>
      </c>
    </row>
    <row r="400">
      <c r="A400" s="18"/>
      <c r="B400" s="18"/>
      <c r="C400" s="17" t="str">
        <f t="shared" si="3"/>
        <v>#REF!</v>
      </c>
      <c r="D400" s="18" t="s">
        <v>2048</v>
      </c>
      <c r="E400" s="18"/>
      <c r="H400" s="18"/>
      <c r="I400" s="18" t="s">
        <v>2041</v>
      </c>
      <c r="K400" s="18"/>
    </row>
    <row r="401">
      <c r="A401" s="18"/>
      <c r="B401" s="18"/>
      <c r="C401" s="17" t="str">
        <f t="shared" si="3"/>
        <v>#REF!</v>
      </c>
      <c r="D401" s="18" t="s">
        <v>2049</v>
      </c>
      <c r="E401" s="18"/>
      <c r="H401" s="18"/>
      <c r="I401" s="18" t="s">
        <v>2041</v>
      </c>
      <c r="K401" s="18">
        <v>260637.0</v>
      </c>
    </row>
    <row r="402">
      <c r="A402" s="18"/>
      <c r="B402" s="18"/>
      <c r="C402" s="17" t="str">
        <f t="shared" si="3"/>
        <v>#REF!</v>
      </c>
      <c r="D402" s="18" t="s">
        <v>2050</v>
      </c>
      <c r="E402" s="18"/>
      <c r="H402" s="18"/>
      <c r="I402" s="18" t="s">
        <v>2041</v>
      </c>
      <c r="K402" s="18">
        <v>260638.0</v>
      </c>
    </row>
    <row r="403">
      <c r="A403" s="18"/>
      <c r="B403" s="18"/>
      <c r="C403" s="17" t="str">
        <f t="shared" si="3"/>
        <v>#REF!</v>
      </c>
      <c r="D403" s="18" t="s">
        <v>2051</v>
      </c>
      <c r="E403" s="18"/>
      <c r="H403" s="18"/>
      <c r="I403" s="18" t="s">
        <v>2041</v>
      </c>
      <c r="K403" s="18">
        <v>260640.0</v>
      </c>
    </row>
    <row r="404">
      <c r="A404" s="18"/>
      <c r="B404" s="18"/>
      <c r="C404" s="17" t="str">
        <f t="shared" si="3"/>
        <v>#REF!</v>
      </c>
      <c r="D404" s="18" t="s">
        <v>2052</v>
      </c>
      <c r="E404" s="18"/>
      <c r="H404" s="18"/>
      <c r="I404" s="18" t="s">
        <v>2041</v>
      </c>
      <c r="K404" s="18">
        <v>260641.0</v>
      </c>
    </row>
    <row r="405">
      <c r="A405" s="18"/>
      <c r="B405" s="18"/>
      <c r="C405" s="17" t="str">
        <f t="shared" si="3"/>
        <v>#REF!</v>
      </c>
      <c r="D405" s="18" t="s">
        <v>2053</v>
      </c>
      <c r="E405" s="18"/>
      <c r="H405" s="18"/>
      <c r="I405" s="18" t="s">
        <v>2041</v>
      </c>
      <c r="K405" s="18">
        <v>260642.0</v>
      </c>
    </row>
    <row r="406">
      <c r="A406" s="18"/>
      <c r="B406" s="18"/>
      <c r="C406" s="17" t="str">
        <f t="shared" si="3"/>
        <v>#REF!</v>
      </c>
      <c r="D406" s="18" t="s">
        <v>2054</v>
      </c>
      <c r="E406" s="18"/>
      <c r="H406" s="18"/>
      <c r="I406" s="18" t="s">
        <v>2041</v>
      </c>
      <c r="K406" s="18">
        <v>260645.0</v>
      </c>
    </row>
    <row r="407">
      <c r="A407" s="23"/>
      <c r="B407" s="23"/>
      <c r="C407" s="17" t="str">
        <f t="shared" si="3"/>
        <v>#REF!</v>
      </c>
      <c r="D407" s="23" t="s">
        <v>2055</v>
      </c>
      <c r="E407" s="23"/>
      <c r="F407" s="24"/>
      <c r="G407" s="24"/>
      <c r="H407" s="23"/>
      <c r="I407" s="23" t="s">
        <v>2056</v>
      </c>
      <c r="J407" s="24"/>
      <c r="K407" s="25"/>
      <c r="L407" s="24"/>
    </row>
    <row r="408">
      <c r="A408" s="23"/>
      <c r="B408" s="23"/>
      <c r="C408" s="17" t="str">
        <f t="shared" si="3"/>
        <v>#REF!</v>
      </c>
      <c r="D408" s="23" t="s">
        <v>2057</v>
      </c>
      <c r="E408" s="23"/>
      <c r="F408" s="24"/>
      <c r="G408" s="24"/>
      <c r="H408" s="23"/>
      <c r="I408" s="23" t="s">
        <v>2041</v>
      </c>
      <c r="J408" s="24"/>
      <c r="K408" s="25"/>
      <c r="L408" s="24"/>
    </row>
    <row r="409">
      <c r="A409" s="23"/>
      <c r="B409" s="23"/>
      <c r="C409" s="17" t="str">
        <f t="shared" si="3"/>
        <v>#REF!</v>
      </c>
      <c r="D409" s="23" t="s">
        <v>2058</v>
      </c>
      <c r="E409" s="23"/>
      <c r="F409" s="24"/>
      <c r="G409" s="24"/>
      <c r="H409" s="23"/>
      <c r="I409" s="23" t="s">
        <v>2041</v>
      </c>
      <c r="J409" s="24"/>
      <c r="K409" s="25"/>
      <c r="L409" s="24"/>
    </row>
    <row r="410">
      <c r="A410" s="24"/>
      <c r="B410" s="24"/>
      <c r="C410" s="17" t="str">
        <f t="shared" si="3"/>
        <v>#REF!</v>
      </c>
      <c r="D410" s="24" t="s">
        <v>2059</v>
      </c>
      <c r="E410" s="24"/>
      <c r="F410" s="24"/>
      <c r="G410" s="24"/>
      <c r="H410" s="24"/>
      <c r="I410" s="24" t="s">
        <v>2060</v>
      </c>
      <c r="J410" s="24"/>
      <c r="K410" s="25">
        <v>270652.0</v>
      </c>
      <c r="L410" s="24"/>
    </row>
    <row r="411">
      <c r="A411" s="24"/>
      <c r="B411" s="24"/>
      <c r="C411" s="17" t="str">
        <f t="shared" si="3"/>
        <v>#REF!</v>
      </c>
      <c r="D411" s="24" t="s">
        <v>2061</v>
      </c>
      <c r="E411" s="24"/>
      <c r="F411" s="24"/>
      <c r="G411" s="24"/>
      <c r="H411" s="24"/>
      <c r="I411" s="24" t="s">
        <v>2060</v>
      </c>
      <c r="J411" s="24"/>
      <c r="K411" s="25">
        <v>270653.0</v>
      </c>
      <c r="L411" s="24"/>
    </row>
    <row r="412">
      <c r="A412" s="24"/>
      <c r="B412" s="24"/>
      <c r="C412" s="17" t="str">
        <f t="shared" si="3"/>
        <v>#REF!</v>
      </c>
      <c r="D412" s="24" t="s">
        <v>2062</v>
      </c>
      <c r="E412" s="24"/>
      <c r="F412" s="24"/>
      <c r="G412" s="24"/>
      <c r="H412" s="24"/>
      <c r="I412" s="24" t="s">
        <v>2060</v>
      </c>
      <c r="J412" s="24"/>
      <c r="K412" s="25">
        <v>270658.0</v>
      </c>
      <c r="L412" s="24"/>
    </row>
    <row r="413">
      <c r="A413" s="24"/>
      <c r="B413" s="24"/>
      <c r="C413" s="17" t="str">
        <f t="shared" si="3"/>
        <v>#REF!</v>
      </c>
      <c r="D413" s="24" t="s">
        <v>2063</v>
      </c>
      <c r="E413" s="24"/>
      <c r="F413" s="24"/>
      <c r="G413" s="24"/>
      <c r="H413" s="24"/>
      <c r="I413" s="24" t="s">
        <v>2060</v>
      </c>
      <c r="J413" s="24"/>
      <c r="K413" s="25">
        <v>270668.0</v>
      </c>
      <c r="L413" s="24"/>
    </row>
    <row r="414">
      <c r="A414" s="24"/>
      <c r="B414" s="24"/>
      <c r="C414" s="17" t="str">
        <f t="shared" si="3"/>
        <v>#REF!</v>
      </c>
      <c r="D414" s="24" t="s">
        <v>2064</v>
      </c>
      <c r="E414" s="24"/>
      <c r="F414" s="24"/>
      <c r="G414" s="24"/>
      <c r="H414" s="24"/>
      <c r="I414" s="24" t="s">
        <v>2060</v>
      </c>
      <c r="J414" s="24"/>
      <c r="K414" s="25">
        <v>270664.0</v>
      </c>
      <c r="L414" s="24"/>
    </row>
    <row r="415">
      <c r="A415" s="24"/>
      <c r="B415" s="24"/>
      <c r="C415" s="17" t="str">
        <f t="shared" si="3"/>
        <v>#REF!</v>
      </c>
      <c r="D415" s="24" t="s">
        <v>2065</v>
      </c>
      <c r="E415" s="24"/>
      <c r="F415" s="24"/>
      <c r="G415" s="24"/>
      <c r="H415" s="24"/>
      <c r="I415" s="24" t="s">
        <v>2060</v>
      </c>
      <c r="J415" s="24"/>
      <c r="K415" s="25">
        <v>270663.0</v>
      </c>
      <c r="L415" s="24"/>
    </row>
    <row r="416">
      <c r="A416" s="18"/>
      <c r="B416" s="18"/>
      <c r="C416" s="17" t="str">
        <f t="shared" si="3"/>
        <v>#REF!</v>
      </c>
      <c r="D416" s="18" t="s">
        <v>2066</v>
      </c>
      <c r="E416" s="18"/>
      <c r="F416" s="24"/>
      <c r="G416" s="24"/>
      <c r="H416" s="23"/>
      <c r="I416" s="23" t="s">
        <v>2060</v>
      </c>
      <c r="J416" s="24"/>
      <c r="K416" s="25"/>
      <c r="L416" s="24"/>
    </row>
    <row r="417">
      <c r="A417" s="18"/>
      <c r="B417" s="18"/>
      <c r="C417" s="17" t="str">
        <f t="shared" si="3"/>
        <v>#REF!</v>
      </c>
      <c r="D417" s="18" t="s">
        <v>2067</v>
      </c>
      <c r="E417" s="18"/>
      <c r="F417" s="24"/>
      <c r="G417" s="24"/>
      <c r="H417" s="24"/>
      <c r="I417" s="24" t="s">
        <v>2068</v>
      </c>
      <c r="J417" s="24"/>
      <c r="K417" s="25">
        <v>280683.0</v>
      </c>
      <c r="L417" s="24"/>
    </row>
    <row r="418">
      <c r="A418" s="18"/>
      <c r="B418" s="18"/>
      <c r="C418" s="17" t="str">
        <f t="shared" si="3"/>
        <v>#REF!</v>
      </c>
      <c r="D418" s="18" t="s">
        <v>2069</v>
      </c>
      <c r="E418" s="18"/>
      <c r="F418" s="24"/>
      <c r="G418" s="24"/>
      <c r="H418" s="24"/>
      <c r="I418" s="24" t="s">
        <v>2068</v>
      </c>
      <c r="J418" s="24"/>
      <c r="K418" s="23">
        <v>280693.0</v>
      </c>
      <c r="L418" s="24"/>
    </row>
    <row r="419">
      <c r="A419" s="18"/>
      <c r="B419" s="18"/>
      <c r="C419" s="17" t="str">
        <f t="shared" si="3"/>
        <v>#REF!</v>
      </c>
      <c r="D419" s="18" t="s">
        <v>2070</v>
      </c>
      <c r="E419" s="18"/>
      <c r="H419" s="23" t="s">
        <v>2068</v>
      </c>
      <c r="I419" s="23" t="s">
        <v>2068</v>
      </c>
      <c r="K419" s="18"/>
    </row>
    <row r="420">
      <c r="A420" s="18"/>
      <c r="B420" s="18"/>
      <c r="C420" s="17" t="str">
        <f t="shared" si="3"/>
        <v>#REF!</v>
      </c>
      <c r="D420" s="18" t="s">
        <v>2071</v>
      </c>
      <c r="E420" s="18"/>
      <c r="H420" s="24"/>
      <c r="I420" s="23" t="s">
        <v>2068</v>
      </c>
      <c r="K420" s="18"/>
    </row>
    <row r="421">
      <c r="A421" s="18"/>
      <c r="B421" s="18"/>
      <c r="C421" s="17" t="str">
        <f t="shared" si="3"/>
        <v>#REF!</v>
      </c>
      <c r="D421" s="18" t="s">
        <v>2072</v>
      </c>
      <c r="E421" s="18"/>
      <c r="H421" s="24"/>
      <c r="I421" s="24" t="s">
        <v>2068</v>
      </c>
      <c r="K421" s="18">
        <v>280672.0</v>
      </c>
    </row>
    <row r="422">
      <c r="A422" s="18"/>
      <c r="B422" s="18"/>
      <c r="C422" s="17" t="str">
        <f t="shared" si="3"/>
        <v>#REF!</v>
      </c>
      <c r="D422" s="18" t="s">
        <v>2073</v>
      </c>
      <c r="E422" s="18"/>
      <c r="H422" s="24"/>
      <c r="I422" s="24" t="s">
        <v>2068</v>
      </c>
      <c r="K422" s="18">
        <v>280684.0</v>
      </c>
    </row>
    <row r="423">
      <c r="A423" s="18"/>
      <c r="B423" s="18"/>
      <c r="C423" s="17" t="str">
        <f t="shared" si="3"/>
        <v>#REF!</v>
      </c>
      <c r="D423" s="18" t="s">
        <v>2074</v>
      </c>
      <c r="E423" s="18"/>
      <c r="H423" s="24"/>
      <c r="I423" s="24" t="s">
        <v>2068</v>
      </c>
      <c r="K423" s="18">
        <v>280685.0</v>
      </c>
    </row>
    <row r="424">
      <c r="A424" s="18"/>
      <c r="B424" s="18"/>
      <c r="C424" s="17" t="str">
        <f t="shared" si="3"/>
        <v>#REF!</v>
      </c>
      <c r="D424" s="18" t="s">
        <v>2075</v>
      </c>
      <c r="E424" s="18"/>
      <c r="H424" s="24"/>
      <c r="I424" s="24" t="s">
        <v>2068</v>
      </c>
      <c r="K424" s="18">
        <v>280694.0</v>
      </c>
    </row>
    <row r="425">
      <c r="A425" s="18"/>
      <c r="B425" s="18"/>
      <c r="C425" s="17" t="str">
        <f t="shared" si="3"/>
        <v>#REF!</v>
      </c>
      <c r="D425" s="18" t="s">
        <v>2076</v>
      </c>
      <c r="E425" s="18"/>
      <c r="H425" s="24"/>
      <c r="I425" s="24" t="s">
        <v>2068</v>
      </c>
      <c r="K425" s="18">
        <v>280678.0</v>
      </c>
    </row>
    <row r="426">
      <c r="A426" s="18"/>
      <c r="B426" s="18"/>
      <c r="C426" s="17" t="str">
        <f t="shared" si="3"/>
        <v>#REF!</v>
      </c>
      <c r="D426" s="18" t="s">
        <v>2077</v>
      </c>
      <c r="E426" s="18"/>
      <c r="H426" s="24"/>
      <c r="I426" s="24" t="s">
        <v>2068</v>
      </c>
      <c r="K426" s="18">
        <v>280679.0</v>
      </c>
    </row>
    <row r="427">
      <c r="A427" s="18"/>
      <c r="B427" s="18"/>
      <c r="C427" s="17" t="str">
        <f t="shared" si="3"/>
        <v>#REF!</v>
      </c>
      <c r="D427" s="18" t="s">
        <v>2078</v>
      </c>
      <c r="E427" s="18"/>
      <c r="H427" s="24"/>
      <c r="I427" s="24" t="s">
        <v>2068</v>
      </c>
      <c r="K427" s="18">
        <v>280680.0</v>
      </c>
    </row>
    <row r="428">
      <c r="A428" s="18"/>
      <c r="B428" s="18"/>
      <c r="C428" s="17" t="str">
        <f t="shared" si="3"/>
        <v>#REF!</v>
      </c>
      <c r="D428" s="18" t="s">
        <v>2079</v>
      </c>
      <c r="E428" s="18"/>
      <c r="H428" s="24"/>
      <c r="I428" s="24" t="s">
        <v>2068</v>
      </c>
      <c r="K428" s="18">
        <v>280686.0</v>
      </c>
    </row>
    <row r="429">
      <c r="A429" s="18"/>
      <c r="B429" s="18"/>
      <c r="C429" s="17" t="str">
        <f t="shared" si="3"/>
        <v>#REF!</v>
      </c>
      <c r="D429" s="18" t="s">
        <v>2080</v>
      </c>
      <c r="E429" s="18"/>
      <c r="H429" s="24"/>
      <c r="I429" s="24" t="s">
        <v>2068</v>
      </c>
      <c r="K429" s="18">
        <v>280682.0</v>
      </c>
    </row>
    <row r="430">
      <c r="A430" s="18"/>
      <c r="B430" s="18"/>
      <c r="C430" s="17" t="str">
        <f t="shared" si="3"/>
        <v>#REF!</v>
      </c>
      <c r="D430" s="18" t="s">
        <v>2081</v>
      </c>
      <c r="E430" s="18"/>
      <c r="H430" s="24"/>
      <c r="I430" s="24" t="s">
        <v>2068</v>
      </c>
      <c r="K430" s="18">
        <v>280688.0</v>
      </c>
    </row>
    <row r="431">
      <c r="A431" s="18"/>
      <c r="B431" s="18"/>
      <c r="C431" s="17" t="str">
        <f t="shared" si="3"/>
        <v>#REF!</v>
      </c>
      <c r="D431" s="18" t="s">
        <v>2082</v>
      </c>
      <c r="E431" s="18"/>
      <c r="H431" s="18"/>
      <c r="I431" s="18" t="s">
        <v>2068</v>
      </c>
      <c r="K431" s="18"/>
    </row>
    <row r="432">
      <c r="A432" s="18"/>
      <c r="B432" s="18"/>
      <c r="C432" s="17" t="s">
        <v>2083</v>
      </c>
      <c r="D432" s="18"/>
      <c r="E432" s="18"/>
      <c r="H432" s="18"/>
      <c r="I432" s="18" t="s">
        <v>2068</v>
      </c>
      <c r="K432" s="18"/>
    </row>
    <row r="433">
      <c r="A433" s="18"/>
      <c r="B433" s="18"/>
      <c r="C433" s="17" t="str">
        <f>IF(ISBLANK(D433),"",COUNTA($C$2:C433))</f>
        <v>#REF!</v>
      </c>
      <c r="D433" s="18" t="s">
        <v>2084</v>
      </c>
      <c r="E433" s="18"/>
      <c r="H433" s="18"/>
      <c r="I433" s="18" t="s">
        <v>2085</v>
      </c>
      <c r="K433" s="18">
        <v>290695.0</v>
      </c>
    </row>
    <row r="434">
      <c r="C434" s="17" t="s">
        <v>2086</v>
      </c>
      <c r="D434" s="18"/>
      <c r="E434" s="18"/>
      <c r="H434" s="18"/>
      <c r="I434" s="18" t="s">
        <v>2085</v>
      </c>
      <c r="K434" s="18"/>
    </row>
    <row r="435">
      <c r="A435" s="18"/>
      <c r="B435" s="18"/>
      <c r="C435" s="17" t="str">
        <f t="shared" ref="C435:C444" si="4">IF(ISBLANK(D435),"",COUNTA($C$2:C435))</f>
        <v>#REF!</v>
      </c>
      <c r="D435" s="18" t="s">
        <v>2087</v>
      </c>
      <c r="E435" s="18"/>
      <c r="H435" s="18"/>
      <c r="I435" s="18" t="s">
        <v>2085</v>
      </c>
      <c r="K435" s="18">
        <v>290696.0</v>
      </c>
    </row>
    <row r="436">
      <c r="A436" s="18"/>
      <c r="B436" s="18"/>
      <c r="C436" s="17" t="str">
        <f t="shared" si="4"/>
        <v>#REF!</v>
      </c>
      <c r="D436" s="18" t="s">
        <v>2088</v>
      </c>
      <c r="E436" s="18"/>
      <c r="H436" s="18"/>
      <c r="I436" s="18" t="s">
        <v>2085</v>
      </c>
      <c r="K436" s="18">
        <v>290698.0</v>
      </c>
    </row>
    <row r="437">
      <c r="A437" s="18"/>
      <c r="B437" s="18"/>
      <c r="C437" s="17" t="str">
        <f t="shared" si="4"/>
        <v>#REF!</v>
      </c>
      <c r="D437" s="18" t="s">
        <v>2089</v>
      </c>
      <c r="E437" s="18"/>
      <c r="H437" s="18"/>
      <c r="I437" s="18" t="s">
        <v>2090</v>
      </c>
      <c r="K437" s="18">
        <v>300716.0</v>
      </c>
    </row>
    <row r="438">
      <c r="A438" s="18"/>
      <c r="B438" s="18"/>
      <c r="C438" s="17" t="str">
        <f t="shared" si="4"/>
        <v>#REF!</v>
      </c>
      <c r="D438" s="18" t="s">
        <v>2091</v>
      </c>
      <c r="E438" s="18"/>
      <c r="H438" s="18"/>
      <c r="I438" s="18" t="s">
        <v>2090</v>
      </c>
      <c r="K438" s="18">
        <v>300717.0</v>
      </c>
    </row>
    <row r="439">
      <c r="A439" s="18"/>
      <c r="B439" s="18"/>
      <c r="C439" s="17" t="str">
        <f t="shared" si="4"/>
        <v>#REF!</v>
      </c>
      <c r="D439" s="18" t="s">
        <v>2092</v>
      </c>
      <c r="E439" s="18"/>
      <c r="H439" s="18"/>
      <c r="I439" s="18" t="s">
        <v>2090</v>
      </c>
      <c r="K439" s="18">
        <v>300718.0</v>
      </c>
    </row>
    <row r="440">
      <c r="A440" s="18"/>
      <c r="B440" s="18"/>
      <c r="C440" s="17" t="str">
        <f t="shared" si="4"/>
        <v>#REF!</v>
      </c>
      <c r="D440" s="18" t="s">
        <v>2093</v>
      </c>
      <c r="E440" s="18"/>
      <c r="H440" s="18"/>
      <c r="I440" s="18" t="s">
        <v>2090</v>
      </c>
      <c r="K440" s="18">
        <v>300719.0</v>
      </c>
    </row>
    <row r="441">
      <c r="A441" s="18"/>
      <c r="B441" s="18"/>
      <c r="C441" s="17" t="str">
        <f t="shared" si="4"/>
        <v>#REF!</v>
      </c>
      <c r="D441" s="18" t="s">
        <v>2094</v>
      </c>
      <c r="E441" s="18"/>
      <c r="H441" s="18"/>
      <c r="I441" s="18" t="s">
        <v>2090</v>
      </c>
      <c r="K441" s="18">
        <v>300713.0</v>
      </c>
    </row>
    <row r="442">
      <c r="A442" s="18"/>
      <c r="B442" s="18"/>
      <c r="C442" s="17" t="str">
        <f t="shared" si="4"/>
        <v>#REF!</v>
      </c>
      <c r="D442" s="18" t="s">
        <v>2095</v>
      </c>
      <c r="E442" s="18"/>
      <c r="H442" s="18"/>
      <c r="I442" s="18" t="s">
        <v>2090</v>
      </c>
      <c r="K442" s="18">
        <v>300729.0</v>
      </c>
    </row>
    <row r="443">
      <c r="A443" s="18"/>
      <c r="B443" s="18"/>
      <c r="C443" s="17" t="str">
        <f t="shared" si="4"/>
        <v>#REF!</v>
      </c>
      <c r="D443" s="18" t="s">
        <v>2096</v>
      </c>
      <c r="E443" s="18"/>
      <c r="H443" s="18"/>
      <c r="I443" s="18" t="s">
        <v>2090</v>
      </c>
      <c r="K443" s="18">
        <v>300721.0</v>
      </c>
    </row>
    <row r="444">
      <c r="A444" s="18"/>
      <c r="B444" s="18"/>
      <c r="C444" s="17" t="str">
        <f t="shared" si="4"/>
        <v>#REF!</v>
      </c>
      <c r="D444" s="18" t="s">
        <v>2097</v>
      </c>
      <c r="E444" s="18"/>
      <c r="H444" s="18"/>
      <c r="I444" s="18" t="s">
        <v>2090</v>
      </c>
      <c r="K444" s="18">
        <v>300722.0</v>
      </c>
    </row>
    <row r="445">
      <c r="A445" s="18"/>
      <c r="B445" s="18"/>
      <c r="C445" s="17" t="s">
        <v>2098</v>
      </c>
      <c r="D445" s="18"/>
      <c r="E445" s="18"/>
      <c r="H445" s="18"/>
      <c r="I445" s="18" t="s">
        <v>2090</v>
      </c>
      <c r="K445" s="18"/>
    </row>
    <row r="446">
      <c r="A446" s="18"/>
      <c r="B446" s="18"/>
      <c r="C446" s="17" t="s">
        <v>2099</v>
      </c>
      <c r="D446" s="18"/>
      <c r="E446" s="18"/>
      <c r="H446" s="18"/>
      <c r="I446" s="18" t="s">
        <v>2090</v>
      </c>
      <c r="K446" s="18"/>
    </row>
    <row r="447">
      <c r="A447" s="18"/>
      <c r="B447" s="18"/>
      <c r="C447" s="17" t="s">
        <v>2100</v>
      </c>
      <c r="D447" s="18"/>
      <c r="E447" s="18"/>
      <c r="H447" s="18"/>
      <c r="I447" s="18" t="s">
        <v>2090</v>
      </c>
      <c r="K447" s="18"/>
    </row>
    <row r="448">
      <c r="A448" s="18"/>
      <c r="B448" s="18"/>
      <c r="C448" s="17" t="s">
        <v>2101</v>
      </c>
      <c r="D448" s="18"/>
      <c r="E448" s="18"/>
      <c r="H448" s="18"/>
      <c r="I448" s="18" t="s">
        <v>2090</v>
      </c>
      <c r="K448" s="18"/>
    </row>
    <row r="449">
      <c r="A449" s="18"/>
      <c r="B449" s="18"/>
      <c r="C449" s="17" t="s">
        <v>2102</v>
      </c>
      <c r="D449" s="18"/>
      <c r="E449" s="18"/>
      <c r="H449" s="18"/>
      <c r="I449" s="18" t="s">
        <v>2090</v>
      </c>
      <c r="K449" s="18"/>
    </row>
    <row r="450">
      <c r="A450" s="18"/>
      <c r="B450" s="18"/>
      <c r="C450" s="17" t="str">
        <f>IF(ISBLANK(D450),"",COUNTA($C$2:C450))</f>
        <v>#REF!</v>
      </c>
      <c r="D450" s="18" t="s">
        <v>2103</v>
      </c>
      <c r="E450" s="18"/>
      <c r="H450" s="18"/>
      <c r="I450" s="18" t="s">
        <v>2090</v>
      </c>
      <c r="K450" s="18">
        <v>300724.0</v>
      </c>
    </row>
    <row r="451">
      <c r="A451" s="18"/>
      <c r="B451" s="18"/>
      <c r="C451" s="17" t="s">
        <v>2104</v>
      </c>
      <c r="D451" s="18"/>
      <c r="E451" s="18"/>
      <c r="H451" s="18"/>
      <c r="I451" s="18" t="s">
        <v>2105</v>
      </c>
      <c r="K451" s="18"/>
    </row>
    <row r="452">
      <c r="A452" s="18"/>
      <c r="B452" s="18"/>
      <c r="C452" s="17" t="str">
        <f t="shared" ref="C452:C640" si="5">IF(ISBLANK(D452),"",COUNTA($C$2:C452))</f>
        <v>#REF!</v>
      </c>
      <c r="D452" s="18" t="s">
        <v>2106</v>
      </c>
      <c r="E452" s="18"/>
      <c r="H452" s="18"/>
      <c r="I452" s="18" t="s">
        <v>2090</v>
      </c>
      <c r="K452" s="18">
        <v>300726.0</v>
      </c>
    </row>
    <row r="453">
      <c r="A453" s="18"/>
      <c r="B453" s="18"/>
      <c r="C453" s="17" t="str">
        <f t="shared" si="5"/>
        <v>#REF!</v>
      </c>
      <c r="D453" s="18" t="s">
        <v>2107</v>
      </c>
      <c r="E453" s="18"/>
      <c r="H453" s="18"/>
      <c r="I453" s="18" t="s">
        <v>2108</v>
      </c>
      <c r="K453" s="18">
        <v>310775.0</v>
      </c>
    </row>
    <row r="454">
      <c r="A454" s="18"/>
      <c r="B454" s="18"/>
      <c r="C454" s="17" t="str">
        <f t="shared" si="5"/>
        <v>#REF!</v>
      </c>
      <c r="D454" s="18" t="s">
        <v>2109</v>
      </c>
      <c r="E454" s="18"/>
      <c r="H454" s="18"/>
      <c r="I454" s="18" t="s">
        <v>2108</v>
      </c>
      <c r="K454" s="18">
        <v>310738.0</v>
      </c>
    </row>
    <row r="455">
      <c r="A455" s="18"/>
      <c r="B455" s="18"/>
      <c r="C455" s="17" t="str">
        <f t="shared" si="5"/>
        <v>#REF!</v>
      </c>
      <c r="D455" s="18" t="s">
        <v>2110</v>
      </c>
      <c r="E455" s="18"/>
      <c r="H455" s="18"/>
      <c r="I455" s="18" t="s">
        <v>2108</v>
      </c>
      <c r="K455" s="18">
        <v>310735.0</v>
      </c>
    </row>
    <row r="456">
      <c r="A456" s="18"/>
      <c r="B456" s="18"/>
      <c r="C456" s="17" t="str">
        <f t="shared" si="5"/>
        <v>#REF!</v>
      </c>
      <c r="D456" s="18" t="s">
        <v>2111</v>
      </c>
      <c r="E456" s="18"/>
      <c r="H456" s="18"/>
      <c r="I456" s="18" t="s">
        <v>2108</v>
      </c>
      <c r="K456" s="18">
        <v>310740.0</v>
      </c>
    </row>
    <row r="457">
      <c r="A457" s="18"/>
      <c r="B457" s="18"/>
      <c r="C457" s="17" t="str">
        <f t="shared" si="5"/>
        <v>#REF!</v>
      </c>
      <c r="D457" s="18" t="s">
        <v>2112</v>
      </c>
      <c r="E457" s="18"/>
      <c r="H457" s="18"/>
      <c r="I457" s="18" t="s">
        <v>2108</v>
      </c>
      <c r="K457" s="18">
        <v>310771.0</v>
      </c>
    </row>
    <row r="458">
      <c r="A458" s="18"/>
      <c r="B458" s="18"/>
      <c r="C458" s="17" t="str">
        <f t="shared" si="5"/>
        <v>#REF!</v>
      </c>
      <c r="D458" s="18" t="s">
        <v>2113</v>
      </c>
      <c r="E458" s="18"/>
      <c r="H458" s="18"/>
      <c r="I458" s="18" t="s">
        <v>2108</v>
      </c>
      <c r="K458" s="18">
        <v>310742.0</v>
      </c>
    </row>
    <row r="459">
      <c r="A459" s="18"/>
      <c r="B459" s="18"/>
      <c r="C459" s="17" t="str">
        <f t="shared" si="5"/>
        <v>#REF!</v>
      </c>
      <c r="D459" s="18" t="s">
        <v>2114</v>
      </c>
      <c r="E459" s="18"/>
      <c r="H459" s="18"/>
      <c r="I459" s="18" t="s">
        <v>2108</v>
      </c>
      <c r="K459" s="18">
        <v>310762.0</v>
      </c>
    </row>
    <row r="460">
      <c r="A460" s="18"/>
      <c r="B460" s="18"/>
      <c r="C460" s="17" t="str">
        <f t="shared" si="5"/>
        <v>#REF!</v>
      </c>
      <c r="D460" s="18" t="s">
        <v>2115</v>
      </c>
      <c r="E460" s="18"/>
      <c r="H460" s="18"/>
      <c r="I460" s="18" t="s">
        <v>2108</v>
      </c>
      <c r="K460" s="18">
        <v>310765.0</v>
      </c>
    </row>
    <row r="461">
      <c r="A461" s="18"/>
      <c r="B461" s="18"/>
      <c r="C461" s="17" t="str">
        <f t="shared" si="5"/>
        <v>#REF!</v>
      </c>
      <c r="D461" s="18" t="s">
        <v>2116</v>
      </c>
      <c r="E461" s="18"/>
      <c r="H461" s="18"/>
      <c r="I461" s="18" t="s">
        <v>2108</v>
      </c>
      <c r="K461" s="18">
        <v>310763.0</v>
      </c>
    </row>
    <row r="462">
      <c r="A462" s="18"/>
      <c r="B462" s="18"/>
      <c r="C462" s="17" t="str">
        <f t="shared" si="5"/>
        <v>#REF!</v>
      </c>
      <c r="D462" s="18" t="s">
        <v>2117</v>
      </c>
      <c r="E462" s="18"/>
      <c r="H462" s="18"/>
      <c r="I462" s="18" t="s">
        <v>2108</v>
      </c>
      <c r="K462" s="18">
        <v>310773.0</v>
      </c>
    </row>
    <row r="463">
      <c r="A463" s="18"/>
      <c r="B463" s="18"/>
      <c r="C463" s="17" t="str">
        <f t="shared" si="5"/>
        <v>#REF!</v>
      </c>
      <c r="D463" s="18" t="s">
        <v>2118</v>
      </c>
      <c r="E463" s="18"/>
      <c r="H463" s="18"/>
      <c r="I463" s="18" t="s">
        <v>2108</v>
      </c>
      <c r="K463" s="18">
        <v>310747.0</v>
      </c>
    </row>
    <row r="464">
      <c r="A464" s="18"/>
      <c r="B464" s="18"/>
      <c r="C464" s="17" t="str">
        <f t="shared" si="5"/>
        <v>#REF!</v>
      </c>
      <c r="D464" s="18" t="s">
        <v>2119</v>
      </c>
      <c r="E464" s="18"/>
      <c r="H464" s="18"/>
      <c r="I464" s="18" t="s">
        <v>2108</v>
      </c>
      <c r="K464" s="18">
        <v>310749.0</v>
      </c>
    </row>
    <row r="465">
      <c r="A465" s="18"/>
      <c r="B465" s="18"/>
      <c r="C465" s="17" t="str">
        <f t="shared" si="5"/>
        <v>#REF!</v>
      </c>
      <c r="D465" s="18" t="s">
        <v>2120</v>
      </c>
      <c r="E465" s="18"/>
      <c r="H465" s="18"/>
      <c r="I465" s="18" t="s">
        <v>2108</v>
      </c>
      <c r="K465" s="18">
        <v>310756.0</v>
      </c>
    </row>
    <row r="466">
      <c r="A466" s="18"/>
      <c r="B466" s="18"/>
      <c r="C466" s="17" t="str">
        <f t="shared" si="5"/>
        <v>#REF!</v>
      </c>
      <c r="D466" s="18" t="s">
        <v>2121</v>
      </c>
      <c r="E466" s="18"/>
      <c r="H466" s="18"/>
      <c r="I466" s="18" t="s">
        <v>2108</v>
      </c>
      <c r="K466" s="18">
        <v>310754.0</v>
      </c>
    </row>
    <row r="467">
      <c r="A467" s="18"/>
      <c r="B467" s="18"/>
      <c r="C467" s="17" t="str">
        <f t="shared" si="5"/>
        <v>#REF!</v>
      </c>
      <c r="D467" s="18" t="s">
        <v>2122</v>
      </c>
      <c r="E467" s="18"/>
      <c r="H467" s="18"/>
      <c r="I467" s="18" t="s">
        <v>2108</v>
      </c>
      <c r="K467" s="18">
        <v>310753.0</v>
      </c>
    </row>
    <row r="468">
      <c r="A468" s="18"/>
      <c r="B468" s="18"/>
      <c r="C468" s="17" t="str">
        <f t="shared" si="5"/>
        <v>#REF!</v>
      </c>
      <c r="D468" s="18" t="s">
        <v>2123</v>
      </c>
      <c r="E468" s="18"/>
      <c r="H468" s="18"/>
      <c r="I468" s="18" t="s">
        <v>2108</v>
      </c>
      <c r="K468" s="18">
        <v>310750.0</v>
      </c>
    </row>
    <row r="469">
      <c r="A469" s="18"/>
      <c r="B469" s="18"/>
      <c r="C469" s="17" t="str">
        <f t="shared" si="5"/>
        <v>#REF!</v>
      </c>
      <c r="D469" s="18" t="s">
        <v>2124</v>
      </c>
      <c r="E469" s="18"/>
      <c r="H469" s="18"/>
      <c r="I469" s="18" t="s">
        <v>2108</v>
      </c>
      <c r="K469" s="18">
        <v>310752.0</v>
      </c>
    </row>
    <row r="470">
      <c r="A470" s="18"/>
      <c r="B470" s="18"/>
      <c r="C470" s="17" t="str">
        <f t="shared" si="5"/>
        <v>#REF!</v>
      </c>
      <c r="D470" s="18" t="s">
        <v>2125</v>
      </c>
      <c r="E470" s="18"/>
      <c r="H470" s="18"/>
      <c r="I470" s="18" t="s">
        <v>2108</v>
      </c>
      <c r="K470" s="18">
        <v>310757.0</v>
      </c>
    </row>
    <row r="471">
      <c r="A471" s="18"/>
      <c r="B471" s="18"/>
      <c r="C471" s="17" t="str">
        <f t="shared" si="5"/>
        <v>#REF!</v>
      </c>
      <c r="D471" s="18" t="s">
        <v>2126</v>
      </c>
      <c r="E471" s="18"/>
      <c r="H471" s="18"/>
      <c r="I471" s="18" t="s">
        <v>2108</v>
      </c>
      <c r="K471" s="18">
        <v>310759.0</v>
      </c>
    </row>
    <row r="472">
      <c r="A472" s="18"/>
      <c r="B472" s="18"/>
      <c r="C472" s="17" t="str">
        <f t="shared" si="5"/>
        <v>#REF!</v>
      </c>
      <c r="D472" s="18" t="s">
        <v>2127</v>
      </c>
      <c r="E472" s="18"/>
      <c r="H472" s="18"/>
      <c r="I472" s="18" t="s">
        <v>2108</v>
      </c>
      <c r="K472" s="18">
        <v>310768.0</v>
      </c>
    </row>
    <row r="473">
      <c r="A473" s="18"/>
      <c r="B473" s="18"/>
      <c r="C473" s="17" t="str">
        <f t="shared" si="5"/>
        <v>#REF!</v>
      </c>
      <c r="D473" s="18" t="s">
        <v>2128</v>
      </c>
      <c r="E473" s="18"/>
      <c r="H473" s="18"/>
      <c r="I473" s="18" t="s">
        <v>2108</v>
      </c>
      <c r="K473" s="18">
        <v>310769.0</v>
      </c>
    </row>
    <row r="474">
      <c r="A474" s="18"/>
      <c r="B474" s="18"/>
      <c r="C474" s="17" t="str">
        <f t="shared" si="5"/>
        <v>#REF!</v>
      </c>
      <c r="D474" s="18" t="s">
        <v>2129</v>
      </c>
      <c r="E474" s="18"/>
      <c r="H474" s="18"/>
      <c r="I474" s="18" t="s">
        <v>2108</v>
      </c>
      <c r="K474" s="18">
        <v>310760.0</v>
      </c>
    </row>
    <row r="475">
      <c r="A475" s="18"/>
      <c r="B475" s="18"/>
      <c r="C475" s="17" t="str">
        <f t="shared" si="5"/>
        <v>#REF!</v>
      </c>
      <c r="D475" s="18" t="s">
        <v>2130</v>
      </c>
      <c r="E475" s="18"/>
      <c r="H475" s="18"/>
      <c r="I475" s="18" t="s">
        <v>2131</v>
      </c>
      <c r="K475" s="18">
        <v>320803.0</v>
      </c>
    </row>
    <row r="476">
      <c r="A476" s="18"/>
      <c r="B476" s="18"/>
      <c r="C476" s="17" t="str">
        <f t="shared" si="5"/>
        <v>#REF!</v>
      </c>
      <c r="D476" s="18" t="s">
        <v>2132</v>
      </c>
      <c r="E476" s="18"/>
      <c r="H476" s="18"/>
      <c r="I476" s="18" t="s">
        <v>2131</v>
      </c>
      <c r="K476" s="18">
        <v>320802.0</v>
      </c>
    </row>
    <row r="477">
      <c r="A477" s="18"/>
      <c r="B477" s="18"/>
      <c r="C477" s="17" t="str">
        <f t="shared" si="5"/>
        <v>#REF!</v>
      </c>
      <c r="D477" s="18" t="s">
        <v>2133</v>
      </c>
      <c r="E477" s="18"/>
      <c r="H477" s="18"/>
      <c r="I477" s="18" t="s">
        <v>2131</v>
      </c>
      <c r="K477" s="18">
        <v>320808.0</v>
      </c>
    </row>
    <row r="478">
      <c r="A478" s="18"/>
      <c r="B478" s="18"/>
      <c r="C478" s="17" t="str">
        <f t="shared" si="5"/>
        <v>#REF!</v>
      </c>
      <c r="D478" s="18" t="s">
        <v>2134</v>
      </c>
      <c r="E478" s="18"/>
      <c r="H478" s="18"/>
      <c r="I478" s="18" t="s">
        <v>2131</v>
      </c>
      <c r="K478" s="18">
        <v>320804.0</v>
      </c>
    </row>
    <row r="479">
      <c r="A479" s="18"/>
      <c r="B479" s="18"/>
      <c r="C479" s="17" t="str">
        <f t="shared" si="5"/>
        <v>#REF!</v>
      </c>
      <c r="D479" s="18" t="s">
        <v>2135</v>
      </c>
      <c r="E479" s="18"/>
      <c r="H479" s="18"/>
      <c r="I479" s="18" t="s">
        <v>2136</v>
      </c>
      <c r="K479" s="18">
        <v>330810.0</v>
      </c>
    </row>
    <row r="480">
      <c r="A480" s="18"/>
      <c r="B480" s="18"/>
      <c r="C480" s="17" t="str">
        <f t="shared" si="5"/>
        <v>#REF!</v>
      </c>
      <c r="D480" s="18" t="s">
        <v>2137</v>
      </c>
      <c r="E480" s="18"/>
      <c r="H480" s="18"/>
      <c r="I480" s="18" t="s">
        <v>2136</v>
      </c>
      <c r="K480" s="18">
        <v>330812.0</v>
      </c>
    </row>
    <row r="481">
      <c r="A481" s="18"/>
      <c r="B481" s="18"/>
      <c r="C481" s="17" t="str">
        <f t="shared" si="5"/>
        <v>#REF!</v>
      </c>
      <c r="D481" s="18" t="s">
        <v>2138</v>
      </c>
      <c r="E481" s="18"/>
      <c r="H481" s="18"/>
      <c r="I481" s="18" t="s">
        <v>2136</v>
      </c>
      <c r="K481" s="18">
        <v>330817.0</v>
      </c>
    </row>
    <row r="482">
      <c r="A482" s="18"/>
      <c r="B482" s="18"/>
      <c r="C482" s="17" t="str">
        <f t="shared" si="5"/>
        <v>#REF!</v>
      </c>
      <c r="D482" s="18" t="s">
        <v>2139</v>
      </c>
      <c r="E482" s="18"/>
      <c r="H482" s="18"/>
      <c r="I482" s="18" t="s">
        <v>2136</v>
      </c>
      <c r="K482" s="18">
        <v>330826.0</v>
      </c>
    </row>
    <row r="483">
      <c r="A483" s="18"/>
      <c r="B483" s="18"/>
      <c r="C483" s="17" t="str">
        <f t="shared" si="5"/>
        <v>#REF!</v>
      </c>
      <c r="D483" s="18" t="s">
        <v>2140</v>
      </c>
      <c r="E483" s="18"/>
      <c r="H483" s="18"/>
      <c r="I483" s="18" t="s">
        <v>2136</v>
      </c>
      <c r="K483" s="18">
        <v>330822.0</v>
      </c>
    </row>
    <row r="484">
      <c r="A484" s="18"/>
      <c r="B484" s="18"/>
      <c r="C484" s="17" t="str">
        <f t="shared" si="5"/>
        <v>#REF!</v>
      </c>
      <c r="D484" s="18" t="s">
        <v>2141</v>
      </c>
      <c r="E484" s="18"/>
      <c r="H484" s="18"/>
      <c r="I484" s="18" t="s">
        <v>2136</v>
      </c>
      <c r="K484" s="18">
        <v>330813.0</v>
      </c>
    </row>
    <row r="485">
      <c r="A485" s="18"/>
      <c r="B485" s="18"/>
      <c r="C485" s="17" t="str">
        <f t="shared" si="5"/>
        <v>#REF!</v>
      </c>
      <c r="D485" s="18" t="s">
        <v>2142</v>
      </c>
      <c r="E485" s="18"/>
      <c r="H485" s="18"/>
      <c r="I485" s="18" t="s">
        <v>2136</v>
      </c>
      <c r="K485" s="18">
        <v>330814.0</v>
      </c>
    </row>
    <row r="486">
      <c r="A486" s="18"/>
      <c r="B486" s="18"/>
      <c r="C486" s="17" t="str">
        <f t="shared" si="5"/>
        <v>#REF!</v>
      </c>
      <c r="D486" s="18" t="s">
        <v>2143</v>
      </c>
      <c r="E486" s="18"/>
      <c r="H486" s="18"/>
      <c r="I486" s="18" t="s">
        <v>2136</v>
      </c>
      <c r="K486" s="18">
        <v>330825.0</v>
      </c>
    </row>
    <row r="487">
      <c r="A487" s="18"/>
      <c r="B487" s="18"/>
      <c r="C487" s="17" t="str">
        <f t="shared" si="5"/>
        <v>#REF!</v>
      </c>
      <c r="D487" s="18" t="s">
        <v>2144</v>
      </c>
      <c r="E487" s="18"/>
      <c r="H487" s="18"/>
      <c r="I487" s="18" t="s">
        <v>2136</v>
      </c>
      <c r="K487" s="18">
        <v>330819.0</v>
      </c>
    </row>
    <row r="488">
      <c r="A488" s="18"/>
      <c r="B488" s="18"/>
      <c r="C488" s="17" t="str">
        <f t="shared" si="5"/>
        <v>#REF!</v>
      </c>
      <c r="D488" s="18" t="s">
        <v>2145</v>
      </c>
      <c r="E488" s="18"/>
      <c r="H488" s="18"/>
      <c r="I488" s="18" t="s">
        <v>2146</v>
      </c>
      <c r="J488" s="18" t="s">
        <v>2147</v>
      </c>
      <c r="K488" s="18">
        <v>340830.0</v>
      </c>
    </row>
    <row r="489">
      <c r="A489" s="18"/>
      <c r="B489" s="18"/>
      <c r="C489" s="17" t="str">
        <f t="shared" si="5"/>
        <v>#REF!</v>
      </c>
      <c r="D489" s="18" t="s">
        <v>2148</v>
      </c>
      <c r="E489" s="18"/>
      <c r="H489" s="18"/>
      <c r="I489" s="18" t="s">
        <v>2146</v>
      </c>
      <c r="J489" s="18" t="s">
        <v>2147</v>
      </c>
      <c r="K489" s="18">
        <v>340831.0</v>
      </c>
    </row>
    <row r="490">
      <c r="A490" s="18"/>
      <c r="B490" s="18"/>
      <c r="C490" s="17" t="str">
        <f t="shared" si="5"/>
        <v>#REF!</v>
      </c>
      <c r="D490" s="18" t="s">
        <v>2149</v>
      </c>
      <c r="E490" s="18"/>
      <c r="H490" s="18"/>
      <c r="I490" s="18" t="s">
        <v>2146</v>
      </c>
      <c r="J490" s="18" t="s">
        <v>2147</v>
      </c>
      <c r="K490" s="18">
        <v>340833.0</v>
      </c>
    </row>
    <row r="491">
      <c r="A491" s="18"/>
      <c r="B491" s="18"/>
      <c r="C491" s="17" t="str">
        <f t="shared" si="5"/>
        <v>#REF!</v>
      </c>
      <c r="D491" s="18" t="s">
        <v>2150</v>
      </c>
      <c r="E491" s="18"/>
      <c r="H491" s="18"/>
      <c r="I491" s="18" t="s">
        <v>2146</v>
      </c>
      <c r="J491" s="18" t="s">
        <v>2147</v>
      </c>
      <c r="K491" s="18">
        <v>340835.0</v>
      </c>
    </row>
    <row r="492">
      <c r="A492" s="18"/>
      <c r="B492" s="18"/>
      <c r="C492" s="17" t="str">
        <f t="shared" si="5"/>
        <v>#REF!</v>
      </c>
      <c r="D492" s="18" t="s">
        <v>2151</v>
      </c>
      <c r="E492" s="18"/>
      <c r="H492" s="18"/>
      <c r="I492" s="18" t="s">
        <v>2146</v>
      </c>
      <c r="J492" s="18" t="s">
        <v>2147</v>
      </c>
      <c r="K492" s="18">
        <v>340834.0</v>
      </c>
    </row>
    <row r="493">
      <c r="A493" s="18"/>
      <c r="B493" s="18"/>
      <c r="C493" s="17" t="str">
        <f t="shared" si="5"/>
        <v>#REF!</v>
      </c>
      <c r="D493" s="18" t="s">
        <v>2152</v>
      </c>
      <c r="E493" s="18"/>
      <c r="H493" s="18"/>
      <c r="I493" s="18" t="s">
        <v>2146</v>
      </c>
      <c r="J493" s="18" t="s">
        <v>2147</v>
      </c>
      <c r="K493" s="18">
        <v>340838.0</v>
      </c>
    </row>
    <row r="494">
      <c r="A494" s="18"/>
      <c r="B494" s="18"/>
      <c r="C494" s="17" t="str">
        <f t="shared" si="5"/>
        <v>#REF!</v>
      </c>
      <c r="D494" s="18" t="s">
        <v>2153</v>
      </c>
      <c r="E494" s="18"/>
      <c r="H494" s="18"/>
      <c r="I494" s="18" t="s">
        <v>2146</v>
      </c>
      <c r="J494" s="18" t="s">
        <v>2147</v>
      </c>
      <c r="K494" s="18">
        <v>340841.0</v>
      </c>
    </row>
    <row r="495">
      <c r="A495" s="18"/>
      <c r="B495" s="18"/>
      <c r="C495" s="17" t="str">
        <f t="shared" si="5"/>
        <v>#REF!</v>
      </c>
      <c r="D495" s="18" t="s">
        <v>2154</v>
      </c>
      <c r="E495" s="18"/>
      <c r="H495" s="18"/>
      <c r="I495" s="18" t="s">
        <v>2146</v>
      </c>
      <c r="J495" s="18" t="s">
        <v>2155</v>
      </c>
      <c r="K495" s="18">
        <v>350857.0</v>
      </c>
    </row>
    <row r="496">
      <c r="A496" s="18"/>
      <c r="B496" s="18"/>
      <c r="C496" s="17" t="str">
        <f t="shared" si="5"/>
        <v>#REF!</v>
      </c>
      <c r="D496" s="18" t="s">
        <v>2156</v>
      </c>
      <c r="E496" s="18"/>
      <c r="H496" s="18"/>
      <c r="I496" s="18" t="s">
        <v>2157</v>
      </c>
      <c r="K496" s="18"/>
    </row>
    <row r="497">
      <c r="A497" s="18"/>
      <c r="B497" s="18"/>
      <c r="C497" s="17" t="str">
        <f t="shared" si="5"/>
        <v>#REF!</v>
      </c>
      <c r="D497" s="18" t="s">
        <v>2158</v>
      </c>
      <c r="E497" s="18"/>
      <c r="H497" s="18"/>
      <c r="I497" s="18" t="s">
        <v>2159</v>
      </c>
      <c r="K497" s="18">
        <v>360866.0</v>
      </c>
    </row>
    <row r="498">
      <c r="A498" s="18"/>
      <c r="B498" s="18"/>
      <c r="C498" s="17" t="str">
        <f t="shared" si="5"/>
        <v>#REF!</v>
      </c>
      <c r="D498" s="18" t="s">
        <v>2160</v>
      </c>
      <c r="E498" s="18"/>
      <c r="H498" s="18"/>
      <c r="I498" s="18" t="s">
        <v>2159</v>
      </c>
      <c r="K498" s="18">
        <v>360861.0</v>
      </c>
    </row>
    <row r="499">
      <c r="A499" s="18"/>
      <c r="B499" s="18"/>
      <c r="C499" s="17" t="str">
        <f t="shared" si="5"/>
        <v>#REF!</v>
      </c>
      <c r="D499" s="18" t="s">
        <v>2161</v>
      </c>
      <c r="E499" s="18"/>
      <c r="H499" s="18"/>
      <c r="I499" s="18" t="s">
        <v>2159</v>
      </c>
      <c r="K499" s="18">
        <v>360860.0</v>
      </c>
    </row>
    <row r="500">
      <c r="A500" s="18"/>
      <c r="B500" s="18"/>
      <c r="C500" s="17" t="str">
        <f t="shared" si="5"/>
        <v>#REF!</v>
      </c>
      <c r="D500" s="18" t="s">
        <v>2162</v>
      </c>
      <c r="E500" s="18"/>
      <c r="H500" s="18"/>
      <c r="I500" s="18" t="s">
        <v>2159</v>
      </c>
      <c r="K500" s="18">
        <v>360865.0</v>
      </c>
    </row>
    <row r="501">
      <c r="A501" s="18"/>
      <c r="B501" s="18"/>
      <c r="C501" s="17" t="str">
        <f t="shared" si="5"/>
        <v>#REF!</v>
      </c>
      <c r="D501" s="18" t="s">
        <v>2163</v>
      </c>
      <c r="E501" s="18"/>
      <c r="H501" s="18"/>
      <c r="I501" s="18" t="s">
        <v>2164</v>
      </c>
      <c r="K501" s="18">
        <v>370870.0</v>
      </c>
    </row>
    <row r="502">
      <c r="A502" s="18"/>
      <c r="B502" s="18"/>
      <c r="C502" s="17" t="str">
        <f t="shared" si="5"/>
        <v>#REF!</v>
      </c>
      <c r="D502" s="18" t="s">
        <v>2165</v>
      </c>
      <c r="E502" s="18"/>
      <c r="H502" s="18"/>
      <c r="I502" s="18" t="s">
        <v>2164</v>
      </c>
      <c r="K502" s="18">
        <v>370872.0</v>
      </c>
    </row>
    <row r="503">
      <c r="A503" s="18"/>
      <c r="B503" s="18"/>
      <c r="C503" s="17" t="str">
        <f t="shared" si="5"/>
        <v>#REF!</v>
      </c>
      <c r="D503" s="18" t="s">
        <v>2166</v>
      </c>
      <c r="E503" s="18"/>
      <c r="H503" s="18"/>
      <c r="I503" s="18" t="s">
        <v>2167</v>
      </c>
      <c r="K503" s="18">
        <v>380877.0</v>
      </c>
    </row>
    <row r="504">
      <c r="A504" s="18"/>
      <c r="B504" s="18"/>
      <c r="C504" s="17" t="str">
        <f t="shared" si="5"/>
        <v>#REF!</v>
      </c>
      <c r="D504" s="18" t="s">
        <v>2168</v>
      </c>
      <c r="E504" s="18"/>
      <c r="H504" s="18"/>
      <c r="I504" s="18" t="s">
        <v>2167</v>
      </c>
      <c r="K504" s="18">
        <v>380885.0</v>
      </c>
    </row>
    <row r="505">
      <c r="A505" s="18"/>
      <c r="B505" s="18"/>
      <c r="C505" s="17" t="str">
        <f t="shared" si="5"/>
        <v>#REF!</v>
      </c>
      <c r="D505" s="18" t="s">
        <v>2169</v>
      </c>
      <c r="E505" s="18"/>
      <c r="H505" s="18"/>
      <c r="I505" s="18" t="s">
        <v>2170</v>
      </c>
      <c r="K505" s="18">
        <v>390904.0</v>
      </c>
    </row>
    <row r="506">
      <c r="A506" s="18"/>
      <c r="B506" s="18"/>
      <c r="C506" s="17" t="str">
        <f t="shared" si="5"/>
        <v>#REF!</v>
      </c>
      <c r="D506" s="18" t="s">
        <v>2171</v>
      </c>
      <c r="E506" s="18"/>
      <c r="H506" s="18"/>
      <c r="I506" s="18" t="s">
        <v>2170</v>
      </c>
      <c r="K506" s="18">
        <v>390905.0</v>
      </c>
    </row>
    <row r="507">
      <c r="A507" s="18"/>
      <c r="B507" s="18"/>
      <c r="C507" s="17" t="str">
        <f t="shared" si="5"/>
        <v>#REF!</v>
      </c>
      <c r="D507" s="18" t="s">
        <v>2172</v>
      </c>
      <c r="E507" s="18"/>
      <c r="H507" s="18"/>
      <c r="I507" s="18" t="s">
        <v>2170</v>
      </c>
      <c r="K507" s="18">
        <v>390906.0</v>
      </c>
    </row>
    <row r="508">
      <c r="A508" s="18"/>
      <c r="B508" s="18"/>
      <c r="C508" s="17" t="str">
        <f t="shared" si="5"/>
        <v>#REF!</v>
      </c>
      <c r="D508" s="18" t="s">
        <v>2173</v>
      </c>
      <c r="E508" s="18"/>
      <c r="H508" s="18"/>
      <c r="I508" s="18" t="s">
        <v>2170</v>
      </c>
      <c r="K508" s="18">
        <v>390910.0</v>
      </c>
    </row>
    <row r="509">
      <c r="A509" s="18"/>
      <c r="B509" s="18"/>
      <c r="C509" s="17" t="str">
        <f t="shared" si="5"/>
        <v>#REF!</v>
      </c>
      <c r="D509" s="18" t="s">
        <v>2174</v>
      </c>
      <c r="E509" s="18"/>
      <c r="H509" s="18"/>
      <c r="I509" s="18" t="s">
        <v>2170</v>
      </c>
      <c r="K509" s="18">
        <v>390919.0</v>
      </c>
    </row>
    <row r="510">
      <c r="A510" s="18"/>
      <c r="B510" s="18"/>
      <c r="C510" s="17" t="str">
        <f t="shared" si="5"/>
        <v>#REF!</v>
      </c>
      <c r="D510" s="18" t="s">
        <v>2175</v>
      </c>
      <c r="E510" s="18"/>
      <c r="H510" s="18"/>
      <c r="I510" s="18" t="s">
        <v>2176</v>
      </c>
      <c r="J510" s="22" t="s">
        <v>2177</v>
      </c>
      <c r="K510" s="18">
        <v>401202.0</v>
      </c>
    </row>
    <row r="511">
      <c r="A511" s="18"/>
      <c r="B511" s="18"/>
      <c r="C511" s="17" t="str">
        <f t="shared" si="5"/>
        <v>#REF!</v>
      </c>
      <c r="D511" s="18" t="s">
        <v>2178</v>
      </c>
      <c r="E511" s="18"/>
      <c r="H511" s="18"/>
      <c r="I511" s="18" t="s">
        <v>2176</v>
      </c>
      <c r="J511" s="22" t="s">
        <v>2177</v>
      </c>
      <c r="K511" s="18">
        <v>401208.0</v>
      </c>
    </row>
    <row r="512">
      <c r="A512" s="18"/>
      <c r="B512" s="18"/>
      <c r="C512" s="17" t="str">
        <f t="shared" si="5"/>
        <v>#REF!</v>
      </c>
      <c r="D512" s="18" t="s">
        <v>2179</v>
      </c>
      <c r="E512" s="18"/>
      <c r="H512" s="18"/>
      <c r="I512" s="18" t="s">
        <v>2176</v>
      </c>
      <c r="J512" s="22" t="s">
        <v>2177</v>
      </c>
      <c r="K512" s="18">
        <v>401207.0</v>
      </c>
    </row>
    <row r="513">
      <c r="A513" s="18"/>
      <c r="B513" s="18"/>
      <c r="C513" s="17" t="str">
        <f t="shared" si="5"/>
        <v>#REF!</v>
      </c>
      <c r="D513" s="18" t="s">
        <v>2180</v>
      </c>
      <c r="E513" s="18"/>
      <c r="H513" s="18"/>
      <c r="I513" s="18" t="s">
        <v>2176</v>
      </c>
      <c r="J513" s="22" t="s">
        <v>2177</v>
      </c>
      <c r="K513" s="18">
        <v>401215.0</v>
      </c>
    </row>
    <row r="514">
      <c r="A514" s="18"/>
      <c r="B514" s="18"/>
      <c r="C514" s="17" t="str">
        <f t="shared" si="5"/>
        <v>#REF!</v>
      </c>
      <c r="D514" s="18" t="s">
        <v>2181</v>
      </c>
      <c r="E514" s="18"/>
      <c r="H514" s="18"/>
      <c r="I514" s="18" t="s">
        <v>2176</v>
      </c>
      <c r="J514" s="22" t="s">
        <v>2177</v>
      </c>
      <c r="K514" s="18">
        <v>401216.0</v>
      </c>
    </row>
    <row r="515">
      <c r="A515" s="18"/>
      <c r="B515" s="18"/>
      <c r="C515" s="17" t="str">
        <f t="shared" si="5"/>
        <v>#REF!</v>
      </c>
      <c r="D515" s="18" t="s">
        <v>2182</v>
      </c>
      <c r="E515" s="18"/>
      <c r="H515" s="18"/>
      <c r="I515" s="18" t="s">
        <v>2176</v>
      </c>
      <c r="J515" s="22" t="s">
        <v>2177</v>
      </c>
      <c r="K515" s="18">
        <v>401218.0</v>
      </c>
    </row>
    <row r="516">
      <c r="A516" s="18"/>
      <c r="B516" s="18"/>
      <c r="C516" s="17" t="str">
        <f t="shared" si="5"/>
        <v>#REF!</v>
      </c>
      <c r="D516" s="18" t="s">
        <v>2183</v>
      </c>
      <c r="E516" s="18"/>
      <c r="H516" s="18"/>
      <c r="I516" s="18" t="s">
        <v>2176</v>
      </c>
      <c r="J516" s="22" t="s">
        <v>2177</v>
      </c>
      <c r="K516" s="18">
        <v>401217.0</v>
      </c>
    </row>
    <row r="517">
      <c r="A517" s="18"/>
      <c r="B517" s="18"/>
      <c r="C517" s="17" t="str">
        <f t="shared" si="5"/>
        <v>#REF!</v>
      </c>
      <c r="D517" s="18" t="s">
        <v>2184</v>
      </c>
      <c r="E517" s="18"/>
      <c r="H517" s="18"/>
      <c r="I517" s="18" t="s">
        <v>2176</v>
      </c>
      <c r="J517" s="22" t="s">
        <v>2177</v>
      </c>
      <c r="K517" s="18">
        <v>401246.0</v>
      </c>
    </row>
    <row r="518">
      <c r="A518" s="18"/>
      <c r="B518" s="18"/>
      <c r="C518" s="17" t="str">
        <f t="shared" si="5"/>
        <v>#REF!</v>
      </c>
      <c r="D518" s="18" t="s">
        <v>2185</v>
      </c>
      <c r="E518" s="18"/>
      <c r="H518" s="18"/>
      <c r="I518" s="18" t="s">
        <v>2176</v>
      </c>
      <c r="J518" s="22" t="s">
        <v>2177</v>
      </c>
      <c r="K518" s="18">
        <v>401239.0</v>
      </c>
    </row>
    <row r="519">
      <c r="A519" s="18"/>
      <c r="B519" s="18"/>
      <c r="C519" s="17" t="str">
        <f t="shared" si="5"/>
        <v>#REF!</v>
      </c>
      <c r="D519" s="18" t="s">
        <v>2186</v>
      </c>
      <c r="E519" s="18"/>
      <c r="H519" s="18"/>
      <c r="I519" s="18" t="s">
        <v>2176</v>
      </c>
      <c r="J519" s="22" t="s">
        <v>2177</v>
      </c>
      <c r="K519" s="18">
        <v>401440.0</v>
      </c>
    </row>
    <row r="520">
      <c r="A520" s="18"/>
      <c r="B520" s="18"/>
      <c r="C520" s="17" t="str">
        <f t="shared" si="5"/>
        <v>#REF!</v>
      </c>
      <c r="D520" s="18" t="s">
        <v>2187</v>
      </c>
      <c r="E520" s="18"/>
      <c r="H520" s="18"/>
      <c r="I520" s="18" t="s">
        <v>2176</v>
      </c>
      <c r="J520" s="22" t="s">
        <v>2177</v>
      </c>
      <c r="K520" s="18">
        <v>401260.0</v>
      </c>
    </row>
    <row r="521">
      <c r="A521" s="18"/>
      <c r="B521" s="18"/>
      <c r="C521" s="17" t="str">
        <f t="shared" si="5"/>
        <v>#REF!</v>
      </c>
      <c r="D521" s="18" t="s">
        <v>2188</v>
      </c>
      <c r="E521" s="18"/>
      <c r="H521" s="18"/>
      <c r="I521" s="18" t="s">
        <v>2176</v>
      </c>
      <c r="J521" s="22" t="s">
        <v>2177</v>
      </c>
      <c r="K521" s="18">
        <v>401261.0</v>
      </c>
    </row>
    <row r="522">
      <c r="A522" s="18"/>
      <c r="B522" s="18"/>
      <c r="C522" s="17" t="str">
        <f t="shared" si="5"/>
        <v>#REF!</v>
      </c>
      <c r="D522" s="18" t="s">
        <v>2189</v>
      </c>
      <c r="E522" s="18"/>
      <c r="H522" s="18"/>
      <c r="I522" s="18" t="s">
        <v>2176</v>
      </c>
      <c r="J522" s="22" t="s">
        <v>2177</v>
      </c>
      <c r="K522" s="18">
        <v>401273.0</v>
      </c>
    </row>
    <row r="523">
      <c r="A523" s="18"/>
      <c r="B523" s="18"/>
      <c r="C523" s="17" t="str">
        <f t="shared" si="5"/>
        <v>#REF!</v>
      </c>
      <c r="D523" s="18" t="s">
        <v>2190</v>
      </c>
      <c r="E523" s="18"/>
      <c r="H523" s="18"/>
      <c r="I523" s="18" t="s">
        <v>2176</v>
      </c>
      <c r="J523" s="22" t="s">
        <v>2177</v>
      </c>
      <c r="K523" s="18">
        <v>401278.0</v>
      </c>
    </row>
    <row r="524">
      <c r="A524" s="18"/>
      <c r="B524" s="18"/>
      <c r="C524" s="17" t="str">
        <f t="shared" si="5"/>
        <v>#REF!</v>
      </c>
      <c r="D524" s="18" t="s">
        <v>2191</v>
      </c>
      <c r="E524" s="18"/>
      <c r="H524" s="18"/>
      <c r="I524" s="18" t="s">
        <v>2176</v>
      </c>
      <c r="J524" s="22" t="s">
        <v>2177</v>
      </c>
      <c r="K524" s="18">
        <v>401281.0</v>
      </c>
    </row>
    <row r="525">
      <c r="A525" s="18"/>
      <c r="B525" s="18"/>
      <c r="C525" s="17" t="str">
        <f t="shared" si="5"/>
        <v>#REF!</v>
      </c>
      <c r="D525" s="18" t="s">
        <v>2192</v>
      </c>
      <c r="E525" s="18"/>
      <c r="H525" s="18"/>
      <c r="I525" s="18" t="s">
        <v>2176</v>
      </c>
      <c r="J525" s="22" t="s">
        <v>2177</v>
      </c>
      <c r="K525" s="18">
        <v>401283.0</v>
      </c>
    </row>
    <row r="526">
      <c r="A526" s="18"/>
      <c r="B526" s="18"/>
      <c r="C526" s="17" t="str">
        <f t="shared" si="5"/>
        <v>#REF!</v>
      </c>
      <c r="D526" s="18" t="s">
        <v>2193</v>
      </c>
      <c r="E526" s="18"/>
      <c r="H526" s="18"/>
      <c r="I526" s="18" t="s">
        <v>2176</v>
      </c>
      <c r="J526" s="22" t="s">
        <v>2177</v>
      </c>
      <c r="K526" s="18">
        <v>401286.0</v>
      </c>
    </row>
    <row r="527">
      <c r="A527" s="18"/>
      <c r="B527" s="18"/>
      <c r="C527" s="17" t="str">
        <f t="shared" si="5"/>
        <v>#REF!</v>
      </c>
      <c r="D527" s="18" t="s">
        <v>2194</v>
      </c>
      <c r="E527" s="18"/>
      <c r="H527" s="18"/>
      <c r="I527" s="18" t="s">
        <v>2176</v>
      </c>
      <c r="J527" s="22" t="s">
        <v>2177</v>
      </c>
      <c r="K527" s="18">
        <v>401290.0</v>
      </c>
    </row>
    <row r="528">
      <c r="A528" s="18"/>
      <c r="B528" s="18"/>
      <c r="C528" s="17" t="str">
        <f t="shared" si="5"/>
        <v>#REF!</v>
      </c>
      <c r="D528" s="18" t="s">
        <v>2195</v>
      </c>
      <c r="E528" s="18"/>
      <c r="H528" s="18"/>
      <c r="I528" s="18" t="s">
        <v>2176</v>
      </c>
      <c r="J528" s="22" t="s">
        <v>2177</v>
      </c>
      <c r="K528" s="18">
        <v>401292.0</v>
      </c>
    </row>
    <row r="529">
      <c r="A529" s="18"/>
      <c r="B529" s="18"/>
      <c r="C529" s="17" t="str">
        <f t="shared" si="5"/>
        <v>#REF!</v>
      </c>
      <c r="D529" s="18" t="s">
        <v>2196</v>
      </c>
      <c r="E529" s="18"/>
      <c r="H529" s="18"/>
      <c r="I529" s="18" t="s">
        <v>2176</v>
      </c>
      <c r="J529" s="22" t="s">
        <v>2177</v>
      </c>
      <c r="K529" s="18">
        <v>401293.0</v>
      </c>
    </row>
    <row r="530">
      <c r="A530" s="18"/>
      <c r="B530" s="18"/>
      <c r="C530" s="17" t="str">
        <f t="shared" si="5"/>
        <v>#REF!</v>
      </c>
      <c r="D530" s="18" t="s">
        <v>2197</v>
      </c>
      <c r="E530" s="18"/>
      <c r="H530" s="18"/>
      <c r="I530" s="18" t="s">
        <v>2176</v>
      </c>
      <c r="J530" s="22" t="s">
        <v>2177</v>
      </c>
      <c r="K530" s="18">
        <v>401291.0</v>
      </c>
    </row>
    <row r="531">
      <c r="A531" s="18"/>
      <c r="B531" s="18"/>
      <c r="C531" s="17" t="str">
        <f t="shared" si="5"/>
        <v>#REF!</v>
      </c>
      <c r="D531" s="18" t="s">
        <v>2198</v>
      </c>
      <c r="E531" s="18"/>
      <c r="H531" s="18"/>
      <c r="I531" s="18" t="s">
        <v>2176</v>
      </c>
      <c r="J531" s="22" t="s">
        <v>2177</v>
      </c>
      <c r="K531" s="18">
        <v>401294.0</v>
      </c>
    </row>
    <row r="532">
      <c r="A532" s="18"/>
      <c r="B532" s="18"/>
      <c r="C532" s="17" t="str">
        <f t="shared" si="5"/>
        <v>#REF!</v>
      </c>
      <c r="D532" s="18" t="s">
        <v>2199</v>
      </c>
      <c r="E532" s="18"/>
      <c r="H532" s="18"/>
      <c r="I532" s="18" t="s">
        <v>2176</v>
      </c>
      <c r="J532" s="22" t="s">
        <v>2177</v>
      </c>
      <c r="K532" s="18">
        <v>401472.0</v>
      </c>
    </row>
    <row r="533">
      <c r="A533" s="18"/>
      <c r="B533" s="18"/>
      <c r="C533" s="17" t="str">
        <f t="shared" si="5"/>
        <v>#REF!</v>
      </c>
      <c r="D533" s="18" t="s">
        <v>2200</v>
      </c>
      <c r="E533" s="18"/>
      <c r="H533" s="18"/>
      <c r="I533" s="18" t="s">
        <v>2176</v>
      </c>
      <c r="J533" s="22" t="s">
        <v>2177</v>
      </c>
      <c r="K533" s="18">
        <v>401467.0</v>
      </c>
    </row>
    <row r="534">
      <c r="A534" s="18"/>
      <c r="B534" s="18"/>
      <c r="C534" s="17" t="str">
        <f t="shared" si="5"/>
        <v>#REF!</v>
      </c>
      <c r="D534" s="18" t="s">
        <v>2201</v>
      </c>
      <c r="E534" s="18"/>
      <c r="H534" s="18"/>
      <c r="I534" s="18" t="s">
        <v>2176</v>
      </c>
      <c r="J534" s="22" t="s">
        <v>2177</v>
      </c>
      <c r="K534" s="18">
        <v>401275.0</v>
      </c>
    </row>
    <row r="535">
      <c r="A535" s="18"/>
      <c r="B535" s="18"/>
      <c r="C535" s="17" t="str">
        <f t="shared" si="5"/>
        <v>#REF!</v>
      </c>
      <c r="D535" s="18" t="s">
        <v>2202</v>
      </c>
      <c r="E535" s="18"/>
      <c r="H535" s="18"/>
      <c r="I535" s="18" t="s">
        <v>2176</v>
      </c>
      <c r="J535" s="22" t="s">
        <v>2177</v>
      </c>
      <c r="K535" s="18">
        <v>401476.0</v>
      </c>
    </row>
    <row r="536">
      <c r="A536" s="18"/>
      <c r="B536" s="18"/>
      <c r="C536" s="17" t="str">
        <f t="shared" si="5"/>
        <v>#REF!</v>
      </c>
      <c r="D536" s="18" t="s">
        <v>2203</v>
      </c>
      <c r="E536" s="18"/>
      <c r="H536" s="18"/>
      <c r="I536" s="18" t="s">
        <v>2176</v>
      </c>
      <c r="J536" s="22" t="s">
        <v>2177</v>
      </c>
      <c r="K536" s="18">
        <v>401301.0</v>
      </c>
    </row>
    <row r="537">
      <c r="A537" s="18"/>
      <c r="B537" s="18"/>
      <c r="C537" s="17" t="str">
        <f t="shared" si="5"/>
        <v>#REF!</v>
      </c>
      <c r="D537" s="18" t="s">
        <v>2204</v>
      </c>
      <c r="E537" s="18"/>
      <c r="H537" s="18"/>
      <c r="I537" s="18" t="s">
        <v>2176</v>
      </c>
      <c r="J537" s="22" t="s">
        <v>2177</v>
      </c>
      <c r="K537" s="18">
        <v>401305.0</v>
      </c>
    </row>
    <row r="538">
      <c r="A538" s="18"/>
      <c r="B538" s="18"/>
      <c r="C538" s="17" t="str">
        <f t="shared" si="5"/>
        <v>#REF!</v>
      </c>
      <c r="D538" s="18" t="s">
        <v>2205</v>
      </c>
      <c r="E538" s="18"/>
      <c r="H538" s="18"/>
      <c r="I538" s="18" t="s">
        <v>2176</v>
      </c>
      <c r="J538" s="22" t="s">
        <v>2177</v>
      </c>
      <c r="K538" s="18">
        <v>401309.0</v>
      </c>
    </row>
    <row r="539">
      <c r="A539" s="18"/>
      <c r="B539" s="18"/>
      <c r="C539" s="17" t="str">
        <f t="shared" si="5"/>
        <v>#REF!</v>
      </c>
      <c r="D539" s="18" t="s">
        <v>2206</v>
      </c>
      <c r="E539" s="18"/>
      <c r="H539" s="18"/>
      <c r="I539" s="18" t="s">
        <v>2176</v>
      </c>
      <c r="J539" s="22" t="s">
        <v>2177</v>
      </c>
      <c r="K539" s="18">
        <v>401442.0</v>
      </c>
    </row>
    <row r="540">
      <c r="A540" s="18"/>
      <c r="B540" s="18"/>
      <c r="C540" s="17" t="str">
        <f t="shared" si="5"/>
        <v>#REF!</v>
      </c>
      <c r="D540" s="18" t="s">
        <v>2207</v>
      </c>
      <c r="E540" s="18"/>
      <c r="H540" s="18"/>
      <c r="I540" s="18" t="s">
        <v>2176</v>
      </c>
      <c r="J540" s="22" t="s">
        <v>2177</v>
      </c>
      <c r="K540" s="18">
        <v>401311.0</v>
      </c>
    </row>
    <row r="541">
      <c r="A541" s="18"/>
      <c r="B541" s="18"/>
      <c r="C541" s="17" t="str">
        <f t="shared" si="5"/>
        <v>#REF!</v>
      </c>
      <c r="D541" s="18" t="s">
        <v>2208</v>
      </c>
      <c r="E541" s="18"/>
      <c r="H541" s="18"/>
      <c r="I541" s="18" t="s">
        <v>2176</v>
      </c>
      <c r="J541" s="22" t="s">
        <v>2177</v>
      </c>
      <c r="K541" s="18">
        <v>401326.0</v>
      </c>
    </row>
    <row r="542">
      <c r="A542" s="18"/>
      <c r="B542" s="18"/>
      <c r="C542" s="17" t="str">
        <f t="shared" si="5"/>
        <v>#REF!</v>
      </c>
      <c r="D542" s="18" t="s">
        <v>2209</v>
      </c>
      <c r="E542" s="18"/>
      <c r="H542" s="18"/>
      <c r="I542" s="18" t="s">
        <v>2176</v>
      </c>
      <c r="J542" s="22" t="s">
        <v>2177</v>
      </c>
      <c r="K542" s="18">
        <v>401330.0</v>
      </c>
    </row>
    <row r="543">
      <c r="A543" s="18"/>
      <c r="B543" s="18"/>
      <c r="C543" s="17" t="str">
        <f t="shared" si="5"/>
        <v>#REF!</v>
      </c>
      <c r="D543" s="18" t="s">
        <v>2210</v>
      </c>
      <c r="E543" s="18"/>
      <c r="H543" s="18"/>
      <c r="I543" s="18" t="s">
        <v>2176</v>
      </c>
      <c r="J543" s="22" t="s">
        <v>2177</v>
      </c>
      <c r="K543" s="18">
        <v>401329.0</v>
      </c>
    </row>
    <row r="544">
      <c r="A544" s="18"/>
      <c r="B544" s="18"/>
      <c r="C544" s="17" t="str">
        <f t="shared" si="5"/>
        <v>#REF!</v>
      </c>
      <c r="D544" s="18" t="s">
        <v>2211</v>
      </c>
      <c r="E544" s="18"/>
      <c r="H544" s="18"/>
      <c r="I544" s="18" t="s">
        <v>2176</v>
      </c>
      <c r="J544" s="22" t="s">
        <v>2177</v>
      </c>
      <c r="K544" s="18">
        <v>401328.0</v>
      </c>
    </row>
    <row r="545">
      <c r="A545" s="18"/>
      <c r="B545" s="18"/>
      <c r="C545" s="17" t="str">
        <f t="shared" si="5"/>
        <v>#REF!</v>
      </c>
      <c r="D545" s="18" t="s">
        <v>2212</v>
      </c>
      <c r="E545" s="18"/>
      <c r="H545" s="18"/>
      <c r="I545" s="18" t="s">
        <v>2176</v>
      </c>
      <c r="J545" s="22" t="s">
        <v>2177</v>
      </c>
      <c r="K545" s="18">
        <v>401357.0</v>
      </c>
    </row>
    <row r="546">
      <c r="A546" s="18"/>
      <c r="B546" s="18"/>
      <c r="C546" s="17" t="str">
        <f t="shared" si="5"/>
        <v>#REF!</v>
      </c>
      <c r="D546" s="18" t="s">
        <v>2213</v>
      </c>
      <c r="E546" s="18"/>
      <c r="H546" s="18"/>
      <c r="I546" s="18" t="s">
        <v>2176</v>
      </c>
      <c r="J546" s="22" t="s">
        <v>2177</v>
      </c>
      <c r="K546" s="18">
        <v>401356.0</v>
      </c>
    </row>
    <row r="547">
      <c r="A547" s="18"/>
      <c r="B547" s="18"/>
      <c r="C547" s="17" t="str">
        <f t="shared" si="5"/>
        <v>#REF!</v>
      </c>
      <c r="D547" s="18" t="s">
        <v>2214</v>
      </c>
      <c r="E547" s="18"/>
      <c r="H547" s="18"/>
      <c r="I547" s="18" t="s">
        <v>2176</v>
      </c>
      <c r="J547" s="22" t="s">
        <v>2177</v>
      </c>
      <c r="K547" s="18">
        <v>401360.0</v>
      </c>
    </row>
    <row r="548">
      <c r="A548" s="18"/>
      <c r="B548" s="18"/>
      <c r="C548" s="17" t="str">
        <f t="shared" si="5"/>
        <v>#REF!</v>
      </c>
      <c r="D548" s="18" t="s">
        <v>2215</v>
      </c>
      <c r="E548" s="18"/>
      <c r="H548" s="18"/>
      <c r="I548" s="18" t="s">
        <v>2176</v>
      </c>
      <c r="J548" s="22" t="s">
        <v>2177</v>
      </c>
      <c r="K548" s="18">
        <v>401358.0</v>
      </c>
    </row>
    <row r="549">
      <c r="A549" s="18"/>
      <c r="B549" s="18"/>
      <c r="C549" s="17" t="str">
        <f t="shared" si="5"/>
        <v>#REF!</v>
      </c>
      <c r="D549" s="18" t="s">
        <v>2216</v>
      </c>
      <c r="E549" s="18"/>
      <c r="H549" s="18"/>
      <c r="I549" s="18" t="s">
        <v>2176</v>
      </c>
      <c r="J549" s="22" t="s">
        <v>2177</v>
      </c>
      <c r="K549" s="18">
        <v>401359.0</v>
      </c>
    </row>
    <row r="550">
      <c r="A550" s="18"/>
      <c r="B550" s="18"/>
      <c r="C550" s="17" t="str">
        <f t="shared" si="5"/>
        <v>#REF!</v>
      </c>
      <c r="D550" s="18" t="s">
        <v>2217</v>
      </c>
      <c r="E550" s="18"/>
      <c r="H550" s="18"/>
      <c r="I550" s="18" t="s">
        <v>2176</v>
      </c>
      <c r="J550" s="22" t="s">
        <v>2177</v>
      </c>
      <c r="K550" s="18">
        <v>401354.0</v>
      </c>
    </row>
    <row r="551">
      <c r="A551" s="18"/>
      <c r="B551" s="18"/>
      <c r="C551" s="17" t="str">
        <f t="shared" si="5"/>
        <v>#REF!</v>
      </c>
      <c r="D551" s="18" t="s">
        <v>2218</v>
      </c>
      <c r="E551" s="18"/>
      <c r="H551" s="18"/>
      <c r="I551" s="18" t="s">
        <v>2176</v>
      </c>
      <c r="J551" s="22" t="s">
        <v>2177</v>
      </c>
      <c r="K551" s="18">
        <v>401355.0</v>
      </c>
    </row>
    <row r="552">
      <c r="A552" s="18"/>
      <c r="B552" s="18"/>
      <c r="C552" s="17" t="str">
        <f t="shared" si="5"/>
        <v>#REF!</v>
      </c>
      <c r="D552" s="18" t="s">
        <v>2219</v>
      </c>
      <c r="E552" s="18"/>
      <c r="H552" s="18"/>
      <c r="I552" s="18" t="s">
        <v>2176</v>
      </c>
      <c r="J552" s="22" t="s">
        <v>2177</v>
      </c>
      <c r="K552" s="18">
        <v>401334.0</v>
      </c>
    </row>
    <row r="553">
      <c r="A553" s="18"/>
      <c r="B553" s="18"/>
      <c r="C553" s="17" t="str">
        <f t="shared" si="5"/>
        <v>#REF!</v>
      </c>
      <c r="D553" s="18" t="s">
        <v>2220</v>
      </c>
      <c r="E553" s="18"/>
      <c r="H553" s="18"/>
      <c r="I553" s="18" t="s">
        <v>2176</v>
      </c>
      <c r="J553" s="22" t="s">
        <v>2177</v>
      </c>
      <c r="K553" s="18">
        <v>401361.0</v>
      </c>
    </row>
    <row r="554">
      <c r="A554" s="18"/>
      <c r="B554" s="18"/>
      <c r="C554" s="17" t="str">
        <f t="shared" si="5"/>
        <v>#REF!</v>
      </c>
      <c r="D554" s="18" t="s">
        <v>2221</v>
      </c>
      <c r="E554" s="18"/>
      <c r="H554" s="18"/>
      <c r="I554" s="18" t="s">
        <v>2176</v>
      </c>
      <c r="J554" s="22" t="s">
        <v>2177</v>
      </c>
      <c r="K554" s="18">
        <v>401342.0</v>
      </c>
    </row>
    <row r="555">
      <c r="A555" s="18"/>
      <c r="B555" s="18"/>
      <c r="C555" s="17" t="str">
        <f t="shared" si="5"/>
        <v>#REF!</v>
      </c>
      <c r="D555" s="18" t="s">
        <v>2222</v>
      </c>
      <c r="E555" s="18"/>
      <c r="H555" s="18"/>
      <c r="I555" s="18" t="s">
        <v>2176</v>
      </c>
      <c r="J555" s="22" t="s">
        <v>2177</v>
      </c>
      <c r="K555" s="18">
        <v>401372.0</v>
      </c>
    </row>
    <row r="556">
      <c r="A556" s="18"/>
      <c r="B556" s="18"/>
      <c r="C556" s="17" t="str">
        <f t="shared" si="5"/>
        <v>#REF!</v>
      </c>
      <c r="D556" s="18" t="s">
        <v>2223</v>
      </c>
      <c r="E556" s="18"/>
      <c r="H556" s="18"/>
      <c r="I556" s="18" t="s">
        <v>2176</v>
      </c>
      <c r="J556" s="22" t="s">
        <v>2177</v>
      </c>
      <c r="K556" s="18">
        <v>401373.0</v>
      </c>
    </row>
    <row r="557">
      <c r="A557" s="18"/>
      <c r="B557" s="18"/>
      <c r="C557" s="17" t="str">
        <f t="shared" si="5"/>
        <v>#REF!</v>
      </c>
      <c r="D557" s="18" t="s">
        <v>2224</v>
      </c>
      <c r="E557" s="18"/>
      <c r="H557" s="18"/>
      <c r="I557" s="18" t="s">
        <v>2176</v>
      </c>
      <c r="J557" s="22" t="s">
        <v>2177</v>
      </c>
      <c r="K557" s="18">
        <v>401374.0</v>
      </c>
    </row>
    <row r="558">
      <c r="A558" s="18"/>
      <c r="B558" s="18"/>
      <c r="C558" s="17" t="str">
        <f t="shared" si="5"/>
        <v>#REF!</v>
      </c>
      <c r="D558" s="18" t="s">
        <v>2225</v>
      </c>
      <c r="E558" s="18"/>
      <c r="H558" s="18"/>
      <c r="I558" s="18" t="s">
        <v>2176</v>
      </c>
      <c r="J558" s="22" t="s">
        <v>2177</v>
      </c>
      <c r="K558" s="18">
        <v>401376.0</v>
      </c>
    </row>
    <row r="559">
      <c r="A559" s="18"/>
      <c r="B559" s="18"/>
      <c r="C559" s="17" t="str">
        <f t="shared" si="5"/>
        <v>#REF!</v>
      </c>
      <c r="D559" s="18" t="s">
        <v>2226</v>
      </c>
      <c r="E559" s="18"/>
      <c r="H559" s="18"/>
      <c r="I559" s="18" t="s">
        <v>2176</v>
      </c>
      <c r="J559" s="22" t="s">
        <v>2177</v>
      </c>
      <c r="K559" s="18">
        <v>401375.0</v>
      </c>
    </row>
    <row r="560">
      <c r="A560" s="18"/>
      <c r="B560" s="18"/>
      <c r="C560" s="17" t="str">
        <f t="shared" si="5"/>
        <v>#REF!</v>
      </c>
      <c r="D560" s="18" t="s">
        <v>2227</v>
      </c>
      <c r="E560" s="18"/>
      <c r="H560" s="18"/>
      <c r="I560" s="18" t="s">
        <v>2176</v>
      </c>
      <c r="J560" s="22" t="s">
        <v>2177</v>
      </c>
      <c r="K560" s="18">
        <v>401370.0</v>
      </c>
    </row>
    <row r="561">
      <c r="A561" s="18"/>
      <c r="B561" s="18"/>
      <c r="C561" s="17" t="str">
        <f t="shared" si="5"/>
        <v>#REF!</v>
      </c>
      <c r="D561" s="18" t="s">
        <v>2228</v>
      </c>
      <c r="E561" s="18"/>
      <c r="H561" s="18"/>
      <c r="I561" s="18" t="s">
        <v>2176</v>
      </c>
      <c r="J561" s="22" t="s">
        <v>2177</v>
      </c>
      <c r="K561" s="18">
        <v>401369.0</v>
      </c>
    </row>
    <row r="562">
      <c r="A562" s="18"/>
      <c r="B562" s="18"/>
      <c r="C562" s="17" t="str">
        <f t="shared" si="5"/>
        <v>#REF!</v>
      </c>
      <c r="D562" s="18" t="s">
        <v>2229</v>
      </c>
      <c r="E562" s="18"/>
      <c r="H562" s="18"/>
      <c r="I562" s="18" t="s">
        <v>2176</v>
      </c>
      <c r="J562" s="22" t="s">
        <v>2177</v>
      </c>
      <c r="K562" s="18">
        <v>401382.0</v>
      </c>
    </row>
    <row r="563">
      <c r="A563" s="18"/>
      <c r="B563" s="18"/>
      <c r="C563" s="17" t="str">
        <f t="shared" si="5"/>
        <v>#REF!</v>
      </c>
      <c r="D563" s="18" t="s">
        <v>2230</v>
      </c>
      <c r="E563" s="18"/>
      <c r="H563" s="18"/>
      <c r="I563" s="18" t="s">
        <v>2176</v>
      </c>
      <c r="J563" s="22" t="s">
        <v>2177</v>
      </c>
      <c r="K563" s="18">
        <v>401383.0</v>
      </c>
    </row>
    <row r="564">
      <c r="A564" s="18"/>
      <c r="B564" s="18"/>
      <c r="C564" s="17" t="str">
        <f t="shared" si="5"/>
        <v>#REF!</v>
      </c>
      <c r="D564" s="18" t="s">
        <v>2231</v>
      </c>
      <c r="E564" s="18"/>
      <c r="H564" s="18"/>
      <c r="I564" s="18" t="s">
        <v>2176</v>
      </c>
      <c r="J564" s="22" t="s">
        <v>2177</v>
      </c>
      <c r="K564" s="18">
        <v>401385.0</v>
      </c>
    </row>
    <row r="565">
      <c r="A565" s="18"/>
      <c r="B565" s="18"/>
      <c r="C565" s="17" t="str">
        <f t="shared" si="5"/>
        <v>#REF!</v>
      </c>
      <c r="D565" s="18" t="s">
        <v>2232</v>
      </c>
      <c r="E565" s="18"/>
      <c r="H565" s="18"/>
      <c r="I565" s="18" t="s">
        <v>2176</v>
      </c>
      <c r="J565" s="22" t="s">
        <v>2177</v>
      </c>
      <c r="K565" s="18">
        <v>401392.0</v>
      </c>
    </row>
    <row r="566">
      <c r="A566" s="18"/>
      <c r="B566" s="18"/>
      <c r="C566" s="17" t="str">
        <f t="shared" si="5"/>
        <v>#REF!</v>
      </c>
      <c r="D566" s="18" t="s">
        <v>2233</v>
      </c>
      <c r="E566" s="18"/>
      <c r="H566" s="18"/>
      <c r="I566" s="18" t="s">
        <v>2176</v>
      </c>
      <c r="J566" s="22" t="s">
        <v>2177</v>
      </c>
      <c r="K566" s="18">
        <v>401389.0</v>
      </c>
    </row>
    <row r="567">
      <c r="A567" s="18"/>
      <c r="B567" s="18"/>
      <c r="C567" s="17" t="str">
        <f t="shared" si="5"/>
        <v>#REF!</v>
      </c>
      <c r="D567" s="18" t="s">
        <v>2234</v>
      </c>
      <c r="E567" s="18"/>
      <c r="H567" s="18"/>
      <c r="I567" s="18" t="s">
        <v>2176</v>
      </c>
      <c r="J567" s="22" t="s">
        <v>2177</v>
      </c>
      <c r="K567" s="18">
        <v>401396.0</v>
      </c>
    </row>
    <row r="568">
      <c r="A568" s="18"/>
      <c r="B568" s="18"/>
      <c r="C568" s="17" t="str">
        <f t="shared" si="5"/>
        <v>#REF!</v>
      </c>
      <c r="D568" s="18" t="s">
        <v>2235</v>
      </c>
      <c r="E568" s="18"/>
      <c r="H568" s="18"/>
      <c r="I568" s="18" t="s">
        <v>2176</v>
      </c>
      <c r="J568" s="22" t="s">
        <v>2177</v>
      </c>
      <c r="K568" s="18">
        <v>401399.0</v>
      </c>
    </row>
    <row r="569">
      <c r="A569" s="18"/>
      <c r="B569" s="18"/>
      <c r="C569" s="17" t="str">
        <f t="shared" si="5"/>
        <v>#REF!</v>
      </c>
      <c r="D569" s="18" t="s">
        <v>2236</v>
      </c>
      <c r="E569" s="18"/>
      <c r="H569" s="18"/>
      <c r="I569" s="18" t="s">
        <v>2176</v>
      </c>
      <c r="J569" s="22" t="s">
        <v>2177</v>
      </c>
      <c r="K569" s="18">
        <v>401404.0</v>
      </c>
    </row>
    <row r="570">
      <c r="A570" s="18"/>
      <c r="B570" s="18"/>
      <c r="C570" s="17" t="str">
        <f t="shared" si="5"/>
        <v>#REF!</v>
      </c>
      <c r="D570" s="18" t="s">
        <v>2237</v>
      </c>
      <c r="E570" s="18"/>
      <c r="H570" s="18"/>
      <c r="I570" s="18" t="s">
        <v>2176</v>
      </c>
      <c r="J570" s="22" t="s">
        <v>2177</v>
      </c>
      <c r="K570" s="18">
        <v>401402.0</v>
      </c>
    </row>
    <row r="571">
      <c r="A571" s="18"/>
      <c r="B571" s="18"/>
      <c r="C571" s="17" t="str">
        <f t="shared" si="5"/>
        <v>#REF!</v>
      </c>
      <c r="D571" s="18" t="s">
        <v>2238</v>
      </c>
      <c r="E571" s="18"/>
      <c r="H571" s="18"/>
      <c r="I571" s="18" t="s">
        <v>2176</v>
      </c>
      <c r="J571" s="22" t="s">
        <v>2177</v>
      </c>
      <c r="K571" s="18">
        <v>401406.0</v>
      </c>
    </row>
    <row r="572">
      <c r="A572" s="18"/>
      <c r="B572" s="18"/>
      <c r="C572" s="17" t="str">
        <f t="shared" si="5"/>
        <v>#REF!</v>
      </c>
      <c r="D572" s="18" t="s">
        <v>2239</v>
      </c>
      <c r="E572" s="18"/>
      <c r="H572" s="18"/>
      <c r="I572" s="18" t="s">
        <v>2176</v>
      </c>
      <c r="J572" s="22" t="s">
        <v>2177</v>
      </c>
      <c r="K572" s="18">
        <v>401411.0</v>
      </c>
    </row>
    <row r="573">
      <c r="A573" s="18"/>
      <c r="B573" s="18"/>
      <c r="C573" s="17" t="str">
        <f t="shared" si="5"/>
        <v>#REF!</v>
      </c>
      <c r="D573" s="18" t="s">
        <v>2240</v>
      </c>
      <c r="E573" s="18"/>
      <c r="H573" s="18"/>
      <c r="I573" s="18" t="s">
        <v>2176</v>
      </c>
      <c r="J573" s="22" t="s">
        <v>2177</v>
      </c>
      <c r="K573" s="18">
        <v>401405.0</v>
      </c>
    </row>
    <row r="574">
      <c r="A574" s="18"/>
      <c r="B574" s="18"/>
      <c r="C574" s="17" t="str">
        <f t="shared" si="5"/>
        <v>#REF!</v>
      </c>
      <c r="D574" s="18" t="s">
        <v>2241</v>
      </c>
      <c r="E574" s="18"/>
      <c r="H574" s="18"/>
      <c r="I574" s="18" t="s">
        <v>2176</v>
      </c>
      <c r="J574" s="22" t="s">
        <v>2177</v>
      </c>
      <c r="K574" s="18">
        <v>401409.0</v>
      </c>
    </row>
    <row r="575">
      <c r="A575" s="18"/>
      <c r="B575" s="18"/>
      <c r="C575" s="17" t="str">
        <f t="shared" si="5"/>
        <v>#REF!</v>
      </c>
      <c r="D575" s="18" t="s">
        <v>2242</v>
      </c>
      <c r="E575" s="18"/>
      <c r="H575" s="18"/>
      <c r="I575" s="18" t="s">
        <v>2176</v>
      </c>
      <c r="J575" s="22" t="s">
        <v>2177</v>
      </c>
      <c r="K575" s="18">
        <v>401400.0</v>
      </c>
    </row>
    <row r="576">
      <c r="A576" s="18"/>
      <c r="B576" s="18"/>
      <c r="C576" s="17" t="str">
        <f t="shared" si="5"/>
        <v>#REF!</v>
      </c>
      <c r="D576" s="18" t="s">
        <v>2243</v>
      </c>
      <c r="E576" s="18"/>
      <c r="H576" s="18"/>
      <c r="I576" s="18" t="s">
        <v>2176</v>
      </c>
      <c r="J576" s="22" t="s">
        <v>2177</v>
      </c>
      <c r="K576" s="18">
        <v>401401.0</v>
      </c>
    </row>
    <row r="577">
      <c r="A577" s="18"/>
      <c r="B577" s="18"/>
      <c r="C577" s="17" t="str">
        <f t="shared" si="5"/>
        <v>#REF!</v>
      </c>
      <c r="D577" s="18" t="s">
        <v>2244</v>
      </c>
      <c r="E577" s="18"/>
      <c r="H577" s="18"/>
      <c r="I577" s="18" t="s">
        <v>2176</v>
      </c>
      <c r="J577" s="22" t="s">
        <v>2177</v>
      </c>
      <c r="K577" s="18">
        <v>401412.0</v>
      </c>
    </row>
    <row r="578">
      <c r="A578" s="18"/>
      <c r="B578" s="18"/>
      <c r="C578" s="17" t="str">
        <f t="shared" si="5"/>
        <v>#REF!</v>
      </c>
      <c r="D578" s="18" t="s">
        <v>2245</v>
      </c>
      <c r="E578" s="18"/>
      <c r="H578" s="18"/>
      <c r="I578" s="18" t="s">
        <v>2176</v>
      </c>
      <c r="J578" s="22" t="s">
        <v>2177</v>
      </c>
      <c r="K578" s="18">
        <v>401431.0</v>
      </c>
    </row>
    <row r="579">
      <c r="A579" s="18"/>
      <c r="B579" s="18"/>
      <c r="C579" s="17" t="str">
        <f t="shared" si="5"/>
        <v>#REF!</v>
      </c>
      <c r="D579" s="18" t="s">
        <v>2246</v>
      </c>
      <c r="E579" s="18"/>
      <c r="H579" s="18"/>
      <c r="I579" s="18" t="s">
        <v>2176</v>
      </c>
      <c r="J579" s="22" t="s">
        <v>2177</v>
      </c>
      <c r="K579" s="18">
        <v>401432.0</v>
      </c>
    </row>
    <row r="580">
      <c r="A580" s="18"/>
      <c r="B580" s="18"/>
      <c r="C580" s="17" t="str">
        <f t="shared" si="5"/>
        <v>#REF!</v>
      </c>
      <c r="D580" s="18" t="s">
        <v>2247</v>
      </c>
      <c r="E580" s="18"/>
      <c r="H580" s="18"/>
      <c r="I580" s="18" t="s">
        <v>2176</v>
      </c>
      <c r="J580" s="22" t="s">
        <v>2177</v>
      </c>
      <c r="K580" s="18">
        <v>401417.0</v>
      </c>
    </row>
    <row r="581">
      <c r="A581" s="18"/>
      <c r="B581" s="18"/>
      <c r="C581" s="17" t="str">
        <f t="shared" si="5"/>
        <v>#REF!</v>
      </c>
      <c r="D581" s="18" t="s">
        <v>2248</v>
      </c>
      <c r="E581" s="18"/>
      <c r="H581" s="18"/>
      <c r="I581" s="18" t="s">
        <v>2176</v>
      </c>
      <c r="J581" s="22" t="s">
        <v>2177</v>
      </c>
      <c r="K581" s="18">
        <v>401434.0</v>
      </c>
    </row>
    <row r="582">
      <c r="A582" s="18"/>
      <c r="B582" s="18"/>
      <c r="C582" s="17" t="str">
        <f t="shared" si="5"/>
        <v>#REF!</v>
      </c>
      <c r="D582" s="18" t="s">
        <v>2249</v>
      </c>
      <c r="E582" s="18"/>
      <c r="H582" s="18"/>
      <c r="I582" s="18" t="s">
        <v>2176</v>
      </c>
      <c r="J582" s="22" t="s">
        <v>2177</v>
      </c>
      <c r="K582" s="18">
        <v>401455.0</v>
      </c>
    </row>
    <row r="583">
      <c r="A583" s="18"/>
      <c r="B583" s="18"/>
      <c r="C583" s="17" t="str">
        <f t="shared" si="5"/>
        <v>#REF!</v>
      </c>
      <c r="D583" s="18" t="s">
        <v>2250</v>
      </c>
      <c r="E583" s="18"/>
      <c r="H583" s="18"/>
      <c r="I583" s="18" t="s">
        <v>2176</v>
      </c>
      <c r="J583" s="22" t="s">
        <v>2177</v>
      </c>
      <c r="K583" s="18">
        <v>401453.0</v>
      </c>
    </row>
    <row r="584">
      <c r="A584" s="18"/>
      <c r="B584" s="18"/>
      <c r="C584" s="17" t="str">
        <f t="shared" si="5"/>
        <v>#REF!</v>
      </c>
      <c r="D584" s="18" t="s">
        <v>2200</v>
      </c>
      <c r="E584" s="18"/>
      <c r="H584" s="18"/>
      <c r="I584" s="18" t="s">
        <v>2176</v>
      </c>
      <c r="J584" s="22" t="s">
        <v>2177</v>
      </c>
      <c r="K584" s="18">
        <v>401467.0</v>
      </c>
    </row>
    <row r="585">
      <c r="A585" s="18"/>
      <c r="B585" s="18"/>
      <c r="C585" s="17" t="str">
        <f t="shared" si="5"/>
        <v>#REF!</v>
      </c>
      <c r="D585" s="18" t="s">
        <v>2251</v>
      </c>
      <c r="E585" s="18"/>
      <c r="H585" s="18"/>
      <c r="I585" s="18" t="s">
        <v>2176</v>
      </c>
      <c r="J585" s="22" t="s">
        <v>2177</v>
      </c>
      <c r="K585" s="18">
        <v>401466.0</v>
      </c>
    </row>
    <row r="586">
      <c r="A586" s="18"/>
      <c r="B586" s="18"/>
      <c r="C586" s="17" t="str">
        <f t="shared" si="5"/>
        <v>#REF!</v>
      </c>
      <c r="D586" s="18" t="s">
        <v>2252</v>
      </c>
      <c r="E586" s="18"/>
      <c r="H586" s="18"/>
      <c r="I586" s="18" t="s">
        <v>2176</v>
      </c>
      <c r="J586" s="22" t="s">
        <v>2177</v>
      </c>
      <c r="K586" s="18">
        <v>401462.0</v>
      </c>
    </row>
    <row r="587">
      <c r="A587" s="18"/>
      <c r="B587" s="18"/>
      <c r="C587" s="17" t="str">
        <f t="shared" si="5"/>
        <v>#REF!</v>
      </c>
      <c r="D587" s="18" t="s">
        <v>2253</v>
      </c>
      <c r="E587" s="18"/>
      <c r="H587" s="18"/>
      <c r="I587" s="18" t="s">
        <v>2176</v>
      </c>
      <c r="J587" s="22" t="s">
        <v>2177</v>
      </c>
      <c r="K587" s="18">
        <v>401463.0</v>
      </c>
    </row>
    <row r="588">
      <c r="A588" s="18"/>
      <c r="B588" s="18"/>
      <c r="C588" s="17" t="str">
        <f t="shared" si="5"/>
        <v>#REF!</v>
      </c>
      <c r="D588" s="18" t="s">
        <v>2254</v>
      </c>
      <c r="E588" s="18"/>
      <c r="H588" s="18"/>
      <c r="I588" s="18" t="s">
        <v>2176</v>
      </c>
      <c r="J588" s="22" t="s">
        <v>2177</v>
      </c>
      <c r="K588" s="18">
        <v>401465.0</v>
      </c>
    </row>
    <row r="589">
      <c r="A589" s="18"/>
      <c r="B589" s="18"/>
      <c r="C589" s="17" t="str">
        <f t="shared" si="5"/>
        <v>#REF!</v>
      </c>
      <c r="D589" s="18" t="s">
        <v>2255</v>
      </c>
      <c r="E589" s="18"/>
      <c r="H589" s="18"/>
      <c r="I589" s="18" t="s">
        <v>2176</v>
      </c>
      <c r="J589" s="22" t="s">
        <v>2177</v>
      </c>
      <c r="K589" s="18">
        <v>401452.0</v>
      </c>
    </row>
    <row r="590">
      <c r="A590" s="18"/>
      <c r="B590" s="18"/>
      <c r="C590" s="17" t="str">
        <f t="shared" si="5"/>
        <v>#REF!</v>
      </c>
      <c r="D590" s="18" t="s">
        <v>2256</v>
      </c>
      <c r="E590" s="18"/>
      <c r="H590" s="18"/>
      <c r="I590" s="18" t="s">
        <v>2176</v>
      </c>
      <c r="J590" s="22" t="s">
        <v>2177</v>
      </c>
      <c r="K590" s="18">
        <v>401460.0</v>
      </c>
    </row>
    <row r="591">
      <c r="A591" s="18"/>
      <c r="B591" s="18"/>
      <c r="C591" s="17" t="str">
        <f t="shared" si="5"/>
        <v>#REF!</v>
      </c>
      <c r="D591" s="18" t="s">
        <v>2257</v>
      </c>
      <c r="E591" s="18"/>
      <c r="H591" s="18"/>
      <c r="I591" s="18" t="s">
        <v>2176</v>
      </c>
      <c r="J591" s="22" t="s">
        <v>2177</v>
      </c>
      <c r="K591" s="18">
        <v>401461.0</v>
      </c>
    </row>
    <row r="592">
      <c r="A592" s="18"/>
      <c r="B592" s="18"/>
      <c r="C592" s="17" t="str">
        <f t="shared" si="5"/>
        <v>#REF!</v>
      </c>
      <c r="D592" s="18" t="s">
        <v>2258</v>
      </c>
      <c r="E592" s="18"/>
      <c r="H592" s="18"/>
      <c r="I592" s="18" t="s">
        <v>2176</v>
      </c>
      <c r="J592" s="22" t="s">
        <v>2177</v>
      </c>
      <c r="K592" s="18">
        <v>401451.0</v>
      </c>
    </row>
    <row r="593">
      <c r="A593" s="18"/>
      <c r="B593" s="18"/>
      <c r="C593" s="17" t="str">
        <f t="shared" si="5"/>
        <v>#REF!</v>
      </c>
      <c r="D593" s="18" t="s">
        <v>2259</v>
      </c>
      <c r="E593" s="18"/>
      <c r="H593" s="18"/>
      <c r="I593" s="18" t="s">
        <v>2176</v>
      </c>
      <c r="J593" s="22" t="s">
        <v>2177</v>
      </c>
      <c r="K593" s="18">
        <v>401478.0</v>
      </c>
    </row>
    <row r="594">
      <c r="A594" s="18"/>
      <c r="B594" s="18"/>
      <c r="C594" s="17" t="str">
        <f t="shared" si="5"/>
        <v>#REF!</v>
      </c>
      <c r="D594" s="18" t="s">
        <v>2260</v>
      </c>
      <c r="E594" s="18"/>
      <c r="H594" s="18"/>
      <c r="I594" s="18" t="s">
        <v>2176</v>
      </c>
      <c r="J594" s="22" t="s">
        <v>2177</v>
      </c>
      <c r="K594" s="18">
        <v>401221.0</v>
      </c>
    </row>
    <row r="595">
      <c r="A595" s="18"/>
      <c r="B595" s="18"/>
      <c r="C595" s="17" t="str">
        <f t="shared" si="5"/>
        <v>#REF!</v>
      </c>
      <c r="D595" s="18" t="s">
        <v>2261</v>
      </c>
      <c r="E595" s="18"/>
      <c r="H595" s="18"/>
      <c r="I595" s="18" t="s">
        <v>2176</v>
      </c>
      <c r="J595" s="22" t="s">
        <v>2177</v>
      </c>
      <c r="K595" s="18">
        <v>401224.0</v>
      </c>
    </row>
    <row r="596">
      <c r="A596" s="18"/>
      <c r="B596" s="18"/>
      <c r="C596" s="17" t="str">
        <f t="shared" si="5"/>
        <v>#REF!</v>
      </c>
      <c r="D596" s="18" t="s">
        <v>2262</v>
      </c>
      <c r="E596" s="18"/>
      <c r="H596" s="18"/>
      <c r="I596" s="18" t="s">
        <v>2176</v>
      </c>
      <c r="J596" s="22" t="s">
        <v>2177</v>
      </c>
      <c r="K596" s="18">
        <v>401227.0</v>
      </c>
    </row>
    <row r="597">
      <c r="A597" s="18"/>
      <c r="B597" s="18"/>
      <c r="C597" s="17" t="str">
        <f t="shared" si="5"/>
        <v>#REF!</v>
      </c>
      <c r="D597" s="18" t="s">
        <v>2263</v>
      </c>
      <c r="E597" s="18"/>
      <c r="H597" s="18"/>
      <c r="I597" s="18" t="s">
        <v>2176</v>
      </c>
      <c r="J597" s="22" t="s">
        <v>2177</v>
      </c>
      <c r="K597" s="18">
        <v>401228.0</v>
      </c>
    </row>
    <row r="598">
      <c r="A598" s="18"/>
      <c r="B598" s="18"/>
      <c r="C598" s="17" t="str">
        <f t="shared" si="5"/>
        <v>#REF!</v>
      </c>
      <c r="D598" s="18" t="s">
        <v>2264</v>
      </c>
      <c r="E598" s="18"/>
      <c r="H598" s="18"/>
      <c r="I598" s="18" t="s">
        <v>2176</v>
      </c>
      <c r="J598" s="22" t="s">
        <v>2177</v>
      </c>
      <c r="K598" s="18">
        <v>401229.0</v>
      </c>
    </row>
    <row r="599">
      <c r="A599" s="18"/>
      <c r="B599" s="18"/>
      <c r="C599" s="17" t="str">
        <f t="shared" si="5"/>
        <v>#REF!</v>
      </c>
      <c r="D599" s="18" t="s">
        <v>2265</v>
      </c>
      <c r="E599" s="18"/>
      <c r="H599" s="18"/>
      <c r="I599" s="18" t="s">
        <v>2176</v>
      </c>
      <c r="J599" s="22" t="s">
        <v>2177</v>
      </c>
      <c r="K599" s="18">
        <v>401230.0</v>
      </c>
    </row>
    <row r="600">
      <c r="A600" s="18"/>
      <c r="B600" s="18"/>
      <c r="C600" s="17" t="str">
        <f t="shared" si="5"/>
        <v>#REF!</v>
      </c>
      <c r="D600" s="18" t="s">
        <v>2266</v>
      </c>
      <c r="E600" s="18"/>
      <c r="H600" s="18"/>
      <c r="I600" s="18" t="s">
        <v>2176</v>
      </c>
      <c r="J600" s="22" t="s">
        <v>2177</v>
      </c>
      <c r="K600" s="18">
        <v>401220.0</v>
      </c>
    </row>
    <row r="601">
      <c r="A601" s="18"/>
      <c r="B601" s="18"/>
      <c r="C601" s="17" t="str">
        <f t="shared" si="5"/>
        <v>#REF!</v>
      </c>
      <c r="D601" s="18" t="s">
        <v>2267</v>
      </c>
      <c r="E601" s="18"/>
      <c r="H601" s="18"/>
      <c r="I601" s="18" t="s">
        <v>2176</v>
      </c>
      <c r="J601" s="18" t="s">
        <v>2268</v>
      </c>
      <c r="K601" s="18">
        <v>411517.0</v>
      </c>
    </row>
    <row r="602">
      <c r="A602" s="18"/>
      <c r="B602" s="18"/>
      <c r="C602" s="17" t="str">
        <f t="shared" si="5"/>
        <v>#REF!</v>
      </c>
      <c r="D602" s="18" t="s">
        <v>2269</v>
      </c>
      <c r="E602" s="18"/>
      <c r="H602" s="18"/>
      <c r="I602" s="18" t="s">
        <v>2176</v>
      </c>
      <c r="J602" s="18" t="s">
        <v>2268</v>
      </c>
      <c r="K602" s="18">
        <v>411514.0</v>
      </c>
    </row>
    <row r="603">
      <c r="A603" s="18"/>
      <c r="B603" s="18"/>
      <c r="C603" s="17" t="str">
        <f t="shared" si="5"/>
        <v>#REF!</v>
      </c>
      <c r="D603" s="18" t="s">
        <v>2270</v>
      </c>
      <c r="E603" s="18"/>
      <c r="H603" s="18"/>
      <c r="I603" s="18" t="s">
        <v>2176</v>
      </c>
      <c r="J603" s="18" t="s">
        <v>2268</v>
      </c>
      <c r="K603" s="18">
        <v>411515.0</v>
      </c>
    </row>
    <row r="604">
      <c r="A604" s="18"/>
      <c r="B604" s="18"/>
      <c r="C604" s="17" t="str">
        <f t="shared" si="5"/>
        <v>#REF!</v>
      </c>
      <c r="D604" s="18" t="s">
        <v>2271</v>
      </c>
      <c r="E604" s="18"/>
      <c r="H604" s="18"/>
      <c r="I604" s="18" t="s">
        <v>2176</v>
      </c>
      <c r="J604" s="18" t="s">
        <v>2268</v>
      </c>
      <c r="K604" s="18">
        <v>411513.0</v>
      </c>
    </row>
    <row r="605">
      <c r="A605" s="18"/>
      <c r="B605" s="18"/>
      <c r="C605" s="17" t="str">
        <f t="shared" si="5"/>
        <v>#REF!</v>
      </c>
      <c r="D605" s="18" t="s">
        <v>2272</v>
      </c>
      <c r="E605" s="18"/>
      <c r="H605" s="18"/>
      <c r="I605" s="18" t="s">
        <v>2176</v>
      </c>
      <c r="J605" s="18" t="s">
        <v>2268</v>
      </c>
      <c r="K605" s="18">
        <v>411516.0</v>
      </c>
    </row>
    <row r="606">
      <c r="A606" s="18"/>
      <c r="B606" s="18"/>
      <c r="C606" s="17" t="str">
        <f t="shared" si="5"/>
        <v>#REF!</v>
      </c>
      <c r="D606" s="18" t="s">
        <v>2273</v>
      </c>
      <c r="E606" s="18"/>
      <c r="H606" s="18"/>
      <c r="I606" s="18" t="s">
        <v>2176</v>
      </c>
      <c r="J606" s="18" t="s">
        <v>2268</v>
      </c>
      <c r="K606" s="18">
        <v>411518.0</v>
      </c>
    </row>
    <row r="607">
      <c r="A607" s="18"/>
      <c r="B607" s="18"/>
      <c r="C607" s="17" t="str">
        <f t="shared" si="5"/>
        <v>#REF!</v>
      </c>
      <c r="D607" s="18" t="s">
        <v>2274</v>
      </c>
      <c r="E607" s="18"/>
      <c r="H607" s="18"/>
      <c r="I607" s="18" t="s">
        <v>2176</v>
      </c>
      <c r="J607" s="18" t="s">
        <v>2268</v>
      </c>
      <c r="K607" s="18">
        <v>411527.0</v>
      </c>
    </row>
    <row r="608">
      <c r="A608" s="18"/>
      <c r="B608" s="18"/>
      <c r="C608" s="17" t="str">
        <f t="shared" si="5"/>
        <v>#REF!</v>
      </c>
      <c r="D608" s="18" t="s">
        <v>2275</v>
      </c>
      <c r="E608" s="18"/>
      <c r="H608" s="18"/>
      <c r="I608" s="18" t="s">
        <v>2176</v>
      </c>
      <c r="J608" s="18" t="s">
        <v>2268</v>
      </c>
      <c r="K608" s="18">
        <v>411528.0</v>
      </c>
    </row>
    <row r="609">
      <c r="A609" s="18"/>
      <c r="B609" s="18"/>
      <c r="C609" s="17" t="str">
        <f t="shared" si="5"/>
        <v>#REF!</v>
      </c>
      <c r="D609" s="18" t="s">
        <v>2276</v>
      </c>
      <c r="E609" s="18"/>
      <c r="H609" s="18"/>
      <c r="I609" s="18" t="s">
        <v>2176</v>
      </c>
      <c r="J609" s="18" t="s">
        <v>2268</v>
      </c>
      <c r="K609" s="18">
        <v>411529.0</v>
      </c>
    </row>
    <row r="610">
      <c r="A610" s="18"/>
      <c r="B610" s="18"/>
      <c r="C610" s="17" t="str">
        <f t="shared" si="5"/>
        <v>#REF!</v>
      </c>
      <c r="D610" s="18" t="s">
        <v>2277</v>
      </c>
      <c r="E610" s="18"/>
      <c r="H610" s="18"/>
      <c r="I610" s="18" t="s">
        <v>2176</v>
      </c>
      <c r="J610" s="18" t="s">
        <v>2268</v>
      </c>
      <c r="K610" s="18">
        <v>411520.0</v>
      </c>
    </row>
    <row r="611">
      <c r="A611" s="18"/>
      <c r="B611" s="18"/>
      <c r="C611" s="17" t="str">
        <f t="shared" si="5"/>
        <v>#REF!</v>
      </c>
      <c r="D611" s="18" t="s">
        <v>2278</v>
      </c>
      <c r="E611" s="18"/>
      <c r="H611" s="18"/>
      <c r="I611" s="18" t="s">
        <v>2176</v>
      </c>
      <c r="J611" s="18" t="s">
        <v>2268</v>
      </c>
      <c r="K611" s="18">
        <v>411522.0</v>
      </c>
    </row>
    <row r="612">
      <c r="A612" s="18"/>
      <c r="B612" s="18"/>
      <c r="C612" s="17" t="str">
        <f t="shared" si="5"/>
        <v>#REF!</v>
      </c>
      <c r="D612" s="18" t="s">
        <v>2279</v>
      </c>
      <c r="E612" s="18"/>
      <c r="H612" s="18"/>
      <c r="I612" s="18" t="s">
        <v>2176</v>
      </c>
      <c r="J612" s="18" t="s">
        <v>2268</v>
      </c>
      <c r="K612" s="18">
        <v>411521.0</v>
      </c>
    </row>
    <row r="613">
      <c r="A613" s="18"/>
      <c r="B613" s="18"/>
      <c r="C613" s="17" t="str">
        <f t="shared" si="5"/>
        <v>#REF!</v>
      </c>
      <c r="D613" s="18" t="s">
        <v>2280</v>
      </c>
      <c r="E613" s="18"/>
      <c r="H613" s="18"/>
      <c r="I613" s="18" t="s">
        <v>2176</v>
      </c>
      <c r="J613" s="18" t="s">
        <v>2268</v>
      </c>
      <c r="K613" s="18">
        <v>411531.0</v>
      </c>
    </row>
    <row r="614">
      <c r="A614" s="18"/>
      <c r="B614" s="18"/>
      <c r="C614" s="17" t="str">
        <f t="shared" si="5"/>
        <v>#REF!</v>
      </c>
      <c r="D614" s="18" t="s">
        <v>2281</v>
      </c>
      <c r="E614" s="18"/>
      <c r="H614" s="18"/>
      <c r="I614" s="18" t="s">
        <v>2176</v>
      </c>
      <c r="J614" s="18" t="s">
        <v>2268</v>
      </c>
      <c r="K614" s="18">
        <v>411533.0</v>
      </c>
    </row>
    <row r="615">
      <c r="A615" s="18"/>
      <c r="B615" s="18"/>
      <c r="C615" s="17" t="str">
        <f t="shared" si="5"/>
        <v>#REF!</v>
      </c>
      <c r="D615" s="18" t="s">
        <v>2282</v>
      </c>
      <c r="E615" s="18"/>
      <c r="H615" s="18"/>
      <c r="I615" s="18" t="s">
        <v>2176</v>
      </c>
      <c r="J615" s="18" t="s">
        <v>2268</v>
      </c>
      <c r="K615" s="18">
        <v>411532.0</v>
      </c>
    </row>
    <row r="616">
      <c r="A616" s="18"/>
      <c r="B616" s="18"/>
      <c r="C616" s="17" t="str">
        <f t="shared" si="5"/>
        <v>#REF!</v>
      </c>
      <c r="D616" s="18" t="s">
        <v>2283</v>
      </c>
      <c r="E616" s="18"/>
      <c r="H616" s="18"/>
      <c r="I616" s="18" t="s">
        <v>2176</v>
      </c>
      <c r="J616" s="18" t="s">
        <v>2268</v>
      </c>
      <c r="K616" s="18">
        <v>411592.0</v>
      </c>
    </row>
    <row r="617">
      <c r="A617" s="18"/>
      <c r="B617" s="18"/>
      <c r="C617" s="17" t="str">
        <f t="shared" si="5"/>
        <v>#REF!</v>
      </c>
      <c r="D617" s="18" t="s">
        <v>2284</v>
      </c>
      <c r="E617" s="18"/>
      <c r="H617" s="18"/>
      <c r="I617" s="18" t="s">
        <v>2176</v>
      </c>
      <c r="J617" s="18" t="s">
        <v>2268</v>
      </c>
      <c r="K617" s="18">
        <v>411595.0</v>
      </c>
    </row>
    <row r="618">
      <c r="A618" s="18"/>
      <c r="B618" s="18"/>
      <c r="C618" s="17" t="str">
        <f t="shared" si="5"/>
        <v>#REF!</v>
      </c>
      <c r="D618" s="18" t="s">
        <v>2285</v>
      </c>
      <c r="E618" s="18"/>
      <c r="H618" s="18"/>
      <c r="I618" s="18" t="s">
        <v>2176</v>
      </c>
      <c r="J618" s="18" t="s">
        <v>2268</v>
      </c>
      <c r="K618" s="18">
        <v>411541.0</v>
      </c>
    </row>
    <row r="619">
      <c r="A619" s="18"/>
      <c r="B619" s="18"/>
      <c r="C619" s="17" t="str">
        <f t="shared" si="5"/>
        <v>#REF!</v>
      </c>
      <c r="D619" s="18" t="s">
        <v>2286</v>
      </c>
      <c r="E619" s="18"/>
      <c r="H619" s="18"/>
      <c r="I619" s="18" t="s">
        <v>2176</v>
      </c>
      <c r="J619" s="18" t="s">
        <v>2268</v>
      </c>
      <c r="K619" s="18">
        <v>411551.0</v>
      </c>
    </row>
    <row r="620">
      <c r="A620" s="18"/>
      <c r="B620" s="18"/>
      <c r="C620" s="17" t="str">
        <f t="shared" si="5"/>
        <v>#REF!</v>
      </c>
      <c r="D620" s="18" t="s">
        <v>2287</v>
      </c>
      <c r="E620" s="18"/>
      <c r="H620" s="18"/>
      <c r="I620" s="18" t="s">
        <v>2176</v>
      </c>
      <c r="J620" s="18" t="s">
        <v>2268</v>
      </c>
      <c r="K620" s="18">
        <v>411555.0</v>
      </c>
    </row>
    <row r="621">
      <c r="A621" s="18"/>
      <c r="B621" s="18"/>
      <c r="C621" s="17" t="str">
        <f t="shared" si="5"/>
        <v>#REF!</v>
      </c>
      <c r="D621" s="18" t="s">
        <v>2288</v>
      </c>
      <c r="E621" s="18"/>
      <c r="H621" s="18"/>
      <c r="I621" s="18" t="s">
        <v>2176</v>
      </c>
      <c r="J621" s="18" t="s">
        <v>2268</v>
      </c>
      <c r="K621" s="18">
        <v>411554.0</v>
      </c>
    </row>
    <row r="622">
      <c r="A622" s="18"/>
      <c r="B622" s="18"/>
      <c r="C622" s="17" t="str">
        <f t="shared" si="5"/>
        <v>#REF!</v>
      </c>
      <c r="D622" s="18" t="s">
        <v>2289</v>
      </c>
      <c r="E622" s="18"/>
      <c r="H622" s="18"/>
      <c r="I622" s="18" t="s">
        <v>2176</v>
      </c>
      <c r="J622" s="18" t="s">
        <v>2268</v>
      </c>
      <c r="K622" s="18">
        <v>411560.0</v>
      </c>
    </row>
    <row r="623">
      <c r="A623" s="18"/>
      <c r="B623" s="18"/>
      <c r="C623" s="17" t="str">
        <f t="shared" si="5"/>
        <v>#REF!</v>
      </c>
      <c r="D623" s="18" t="s">
        <v>2290</v>
      </c>
      <c r="E623" s="18"/>
      <c r="H623" s="18"/>
      <c r="I623" s="18" t="s">
        <v>2176</v>
      </c>
      <c r="J623" s="18" t="s">
        <v>2268</v>
      </c>
      <c r="K623" s="18">
        <v>411559.0</v>
      </c>
    </row>
    <row r="624">
      <c r="A624" s="18"/>
      <c r="B624" s="18"/>
      <c r="C624" s="17" t="str">
        <f t="shared" si="5"/>
        <v>#REF!</v>
      </c>
      <c r="D624" s="18" t="s">
        <v>2291</v>
      </c>
      <c r="E624" s="18"/>
      <c r="H624" s="18"/>
      <c r="I624" s="18" t="s">
        <v>2176</v>
      </c>
      <c r="J624" s="18" t="s">
        <v>2268</v>
      </c>
      <c r="K624" s="18">
        <v>411557.0</v>
      </c>
    </row>
    <row r="625">
      <c r="A625" s="18"/>
      <c r="B625" s="18"/>
      <c r="C625" s="17" t="str">
        <f t="shared" si="5"/>
        <v>#REF!</v>
      </c>
      <c r="D625" s="18" t="s">
        <v>2292</v>
      </c>
      <c r="E625" s="18"/>
      <c r="H625" s="18"/>
      <c r="I625" s="18" t="s">
        <v>2176</v>
      </c>
      <c r="J625" s="18" t="s">
        <v>2268</v>
      </c>
      <c r="K625" s="18">
        <v>411558.0</v>
      </c>
    </row>
    <row r="626">
      <c r="A626" s="18"/>
      <c r="B626" s="18"/>
      <c r="C626" s="17" t="str">
        <f t="shared" si="5"/>
        <v>#REF!</v>
      </c>
      <c r="D626" s="18" t="s">
        <v>2293</v>
      </c>
      <c r="E626" s="18"/>
      <c r="H626" s="18"/>
      <c r="I626" s="18" t="s">
        <v>2176</v>
      </c>
      <c r="J626" s="18" t="s">
        <v>2268</v>
      </c>
      <c r="K626" s="18">
        <v>411553.0</v>
      </c>
    </row>
    <row r="627">
      <c r="A627" s="18"/>
      <c r="B627" s="18"/>
      <c r="C627" s="17" t="str">
        <f t="shared" si="5"/>
        <v>#REF!</v>
      </c>
      <c r="D627" s="18" t="s">
        <v>2294</v>
      </c>
      <c r="E627" s="18"/>
      <c r="H627" s="18"/>
      <c r="I627" s="18" t="s">
        <v>2176</v>
      </c>
      <c r="J627" s="18" t="s">
        <v>2268</v>
      </c>
      <c r="K627" s="18">
        <v>411565.0</v>
      </c>
    </row>
    <row r="628">
      <c r="A628" s="18"/>
      <c r="B628" s="18"/>
      <c r="C628" s="17" t="str">
        <f t="shared" si="5"/>
        <v>#REF!</v>
      </c>
      <c r="D628" s="18" t="s">
        <v>2295</v>
      </c>
      <c r="E628" s="18"/>
      <c r="H628" s="18"/>
      <c r="I628" s="18" t="s">
        <v>2176</v>
      </c>
      <c r="J628" s="18" t="s">
        <v>2268</v>
      </c>
      <c r="K628" s="18">
        <v>411568.0</v>
      </c>
    </row>
    <row r="629">
      <c r="A629" s="18"/>
      <c r="B629" s="18"/>
      <c r="C629" s="17" t="str">
        <f t="shared" si="5"/>
        <v>#REF!</v>
      </c>
      <c r="D629" s="18" t="s">
        <v>2296</v>
      </c>
      <c r="E629" s="18"/>
      <c r="H629" s="18"/>
      <c r="I629" s="18" t="s">
        <v>2176</v>
      </c>
      <c r="J629" s="18" t="s">
        <v>2268</v>
      </c>
      <c r="K629" s="18">
        <v>411575.0</v>
      </c>
    </row>
    <row r="630">
      <c r="A630" s="18"/>
      <c r="B630" s="18"/>
      <c r="C630" s="17" t="str">
        <f t="shared" si="5"/>
        <v>#REF!</v>
      </c>
      <c r="D630" s="18" t="s">
        <v>2297</v>
      </c>
      <c r="E630" s="18"/>
      <c r="H630" s="18"/>
      <c r="I630" s="18" t="s">
        <v>2176</v>
      </c>
      <c r="J630" s="18" t="s">
        <v>2268</v>
      </c>
      <c r="K630" s="18">
        <v>411577.0</v>
      </c>
    </row>
    <row r="631">
      <c r="A631" s="18"/>
      <c r="B631" s="18"/>
      <c r="C631" s="17" t="str">
        <f t="shared" si="5"/>
        <v>#REF!</v>
      </c>
      <c r="D631" s="18" t="s">
        <v>2298</v>
      </c>
      <c r="E631" s="18"/>
      <c r="H631" s="18"/>
      <c r="I631" s="18" t="s">
        <v>2176</v>
      </c>
      <c r="J631" s="18" t="s">
        <v>2268</v>
      </c>
      <c r="K631" s="18">
        <v>411581.0</v>
      </c>
    </row>
    <row r="632">
      <c r="A632" s="18"/>
      <c r="B632" s="18"/>
      <c r="C632" s="17" t="str">
        <f t="shared" si="5"/>
        <v>#REF!</v>
      </c>
      <c r="D632" s="18" t="s">
        <v>2299</v>
      </c>
      <c r="E632" s="18"/>
      <c r="H632" s="18"/>
      <c r="I632" s="18" t="s">
        <v>2176</v>
      </c>
      <c r="J632" s="18" t="s">
        <v>2268</v>
      </c>
      <c r="K632" s="18">
        <v>411439.0</v>
      </c>
    </row>
    <row r="633">
      <c r="A633" s="18"/>
      <c r="B633" s="18"/>
      <c r="C633" s="17" t="str">
        <f t="shared" si="5"/>
        <v>#REF!</v>
      </c>
      <c r="D633" s="18" t="s">
        <v>2300</v>
      </c>
      <c r="E633" s="18"/>
      <c r="H633" s="18"/>
      <c r="I633" s="18" t="s">
        <v>2176</v>
      </c>
      <c r="J633" s="18" t="s">
        <v>2301</v>
      </c>
      <c r="K633" s="18">
        <v>421610.0</v>
      </c>
    </row>
    <row r="634">
      <c r="A634" s="18"/>
      <c r="B634" s="18"/>
      <c r="C634" s="17" t="str">
        <f t="shared" si="5"/>
        <v>#REF!</v>
      </c>
      <c r="D634" s="18" t="s">
        <v>2302</v>
      </c>
      <c r="E634" s="18"/>
      <c r="H634" s="18"/>
      <c r="I634" s="18" t="s">
        <v>2176</v>
      </c>
      <c r="J634" s="18" t="s">
        <v>2301</v>
      </c>
      <c r="K634" s="18">
        <v>421619.0</v>
      </c>
    </row>
    <row r="635">
      <c r="A635" s="18"/>
      <c r="B635" s="18"/>
      <c r="C635" s="17" t="str">
        <f t="shared" si="5"/>
        <v>#REF!</v>
      </c>
      <c r="D635" s="18" t="s">
        <v>2303</v>
      </c>
      <c r="E635" s="18"/>
      <c r="H635" s="18"/>
      <c r="I635" s="18" t="s">
        <v>2176</v>
      </c>
      <c r="J635" s="18" t="s">
        <v>2301</v>
      </c>
      <c r="K635" s="18">
        <v>421612.0</v>
      </c>
    </row>
    <row r="636">
      <c r="A636" s="18"/>
      <c r="B636" s="18"/>
      <c r="C636" s="17" t="str">
        <f t="shared" si="5"/>
        <v>#REF!</v>
      </c>
      <c r="D636" s="18" t="s">
        <v>2304</v>
      </c>
      <c r="E636" s="18"/>
      <c r="H636" s="18"/>
      <c r="I636" s="18" t="s">
        <v>2176</v>
      </c>
      <c r="J636" s="18" t="s">
        <v>2301</v>
      </c>
      <c r="K636" s="18">
        <v>421621.0</v>
      </c>
    </row>
    <row r="637">
      <c r="A637" s="18"/>
      <c r="B637" s="18"/>
      <c r="C637" s="17" t="str">
        <f t="shared" si="5"/>
        <v>#REF!</v>
      </c>
      <c r="D637" s="18" t="s">
        <v>2305</v>
      </c>
      <c r="E637" s="18"/>
      <c r="H637" s="18"/>
      <c r="I637" s="18" t="s">
        <v>2176</v>
      </c>
      <c r="J637" s="18" t="s">
        <v>2301</v>
      </c>
      <c r="K637" s="18">
        <v>421614.0</v>
      </c>
    </row>
    <row r="638">
      <c r="A638" s="18"/>
      <c r="B638" s="18"/>
      <c r="C638" s="17" t="str">
        <f t="shared" si="5"/>
        <v>#REF!</v>
      </c>
      <c r="D638" s="18" t="s">
        <v>2306</v>
      </c>
      <c r="E638" s="18"/>
      <c r="H638" s="18"/>
      <c r="I638" s="18" t="s">
        <v>2176</v>
      </c>
      <c r="J638" s="18" t="s">
        <v>2301</v>
      </c>
      <c r="K638" s="18">
        <v>421616.0</v>
      </c>
    </row>
    <row r="639">
      <c r="A639" s="18"/>
      <c r="B639" s="18"/>
      <c r="C639" s="17" t="str">
        <f t="shared" si="5"/>
        <v>#REF!</v>
      </c>
      <c r="D639" s="18" t="s">
        <v>2307</v>
      </c>
      <c r="E639" s="18"/>
      <c r="H639" s="18"/>
      <c r="I639" s="18" t="s">
        <v>2176</v>
      </c>
      <c r="J639" s="18" t="s">
        <v>2301</v>
      </c>
      <c r="K639" s="18">
        <v>421617.0</v>
      </c>
    </row>
    <row r="640">
      <c r="C640" s="17" t="str">
        <f t="shared" si="5"/>
        <v/>
      </c>
    </row>
    <row r="641">
      <c r="C641" s="17" t="str">
        <f t="shared" ref="C641:C658" si="6">COUNTA($C$2:C641)</f>
        <v>#REF!</v>
      </c>
    </row>
    <row r="642">
      <c r="C642" s="17" t="str">
        <f t="shared" si="6"/>
        <v>#REF!</v>
      </c>
    </row>
    <row r="643">
      <c r="C643" s="17" t="str">
        <f t="shared" si="6"/>
        <v>#REF!</v>
      </c>
    </row>
    <row r="644">
      <c r="C644" s="17" t="str">
        <f t="shared" si="6"/>
        <v>#REF!</v>
      </c>
    </row>
    <row r="645">
      <c r="C645" s="17" t="str">
        <f t="shared" si="6"/>
        <v>#REF!</v>
      </c>
    </row>
    <row r="646">
      <c r="C646" s="17" t="str">
        <f t="shared" si="6"/>
        <v>#REF!</v>
      </c>
    </row>
    <row r="647">
      <c r="C647" s="17" t="str">
        <f t="shared" si="6"/>
        <v>#REF!</v>
      </c>
    </row>
    <row r="648">
      <c r="C648" s="17" t="str">
        <f t="shared" si="6"/>
        <v>#REF!</v>
      </c>
    </row>
    <row r="649">
      <c r="C649" s="17" t="str">
        <f t="shared" si="6"/>
        <v>#REF!</v>
      </c>
    </row>
    <row r="650">
      <c r="C650" s="17" t="str">
        <f t="shared" si="6"/>
        <v>#REF!</v>
      </c>
    </row>
    <row r="651">
      <c r="C651" s="17" t="str">
        <f t="shared" si="6"/>
        <v>#REF!</v>
      </c>
    </row>
    <row r="652">
      <c r="C652" s="17" t="str">
        <f t="shared" si="6"/>
        <v>#REF!</v>
      </c>
    </row>
    <row r="653">
      <c r="C653" s="17" t="str">
        <f t="shared" si="6"/>
        <v>#REF!</v>
      </c>
    </row>
    <row r="654">
      <c r="C654" s="17" t="str">
        <f t="shared" si="6"/>
        <v>#REF!</v>
      </c>
    </row>
    <row r="655">
      <c r="C655" s="17" t="str">
        <f t="shared" si="6"/>
        <v>#REF!</v>
      </c>
    </row>
    <row r="656">
      <c r="C656" s="17" t="str">
        <f t="shared" si="6"/>
        <v>#REF!</v>
      </c>
    </row>
    <row r="657">
      <c r="C657" s="17" t="str">
        <f t="shared" si="6"/>
        <v>#REF!</v>
      </c>
    </row>
    <row r="658">
      <c r="C658" s="17" t="str">
        <f t="shared" si="6"/>
        <v>#REF!</v>
      </c>
    </row>
    <row r="659">
      <c r="C659" s="17" t="str">
        <f t="shared" ref="C659:C964" si="7">C658+1</f>
        <v>#REF!</v>
      </c>
    </row>
    <row r="660">
      <c r="C660" s="17" t="str">
        <f t="shared" si="7"/>
        <v>#REF!</v>
      </c>
    </row>
    <row r="661">
      <c r="C661" s="17" t="str">
        <f t="shared" si="7"/>
        <v>#REF!</v>
      </c>
    </row>
    <row r="662">
      <c r="C662" s="17" t="str">
        <f t="shared" si="7"/>
        <v>#REF!</v>
      </c>
    </row>
    <row r="663">
      <c r="C663" s="17" t="str">
        <f t="shared" si="7"/>
        <v>#REF!</v>
      </c>
    </row>
    <row r="664">
      <c r="C664" s="17" t="str">
        <f t="shared" si="7"/>
        <v>#REF!</v>
      </c>
    </row>
    <row r="665">
      <c r="C665" s="17" t="str">
        <f t="shared" si="7"/>
        <v>#REF!</v>
      </c>
    </row>
    <row r="666">
      <c r="C666" s="17" t="str">
        <f t="shared" si="7"/>
        <v>#REF!</v>
      </c>
    </row>
    <row r="667">
      <c r="C667" s="17" t="str">
        <f t="shared" si="7"/>
        <v>#REF!</v>
      </c>
    </row>
    <row r="668">
      <c r="C668" s="17" t="str">
        <f t="shared" si="7"/>
        <v>#REF!</v>
      </c>
    </row>
    <row r="669">
      <c r="C669" s="17" t="str">
        <f t="shared" si="7"/>
        <v>#REF!</v>
      </c>
    </row>
    <row r="670">
      <c r="C670" s="17" t="str">
        <f t="shared" si="7"/>
        <v>#REF!</v>
      </c>
    </row>
    <row r="671">
      <c r="C671" s="17" t="str">
        <f t="shared" si="7"/>
        <v>#REF!</v>
      </c>
    </row>
    <row r="672">
      <c r="C672" s="17" t="str">
        <f t="shared" si="7"/>
        <v>#REF!</v>
      </c>
    </row>
    <row r="673">
      <c r="C673" s="17" t="str">
        <f t="shared" si="7"/>
        <v>#REF!</v>
      </c>
    </row>
    <row r="674">
      <c r="C674" s="17" t="str">
        <f t="shared" si="7"/>
        <v>#REF!</v>
      </c>
    </row>
    <row r="675">
      <c r="C675" s="17" t="str">
        <f t="shared" si="7"/>
        <v>#REF!</v>
      </c>
    </row>
    <row r="676">
      <c r="C676" s="17" t="str">
        <f t="shared" si="7"/>
        <v>#REF!</v>
      </c>
    </row>
    <row r="677">
      <c r="C677" s="17" t="str">
        <f t="shared" si="7"/>
        <v>#REF!</v>
      </c>
    </row>
    <row r="678">
      <c r="C678" s="17" t="str">
        <f t="shared" si="7"/>
        <v>#REF!</v>
      </c>
    </row>
    <row r="679">
      <c r="C679" s="17" t="str">
        <f t="shared" si="7"/>
        <v>#REF!</v>
      </c>
    </row>
    <row r="680">
      <c r="C680" s="17" t="str">
        <f t="shared" si="7"/>
        <v>#REF!</v>
      </c>
    </row>
    <row r="681">
      <c r="C681" s="17" t="str">
        <f t="shared" si="7"/>
        <v>#REF!</v>
      </c>
    </row>
    <row r="682">
      <c r="C682" s="17" t="str">
        <f t="shared" si="7"/>
        <v>#REF!</v>
      </c>
    </row>
    <row r="683">
      <c r="C683" s="17" t="str">
        <f t="shared" si="7"/>
        <v>#REF!</v>
      </c>
    </row>
    <row r="684">
      <c r="C684" s="17" t="str">
        <f t="shared" si="7"/>
        <v>#REF!</v>
      </c>
    </row>
    <row r="685">
      <c r="C685" s="17" t="str">
        <f t="shared" si="7"/>
        <v>#REF!</v>
      </c>
    </row>
    <row r="686">
      <c r="C686" s="17" t="str">
        <f t="shared" si="7"/>
        <v>#REF!</v>
      </c>
    </row>
    <row r="687">
      <c r="C687" s="17" t="str">
        <f t="shared" si="7"/>
        <v>#REF!</v>
      </c>
    </row>
    <row r="688">
      <c r="C688" s="17" t="str">
        <f t="shared" si="7"/>
        <v>#REF!</v>
      </c>
    </row>
    <row r="689">
      <c r="C689" s="17" t="str">
        <f t="shared" si="7"/>
        <v>#REF!</v>
      </c>
    </row>
    <row r="690">
      <c r="C690" s="17" t="str">
        <f t="shared" si="7"/>
        <v>#REF!</v>
      </c>
    </row>
    <row r="691">
      <c r="C691" s="17" t="str">
        <f t="shared" si="7"/>
        <v>#REF!</v>
      </c>
    </row>
    <row r="692">
      <c r="C692" s="17" t="str">
        <f t="shared" si="7"/>
        <v>#REF!</v>
      </c>
    </row>
    <row r="693">
      <c r="C693" s="17" t="str">
        <f t="shared" si="7"/>
        <v>#REF!</v>
      </c>
    </row>
    <row r="694">
      <c r="C694" s="17" t="str">
        <f t="shared" si="7"/>
        <v>#REF!</v>
      </c>
    </row>
    <row r="695">
      <c r="C695" s="17" t="str">
        <f t="shared" si="7"/>
        <v>#REF!</v>
      </c>
    </row>
    <row r="696">
      <c r="C696" s="17" t="str">
        <f t="shared" si="7"/>
        <v>#REF!</v>
      </c>
    </row>
    <row r="697">
      <c r="C697" s="17" t="str">
        <f t="shared" si="7"/>
        <v>#REF!</v>
      </c>
    </row>
    <row r="698">
      <c r="C698" s="17" t="str">
        <f t="shared" si="7"/>
        <v>#REF!</v>
      </c>
    </row>
    <row r="699">
      <c r="C699" s="17" t="str">
        <f t="shared" si="7"/>
        <v>#REF!</v>
      </c>
    </row>
    <row r="700">
      <c r="C700" s="17" t="str">
        <f t="shared" si="7"/>
        <v>#REF!</v>
      </c>
    </row>
    <row r="701">
      <c r="C701" s="17" t="str">
        <f t="shared" si="7"/>
        <v>#REF!</v>
      </c>
    </row>
    <row r="702">
      <c r="C702" s="17" t="str">
        <f t="shared" si="7"/>
        <v>#REF!</v>
      </c>
    </row>
    <row r="703">
      <c r="C703" s="17" t="str">
        <f t="shared" si="7"/>
        <v>#REF!</v>
      </c>
    </row>
    <row r="704">
      <c r="C704" s="17" t="str">
        <f t="shared" si="7"/>
        <v>#REF!</v>
      </c>
    </row>
    <row r="705">
      <c r="C705" s="17" t="str">
        <f t="shared" si="7"/>
        <v>#REF!</v>
      </c>
    </row>
    <row r="706">
      <c r="C706" s="17" t="str">
        <f t="shared" si="7"/>
        <v>#REF!</v>
      </c>
    </row>
    <row r="707">
      <c r="C707" s="17" t="str">
        <f t="shared" si="7"/>
        <v>#REF!</v>
      </c>
    </row>
    <row r="708">
      <c r="C708" s="17" t="str">
        <f t="shared" si="7"/>
        <v>#REF!</v>
      </c>
    </row>
    <row r="709">
      <c r="C709" s="17" t="str">
        <f t="shared" si="7"/>
        <v>#REF!</v>
      </c>
    </row>
    <row r="710">
      <c r="C710" s="17" t="str">
        <f t="shared" si="7"/>
        <v>#REF!</v>
      </c>
    </row>
    <row r="711">
      <c r="C711" s="17" t="str">
        <f t="shared" si="7"/>
        <v>#REF!</v>
      </c>
    </row>
    <row r="712">
      <c r="C712" s="17" t="str">
        <f t="shared" si="7"/>
        <v>#REF!</v>
      </c>
    </row>
    <row r="713">
      <c r="C713" s="17" t="str">
        <f t="shared" si="7"/>
        <v>#REF!</v>
      </c>
    </row>
    <row r="714">
      <c r="C714" s="17" t="str">
        <f t="shared" si="7"/>
        <v>#REF!</v>
      </c>
    </row>
    <row r="715">
      <c r="C715" s="17" t="str">
        <f t="shared" si="7"/>
        <v>#REF!</v>
      </c>
    </row>
    <row r="716">
      <c r="C716" s="17" t="str">
        <f t="shared" si="7"/>
        <v>#REF!</v>
      </c>
    </row>
    <row r="717">
      <c r="C717" s="17" t="str">
        <f t="shared" si="7"/>
        <v>#REF!</v>
      </c>
    </row>
    <row r="718">
      <c r="C718" s="17" t="str">
        <f t="shared" si="7"/>
        <v>#REF!</v>
      </c>
    </row>
    <row r="719">
      <c r="C719" s="17" t="str">
        <f t="shared" si="7"/>
        <v>#REF!</v>
      </c>
    </row>
    <row r="720">
      <c r="C720" s="17" t="str">
        <f t="shared" si="7"/>
        <v>#REF!</v>
      </c>
    </row>
    <row r="721">
      <c r="C721" s="17" t="str">
        <f t="shared" si="7"/>
        <v>#REF!</v>
      </c>
    </row>
    <row r="722">
      <c r="C722" s="17" t="str">
        <f t="shared" si="7"/>
        <v>#REF!</v>
      </c>
    </row>
    <row r="723">
      <c r="C723" s="17" t="str">
        <f t="shared" si="7"/>
        <v>#REF!</v>
      </c>
    </row>
    <row r="724">
      <c r="C724" s="17" t="str">
        <f t="shared" si="7"/>
        <v>#REF!</v>
      </c>
    </row>
    <row r="725">
      <c r="C725" s="17" t="str">
        <f t="shared" si="7"/>
        <v>#REF!</v>
      </c>
    </row>
    <row r="726">
      <c r="C726" s="17" t="str">
        <f t="shared" si="7"/>
        <v>#REF!</v>
      </c>
    </row>
    <row r="727">
      <c r="C727" s="17" t="str">
        <f t="shared" si="7"/>
        <v>#REF!</v>
      </c>
    </row>
    <row r="728">
      <c r="C728" s="17" t="str">
        <f t="shared" si="7"/>
        <v>#REF!</v>
      </c>
    </row>
    <row r="729">
      <c r="C729" s="17" t="str">
        <f t="shared" si="7"/>
        <v>#REF!</v>
      </c>
    </row>
    <row r="730">
      <c r="C730" s="17" t="str">
        <f t="shared" si="7"/>
        <v>#REF!</v>
      </c>
    </row>
    <row r="731">
      <c r="C731" s="17" t="str">
        <f t="shared" si="7"/>
        <v>#REF!</v>
      </c>
    </row>
    <row r="732">
      <c r="C732" s="17" t="str">
        <f t="shared" si="7"/>
        <v>#REF!</v>
      </c>
    </row>
    <row r="733">
      <c r="C733" s="17" t="str">
        <f t="shared" si="7"/>
        <v>#REF!</v>
      </c>
    </row>
    <row r="734">
      <c r="C734" s="17" t="str">
        <f t="shared" si="7"/>
        <v>#REF!</v>
      </c>
    </row>
    <row r="735">
      <c r="C735" s="17" t="str">
        <f t="shared" si="7"/>
        <v>#REF!</v>
      </c>
    </row>
    <row r="736">
      <c r="C736" s="17" t="str">
        <f t="shared" si="7"/>
        <v>#REF!</v>
      </c>
    </row>
    <row r="737">
      <c r="C737" s="17" t="str">
        <f t="shared" si="7"/>
        <v>#REF!</v>
      </c>
    </row>
    <row r="738">
      <c r="C738" s="17" t="str">
        <f t="shared" si="7"/>
        <v>#REF!</v>
      </c>
    </row>
    <row r="739">
      <c r="C739" s="17" t="str">
        <f t="shared" si="7"/>
        <v>#REF!</v>
      </c>
    </row>
    <row r="740">
      <c r="C740" s="17" t="str">
        <f t="shared" si="7"/>
        <v>#REF!</v>
      </c>
    </row>
    <row r="741">
      <c r="C741" s="17" t="str">
        <f t="shared" si="7"/>
        <v>#REF!</v>
      </c>
    </row>
    <row r="742">
      <c r="C742" s="17" t="str">
        <f t="shared" si="7"/>
        <v>#REF!</v>
      </c>
    </row>
    <row r="743">
      <c r="C743" s="17" t="str">
        <f t="shared" si="7"/>
        <v>#REF!</v>
      </c>
    </row>
    <row r="744">
      <c r="C744" s="17" t="str">
        <f t="shared" si="7"/>
        <v>#REF!</v>
      </c>
    </row>
    <row r="745">
      <c r="C745" s="17" t="str">
        <f t="shared" si="7"/>
        <v>#REF!</v>
      </c>
    </row>
    <row r="746">
      <c r="C746" s="17" t="str">
        <f t="shared" si="7"/>
        <v>#REF!</v>
      </c>
    </row>
    <row r="747">
      <c r="C747" s="17" t="str">
        <f t="shared" si="7"/>
        <v>#REF!</v>
      </c>
    </row>
    <row r="748">
      <c r="C748" s="17" t="str">
        <f t="shared" si="7"/>
        <v>#REF!</v>
      </c>
    </row>
    <row r="749">
      <c r="C749" s="17" t="str">
        <f t="shared" si="7"/>
        <v>#REF!</v>
      </c>
    </row>
    <row r="750">
      <c r="C750" s="17" t="str">
        <f t="shared" si="7"/>
        <v>#REF!</v>
      </c>
    </row>
    <row r="751">
      <c r="C751" s="17" t="str">
        <f t="shared" si="7"/>
        <v>#REF!</v>
      </c>
    </row>
    <row r="752">
      <c r="C752" s="17" t="str">
        <f t="shared" si="7"/>
        <v>#REF!</v>
      </c>
    </row>
    <row r="753">
      <c r="C753" s="17" t="str">
        <f t="shared" si="7"/>
        <v>#REF!</v>
      </c>
    </row>
    <row r="754">
      <c r="C754" s="17" t="str">
        <f t="shared" si="7"/>
        <v>#REF!</v>
      </c>
    </row>
    <row r="755">
      <c r="C755" s="17" t="str">
        <f t="shared" si="7"/>
        <v>#REF!</v>
      </c>
    </row>
    <row r="756">
      <c r="C756" s="17" t="str">
        <f t="shared" si="7"/>
        <v>#REF!</v>
      </c>
    </row>
    <row r="757">
      <c r="C757" s="17" t="str">
        <f t="shared" si="7"/>
        <v>#REF!</v>
      </c>
    </row>
    <row r="758">
      <c r="C758" s="17" t="str">
        <f t="shared" si="7"/>
        <v>#REF!</v>
      </c>
    </row>
    <row r="759">
      <c r="C759" s="17" t="str">
        <f t="shared" si="7"/>
        <v>#REF!</v>
      </c>
    </row>
    <row r="760">
      <c r="C760" s="17" t="str">
        <f t="shared" si="7"/>
        <v>#REF!</v>
      </c>
    </row>
    <row r="761">
      <c r="C761" s="17" t="str">
        <f t="shared" si="7"/>
        <v>#REF!</v>
      </c>
    </row>
    <row r="762">
      <c r="C762" s="17" t="str">
        <f t="shared" si="7"/>
        <v>#REF!</v>
      </c>
    </row>
    <row r="763">
      <c r="C763" s="17" t="str">
        <f t="shared" si="7"/>
        <v>#REF!</v>
      </c>
    </row>
    <row r="764">
      <c r="C764" s="17" t="str">
        <f t="shared" si="7"/>
        <v>#REF!</v>
      </c>
    </row>
    <row r="765">
      <c r="C765" s="17" t="str">
        <f t="shared" si="7"/>
        <v>#REF!</v>
      </c>
    </row>
    <row r="766">
      <c r="C766" s="17" t="str">
        <f t="shared" si="7"/>
        <v>#REF!</v>
      </c>
    </row>
    <row r="767">
      <c r="C767" s="17" t="str">
        <f t="shared" si="7"/>
        <v>#REF!</v>
      </c>
    </row>
    <row r="768">
      <c r="C768" s="17" t="str">
        <f t="shared" si="7"/>
        <v>#REF!</v>
      </c>
    </row>
    <row r="769">
      <c r="C769" s="17" t="str">
        <f t="shared" si="7"/>
        <v>#REF!</v>
      </c>
    </row>
    <row r="770">
      <c r="C770" s="17" t="str">
        <f t="shared" si="7"/>
        <v>#REF!</v>
      </c>
    </row>
    <row r="771">
      <c r="C771" s="17" t="str">
        <f t="shared" si="7"/>
        <v>#REF!</v>
      </c>
    </row>
    <row r="772">
      <c r="C772" s="17" t="str">
        <f t="shared" si="7"/>
        <v>#REF!</v>
      </c>
    </row>
    <row r="773">
      <c r="C773" s="17" t="str">
        <f t="shared" si="7"/>
        <v>#REF!</v>
      </c>
    </row>
    <row r="774">
      <c r="C774" s="17" t="str">
        <f t="shared" si="7"/>
        <v>#REF!</v>
      </c>
    </row>
    <row r="775">
      <c r="C775" s="17" t="str">
        <f t="shared" si="7"/>
        <v>#REF!</v>
      </c>
    </row>
    <row r="776">
      <c r="C776" s="17" t="str">
        <f t="shared" si="7"/>
        <v>#REF!</v>
      </c>
    </row>
    <row r="777">
      <c r="C777" s="17" t="str">
        <f t="shared" si="7"/>
        <v>#REF!</v>
      </c>
    </row>
    <row r="778">
      <c r="C778" s="17" t="str">
        <f t="shared" si="7"/>
        <v>#REF!</v>
      </c>
    </row>
    <row r="779">
      <c r="C779" s="17" t="str">
        <f t="shared" si="7"/>
        <v>#REF!</v>
      </c>
    </row>
    <row r="780">
      <c r="C780" s="17" t="str">
        <f t="shared" si="7"/>
        <v>#REF!</v>
      </c>
    </row>
    <row r="781">
      <c r="C781" s="17" t="str">
        <f t="shared" si="7"/>
        <v>#REF!</v>
      </c>
    </row>
    <row r="782">
      <c r="C782" s="17" t="str">
        <f t="shared" si="7"/>
        <v>#REF!</v>
      </c>
    </row>
    <row r="783">
      <c r="C783" s="17" t="str">
        <f t="shared" si="7"/>
        <v>#REF!</v>
      </c>
    </row>
    <row r="784">
      <c r="C784" s="17" t="str">
        <f t="shared" si="7"/>
        <v>#REF!</v>
      </c>
    </row>
    <row r="785">
      <c r="C785" s="17" t="str">
        <f t="shared" si="7"/>
        <v>#REF!</v>
      </c>
    </row>
    <row r="786">
      <c r="C786" s="17" t="str">
        <f t="shared" si="7"/>
        <v>#REF!</v>
      </c>
    </row>
    <row r="787">
      <c r="C787" s="17" t="str">
        <f t="shared" si="7"/>
        <v>#REF!</v>
      </c>
    </row>
    <row r="788">
      <c r="C788" s="17" t="str">
        <f t="shared" si="7"/>
        <v>#REF!</v>
      </c>
    </row>
    <row r="789">
      <c r="C789" s="17" t="str">
        <f t="shared" si="7"/>
        <v>#REF!</v>
      </c>
    </row>
    <row r="790">
      <c r="C790" s="17" t="str">
        <f t="shared" si="7"/>
        <v>#REF!</v>
      </c>
    </row>
    <row r="791">
      <c r="C791" s="17" t="str">
        <f t="shared" si="7"/>
        <v>#REF!</v>
      </c>
    </row>
    <row r="792">
      <c r="C792" s="17" t="str">
        <f t="shared" si="7"/>
        <v>#REF!</v>
      </c>
    </row>
    <row r="793">
      <c r="C793" s="17" t="str">
        <f t="shared" si="7"/>
        <v>#REF!</v>
      </c>
    </row>
    <row r="794">
      <c r="C794" s="17" t="str">
        <f t="shared" si="7"/>
        <v>#REF!</v>
      </c>
    </row>
    <row r="795">
      <c r="C795" s="17" t="str">
        <f t="shared" si="7"/>
        <v>#REF!</v>
      </c>
    </row>
    <row r="796">
      <c r="C796" s="17" t="str">
        <f t="shared" si="7"/>
        <v>#REF!</v>
      </c>
    </row>
    <row r="797">
      <c r="C797" s="17" t="str">
        <f t="shared" si="7"/>
        <v>#REF!</v>
      </c>
    </row>
    <row r="798">
      <c r="C798" s="17" t="str">
        <f t="shared" si="7"/>
        <v>#REF!</v>
      </c>
    </row>
    <row r="799">
      <c r="C799" s="17" t="str">
        <f t="shared" si="7"/>
        <v>#REF!</v>
      </c>
    </row>
    <row r="800">
      <c r="C800" s="17" t="str">
        <f t="shared" si="7"/>
        <v>#REF!</v>
      </c>
    </row>
    <row r="801">
      <c r="C801" s="17" t="str">
        <f t="shared" si="7"/>
        <v>#REF!</v>
      </c>
    </row>
    <row r="802">
      <c r="C802" s="17" t="str">
        <f t="shared" si="7"/>
        <v>#REF!</v>
      </c>
    </row>
    <row r="803">
      <c r="C803" s="17" t="str">
        <f t="shared" si="7"/>
        <v>#REF!</v>
      </c>
    </row>
    <row r="804">
      <c r="C804" s="17" t="str">
        <f t="shared" si="7"/>
        <v>#REF!</v>
      </c>
    </row>
    <row r="805">
      <c r="C805" s="17" t="str">
        <f t="shared" si="7"/>
        <v>#REF!</v>
      </c>
    </row>
    <row r="806">
      <c r="C806" s="17" t="str">
        <f t="shared" si="7"/>
        <v>#REF!</v>
      </c>
    </row>
    <row r="807">
      <c r="C807" s="17" t="str">
        <f t="shared" si="7"/>
        <v>#REF!</v>
      </c>
    </row>
    <row r="808">
      <c r="C808" s="17" t="str">
        <f t="shared" si="7"/>
        <v>#REF!</v>
      </c>
    </row>
    <row r="809">
      <c r="C809" s="17" t="str">
        <f t="shared" si="7"/>
        <v>#REF!</v>
      </c>
    </row>
    <row r="810">
      <c r="C810" s="17" t="str">
        <f t="shared" si="7"/>
        <v>#REF!</v>
      </c>
    </row>
    <row r="811">
      <c r="C811" s="17" t="str">
        <f t="shared" si="7"/>
        <v>#REF!</v>
      </c>
    </row>
    <row r="812">
      <c r="C812" s="17" t="str">
        <f t="shared" si="7"/>
        <v>#REF!</v>
      </c>
    </row>
    <row r="813">
      <c r="C813" s="17" t="str">
        <f t="shared" si="7"/>
        <v>#REF!</v>
      </c>
    </row>
    <row r="814">
      <c r="C814" s="17" t="str">
        <f t="shared" si="7"/>
        <v>#REF!</v>
      </c>
    </row>
    <row r="815">
      <c r="C815" s="17" t="str">
        <f t="shared" si="7"/>
        <v>#REF!</v>
      </c>
    </row>
    <row r="816">
      <c r="C816" s="17" t="str">
        <f t="shared" si="7"/>
        <v>#REF!</v>
      </c>
    </row>
    <row r="817">
      <c r="C817" s="17" t="str">
        <f t="shared" si="7"/>
        <v>#REF!</v>
      </c>
    </row>
    <row r="818">
      <c r="C818" s="17" t="str">
        <f t="shared" si="7"/>
        <v>#REF!</v>
      </c>
    </row>
    <row r="819">
      <c r="C819" s="17" t="str">
        <f t="shared" si="7"/>
        <v>#REF!</v>
      </c>
    </row>
    <row r="820">
      <c r="C820" s="17" t="str">
        <f t="shared" si="7"/>
        <v>#REF!</v>
      </c>
    </row>
    <row r="821">
      <c r="C821" s="17" t="str">
        <f t="shared" si="7"/>
        <v>#REF!</v>
      </c>
    </row>
    <row r="822">
      <c r="C822" s="17" t="str">
        <f t="shared" si="7"/>
        <v>#REF!</v>
      </c>
    </row>
    <row r="823">
      <c r="C823" s="17" t="str">
        <f t="shared" si="7"/>
        <v>#REF!</v>
      </c>
    </row>
    <row r="824">
      <c r="C824" s="17" t="str">
        <f t="shared" si="7"/>
        <v>#REF!</v>
      </c>
    </row>
    <row r="825">
      <c r="C825" s="17" t="str">
        <f t="shared" si="7"/>
        <v>#REF!</v>
      </c>
    </row>
    <row r="826">
      <c r="C826" s="17" t="str">
        <f t="shared" si="7"/>
        <v>#REF!</v>
      </c>
    </row>
    <row r="827">
      <c r="C827" s="17" t="str">
        <f t="shared" si="7"/>
        <v>#REF!</v>
      </c>
    </row>
    <row r="828">
      <c r="C828" s="17" t="str">
        <f t="shared" si="7"/>
        <v>#REF!</v>
      </c>
    </row>
    <row r="829">
      <c r="C829" s="17" t="str">
        <f t="shared" si="7"/>
        <v>#REF!</v>
      </c>
    </row>
    <row r="830">
      <c r="C830" s="17" t="str">
        <f t="shared" si="7"/>
        <v>#REF!</v>
      </c>
    </row>
    <row r="831">
      <c r="C831" s="17" t="str">
        <f t="shared" si="7"/>
        <v>#REF!</v>
      </c>
    </row>
    <row r="832">
      <c r="C832" s="17" t="str">
        <f t="shared" si="7"/>
        <v>#REF!</v>
      </c>
    </row>
    <row r="833">
      <c r="C833" s="17" t="str">
        <f t="shared" si="7"/>
        <v>#REF!</v>
      </c>
    </row>
    <row r="834">
      <c r="C834" s="17" t="str">
        <f t="shared" si="7"/>
        <v>#REF!</v>
      </c>
    </row>
    <row r="835">
      <c r="C835" s="17" t="str">
        <f t="shared" si="7"/>
        <v>#REF!</v>
      </c>
    </row>
    <row r="836">
      <c r="C836" s="17" t="str">
        <f t="shared" si="7"/>
        <v>#REF!</v>
      </c>
    </row>
    <row r="837">
      <c r="C837" s="17" t="str">
        <f t="shared" si="7"/>
        <v>#REF!</v>
      </c>
    </row>
    <row r="838">
      <c r="C838" s="17" t="str">
        <f t="shared" si="7"/>
        <v>#REF!</v>
      </c>
    </row>
    <row r="839">
      <c r="C839" s="17" t="str">
        <f t="shared" si="7"/>
        <v>#REF!</v>
      </c>
    </row>
    <row r="840">
      <c r="C840" s="17" t="str">
        <f t="shared" si="7"/>
        <v>#REF!</v>
      </c>
    </row>
    <row r="841">
      <c r="C841" s="17" t="str">
        <f t="shared" si="7"/>
        <v>#REF!</v>
      </c>
    </row>
    <row r="842">
      <c r="C842" s="17" t="str">
        <f t="shared" si="7"/>
        <v>#REF!</v>
      </c>
    </row>
    <row r="843">
      <c r="C843" s="17" t="str">
        <f t="shared" si="7"/>
        <v>#REF!</v>
      </c>
    </row>
    <row r="844">
      <c r="C844" s="17" t="str">
        <f t="shared" si="7"/>
        <v>#REF!</v>
      </c>
    </row>
    <row r="845">
      <c r="C845" s="17" t="str">
        <f t="shared" si="7"/>
        <v>#REF!</v>
      </c>
    </row>
    <row r="846">
      <c r="C846" s="17" t="str">
        <f t="shared" si="7"/>
        <v>#REF!</v>
      </c>
    </row>
    <row r="847">
      <c r="C847" s="17" t="str">
        <f t="shared" si="7"/>
        <v>#REF!</v>
      </c>
    </row>
    <row r="848">
      <c r="C848" s="17" t="str">
        <f t="shared" si="7"/>
        <v>#REF!</v>
      </c>
    </row>
    <row r="849">
      <c r="C849" s="17" t="str">
        <f t="shared" si="7"/>
        <v>#REF!</v>
      </c>
    </row>
    <row r="850">
      <c r="C850" s="17" t="str">
        <f t="shared" si="7"/>
        <v>#REF!</v>
      </c>
    </row>
    <row r="851">
      <c r="C851" s="17" t="str">
        <f t="shared" si="7"/>
        <v>#REF!</v>
      </c>
    </row>
    <row r="852">
      <c r="C852" s="17" t="str">
        <f t="shared" si="7"/>
        <v>#REF!</v>
      </c>
    </row>
    <row r="853">
      <c r="C853" s="17" t="str">
        <f t="shared" si="7"/>
        <v>#REF!</v>
      </c>
    </row>
    <row r="854">
      <c r="C854" s="17" t="str">
        <f t="shared" si="7"/>
        <v>#REF!</v>
      </c>
    </row>
    <row r="855">
      <c r="C855" s="17" t="str">
        <f t="shared" si="7"/>
        <v>#REF!</v>
      </c>
    </row>
    <row r="856">
      <c r="C856" s="17" t="str">
        <f t="shared" si="7"/>
        <v>#REF!</v>
      </c>
    </row>
    <row r="857">
      <c r="C857" s="17" t="str">
        <f t="shared" si="7"/>
        <v>#REF!</v>
      </c>
    </row>
    <row r="858">
      <c r="C858" s="17" t="str">
        <f t="shared" si="7"/>
        <v>#REF!</v>
      </c>
    </row>
    <row r="859">
      <c r="C859" s="17" t="str">
        <f t="shared" si="7"/>
        <v>#REF!</v>
      </c>
    </row>
    <row r="860">
      <c r="C860" s="17" t="str">
        <f t="shared" si="7"/>
        <v>#REF!</v>
      </c>
    </row>
    <row r="861">
      <c r="C861" s="17" t="str">
        <f t="shared" si="7"/>
        <v>#REF!</v>
      </c>
    </row>
    <row r="862">
      <c r="C862" s="17" t="str">
        <f t="shared" si="7"/>
        <v>#REF!</v>
      </c>
    </row>
    <row r="863">
      <c r="C863" s="17" t="str">
        <f t="shared" si="7"/>
        <v>#REF!</v>
      </c>
    </row>
    <row r="864">
      <c r="C864" s="17" t="str">
        <f t="shared" si="7"/>
        <v>#REF!</v>
      </c>
    </row>
    <row r="865">
      <c r="C865" s="17" t="str">
        <f t="shared" si="7"/>
        <v>#REF!</v>
      </c>
    </row>
    <row r="866">
      <c r="C866" s="17" t="str">
        <f t="shared" si="7"/>
        <v>#REF!</v>
      </c>
    </row>
    <row r="867">
      <c r="C867" s="17" t="str">
        <f t="shared" si="7"/>
        <v>#REF!</v>
      </c>
    </row>
    <row r="868">
      <c r="C868" s="17" t="str">
        <f t="shared" si="7"/>
        <v>#REF!</v>
      </c>
    </row>
    <row r="869">
      <c r="C869" s="17" t="str">
        <f t="shared" si="7"/>
        <v>#REF!</v>
      </c>
    </row>
    <row r="870">
      <c r="C870" s="17" t="str">
        <f t="shared" si="7"/>
        <v>#REF!</v>
      </c>
    </row>
    <row r="871">
      <c r="C871" s="17" t="str">
        <f t="shared" si="7"/>
        <v>#REF!</v>
      </c>
    </row>
    <row r="872">
      <c r="C872" s="17" t="str">
        <f t="shared" si="7"/>
        <v>#REF!</v>
      </c>
    </row>
    <row r="873">
      <c r="C873" s="17" t="str">
        <f t="shared" si="7"/>
        <v>#REF!</v>
      </c>
    </row>
    <row r="874">
      <c r="C874" s="17" t="str">
        <f t="shared" si="7"/>
        <v>#REF!</v>
      </c>
    </row>
    <row r="875">
      <c r="C875" s="17" t="str">
        <f t="shared" si="7"/>
        <v>#REF!</v>
      </c>
    </row>
    <row r="876">
      <c r="C876" s="17" t="str">
        <f t="shared" si="7"/>
        <v>#REF!</v>
      </c>
    </row>
    <row r="877">
      <c r="C877" s="17" t="str">
        <f t="shared" si="7"/>
        <v>#REF!</v>
      </c>
    </row>
    <row r="878">
      <c r="C878" s="17" t="str">
        <f t="shared" si="7"/>
        <v>#REF!</v>
      </c>
    </row>
    <row r="879">
      <c r="C879" s="17" t="str">
        <f t="shared" si="7"/>
        <v>#REF!</v>
      </c>
    </row>
    <row r="880">
      <c r="C880" s="17" t="str">
        <f t="shared" si="7"/>
        <v>#REF!</v>
      </c>
    </row>
    <row r="881">
      <c r="C881" s="17" t="str">
        <f t="shared" si="7"/>
        <v>#REF!</v>
      </c>
    </row>
    <row r="882">
      <c r="C882" s="17" t="str">
        <f t="shared" si="7"/>
        <v>#REF!</v>
      </c>
    </row>
    <row r="883">
      <c r="C883" s="17" t="str">
        <f t="shared" si="7"/>
        <v>#REF!</v>
      </c>
    </row>
    <row r="884">
      <c r="C884" s="17" t="str">
        <f t="shared" si="7"/>
        <v>#REF!</v>
      </c>
    </row>
    <row r="885">
      <c r="C885" s="17" t="str">
        <f t="shared" si="7"/>
        <v>#REF!</v>
      </c>
    </row>
    <row r="886">
      <c r="C886" s="17" t="str">
        <f t="shared" si="7"/>
        <v>#REF!</v>
      </c>
    </row>
    <row r="887">
      <c r="C887" s="17" t="str">
        <f t="shared" si="7"/>
        <v>#REF!</v>
      </c>
    </row>
    <row r="888">
      <c r="C888" s="17" t="str">
        <f t="shared" si="7"/>
        <v>#REF!</v>
      </c>
    </row>
    <row r="889">
      <c r="C889" s="17" t="str">
        <f t="shared" si="7"/>
        <v>#REF!</v>
      </c>
    </row>
    <row r="890">
      <c r="C890" s="17" t="str">
        <f t="shared" si="7"/>
        <v>#REF!</v>
      </c>
    </row>
    <row r="891">
      <c r="C891" s="17" t="str">
        <f t="shared" si="7"/>
        <v>#REF!</v>
      </c>
    </row>
    <row r="892">
      <c r="C892" s="17" t="str">
        <f t="shared" si="7"/>
        <v>#REF!</v>
      </c>
    </row>
    <row r="893">
      <c r="C893" s="17" t="str">
        <f t="shared" si="7"/>
        <v>#REF!</v>
      </c>
    </row>
    <row r="894">
      <c r="C894" s="17" t="str">
        <f t="shared" si="7"/>
        <v>#REF!</v>
      </c>
    </row>
    <row r="895">
      <c r="C895" s="17" t="str">
        <f t="shared" si="7"/>
        <v>#REF!</v>
      </c>
    </row>
    <row r="896">
      <c r="C896" s="17" t="str">
        <f t="shared" si="7"/>
        <v>#REF!</v>
      </c>
    </row>
    <row r="897">
      <c r="C897" s="17" t="str">
        <f t="shared" si="7"/>
        <v>#REF!</v>
      </c>
    </row>
    <row r="898">
      <c r="C898" s="17" t="str">
        <f t="shared" si="7"/>
        <v>#REF!</v>
      </c>
    </row>
    <row r="899">
      <c r="C899" s="17" t="str">
        <f t="shared" si="7"/>
        <v>#REF!</v>
      </c>
    </row>
    <row r="900">
      <c r="C900" s="17" t="str">
        <f t="shared" si="7"/>
        <v>#REF!</v>
      </c>
    </row>
    <row r="901">
      <c r="C901" s="17" t="str">
        <f t="shared" si="7"/>
        <v>#REF!</v>
      </c>
    </row>
    <row r="902">
      <c r="C902" s="17" t="str">
        <f t="shared" si="7"/>
        <v>#REF!</v>
      </c>
    </row>
    <row r="903">
      <c r="C903" s="17" t="str">
        <f t="shared" si="7"/>
        <v>#REF!</v>
      </c>
    </row>
    <row r="904">
      <c r="C904" s="17" t="str">
        <f t="shared" si="7"/>
        <v>#REF!</v>
      </c>
    </row>
    <row r="905">
      <c r="C905" s="17" t="str">
        <f t="shared" si="7"/>
        <v>#REF!</v>
      </c>
    </row>
    <row r="906">
      <c r="C906" s="17" t="str">
        <f t="shared" si="7"/>
        <v>#REF!</v>
      </c>
    </row>
    <row r="907">
      <c r="C907" s="17" t="str">
        <f t="shared" si="7"/>
        <v>#REF!</v>
      </c>
    </row>
    <row r="908">
      <c r="C908" s="17" t="str">
        <f t="shared" si="7"/>
        <v>#REF!</v>
      </c>
    </row>
    <row r="909">
      <c r="C909" s="17" t="str">
        <f t="shared" si="7"/>
        <v>#REF!</v>
      </c>
    </row>
    <row r="910">
      <c r="C910" s="17" t="str">
        <f t="shared" si="7"/>
        <v>#REF!</v>
      </c>
    </row>
    <row r="911">
      <c r="C911" s="17" t="str">
        <f t="shared" si="7"/>
        <v>#REF!</v>
      </c>
    </row>
    <row r="912">
      <c r="C912" s="17" t="str">
        <f t="shared" si="7"/>
        <v>#REF!</v>
      </c>
    </row>
    <row r="913">
      <c r="C913" s="17" t="str">
        <f t="shared" si="7"/>
        <v>#REF!</v>
      </c>
    </row>
    <row r="914">
      <c r="C914" s="17" t="str">
        <f t="shared" si="7"/>
        <v>#REF!</v>
      </c>
    </row>
    <row r="915">
      <c r="C915" s="17" t="str">
        <f t="shared" si="7"/>
        <v>#REF!</v>
      </c>
    </row>
    <row r="916">
      <c r="C916" s="17" t="str">
        <f t="shared" si="7"/>
        <v>#REF!</v>
      </c>
    </row>
    <row r="917">
      <c r="C917" s="17" t="str">
        <f t="shared" si="7"/>
        <v>#REF!</v>
      </c>
    </row>
    <row r="918">
      <c r="C918" s="17" t="str">
        <f t="shared" si="7"/>
        <v>#REF!</v>
      </c>
    </row>
    <row r="919">
      <c r="C919" s="17" t="str">
        <f t="shared" si="7"/>
        <v>#REF!</v>
      </c>
    </row>
    <row r="920">
      <c r="C920" s="17" t="str">
        <f t="shared" si="7"/>
        <v>#REF!</v>
      </c>
    </row>
    <row r="921">
      <c r="C921" s="17" t="str">
        <f t="shared" si="7"/>
        <v>#REF!</v>
      </c>
    </row>
    <row r="922">
      <c r="C922" s="17" t="str">
        <f t="shared" si="7"/>
        <v>#REF!</v>
      </c>
    </row>
    <row r="923">
      <c r="C923" s="17" t="str">
        <f t="shared" si="7"/>
        <v>#REF!</v>
      </c>
    </row>
    <row r="924">
      <c r="C924" s="17" t="str">
        <f t="shared" si="7"/>
        <v>#REF!</v>
      </c>
    </row>
    <row r="925">
      <c r="C925" s="17" t="str">
        <f t="shared" si="7"/>
        <v>#REF!</v>
      </c>
    </row>
    <row r="926">
      <c r="C926" s="17" t="str">
        <f t="shared" si="7"/>
        <v>#REF!</v>
      </c>
    </row>
    <row r="927">
      <c r="C927" s="17" t="str">
        <f t="shared" si="7"/>
        <v>#REF!</v>
      </c>
    </row>
    <row r="928">
      <c r="C928" s="17" t="str">
        <f t="shared" si="7"/>
        <v>#REF!</v>
      </c>
    </row>
    <row r="929">
      <c r="C929" s="17" t="str">
        <f t="shared" si="7"/>
        <v>#REF!</v>
      </c>
    </row>
    <row r="930">
      <c r="C930" s="17" t="str">
        <f t="shared" si="7"/>
        <v>#REF!</v>
      </c>
    </row>
    <row r="931">
      <c r="C931" s="17" t="str">
        <f t="shared" si="7"/>
        <v>#REF!</v>
      </c>
    </row>
    <row r="932">
      <c r="C932" s="17" t="str">
        <f t="shared" si="7"/>
        <v>#REF!</v>
      </c>
    </row>
    <row r="933">
      <c r="C933" s="17" t="str">
        <f t="shared" si="7"/>
        <v>#REF!</v>
      </c>
    </row>
    <row r="934">
      <c r="C934" s="17" t="str">
        <f t="shared" si="7"/>
        <v>#REF!</v>
      </c>
    </row>
    <row r="935">
      <c r="C935" s="17" t="str">
        <f t="shared" si="7"/>
        <v>#REF!</v>
      </c>
    </row>
    <row r="936">
      <c r="C936" s="17" t="str">
        <f t="shared" si="7"/>
        <v>#REF!</v>
      </c>
    </row>
    <row r="937">
      <c r="C937" s="17" t="str">
        <f t="shared" si="7"/>
        <v>#REF!</v>
      </c>
    </row>
    <row r="938">
      <c r="C938" s="17" t="str">
        <f t="shared" si="7"/>
        <v>#REF!</v>
      </c>
    </row>
    <row r="939">
      <c r="C939" s="17" t="str">
        <f t="shared" si="7"/>
        <v>#REF!</v>
      </c>
    </row>
    <row r="940">
      <c r="C940" s="17" t="str">
        <f t="shared" si="7"/>
        <v>#REF!</v>
      </c>
    </row>
    <row r="941">
      <c r="C941" s="17" t="str">
        <f t="shared" si="7"/>
        <v>#REF!</v>
      </c>
    </row>
    <row r="942">
      <c r="C942" s="17" t="str">
        <f t="shared" si="7"/>
        <v>#REF!</v>
      </c>
    </row>
    <row r="943">
      <c r="C943" s="17" t="str">
        <f t="shared" si="7"/>
        <v>#REF!</v>
      </c>
    </row>
    <row r="944">
      <c r="C944" s="17" t="str">
        <f t="shared" si="7"/>
        <v>#REF!</v>
      </c>
    </row>
    <row r="945">
      <c r="C945" s="17" t="str">
        <f t="shared" si="7"/>
        <v>#REF!</v>
      </c>
    </row>
    <row r="946">
      <c r="C946" s="17" t="str">
        <f t="shared" si="7"/>
        <v>#REF!</v>
      </c>
    </row>
    <row r="947">
      <c r="C947" s="17" t="str">
        <f t="shared" si="7"/>
        <v>#REF!</v>
      </c>
    </row>
    <row r="948">
      <c r="C948" s="17" t="str">
        <f t="shared" si="7"/>
        <v>#REF!</v>
      </c>
    </row>
    <row r="949">
      <c r="C949" s="17" t="str">
        <f t="shared" si="7"/>
        <v>#REF!</v>
      </c>
    </row>
    <row r="950">
      <c r="C950" s="17" t="str">
        <f t="shared" si="7"/>
        <v>#REF!</v>
      </c>
    </row>
    <row r="951">
      <c r="C951" s="17" t="str">
        <f t="shared" si="7"/>
        <v>#REF!</v>
      </c>
    </row>
    <row r="952">
      <c r="C952" s="17" t="str">
        <f t="shared" si="7"/>
        <v>#REF!</v>
      </c>
    </row>
    <row r="953">
      <c r="C953" s="17" t="str">
        <f t="shared" si="7"/>
        <v>#REF!</v>
      </c>
    </row>
    <row r="954">
      <c r="C954" s="17" t="str">
        <f t="shared" si="7"/>
        <v>#REF!</v>
      </c>
    </row>
    <row r="955">
      <c r="C955" s="17" t="str">
        <f t="shared" si="7"/>
        <v>#REF!</v>
      </c>
    </row>
    <row r="956">
      <c r="C956" s="17" t="str">
        <f t="shared" si="7"/>
        <v>#REF!</v>
      </c>
    </row>
    <row r="957">
      <c r="C957" s="17" t="str">
        <f t="shared" si="7"/>
        <v>#REF!</v>
      </c>
    </row>
    <row r="958">
      <c r="C958" s="17" t="str">
        <f t="shared" si="7"/>
        <v>#REF!</v>
      </c>
    </row>
    <row r="959">
      <c r="C959" s="17" t="str">
        <f t="shared" si="7"/>
        <v>#REF!</v>
      </c>
    </row>
    <row r="960">
      <c r="C960" s="17" t="str">
        <f t="shared" si="7"/>
        <v>#REF!</v>
      </c>
    </row>
    <row r="961">
      <c r="C961" s="17" t="str">
        <f t="shared" si="7"/>
        <v>#REF!</v>
      </c>
    </row>
    <row r="962">
      <c r="C962" s="17" t="str">
        <f t="shared" si="7"/>
        <v>#REF!</v>
      </c>
    </row>
    <row r="963">
      <c r="C963" s="17" t="str">
        <f t="shared" si="7"/>
        <v>#REF!</v>
      </c>
    </row>
    <row r="964">
      <c r="C964" s="17" t="str">
        <f t="shared" si="7"/>
        <v>#REF!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4.25"/>
    <col customWidth="1" min="5" max="5" width="54.38"/>
    <col customWidth="1" min="6" max="6" width="49.88"/>
    <col customWidth="1" min="13" max="13" width="13.88"/>
    <col customWidth="1" min="16" max="17" width="30.88"/>
    <col customWidth="1" min="18" max="18" width="84.63"/>
    <col customWidth="1" min="21" max="21" width="84.5"/>
    <col customWidth="1" min="24" max="24" width="13.63"/>
    <col customWidth="1" min="27" max="29" width="58.25"/>
  </cols>
  <sheetData>
    <row r="1">
      <c r="A1" s="18" t="s">
        <v>2308</v>
      </c>
      <c r="B1" s="18" t="s">
        <v>2309</v>
      </c>
      <c r="C1" s="18" t="s">
        <v>1655</v>
      </c>
      <c r="D1" s="18" t="s">
        <v>2310</v>
      </c>
      <c r="E1" s="18" t="s">
        <v>2311</v>
      </c>
      <c r="F1" s="18" t="s">
        <v>2312</v>
      </c>
      <c r="G1" s="18" t="s">
        <v>2313</v>
      </c>
      <c r="H1" s="18" t="s">
        <v>2314</v>
      </c>
      <c r="I1" s="18" t="s">
        <v>2315</v>
      </c>
      <c r="J1" s="18" t="s">
        <v>2316</v>
      </c>
      <c r="K1" s="18" t="s">
        <v>2317</v>
      </c>
      <c r="L1" s="18" t="s">
        <v>2318</v>
      </c>
      <c r="M1" s="18" t="s">
        <v>2319</v>
      </c>
      <c r="N1" s="18" t="s">
        <v>2320</v>
      </c>
      <c r="O1" s="18" t="s">
        <v>2321</v>
      </c>
      <c r="P1" s="18" t="s">
        <v>2322</v>
      </c>
      <c r="Q1" s="18" t="s">
        <v>2323</v>
      </c>
      <c r="R1" s="18" t="s">
        <v>2324</v>
      </c>
      <c r="S1" s="18" t="s">
        <v>2325</v>
      </c>
      <c r="T1" s="18" t="s">
        <v>2326</v>
      </c>
      <c r="U1" s="18" t="s">
        <v>2327</v>
      </c>
      <c r="V1" s="18" t="s">
        <v>2328</v>
      </c>
      <c r="W1" s="18" t="s">
        <v>2329</v>
      </c>
      <c r="X1" s="18" t="s">
        <v>2330</v>
      </c>
      <c r="Y1" s="18" t="s">
        <v>2331</v>
      </c>
      <c r="Z1" s="18" t="s">
        <v>2332</v>
      </c>
      <c r="AA1" s="18" t="s">
        <v>2333</v>
      </c>
      <c r="AB1" s="18" t="s">
        <v>2334</v>
      </c>
      <c r="AC1" s="18" t="s">
        <v>2335</v>
      </c>
    </row>
    <row r="2">
      <c r="A2" s="18">
        <f t="shared" ref="A2:A518" si="1">IF(ISBLANK(D2),"",COUNTA($D$2:D2))</f>
        <v>1</v>
      </c>
      <c r="B2" s="18" t="s">
        <v>2336</v>
      </c>
      <c r="C2" s="26">
        <v>100.0</v>
      </c>
      <c r="D2" s="17" t="s">
        <v>1656</v>
      </c>
      <c r="E2" s="18" t="s">
        <v>2337</v>
      </c>
      <c r="F2" s="18" t="s">
        <v>2338</v>
      </c>
      <c r="G2" s="18">
        <v>1.0</v>
      </c>
      <c r="H2" s="27"/>
      <c r="I2" s="27"/>
      <c r="J2" s="18">
        <v>0.0</v>
      </c>
      <c r="K2" s="18">
        <v>0.0</v>
      </c>
      <c r="L2" s="28"/>
      <c r="M2" s="18">
        <v>1.0</v>
      </c>
      <c r="O2" s="18" t="s">
        <v>2339</v>
      </c>
      <c r="P2" s="18" t="s">
        <v>1658</v>
      </c>
      <c r="Q2" s="18" t="s">
        <v>2340</v>
      </c>
      <c r="R2" s="18" t="s">
        <v>2341</v>
      </c>
      <c r="V2" s="18">
        <v>0.0</v>
      </c>
      <c r="AA2" s="18">
        <v>1.0</v>
      </c>
      <c r="AB2" s="18">
        <v>0.0</v>
      </c>
      <c r="AC2" s="18" t="s">
        <v>2342</v>
      </c>
    </row>
    <row r="3">
      <c r="A3" s="18">
        <f t="shared" si="1"/>
        <v>2</v>
      </c>
      <c r="B3" s="18" t="s">
        <v>2343</v>
      </c>
      <c r="C3" s="26">
        <v>200.0</v>
      </c>
      <c r="D3" s="17" t="s">
        <v>1662</v>
      </c>
      <c r="E3" s="18" t="s">
        <v>2344</v>
      </c>
      <c r="F3" s="18" t="s">
        <v>2345</v>
      </c>
      <c r="G3" s="18">
        <v>1.0</v>
      </c>
      <c r="H3" s="27"/>
      <c r="I3" s="27"/>
      <c r="J3" s="18">
        <v>0.0</v>
      </c>
      <c r="K3" s="18">
        <v>0.0</v>
      </c>
      <c r="L3" s="28"/>
      <c r="M3" s="18">
        <v>1.0</v>
      </c>
      <c r="P3" s="18" t="s">
        <v>1658</v>
      </c>
      <c r="Q3" s="18" t="s">
        <v>2346</v>
      </c>
      <c r="R3" s="29" t="s">
        <v>2347</v>
      </c>
      <c r="V3" s="18">
        <v>0.0</v>
      </c>
      <c r="W3" s="18" t="s">
        <v>2348</v>
      </c>
      <c r="X3" s="18" t="s">
        <v>2349</v>
      </c>
      <c r="Y3" s="18">
        <v>1.0</v>
      </c>
      <c r="Z3" s="18">
        <v>1.0</v>
      </c>
      <c r="AA3" s="18">
        <v>1.0</v>
      </c>
      <c r="AB3" s="18">
        <v>0.0</v>
      </c>
      <c r="AC3" s="18" t="s">
        <v>2342</v>
      </c>
    </row>
    <row r="4">
      <c r="A4" s="18">
        <f t="shared" si="1"/>
        <v>3</v>
      </c>
      <c r="B4" s="18" t="s">
        <v>2350</v>
      </c>
      <c r="C4" s="18">
        <v>201.0</v>
      </c>
      <c r="D4" s="17" t="s">
        <v>1663</v>
      </c>
      <c r="E4" s="27"/>
      <c r="F4" s="26" t="s">
        <v>2351</v>
      </c>
      <c r="G4" s="18">
        <v>1.0</v>
      </c>
      <c r="H4" s="30"/>
      <c r="I4" s="30"/>
      <c r="J4" s="18">
        <v>0.0</v>
      </c>
      <c r="K4" s="18">
        <v>0.0</v>
      </c>
      <c r="L4" s="18" t="s">
        <v>2352</v>
      </c>
      <c r="M4" s="18">
        <v>0.0</v>
      </c>
      <c r="O4" s="18" t="s">
        <v>2353</v>
      </c>
      <c r="P4" s="18" t="s">
        <v>1658</v>
      </c>
      <c r="R4" s="31" t="s">
        <v>2354</v>
      </c>
      <c r="U4" s="18" t="s">
        <v>2355</v>
      </c>
      <c r="V4" s="18">
        <v>1.0</v>
      </c>
      <c r="W4" s="18" t="s">
        <v>2356</v>
      </c>
      <c r="X4" s="22" t="s">
        <v>2357</v>
      </c>
      <c r="Z4" s="18">
        <v>1.0</v>
      </c>
      <c r="AA4" s="18">
        <v>1.0</v>
      </c>
      <c r="AB4" s="18">
        <v>0.0</v>
      </c>
      <c r="AC4" s="18" t="s">
        <v>2342</v>
      </c>
    </row>
    <row r="5">
      <c r="A5" s="18">
        <f t="shared" si="1"/>
        <v>4</v>
      </c>
      <c r="B5" s="18" t="s">
        <v>2350</v>
      </c>
      <c r="C5" s="18">
        <v>202.0</v>
      </c>
      <c r="D5" s="17" t="s">
        <v>1664</v>
      </c>
      <c r="E5" s="27"/>
      <c r="F5" s="26" t="s">
        <v>2358</v>
      </c>
      <c r="G5" s="18">
        <v>1.0</v>
      </c>
      <c r="H5" s="30"/>
      <c r="I5" s="30"/>
      <c r="J5" s="18">
        <v>0.0</v>
      </c>
      <c r="K5" s="18">
        <v>0.0</v>
      </c>
      <c r="L5" s="18" t="s">
        <v>2359</v>
      </c>
      <c r="M5" s="18">
        <v>0.0</v>
      </c>
      <c r="O5" s="18" t="s">
        <v>2360</v>
      </c>
      <c r="P5" s="18" t="s">
        <v>1658</v>
      </c>
      <c r="R5" s="31" t="s">
        <v>2354</v>
      </c>
      <c r="U5" s="18" t="s">
        <v>2355</v>
      </c>
      <c r="V5" s="18">
        <v>1.0</v>
      </c>
      <c r="W5" s="18" t="s">
        <v>2356</v>
      </c>
      <c r="X5" s="18" t="s">
        <v>2361</v>
      </c>
      <c r="Z5" s="18">
        <v>1.0</v>
      </c>
      <c r="AA5" s="18">
        <v>1.0</v>
      </c>
      <c r="AB5" s="18">
        <v>0.0</v>
      </c>
      <c r="AC5" s="18" t="s">
        <v>2342</v>
      </c>
    </row>
    <row r="6">
      <c r="A6" s="18">
        <f t="shared" si="1"/>
        <v>5</v>
      </c>
      <c r="B6" s="27"/>
      <c r="C6" s="27"/>
      <c r="D6" s="17" t="s">
        <v>22</v>
      </c>
      <c r="E6" s="32" t="s">
        <v>2362</v>
      </c>
      <c r="F6" s="33" t="s">
        <v>2363</v>
      </c>
      <c r="G6" s="18">
        <v>1.0</v>
      </c>
      <c r="H6" s="27"/>
      <c r="I6" s="30"/>
      <c r="J6" s="27"/>
      <c r="K6" s="28"/>
      <c r="L6" s="28"/>
      <c r="P6" s="18" t="s">
        <v>1658</v>
      </c>
      <c r="R6" s="31" t="s">
        <v>2364</v>
      </c>
      <c r="AA6" s="27"/>
      <c r="AB6" s="27"/>
      <c r="AC6" s="27"/>
    </row>
    <row r="7">
      <c r="A7" s="18">
        <f t="shared" si="1"/>
        <v>6</v>
      </c>
      <c r="B7" s="27"/>
      <c r="C7" s="27"/>
      <c r="D7" s="17" t="s">
        <v>27</v>
      </c>
      <c r="E7" s="32" t="s">
        <v>2365</v>
      </c>
      <c r="F7" s="33" t="s">
        <v>2366</v>
      </c>
      <c r="G7" s="18">
        <v>1.0</v>
      </c>
      <c r="H7" s="27"/>
      <c r="I7" s="30"/>
      <c r="J7" s="27"/>
      <c r="K7" s="28"/>
      <c r="L7" s="28"/>
      <c r="P7" s="18" t="s">
        <v>1658</v>
      </c>
      <c r="R7" s="31" t="s">
        <v>2367</v>
      </c>
      <c r="AA7" s="27"/>
      <c r="AB7" s="27"/>
      <c r="AC7" s="27"/>
    </row>
    <row r="8">
      <c r="A8" s="18">
        <f t="shared" si="1"/>
        <v>7</v>
      </c>
      <c r="B8" s="27"/>
      <c r="C8" s="27"/>
      <c r="D8" s="17" t="s">
        <v>32</v>
      </c>
      <c r="E8" s="32" t="s">
        <v>2368</v>
      </c>
      <c r="F8" s="33" t="s">
        <v>2369</v>
      </c>
      <c r="G8" s="18">
        <v>1.0</v>
      </c>
      <c r="H8" s="27"/>
      <c r="I8" s="30"/>
      <c r="J8" s="27"/>
      <c r="K8" s="28"/>
      <c r="L8" s="28"/>
      <c r="P8" s="18" t="s">
        <v>1658</v>
      </c>
      <c r="R8" s="31" t="s">
        <v>2370</v>
      </c>
      <c r="AA8" s="27"/>
      <c r="AB8" s="27"/>
      <c r="AC8" s="27"/>
    </row>
    <row r="9">
      <c r="A9" s="18">
        <f t="shared" si="1"/>
        <v>8</v>
      </c>
      <c r="D9" s="17" t="s">
        <v>39</v>
      </c>
      <c r="E9" s="32" t="s">
        <v>2371</v>
      </c>
      <c r="F9" s="18" t="s">
        <v>2372</v>
      </c>
      <c r="G9" s="18">
        <v>1.0</v>
      </c>
      <c r="P9" s="18" t="s">
        <v>1658</v>
      </c>
      <c r="R9" s="31" t="s">
        <v>2373</v>
      </c>
    </row>
    <row r="10">
      <c r="A10" s="18">
        <f t="shared" si="1"/>
        <v>9</v>
      </c>
      <c r="B10" s="27"/>
      <c r="C10" s="34"/>
      <c r="D10" s="17" t="s">
        <v>43</v>
      </c>
      <c r="E10" s="32" t="s">
        <v>2374</v>
      </c>
      <c r="F10" s="18" t="s">
        <v>2375</v>
      </c>
      <c r="G10" s="18">
        <v>1.0</v>
      </c>
      <c r="P10" s="18" t="s">
        <v>1658</v>
      </c>
      <c r="R10" s="31" t="s">
        <v>2354</v>
      </c>
      <c r="AA10" s="32"/>
      <c r="AB10" s="32"/>
      <c r="AC10" s="35"/>
    </row>
    <row r="11">
      <c r="A11" s="18">
        <f t="shared" si="1"/>
        <v>10</v>
      </c>
      <c r="B11" s="27"/>
      <c r="C11" s="34"/>
      <c r="D11" s="17" t="s">
        <v>47</v>
      </c>
      <c r="E11" s="32" t="s">
        <v>2376</v>
      </c>
      <c r="F11" s="18" t="s">
        <v>2377</v>
      </c>
      <c r="G11" s="18">
        <v>1.0</v>
      </c>
      <c r="P11" s="18" t="s">
        <v>1658</v>
      </c>
      <c r="R11" s="31" t="s">
        <v>2354</v>
      </c>
      <c r="AA11" s="32"/>
      <c r="AB11" s="36"/>
    </row>
    <row r="12">
      <c r="A12" s="18">
        <f t="shared" si="1"/>
        <v>11</v>
      </c>
      <c r="B12" s="27"/>
      <c r="C12" s="34"/>
      <c r="D12" s="17" t="s">
        <v>51</v>
      </c>
      <c r="E12" s="32" t="s">
        <v>2378</v>
      </c>
      <c r="F12" s="18" t="s">
        <v>2377</v>
      </c>
      <c r="G12" s="18">
        <v>1.0</v>
      </c>
      <c r="P12" s="18" t="s">
        <v>1658</v>
      </c>
      <c r="R12" s="31" t="s">
        <v>2354</v>
      </c>
      <c r="AA12" s="32"/>
      <c r="AB12" s="36"/>
    </row>
    <row r="13">
      <c r="A13" s="18">
        <f t="shared" si="1"/>
        <v>12</v>
      </c>
      <c r="B13" s="27"/>
      <c r="C13" s="34"/>
      <c r="D13" s="17" t="s">
        <v>55</v>
      </c>
      <c r="E13" s="32" t="s">
        <v>2379</v>
      </c>
      <c r="F13" s="18" t="s">
        <v>2377</v>
      </c>
      <c r="G13" s="18">
        <v>1.0</v>
      </c>
      <c r="P13" s="18" t="s">
        <v>1658</v>
      </c>
      <c r="R13" s="31" t="s">
        <v>2380</v>
      </c>
      <c r="AA13" s="32"/>
      <c r="AB13" s="36"/>
    </row>
    <row r="14">
      <c r="A14" s="18">
        <f t="shared" si="1"/>
        <v>13</v>
      </c>
      <c r="D14" s="17" t="s">
        <v>60</v>
      </c>
      <c r="E14" s="32" t="s">
        <v>2381</v>
      </c>
      <c r="F14" s="18" t="s">
        <v>2382</v>
      </c>
      <c r="G14" s="18">
        <v>1.0</v>
      </c>
      <c r="P14" s="18" t="s">
        <v>1658</v>
      </c>
      <c r="R14" s="31" t="s">
        <v>2383</v>
      </c>
    </row>
    <row r="15">
      <c r="A15" s="18">
        <f t="shared" si="1"/>
        <v>14</v>
      </c>
      <c r="D15" s="17" t="s">
        <v>65</v>
      </c>
      <c r="E15" s="32" t="s">
        <v>2384</v>
      </c>
      <c r="F15" s="18" t="s">
        <v>2385</v>
      </c>
      <c r="G15" s="18">
        <v>1.0</v>
      </c>
      <c r="P15" s="18" t="s">
        <v>1658</v>
      </c>
      <c r="R15" s="31" t="s">
        <v>2386</v>
      </c>
    </row>
    <row r="16">
      <c r="A16" s="18">
        <f t="shared" si="1"/>
        <v>15</v>
      </c>
      <c r="D16" s="17" t="s">
        <v>70</v>
      </c>
      <c r="E16" s="32" t="s">
        <v>2387</v>
      </c>
      <c r="F16" s="18" t="s">
        <v>2388</v>
      </c>
      <c r="G16" s="18">
        <v>1.0</v>
      </c>
      <c r="P16" s="18" t="s">
        <v>1658</v>
      </c>
      <c r="R16" s="31" t="s">
        <v>2389</v>
      </c>
    </row>
    <row r="17">
      <c r="A17" s="18">
        <f t="shared" si="1"/>
        <v>16</v>
      </c>
      <c r="D17" s="17" t="s">
        <v>75</v>
      </c>
      <c r="E17" s="32" t="s">
        <v>2390</v>
      </c>
      <c r="F17" s="18" t="s">
        <v>2391</v>
      </c>
      <c r="G17" s="18">
        <v>1.0</v>
      </c>
      <c r="P17" s="18" t="s">
        <v>1658</v>
      </c>
      <c r="R17" s="31" t="s">
        <v>2392</v>
      </c>
    </row>
    <row r="18">
      <c r="A18" s="18">
        <f t="shared" si="1"/>
        <v>17</v>
      </c>
      <c r="D18" s="17" t="s">
        <v>80</v>
      </c>
      <c r="E18" s="32" t="s">
        <v>2393</v>
      </c>
      <c r="F18" s="18" t="s">
        <v>2394</v>
      </c>
      <c r="G18" s="18">
        <v>1.0</v>
      </c>
      <c r="P18" s="18" t="s">
        <v>1658</v>
      </c>
      <c r="R18" s="31" t="s">
        <v>2395</v>
      </c>
    </row>
    <row r="19">
      <c r="A19" s="18">
        <f t="shared" si="1"/>
        <v>18</v>
      </c>
      <c r="D19" s="17" t="s">
        <v>85</v>
      </c>
      <c r="E19" s="32" t="s">
        <v>2396</v>
      </c>
      <c r="F19" s="18" t="s">
        <v>2397</v>
      </c>
      <c r="G19" s="18">
        <v>1.0</v>
      </c>
      <c r="P19" s="18" t="s">
        <v>1658</v>
      </c>
      <c r="R19" s="31" t="s">
        <v>2398</v>
      </c>
    </row>
    <row r="20">
      <c r="A20" s="18">
        <f t="shared" si="1"/>
        <v>19</v>
      </c>
      <c r="D20" s="17" t="s">
        <v>90</v>
      </c>
      <c r="E20" s="32" t="s">
        <v>2399</v>
      </c>
      <c r="F20" s="18" t="s">
        <v>2400</v>
      </c>
      <c r="G20" s="18">
        <v>1.0</v>
      </c>
      <c r="P20" s="18" t="s">
        <v>1658</v>
      </c>
      <c r="R20" s="31" t="s">
        <v>2401</v>
      </c>
    </row>
    <row r="21">
      <c r="A21" s="18">
        <f t="shared" si="1"/>
        <v>20</v>
      </c>
      <c r="D21" s="17" t="s">
        <v>95</v>
      </c>
      <c r="E21" s="32" t="s">
        <v>2402</v>
      </c>
      <c r="F21" s="18" t="s">
        <v>2403</v>
      </c>
      <c r="G21" s="18">
        <v>1.0</v>
      </c>
      <c r="P21" s="18" t="s">
        <v>1658</v>
      </c>
      <c r="R21" s="31" t="s">
        <v>2404</v>
      </c>
    </row>
    <row r="22">
      <c r="A22" s="18">
        <f t="shared" si="1"/>
        <v>21</v>
      </c>
      <c r="D22" s="17" t="s">
        <v>100</v>
      </c>
      <c r="E22" s="32" t="s">
        <v>2405</v>
      </c>
      <c r="F22" s="18" t="s">
        <v>2406</v>
      </c>
      <c r="G22" s="18">
        <v>1.0</v>
      </c>
      <c r="P22" s="18" t="s">
        <v>1658</v>
      </c>
      <c r="R22" s="31" t="s">
        <v>2407</v>
      </c>
    </row>
    <row r="23">
      <c r="A23" s="18">
        <f t="shared" si="1"/>
        <v>22</v>
      </c>
      <c r="D23" s="17" t="s">
        <v>2408</v>
      </c>
      <c r="E23" s="32" t="s">
        <v>2409</v>
      </c>
      <c r="F23" s="18" t="s">
        <v>2410</v>
      </c>
      <c r="G23" s="18">
        <v>1.0</v>
      </c>
      <c r="P23" s="18" t="s">
        <v>1658</v>
      </c>
      <c r="R23" s="31" t="s">
        <v>2411</v>
      </c>
    </row>
    <row r="24">
      <c r="A24" s="18">
        <f t="shared" si="1"/>
        <v>23</v>
      </c>
      <c r="D24" s="17" t="s">
        <v>114</v>
      </c>
      <c r="E24" s="32" t="s">
        <v>2412</v>
      </c>
      <c r="F24" s="18" t="s">
        <v>2413</v>
      </c>
      <c r="G24" s="18">
        <v>1.0</v>
      </c>
      <c r="P24" s="18" t="s">
        <v>1658</v>
      </c>
      <c r="R24" s="31" t="s">
        <v>2414</v>
      </c>
    </row>
    <row r="25">
      <c r="A25" s="18">
        <f t="shared" si="1"/>
        <v>24</v>
      </c>
      <c r="D25" s="17" t="s">
        <v>119</v>
      </c>
      <c r="E25" s="32" t="s">
        <v>2415</v>
      </c>
      <c r="F25" s="18" t="s">
        <v>2416</v>
      </c>
      <c r="G25" s="18">
        <v>1.0</v>
      </c>
      <c r="P25" s="18" t="s">
        <v>1658</v>
      </c>
      <c r="R25" s="31" t="s">
        <v>2417</v>
      </c>
    </row>
    <row r="26">
      <c r="A26" s="18">
        <f t="shared" si="1"/>
        <v>25</v>
      </c>
      <c r="D26" s="17" t="s">
        <v>124</v>
      </c>
      <c r="E26" s="32" t="s">
        <v>2418</v>
      </c>
      <c r="F26" s="18" t="s">
        <v>2419</v>
      </c>
      <c r="G26" s="18">
        <v>1.0</v>
      </c>
      <c r="P26" s="18" t="s">
        <v>1658</v>
      </c>
      <c r="R26" s="31" t="s">
        <v>2420</v>
      </c>
    </row>
    <row r="27">
      <c r="A27" s="18">
        <f t="shared" si="1"/>
        <v>26</v>
      </c>
      <c r="D27" s="17" t="s">
        <v>129</v>
      </c>
      <c r="E27" s="32" t="s">
        <v>2421</v>
      </c>
      <c r="F27" s="18" t="s">
        <v>2422</v>
      </c>
      <c r="G27" s="18">
        <v>1.0</v>
      </c>
      <c r="P27" s="18" t="s">
        <v>1658</v>
      </c>
      <c r="R27" s="31" t="s">
        <v>2423</v>
      </c>
    </row>
    <row r="28">
      <c r="A28" s="18">
        <f t="shared" si="1"/>
        <v>27</v>
      </c>
      <c r="D28" s="17" t="s">
        <v>133</v>
      </c>
      <c r="E28" s="32" t="s">
        <v>2424</v>
      </c>
      <c r="F28" s="18" t="s">
        <v>2425</v>
      </c>
      <c r="G28" s="18">
        <v>1.0</v>
      </c>
      <c r="P28" s="18" t="s">
        <v>1658</v>
      </c>
      <c r="R28" s="31" t="s">
        <v>2426</v>
      </c>
    </row>
    <row r="29">
      <c r="A29" s="18">
        <f t="shared" si="1"/>
        <v>28</v>
      </c>
      <c r="D29" s="17" t="s">
        <v>138</v>
      </c>
      <c r="E29" s="32" t="s">
        <v>2427</v>
      </c>
      <c r="F29" s="18" t="s">
        <v>2428</v>
      </c>
      <c r="G29" s="18">
        <v>1.0</v>
      </c>
      <c r="P29" s="18" t="s">
        <v>1658</v>
      </c>
      <c r="R29" s="31" t="s">
        <v>2429</v>
      </c>
    </row>
    <row r="30">
      <c r="A30" s="18">
        <f t="shared" si="1"/>
        <v>29</v>
      </c>
      <c r="D30" s="17" t="s">
        <v>142</v>
      </c>
      <c r="E30" s="32" t="s">
        <v>2430</v>
      </c>
      <c r="G30" s="18">
        <v>1.0</v>
      </c>
      <c r="P30" s="18" t="s">
        <v>1658</v>
      </c>
      <c r="R30" s="31" t="s">
        <v>2354</v>
      </c>
    </row>
    <row r="31">
      <c r="A31" s="18">
        <f t="shared" si="1"/>
        <v>30</v>
      </c>
      <c r="D31" s="17" t="s">
        <v>146</v>
      </c>
      <c r="E31" s="32" t="s">
        <v>2431</v>
      </c>
      <c r="F31" s="18" t="s">
        <v>2432</v>
      </c>
      <c r="G31" s="18">
        <v>1.0</v>
      </c>
      <c r="P31" s="18" t="s">
        <v>1658</v>
      </c>
      <c r="R31" s="31" t="s">
        <v>2433</v>
      </c>
    </row>
    <row r="32">
      <c r="A32" s="18">
        <f t="shared" si="1"/>
        <v>31</v>
      </c>
      <c r="D32" s="17" t="s">
        <v>151</v>
      </c>
      <c r="E32" s="32" t="s">
        <v>2434</v>
      </c>
      <c r="F32" s="18" t="s">
        <v>2435</v>
      </c>
      <c r="G32" s="18">
        <v>1.0</v>
      </c>
      <c r="P32" s="18" t="s">
        <v>1658</v>
      </c>
      <c r="R32" s="31" t="s">
        <v>2436</v>
      </c>
    </row>
    <row r="33">
      <c r="A33" s="18">
        <f t="shared" si="1"/>
        <v>32</v>
      </c>
      <c r="D33" s="17" t="s">
        <v>156</v>
      </c>
      <c r="E33" s="32" t="s">
        <v>2437</v>
      </c>
      <c r="G33" s="18">
        <v>1.0</v>
      </c>
      <c r="P33" s="18" t="s">
        <v>1658</v>
      </c>
      <c r="R33" s="31" t="s">
        <v>2354</v>
      </c>
    </row>
    <row r="34">
      <c r="A34" s="18">
        <f t="shared" si="1"/>
        <v>33</v>
      </c>
      <c r="D34" s="17" t="s">
        <v>160</v>
      </c>
      <c r="E34" s="32" t="s">
        <v>2438</v>
      </c>
      <c r="G34" s="18">
        <v>1.0</v>
      </c>
      <c r="P34" s="18" t="s">
        <v>1658</v>
      </c>
      <c r="R34" s="31" t="s">
        <v>2354</v>
      </c>
    </row>
    <row r="35">
      <c r="A35" s="18">
        <f t="shared" si="1"/>
        <v>34</v>
      </c>
      <c r="D35" s="17" t="s">
        <v>2439</v>
      </c>
      <c r="E35" s="32" t="s">
        <v>2440</v>
      </c>
      <c r="G35" s="18">
        <v>1.0</v>
      </c>
      <c r="P35" s="18" t="s">
        <v>1658</v>
      </c>
      <c r="R35" s="31" t="s">
        <v>2354</v>
      </c>
    </row>
    <row r="36">
      <c r="A36" s="18">
        <f t="shared" si="1"/>
        <v>35</v>
      </c>
      <c r="D36" s="17" t="s">
        <v>165</v>
      </c>
      <c r="E36" s="32" t="s">
        <v>2441</v>
      </c>
      <c r="G36" s="18">
        <v>1.0</v>
      </c>
      <c r="P36" s="18" t="s">
        <v>1658</v>
      </c>
      <c r="R36" s="31" t="s">
        <v>2354</v>
      </c>
    </row>
    <row r="37">
      <c r="A37" s="18">
        <f t="shared" si="1"/>
        <v>36</v>
      </c>
      <c r="D37" s="17" t="s">
        <v>170</v>
      </c>
      <c r="E37" s="35" t="s">
        <v>2442</v>
      </c>
      <c r="G37" s="18">
        <v>1.0</v>
      </c>
      <c r="P37" s="18" t="s">
        <v>1658</v>
      </c>
      <c r="R37" s="31" t="s">
        <v>2354</v>
      </c>
    </row>
    <row r="38">
      <c r="A38" s="18">
        <f t="shared" si="1"/>
        <v>37</v>
      </c>
      <c r="D38" s="17" t="s">
        <v>175</v>
      </c>
      <c r="E38" s="32" t="s">
        <v>2443</v>
      </c>
      <c r="G38" s="18">
        <v>1.0</v>
      </c>
      <c r="P38" s="18" t="s">
        <v>1658</v>
      </c>
    </row>
    <row r="39">
      <c r="A39" s="18">
        <f t="shared" si="1"/>
        <v>38</v>
      </c>
      <c r="D39" s="17" t="s">
        <v>180</v>
      </c>
      <c r="E39" s="32" t="s">
        <v>2444</v>
      </c>
      <c r="G39" s="18">
        <v>1.0</v>
      </c>
      <c r="P39" s="18" t="s">
        <v>1658</v>
      </c>
    </row>
    <row r="40">
      <c r="A40" s="18">
        <f t="shared" si="1"/>
        <v>39</v>
      </c>
      <c r="D40" s="17" t="s">
        <v>183</v>
      </c>
      <c r="E40" s="32" t="s">
        <v>2445</v>
      </c>
      <c r="G40" s="18">
        <v>1.0</v>
      </c>
      <c r="P40" s="18" t="s">
        <v>1658</v>
      </c>
    </row>
    <row r="41">
      <c r="A41" s="18">
        <f t="shared" si="1"/>
        <v>40</v>
      </c>
      <c r="D41" s="17" t="s">
        <v>188</v>
      </c>
      <c r="E41" s="18" t="s">
        <v>2446</v>
      </c>
      <c r="G41" s="18">
        <v>1.0</v>
      </c>
      <c r="P41" s="18" t="s">
        <v>1658</v>
      </c>
    </row>
    <row r="42">
      <c r="A42" s="18">
        <f t="shared" si="1"/>
        <v>41</v>
      </c>
      <c r="D42" s="17" t="s">
        <v>193</v>
      </c>
      <c r="E42" s="32" t="s">
        <v>2447</v>
      </c>
      <c r="G42" s="18">
        <v>1.0</v>
      </c>
      <c r="P42" s="18" t="s">
        <v>1658</v>
      </c>
    </row>
    <row r="43">
      <c r="A43" s="18">
        <f t="shared" si="1"/>
        <v>42</v>
      </c>
      <c r="D43" s="17" t="s">
        <v>1666</v>
      </c>
      <c r="E43" s="32" t="s">
        <v>2448</v>
      </c>
      <c r="G43" s="18">
        <v>1.0</v>
      </c>
      <c r="P43" s="18" t="s">
        <v>1658</v>
      </c>
    </row>
    <row r="44">
      <c r="A44" s="18">
        <f t="shared" si="1"/>
        <v>43</v>
      </c>
      <c r="D44" s="17" t="s">
        <v>2449</v>
      </c>
      <c r="E44" s="32" t="s">
        <v>2450</v>
      </c>
      <c r="G44" s="18">
        <v>1.0</v>
      </c>
      <c r="P44" s="18" t="s">
        <v>1658</v>
      </c>
    </row>
    <row r="45">
      <c r="A45" s="18">
        <f t="shared" si="1"/>
        <v>44</v>
      </c>
      <c r="D45" s="17" t="s">
        <v>2451</v>
      </c>
      <c r="E45" s="32" t="s">
        <v>2452</v>
      </c>
      <c r="G45" s="18">
        <v>1.0</v>
      </c>
      <c r="P45" s="18" t="s">
        <v>1658</v>
      </c>
    </row>
    <row r="46">
      <c r="A46" s="18">
        <f t="shared" si="1"/>
        <v>45</v>
      </c>
      <c r="D46" s="17" t="s">
        <v>1671</v>
      </c>
      <c r="E46" s="32" t="s">
        <v>2453</v>
      </c>
      <c r="G46" s="18">
        <v>1.0</v>
      </c>
      <c r="P46" s="18" t="s">
        <v>1658</v>
      </c>
    </row>
    <row r="47">
      <c r="A47" s="18">
        <f t="shared" si="1"/>
        <v>46</v>
      </c>
      <c r="D47" s="17" t="s">
        <v>1672</v>
      </c>
      <c r="E47" s="32" t="s">
        <v>2454</v>
      </c>
      <c r="G47" s="18">
        <v>1.0</v>
      </c>
      <c r="P47" s="18" t="s">
        <v>1658</v>
      </c>
    </row>
    <row r="48">
      <c r="A48" s="18">
        <f t="shared" si="1"/>
        <v>47</v>
      </c>
      <c r="D48" s="17" t="s">
        <v>2455</v>
      </c>
      <c r="E48" s="32" t="s">
        <v>2456</v>
      </c>
      <c r="G48" s="18">
        <v>1.0</v>
      </c>
      <c r="P48" s="18" t="s">
        <v>1658</v>
      </c>
    </row>
    <row r="49">
      <c r="A49" s="18">
        <f t="shared" si="1"/>
        <v>48</v>
      </c>
      <c r="D49" s="17" t="s">
        <v>1673</v>
      </c>
      <c r="E49" s="32" t="s">
        <v>2457</v>
      </c>
      <c r="G49" s="18">
        <v>1.0</v>
      </c>
      <c r="P49" s="18" t="s">
        <v>1658</v>
      </c>
    </row>
    <row r="50">
      <c r="A50" s="18">
        <f t="shared" si="1"/>
        <v>49</v>
      </c>
      <c r="D50" s="17" t="s">
        <v>1674</v>
      </c>
      <c r="E50" s="32" t="s">
        <v>2458</v>
      </c>
      <c r="G50" s="18">
        <v>1.0</v>
      </c>
      <c r="P50" s="18" t="s">
        <v>1658</v>
      </c>
    </row>
    <row r="51">
      <c r="A51" s="18">
        <f t="shared" si="1"/>
        <v>50</v>
      </c>
      <c r="D51" s="17" t="s">
        <v>1675</v>
      </c>
      <c r="E51" s="32" t="s">
        <v>2459</v>
      </c>
      <c r="G51" s="18">
        <v>1.0</v>
      </c>
      <c r="P51" s="18" t="s">
        <v>1658</v>
      </c>
    </row>
    <row r="52">
      <c r="A52" s="18">
        <f t="shared" si="1"/>
        <v>51</v>
      </c>
      <c r="D52" s="17" t="s">
        <v>2460</v>
      </c>
      <c r="E52" s="32" t="s">
        <v>2461</v>
      </c>
      <c r="G52" s="18">
        <v>1.0</v>
      </c>
      <c r="P52" s="18" t="s">
        <v>1658</v>
      </c>
    </row>
    <row r="53">
      <c r="A53" s="18">
        <f t="shared" si="1"/>
        <v>52</v>
      </c>
      <c r="D53" s="17" t="s">
        <v>1676</v>
      </c>
      <c r="E53" s="32" t="s">
        <v>2462</v>
      </c>
      <c r="G53" s="18">
        <v>1.0</v>
      </c>
      <c r="P53" s="18" t="s">
        <v>1658</v>
      </c>
    </row>
    <row r="54">
      <c r="A54" s="18">
        <f t="shared" si="1"/>
        <v>53</v>
      </c>
      <c r="D54" s="17" t="s">
        <v>1677</v>
      </c>
      <c r="E54" s="32" t="s">
        <v>2463</v>
      </c>
      <c r="G54" s="18">
        <v>1.0</v>
      </c>
      <c r="P54" s="18" t="s">
        <v>1658</v>
      </c>
    </row>
    <row r="55">
      <c r="A55" s="18">
        <f t="shared" si="1"/>
        <v>54</v>
      </c>
      <c r="D55" s="17" t="s">
        <v>1678</v>
      </c>
      <c r="E55" s="32" t="s">
        <v>2464</v>
      </c>
      <c r="G55" s="18">
        <v>1.0</v>
      </c>
      <c r="P55" s="18" t="s">
        <v>1658</v>
      </c>
    </row>
    <row r="56">
      <c r="A56" s="18">
        <f t="shared" si="1"/>
        <v>55</v>
      </c>
      <c r="D56" s="17" t="s">
        <v>1679</v>
      </c>
      <c r="E56" s="32" t="s">
        <v>2465</v>
      </c>
      <c r="G56" s="18">
        <v>1.0</v>
      </c>
      <c r="P56" s="18" t="s">
        <v>1658</v>
      </c>
    </row>
    <row r="57">
      <c r="A57" s="18">
        <f t="shared" si="1"/>
        <v>56</v>
      </c>
      <c r="D57" s="17" t="s">
        <v>2466</v>
      </c>
      <c r="E57" s="32" t="s">
        <v>2467</v>
      </c>
      <c r="G57" s="18">
        <v>1.0</v>
      </c>
      <c r="P57" s="18" t="s">
        <v>1658</v>
      </c>
    </row>
    <row r="58">
      <c r="A58" s="18">
        <f t="shared" si="1"/>
        <v>57</v>
      </c>
      <c r="D58" s="17" t="s">
        <v>2468</v>
      </c>
      <c r="E58" s="32" t="s">
        <v>2469</v>
      </c>
      <c r="G58" s="18">
        <v>1.0</v>
      </c>
      <c r="P58" s="18" t="s">
        <v>1658</v>
      </c>
    </row>
    <row r="59">
      <c r="A59" s="18">
        <f t="shared" si="1"/>
        <v>58</v>
      </c>
      <c r="D59" s="17" t="s">
        <v>1680</v>
      </c>
      <c r="E59" s="32" t="s">
        <v>2470</v>
      </c>
      <c r="G59" s="18">
        <v>1.0</v>
      </c>
      <c r="P59" s="18" t="s">
        <v>1658</v>
      </c>
    </row>
    <row r="60">
      <c r="A60" s="18">
        <f t="shared" si="1"/>
        <v>59</v>
      </c>
      <c r="D60" s="17" t="s">
        <v>2471</v>
      </c>
      <c r="E60" s="32" t="s">
        <v>2472</v>
      </c>
      <c r="G60" s="18">
        <v>1.0</v>
      </c>
      <c r="P60" s="18" t="s">
        <v>1658</v>
      </c>
    </row>
    <row r="61">
      <c r="A61" s="18">
        <f t="shared" si="1"/>
        <v>60</v>
      </c>
      <c r="D61" s="17" t="s">
        <v>1683</v>
      </c>
      <c r="E61" s="32" t="s">
        <v>2473</v>
      </c>
      <c r="G61" s="18">
        <v>1.0</v>
      </c>
      <c r="P61" s="18" t="s">
        <v>1658</v>
      </c>
    </row>
    <row r="62">
      <c r="A62" s="18">
        <f t="shared" si="1"/>
        <v>61</v>
      </c>
      <c r="D62" s="17" t="s">
        <v>1684</v>
      </c>
      <c r="E62" s="32" t="s">
        <v>2474</v>
      </c>
      <c r="G62" s="18">
        <v>1.0</v>
      </c>
      <c r="P62" s="18" t="s">
        <v>1658</v>
      </c>
    </row>
    <row r="63">
      <c r="A63" s="18">
        <f t="shared" si="1"/>
        <v>62</v>
      </c>
      <c r="D63" s="17" t="s">
        <v>2475</v>
      </c>
      <c r="E63" s="32" t="s">
        <v>2476</v>
      </c>
      <c r="G63" s="18">
        <v>1.0</v>
      </c>
      <c r="P63" s="18" t="s">
        <v>1658</v>
      </c>
    </row>
    <row r="64">
      <c r="A64" s="18">
        <f t="shared" si="1"/>
        <v>63</v>
      </c>
      <c r="D64" s="17" t="s">
        <v>2477</v>
      </c>
      <c r="E64" s="32" t="s">
        <v>2478</v>
      </c>
      <c r="G64" s="18">
        <v>1.0</v>
      </c>
      <c r="P64" s="18" t="s">
        <v>1658</v>
      </c>
    </row>
    <row r="65">
      <c r="A65" s="18">
        <f t="shared" si="1"/>
        <v>64</v>
      </c>
      <c r="D65" s="17" t="s">
        <v>1685</v>
      </c>
      <c r="E65" s="32" t="s">
        <v>2479</v>
      </c>
      <c r="G65" s="18">
        <v>1.0</v>
      </c>
      <c r="P65" s="18" t="s">
        <v>1658</v>
      </c>
    </row>
    <row r="66">
      <c r="A66" s="18">
        <f t="shared" si="1"/>
        <v>65</v>
      </c>
      <c r="D66" s="17" t="s">
        <v>1686</v>
      </c>
      <c r="E66" s="32" t="s">
        <v>2480</v>
      </c>
      <c r="G66" s="18">
        <v>1.0</v>
      </c>
      <c r="P66" s="18" t="s">
        <v>1658</v>
      </c>
    </row>
    <row r="67">
      <c r="A67" s="18">
        <f t="shared" si="1"/>
        <v>66</v>
      </c>
      <c r="D67" s="17" t="s">
        <v>1687</v>
      </c>
      <c r="E67" s="32" t="s">
        <v>2481</v>
      </c>
      <c r="G67" s="18">
        <v>1.0</v>
      </c>
      <c r="P67" s="18" t="s">
        <v>1658</v>
      </c>
    </row>
    <row r="68">
      <c r="A68" s="18">
        <f t="shared" si="1"/>
        <v>67</v>
      </c>
      <c r="D68" s="17" t="s">
        <v>1688</v>
      </c>
      <c r="E68" s="32" t="s">
        <v>2482</v>
      </c>
      <c r="G68" s="18">
        <v>1.0</v>
      </c>
      <c r="P68" s="18" t="s">
        <v>1658</v>
      </c>
    </row>
    <row r="69">
      <c r="A69" s="18">
        <f t="shared" si="1"/>
        <v>68</v>
      </c>
      <c r="D69" s="17" t="s">
        <v>1689</v>
      </c>
      <c r="E69" s="32" t="s">
        <v>2483</v>
      </c>
      <c r="G69" s="18">
        <v>1.0</v>
      </c>
      <c r="P69" s="18" t="s">
        <v>1658</v>
      </c>
    </row>
    <row r="70">
      <c r="A70" s="18">
        <f t="shared" si="1"/>
        <v>69</v>
      </c>
      <c r="D70" s="17" t="s">
        <v>1690</v>
      </c>
      <c r="E70" s="18" t="s">
        <v>2484</v>
      </c>
      <c r="G70" s="18">
        <v>1.0</v>
      </c>
      <c r="P70" s="18" t="s">
        <v>1658</v>
      </c>
    </row>
    <row r="71">
      <c r="A71" s="18">
        <f t="shared" si="1"/>
        <v>70</v>
      </c>
      <c r="D71" s="17" t="s">
        <v>1690</v>
      </c>
      <c r="E71" s="32" t="s">
        <v>2485</v>
      </c>
      <c r="G71" s="18">
        <v>1.0</v>
      </c>
      <c r="P71" s="18" t="s">
        <v>1658</v>
      </c>
    </row>
    <row r="72">
      <c r="A72" s="18">
        <f t="shared" si="1"/>
        <v>71</v>
      </c>
      <c r="D72" s="17" t="s">
        <v>1691</v>
      </c>
      <c r="E72" s="32" t="s">
        <v>2486</v>
      </c>
      <c r="G72" s="18">
        <v>1.0</v>
      </c>
      <c r="P72" s="18" t="s">
        <v>1658</v>
      </c>
    </row>
    <row r="73">
      <c r="A73" s="18">
        <f t="shared" si="1"/>
        <v>72</v>
      </c>
      <c r="D73" s="17" t="s">
        <v>1692</v>
      </c>
      <c r="E73" s="32" t="s">
        <v>2487</v>
      </c>
      <c r="G73" s="18">
        <v>1.0</v>
      </c>
      <c r="P73" s="18" t="s">
        <v>1658</v>
      </c>
    </row>
    <row r="74">
      <c r="A74" s="18">
        <f t="shared" si="1"/>
        <v>73</v>
      </c>
      <c r="D74" s="17" t="s">
        <v>1693</v>
      </c>
      <c r="E74" s="32" t="s">
        <v>2488</v>
      </c>
      <c r="G74" s="18">
        <v>1.0</v>
      </c>
      <c r="P74" s="18" t="s">
        <v>1658</v>
      </c>
    </row>
    <row r="75">
      <c r="A75" s="18">
        <f t="shared" si="1"/>
        <v>74</v>
      </c>
      <c r="D75" s="17" t="s">
        <v>1694</v>
      </c>
      <c r="E75" s="32" t="s">
        <v>2489</v>
      </c>
      <c r="G75" s="18">
        <v>1.0</v>
      </c>
      <c r="P75" s="18" t="s">
        <v>1658</v>
      </c>
    </row>
    <row r="76">
      <c r="A76" s="18">
        <f t="shared" si="1"/>
        <v>75</v>
      </c>
      <c r="D76" s="17" t="s">
        <v>2490</v>
      </c>
      <c r="E76" s="32" t="s">
        <v>2491</v>
      </c>
      <c r="G76" s="18">
        <v>1.0</v>
      </c>
      <c r="P76" s="18" t="s">
        <v>1658</v>
      </c>
    </row>
    <row r="77">
      <c r="A77" s="18">
        <f t="shared" si="1"/>
        <v>76</v>
      </c>
      <c r="D77" s="17" t="s">
        <v>1695</v>
      </c>
      <c r="E77" s="32" t="s">
        <v>2492</v>
      </c>
      <c r="G77" s="18">
        <v>1.0</v>
      </c>
      <c r="P77" s="18" t="s">
        <v>1658</v>
      </c>
    </row>
    <row r="78">
      <c r="A78" s="18">
        <f t="shared" si="1"/>
        <v>77</v>
      </c>
      <c r="D78" s="17" t="s">
        <v>1696</v>
      </c>
      <c r="E78" s="32" t="s">
        <v>2492</v>
      </c>
      <c r="G78" s="18">
        <v>1.0</v>
      </c>
      <c r="P78" s="18" t="s">
        <v>1658</v>
      </c>
    </row>
    <row r="79">
      <c r="A79" s="18">
        <f t="shared" si="1"/>
        <v>78</v>
      </c>
      <c r="D79" s="17" t="s">
        <v>1697</v>
      </c>
      <c r="E79" s="32" t="s">
        <v>2493</v>
      </c>
      <c r="G79" s="18">
        <v>1.0</v>
      </c>
      <c r="P79" s="18" t="s">
        <v>1658</v>
      </c>
    </row>
    <row r="80">
      <c r="A80" s="18">
        <f t="shared" si="1"/>
        <v>79</v>
      </c>
      <c r="D80" s="17" t="s">
        <v>1698</v>
      </c>
      <c r="E80" s="32" t="s">
        <v>2494</v>
      </c>
      <c r="G80" s="18">
        <v>1.0</v>
      </c>
      <c r="P80" s="18" t="s">
        <v>1658</v>
      </c>
    </row>
    <row r="81">
      <c r="A81" s="18">
        <f t="shared" si="1"/>
        <v>80</v>
      </c>
      <c r="D81" s="17" t="s">
        <v>1699</v>
      </c>
      <c r="E81" s="32" t="s">
        <v>2495</v>
      </c>
      <c r="G81" s="18">
        <v>1.0</v>
      </c>
      <c r="P81" s="18" t="s">
        <v>1658</v>
      </c>
    </row>
    <row r="82">
      <c r="A82" s="18">
        <f t="shared" si="1"/>
        <v>81</v>
      </c>
      <c r="D82" s="17" t="s">
        <v>1700</v>
      </c>
      <c r="E82" s="32" t="s">
        <v>2496</v>
      </c>
      <c r="G82" s="18">
        <v>1.0</v>
      </c>
      <c r="P82" s="18" t="s">
        <v>1658</v>
      </c>
    </row>
    <row r="83">
      <c r="A83" s="18">
        <f t="shared" si="1"/>
        <v>82</v>
      </c>
      <c r="D83" s="17" t="s">
        <v>1701</v>
      </c>
      <c r="E83" s="32" t="s">
        <v>2497</v>
      </c>
      <c r="G83" s="18">
        <v>1.0</v>
      </c>
      <c r="P83" s="18" t="s">
        <v>1658</v>
      </c>
    </row>
    <row r="84">
      <c r="A84" s="18">
        <f t="shared" si="1"/>
        <v>83</v>
      </c>
      <c r="D84" s="17" t="s">
        <v>1702</v>
      </c>
      <c r="E84" s="32" t="s">
        <v>2498</v>
      </c>
      <c r="G84" s="18">
        <v>1.0</v>
      </c>
      <c r="P84" s="18" t="s">
        <v>1658</v>
      </c>
    </row>
    <row r="85">
      <c r="A85" s="18">
        <f t="shared" si="1"/>
        <v>84</v>
      </c>
      <c r="D85" s="17" t="s">
        <v>1703</v>
      </c>
      <c r="E85" s="32" t="s">
        <v>2499</v>
      </c>
      <c r="G85" s="18">
        <v>1.0</v>
      </c>
      <c r="P85" s="18" t="s">
        <v>1658</v>
      </c>
    </row>
    <row r="86">
      <c r="A86" s="18">
        <f t="shared" si="1"/>
        <v>85</v>
      </c>
      <c r="D86" s="21" t="s">
        <v>1704</v>
      </c>
      <c r="E86" s="32" t="s">
        <v>2500</v>
      </c>
      <c r="G86" s="18">
        <v>1.0</v>
      </c>
      <c r="P86" s="18" t="s">
        <v>1658</v>
      </c>
    </row>
    <row r="87">
      <c r="A87" s="18">
        <f t="shared" si="1"/>
        <v>86</v>
      </c>
      <c r="D87" s="18" t="s">
        <v>1705</v>
      </c>
      <c r="E87" s="32" t="s">
        <v>2501</v>
      </c>
      <c r="G87" s="18">
        <v>1.0</v>
      </c>
      <c r="P87" s="18" t="s">
        <v>1658</v>
      </c>
    </row>
    <row r="88">
      <c r="A88" s="18">
        <f t="shared" si="1"/>
        <v>87</v>
      </c>
      <c r="D88" s="18" t="s">
        <v>1706</v>
      </c>
      <c r="E88" s="32" t="s">
        <v>2502</v>
      </c>
      <c r="G88" s="18">
        <v>1.0</v>
      </c>
      <c r="P88" s="18" t="s">
        <v>1658</v>
      </c>
    </row>
    <row r="89">
      <c r="A89" s="18">
        <f t="shared" si="1"/>
        <v>88</v>
      </c>
      <c r="D89" s="18" t="s">
        <v>1707</v>
      </c>
      <c r="E89" s="32" t="s">
        <v>2503</v>
      </c>
      <c r="G89" s="18">
        <v>1.0</v>
      </c>
      <c r="P89" s="18" t="s">
        <v>1658</v>
      </c>
    </row>
    <row r="90">
      <c r="A90" s="18">
        <f t="shared" si="1"/>
        <v>89</v>
      </c>
      <c r="D90" s="18" t="s">
        <v>1708</v>
      </c>
      <c r="E90" s="32" t="s">
        <v>2504</v>
      </c>
      <c r="G90" s="18">
        <v>1.0</v>
      </c>
      <c r="P90" s="18" t="s">
        <v>1658</v>
      </c>
    </row>
    <row r="91">
      <c r="A91" s="18">
        <f t="shared" si="1"/>
        <v>90</v>
      </c>
      <c r="D91" s="18" t="s">
        <v>1709</v>
      </c>
      <c r="E91" s="32" t="s">
        <v>2505</v>
      </c>
      <c r="G91" s="18">
        <v>1.0</v>
      </c>
      <c r="P91" s="18" t="s">
        <v>1658</v>
      </c>
    </row>
    <row r="92">
      <c r="A92" s="18">
        <f t="shared" si="1"/>
        <v>91</v>
      </c>
      <c r="D92" s="18" t="s">
        <v>1710</v>
      </c>
      <c r="E92" s="32" t="s">
        <v>2506</v>
      </c>
      <c r="G92" s="18">
        <v>1.0</v>
      </c>
      <c r="P92" s="18" t="s">
        <v>1658</v>
      </c>
    </row>
    <row r="93">
      <c r="A93" s="18">
        <f t="shared" si="1"/>
        <v>92</v>
      </c>
      <c r="D93" s="18" t="s">
        <v>1711</v>
      </c>
      <c r="E93" s="37" t="s">
        <v>2507</v>
      </c>
      <c r="G93" s="18">
        <v>1.0</v>
      </c>
      <c r="P93" s="18" t="s">
        <v>1658</v>
      </c>
    </row>
    <row r="94">
      <c r="A94" s="18">
        <f t="shared" si="1"/>
        <v>93</v>
      </c>
      <c r="D94" s="18" t="s">
        <v>1712</v>
      </c>
      <c r="E94" s="22" t="s">
        <v>2508</v>
      </c>
      <c r="G94" s="18">
        <v>1.0</v>
      </c>
      <c r="P94" s="18" t="s">
        <v>1658</v>
      </c>
    </row>
    <row r="95">
      <c r="A95" s="18">
        <f t="shared" si="1"/>
        <v>94</v>
      </c>
      <c r="D95" s="18" t="s">
        <v>1713</v>
      </c>
      <c r="E95" s="22" t="s">
        <v>2509</v>
      </c>
      <c r="G95" s="18">
        <v>1.0</v>
      </c>
      <c r="P95" s="18" t="s">
        <v>1658</v>
      </c>
    </row>
    <row r="96">
      <c r="A96" s="18">
        <f t="shared" si="1"/>
        <v>95</v>
      </c>
      <c r="D96" s="18" t="s">
        <v>1714</v>
      </c>
      <c r="E96" s="22" t="s">
        <v>2510</v>
      </c>
      <c r="G96" s="18">
        <v>1.0</v>
      </c>
      <c r="P96" s="18" t="s">
        <v>1658</v>
      </c>
    </row>
    <row r="97">
      <c r="A97" s="18">
        <f t="shared" si="1"/>
        <v>96</v>
      </c>
      <c r="D97" s="18" t="s">
        <v>1715</v>
      </c>
      <c r="E97" s="22" t="s">
        <v>2511</v>
      </c>
      <c r="G97" s="18">
        <v>1.0</v>
      </c>
      <c r="P97" s="18" t="s">
        <v>1658</v>
      </c>
    </row>
    <row r="98">
      <c r="A98" s="18">
        <f t="shared" si="1"/>
        <v>97</v>
      </c>
      <c r="D98" s="18" t="s">
        <v>1716</v>
      </c>
      <c r="E98" s="22" t="s">
        <v>2512</v>
      </c>
      <c r="G98" s="18">
        <v>1.0</v>
      </c>
      <c r="P98" s="18" t="s">
        <v>1658</v>
      </c>
    </row>
    <row r="99">
      <c r="A99" s="18">
        <f t="shared" si="1"/>
        <v>98</v>
      </c>
      <c r="D99" s="18" t="s">
        <v>1717</v>
      </c>
      <c r="E99" s="22" t="s">
        <v>2513</v>
      </c>
      <c r="G99" s="18">
        <v>1.0</v>
      </c>
    </row>
    <row r="100">
      <c r="A100" s="18">
        <f t="shared" si="1"/>
        <v>99</v>
      </c>
      <c r="D100" s="18" t="s">
        <v>1718</v>
      </c>
      <c r="E100" s="22" t="s">
        <v>2514</v>
      </c>
      <c r="G100" s="18">
        <v>1.0</v>
      </c>
    </row>
    <row r="101">
      <c r="A101" s="18">
        <f t="shared" si="1"/>
        <v>100</v>
      </c>
      <c r="D101" s="18" t="s">
        <v>1719</v>
      </c>
      <c r="E101" s="22" t="s">
        <v>2515</v>
      </c>
      <c r="G101" s="18">
        <v>1.0</v>
      </c>
    </row>
    <row r="102">
      <c r="A102" s="18">
        <f t="shared" si="1"/>
        <v>101</v>
      </c>
      <c r="D102" s="18" t="s">
        <v>2516</v>
      </c>
      <c r="E102" s="22" t="s">
        <v>2517</v>
      </c>
      <c r="G102" s="18">
        <v>1.0</v>
      </c>
    </row>
    <row r="103">
      <c r="A103" s="18">
        <f t="shared" si="1"/>
        <v>102</v>
      </c>
      <c r="D103" s="18" t="s">
        <v>1720</v>
      </c>
      <c r="E103" s="22" t="s">
        <v>2518</v>
      </c>
      <c r="G103" s="18">
        <v>1.0</v>
      </c>
    </row>
    <row r="104">
      <c r="A104" s="18">
        <f t="shared" si="1"/>
        <v>103</v>
      </c>
      <c r="D104" s="18" t="s">
        <v>1721</v>
      </c>
      <c r="E104" s="22" t="s">
        <v>2519</v>
      </c>
    </row>
    <row r="105">
      <c r="A105" s="18">
        <f t="shared" si="1"/>
        <v>104</v>
      </c>
      <c r="D105" s="18" t="s">
        <v>1722</v>
      </c>
      <c r="E105" s="22" t="s">
        <v>2520</v>
      </c>
    </row>
    <row r="106">
      <c r="A106" s="18">
        <f t="shared" si="1"/>
        <v>105</v>
      </c>
      <c r="D106" s="18" t="s">
        <v>1723</v>
      </c>
      <c r="E106" s="22" t="s">
        <v>2521</v>
      </c>
    </row>
    <row r="107">
      <c r="A107" s="18">
        <f t="shared" si="1"/>
        <v>106</v>
      </c>
      <c r="D107" s="18" t="s">
        <v>1724</v>
      </c>
      <c r="E107" s="22" t="s">
        <v>2522</v>
      </c>
    </row>
    <row r="108">
      <c r="A108" s="18">
        <f t="shared" si="1"/>
        <v>107</v>
      </c>
      <c r="D108" s="18" t="s">
        <v>1725</v>
      </c>
      <c r="E108" s="22" t="s">
        <v>2523</v>
      </c>
    </row>
    <row r="109">
      <c r="A109" s="18">
        <f t="shared" si="1"/>
        <v>108</v>
      </c>
      <c r="D109" s="18" t="s">
        <v>1727</v>
      </c>
      <c r="E109" s="22" t="s">
        <v>2524</v>
      </c>
    </row>
    <row r="110">
      <c r="A110" s="18">
        <f t="shared" si="1"/>
        <v>109</v>
      </c>
      <c r="D110" s="18" t="s">
        <v>2525</v>
      </c>
      <c r="E110" s="22" t="s">
        <v>2526</v>
      </c>
    </row>
    <row r="111">
      <c r="A111" s="18">
        <f t="shared" si="1"/>
        <v>110</v>
      </c>
      <c r="D111" s="18" t="s">
        <v>1729</v>
      </c>
      <c r="E111" s="22" t="s">
        <v>2527</v>
      </c>
    </row>
    <row r="112">
      <c r="A112" s="18">
        <f t="shared" si="1"/>
        <v>111</v>
      </c>
      <c r="D112" s="18" t="s">
        <v>1731</v>
      </c>
      <c r="E112" s="22" t="s">
        <v>2528</v>
      </c>
    </row>
    <row r="113">
      <c r="A113" s="18">
        <f t="shared" si="1"/>
        <v>112</v>
      </c>
      <c r="D113" s="18" t="s">
        <v>1733</v>
      </c>
      <c r="E113" s="22" t="s">
        <v>2529</v>
      </c>
    </row>
    <row r="114">
      <c r="A114" s="18">
        <f t="shared" si="1"/>
        <v>113</v>
      </c>
      <c r="D114" s="18" t="s">
        <v>1734</v>
      </c>
      <c r="E114" s="22" t="s">
        <v>2530</v>
      </c>
    </row>
    <row r="115">
      <c r="A115" s="18">
        <f t="shared" si="1"/>
        <v>114</v>
      </c>
      <c r="D115" s="18" t="s">
        <v>1735</v>
      </c>
      <c r="E115" s="22" t="s">
        <v>2531</v>
      </c>
    </row>
    <row r="116">
      <c r="A116" s="18">
        <f t="shared" si="1"/>
        <v>115</v>
      </c>
      <c r="D116" s="18" t="s">
        <v>1736</v>
      </c>
      <c r="E116" s="22" t="s">
        <v>2532</v>
      </c>
    </row>
    <row r="117">
      <c r="A117" s="18">
        <f t="shared" si="1"/>
        <v>116</v>
      </c>
      <c r="D117" s="18" t="s">
        <v>1737</v>
      </c>
    </row>
    <row r="118">
      <c r="A118" s="18">
        <f t="shared" si="1"/>
        <v>117</v>
      </c>
      <c r="D118" s="18" t="s">
        <v>1738</v>
      </c>
    </row>
    <row r="119">
      <c r="A119" s="18">
        <f t="shared" si="1"/>
        <v>118</v>
      </c>
      <c r="D119" s="18" t="s">
        <v>1739</v>
      </c>
    </row>
    <row r="120">
      <c r="A120" s="18">
        <f t="shared" si="1"/>
        <v>119</v>
      </c>
      <c r="D120" s="18" t="s">
        <v>1740</v>
      </c>
    </row>
    <row r="121">
      <c r="A121" s="18">
        <f t="shared" si="1"/>
        <v>120</v>
      </c>
      <c r="D121" s="18" t="s">
        <v>1741</v>
      </c>
    </row>
    <row r="122">
      <c r="A122" s="18">
        <f t="shared" si="1"/>
        <v>121</v>
      </c>
      <c r="D122" s="18" t="s">
        <v>1742</v>
      </c>
    </row>
    <row r="123">
      <c r="A123" s="18">
        <f t="shared" si="1"/>
        <v>122</v>
      </c>
      <c r="D123" s="18" t="s">
        <v>1747</v>
      </c>
    </row>
    <row r="124">
      <c r="A124" s="18">
        <f t="shared" si="1"/>
        <v>123</v>
      </c>
      <c r="D124" s="18" t="s">
        <v>1748</v>
      </c>
    </row>
    <row r="125">
      <c r="A125" s="18">
        <f t="shared" si="1"/>
        <v>124</v>
      </c>
      <c r="D125" s="18" t="s">
        <v>1749</v>
      </c>
    </row>
    <row r="126">
      <c r="A126" s="18">
        <f t="shared" si="1"/>
        <v>125</v>
      </c>
      <c r="D126" s="18" t="s">
        <v>1750</v>
      </c>
    </row>
    <row r="127">
      <c r="A127" s="18">
        <f t="shared" si="1"/>
        <v>126</v>
      </c>
      <c r="D127" s="18" t="s">
        <v>1751</v>
      </c>
    </row>
    <row r="128">
      <c r="A128" s="18">
        <f t="shared" si="1"/>
        <v>127</v>
      </c>
      <c r="D128" s="18" t="s">
        <v>1753</v>
      </c>
    </row>
    <row r="129">
      <c r="A129" s="18">
        <f t="shared" si="1"/>
        <v>128</v>
      </c>
      <c r="D129" s="18" t="s">
        <v>1755</v>
      </c>
    </row>
    <row r="130">
      <c r="A130" s="18">
        <f t="shared" si="1"/>
        <v>129</v>
      </c>
      <c r="D130" s="18" t="s">
        <v>1756</v>
      </c>
    </row>
    <row r="131">
      <c r="A131" s="18">
        <f t="shared" si="1"/>
        <v>130</v>
      </c>
      <c r="D131" s="18" t="s">
        <v>1757</v>
      </c>
    </row>
    <row r="132">
      <c r="A132" s="18">
        <f t="shared" si="1"/>
        <v>131</v>
      </c>
      <c r="D132" s="18" t="s">
        <v>1758</v>
      </c>
    </row>
    <row r="133">
      <c r="A133" s="18">
        <f t="shared" si="1"/>
        <v>132</v>
      </c>
      <c r="D133" s="18" t="s">
        <v>1759</v>
      </c>
    </row>
    <row r="134">
      <c r="A134" s="18">
        <f t="shared" si="1"/>
        <v>133</v>
      </c>
      <c r="D134" s="18" t="s">
        <v>1760</v>
      </c>
    </row>
    <row r="135">
      <c r="A135" s="18">
        <f t="shared" si="1"/>
        <v>134</v>
      </c>
      <c r="D135" s="18" t="s">
        <v>1762</v>
      </c>
    </row>
    <row r="136">
      <c r="A136" s="18">
        <f t="shared" si="1"/>
        <v>135</v>
      </c>
      <c r="D136" s="18" t="s">
        <v>1763</v>
      </c>
    </row>
    <row r="137">
      <c r="A137" s="18">
        <f t="shared" si="1"/>
        <v>136</v>
      </c>
      <c r="D137" s="18" t="s">
        <v>1764</v>
      </c>
    </row>
    <row r="138">
      <c r="A138" s="18">
        <f t="shared" si="1"/>
        <v>137</v>
      </c>
      <c r="D138" s="18" t="s">
        <v>1767</v>
      </c>
    </row>
    <row r="139">
      <c r="A139" s="18">
        <f t="shared" si="1"/>
        <v>138</v>
      </c>
      <c r="D139" s="18" t="s">
        <v>1768</v>
      </c>
    </row>
    <row r="140">
      <c r="A140" s="18">
        <f t="shared" si="1"/>
        <v>139</v>
      </c>
      <c r="D140" s="18" t="s">
        <v>1771</v>
      </c>
    </row>
    <row r="141">
      <c r="A141" s="18">
        <f t="shared" si="1"/>
        <v>140</v>
      </c>
      <c r="D141" s="18" t="s">
        <v>1772</v>
      </c>
    </row>
    <row r="142">
      <c r="A142" s="18">
        <f t="shared" si="1"/>
        <v>141</v>
      </c>
      <c r="D142" s="18" t="s">
        <v>2533</v>
      </c>
    </row>
    <row r="143">
      <c r="A143" s="18">
        <f t="shared" si="1"/>
        <v>142</v>
      </c>
      <c r="D143" s="18" t="s">
        <v>1773</v>
      </c>
    </row>
    <row r="144">
      <c r="A144" s="18">
        <f t="shared" si="1"/>
        <v>143</v>
      </c>
      <c r="D144" s="18" t="s">
        <v>1774</v>
      </c>
    </row>
    <row r="145">
      <c r="A145" s="18">
        <f t="shared" si="1"/>
        <v>144</v>
      </c>
      <c r="D145" s="18" t="s">
        <v>1775</v>
      </c>
    </row>
    <row r="146">
      <c r="A146" s="18">
        <f t="shared" si="1"/>
        <v>145</v>
      </c>
      <c r="D146" s="18" t="s">
        <v>1777</v>
      </c>
    </row>
    <row r="147">
      <c r="A147" s="18">
        <f t="shared" si="1"/>
        <v>146</v>
      </c>
      <c r="D147" s="18" t="s">
        <v>1777</v>
      </c>
    </row>
    <row r="148">
      <c r="A148" s="18">
        <f t="shared" si="1"/>
        <v>147</v>
      </c>
      <c r="D148" s="18" t="s">
        <v>2534</v>
      </c>
    </row>
    <row r="149">
      <c r="A149" s="18">
        <f t="shared" si="1"/>
        <v>148</v>
      </c>
      <c r="D149" s="18" t="s">
        <v>1779</v>
      </c>
    </row>
    <row r="150">
      <c r="A150" s="18">
        <f t="shared" si="1"/>
        <v>149</v>
      </c>
      <c r="D150" s="18" t="s">
        <v>1781</v>
      </c>
    </row>
    <row r="151">
      <c r="A151" s="18">
        <f t="shared" si="1"/>
        <v>150</v>
      </c>
      <c r="D151" s="18" t="s">
        <v>2535</v>
      </c>
    </row>
    <row r="152">
      <c r="A152" s="18">
        <f t="shared" si="1"/>
        <v>151</v>
      </c>
      <c r="D152" s="18" t="s">
        <v>1783</v>
      </c>
    </row>
    <row r="153">
      <c r="A153" s="18">
        <f t="shared" si="1"/>
        <v>152</v>
      </c>
      <c r="D153" s="18" t="s">
        <v>1784</v>
      </c>
    </row>
    <row r="154">
      <c r="A154" s="18">
        <f t="shared" si="1"/>
        <v>153</v>
      </c>
      <c r="D154" s="18" t="s">
        <v>2536</v>
      </c>
    </row>
    <row r="155">
      <c r="A155" s="18">
        <f t="shared" si="1"/>
        <v>154</v>
      </c>
      <c r="D155" s="18" t="s">
        <v>1784</v>
      </c>
    </row>
    <row r="156">
      <c r="A156" s="18">
        <f t="shared" si="1"/>
        <v>155</v>
      </c>
      <c r="D156" s="18" t="s">
        <v>2537</v>
      </c>
    </row>
    <row r="157">
      <c r="A157" s="18">
        <f t="shared" si="1"/>
        <v>156</v>
      </c>
      <c r="D157" s="18" t="s">
        <v>1792</v>
      </c>
    </row>
    <row r="158">
      <c r="A158" s="18">
        <f t="shared" si="1"/>
        <v>157</v>
      </c>
      <c r="D158" s="18" t="s">
        <v>1793</v>
      </c>
    </row>
    <row r="159">
      <c r="A159" s="18">
        <f t="shared" si="1"/>
        <v>158</v>
      </c>
      <c r="D159" s="18" t="s">
        <v>1794</v>
      </c>
    </row>
    <row r="160">
      <c r="A160" s="18">
        <f t="shared" si="1"/>
        <v>159</v>
      </c>
      <c r="D160" s="18" t="s">
        <v>1796</v>
      </c>
    </row>
    <row r="161">
      <c r="A161" s="18">
        <f t="shared" si="1"/>
        <v>160</v>
      </c>
      <c r="D161" s="18" t="s">
        <v>1799</v>
      </c>
    </row>
    <row r="162">
      <c r="A162" s="18">
        <f t="shared" si="1"/>
        <v>161</v>
      </c>
      <c r="D162" s="18" t="s">
        <v>1801</v>
      </c>
    </row>
    <row r="163">
      <c r="A163" s="18">
        <f t="shared" si="1"/>
        <v>162</v>
      </c>
      <c r="D163" s="18" t="s">
        <v>1802</v>
      </c>
    </row>
    <row r="164">
      <c r="A164" s="18">
        <f t="shared" si="1"/>
        <v>163</v>
      </c>
      <c r="D164" s="18" t="s">
        <v>1803</v>
      </c>
    </row>
    <row r="165">
      <c r="A165" s="18">
        <f t="shared" si="1"/>
        <v>164</v>
      </c>
      <c r="D165" s="18" t="s">
        <v>1804</v>
      </c>
    </row>
    <row r="166">
      <c r="A166" s="18">
        <f t="shared" si="1"/>
        <v>165</v>
      </c>
      <c r="D166" s="18" t="s">
        <v>1805</v>
      </c>
    </row>
    <row r="167">
      <c r="A167" s="18">
        <f t="shared" si="1"/>
        <v>166</v>
      </c>
      <c r="D167" s="18" t="s">
        <v>1811</v>
      </c>
    </row>
    <row r="168">
      <c r="A168" s="18">
        <f t="shared" si="1"/>
        <v>167</v>
      </c>
      <c r="D168" s="18" t="s">
        <v>1812</v>
      </c>
    </row>
    <row r="169">
      <c r="A169" s="18">
        <f t="shared" si="1"/>
        <v>168</v>
      </c>
      <c r="D169" s="18" t="s">
        <v>1813</v>
      </c>
    </row>
    <row r="170">
      <c r="A170" s="18">
        <f t="shared" si="1"/>
        <v>169</v>
      </c>
      <c r="D170" s="18" t="s">
        <v>2538</v>
      </c>
    </row>
    <row r="171">
      <c r="A171" s="18">
        <f t="shared" si="1"/>
        <v>170</v>
      </c>
      <c r="D171" s="18" t="s">
        <v>1836</v>
      </c>
    </row>
    <row r="172">
      <c r="A172" s="18">
        <f t="shared" si="1"/>
        <v>171</v>
      </c>
      <c r="D172" s="18" t="s">
        <v>1838</v>
      </c>
    </row>
    <row r="173">
      <c r="A173" s="18">
        <f t="shared" si="1"/>
        <v>172</v>
      </c>
      <c r="D173" s="18" t="s">
        <v>1839</v>
      </c>
    </row>
    <row r="174">
      <c r="A174" s="18">
        <f t="shared" si="1"/>
        <v>173</v>
      </c>
      <c r="D174" s="18" t="s">
        <v>1840</v>
      </c>
    </row>
    <row r="175">
      <c r="A175" s="18">
        <f t="shared" si="1"/>
        <v>174</v>
      </c>
      <c r="D175" s="18" t="s">
        <v>1841</v>
      </c>
    </row>
    <row r="176">
      <c r="A176" s="18">
        <f t="shared" si="1"/>
        <v>175</v>
      </c>
      <c r="D176" s="18" t="s">
        <v>1843</v>
      </c>
    </row>
    <row r="177">
      <c r="A177" s="18">
        <f t="shared" si="1"/>
        <v>176</v>
      </c>
      <c r="D177" s="18" t="s">
        <v>1846</v>
      </c>
    </row>
    <row r="178">
      <c r="A178" s="18">
        <f t="shared" si="1"/>
        <v>177</v>
      </c>
      <c r="D178" s="18" t="s">
        <v>1847</v>
      </c>
    </row>
    <row r="179">
      <c r="A179" s="18">
        <f t="shared" si="1"/>
        <v>178</v>
      </c>
      <c r="D179" s="18" t="s">
        <v>1848</v>
      </c>
    </row>
    <row r="180">
      <c r="A180" s="18">
        <f t="shared" si="1"/>
        <v>179</v>
      </c>
      <c r="D180" s="18" t="s">
        <v>1851</v>
      </c>
    </row>
    <row r="181">
      <c r="A181" s="18">
        <f t="shared" si="1"/>
        <v>180</v>
      </c>
      <c r="D181" s="18" t="s">
        <v>1852</v>
      </c>
    </row>
    <row r="182">
      <c r="A182" s="18">
        <f t="shared" si="1"/>
        <v>181</v>
      </c>
      <c r="D182" s="18" t="s">
        <v>1854</v>
      </c>
    </row>
    <row r="183">
      <c r="A183" s="18">
        <f t="shared" si="1"/>
        <v>182</v>
      </c>
      <c r="D183" s="18" t="s">
        <v>2539</v>
      </c>
    </row>
    <row r="184">
      <c r="A184" s="18">
        <f t="shared" si="1"/>
        <v>183</v>
      </c>
      <c r="D184" s="18" t="s">
        <v>2540</v>
      </c>
    </row>
    <row r="185">
      <c r="A185" s="18">
        <f t="shared" si="1"/>
        <v>184</v>
      </c>
      <c r="D185" s="18" t="s">
        <v>2541</v>
      </c>
    </row>
    <row r="186">
      <c r="A186" s="18">
        <f t="shared" si="1"/>
        <v>185</v>
      </c>
      <c r="D186" s="18" t="s">
        <v>2542</v>
      </c>
    </row>
    <row r="187">
      <c r="A187" s="18">
        <f t="shared" si="1"/>
        <v>186</v>
      </c>
      <c r="D187" s="18" t="s">
        <v>1860</v>
      </c>
    </row>
    <row r="188">
      <c r="A188" s="18">
        <f t="shared" si="1"/>
        <v>187</v>
      </c>
      <c r="D188" s="18" t="s">
        <v>1863</v>
      </c>
    </row>
    <row r="189">
      <c r="A189" s="18">
        <f t="shared" si="1"/>
        <v>188</v>
      </c>
      <c r="D189" s="18" t="s">
        <v>2543</v>
      </c>
    </row>
    <row r="190">
      <c r="A190" s="18">
        <f t="shared" si="1"/>
        <v>189</v>
      </c>
      <c r="D190" s="18" t="s">
        <v>1867</v>
      </c>
    </row>
    <row r="191">
      <c r="A191" s="18">
        <f t="shared" si="1"/>
        <v>190</v>
      </c>
      <c r="D191" s="18" t="s">
        <v>1874</v>
      </c>
    </row>
    <row r="192">
      <c r="A192" s="18">
        <f t="shared" si="1"/>
        <v>191</v>
      </c>
      <c r="D192" s="18" t="s">
        <v>1875</v>
      </c>
    </row>
    <row r="193">
      <c r="A193" s="18">
        <f t="shared" si="1"/>
        <v>192</v>
      </c>
      <c r="D193" s="18" t="s">
        <v>1876</v>
      </c>
    </row>
    <row r="194">
      <c r="A194" s="18">
        <f t="shared" si="1"/>
        <v>193</v>
      </c>
      <c r="D194" s="18" t="s">
        <v>1877</v>
      </c>
    </row>
    <row r="195">
      <c r="A195" s="18">
        <f t="shared" si="1"/>
        <v>194</v>
      </c>
      <c r="D195" s="18" t="s">
        <v>2544</v>
      </c>
    </row>
    <row r="196">
      <c r="A196" s="18">
        <f t="shared" si="1"/>
        <v>195</v>
      </c>
      <c r="D196" s="18" t="s">
        <v>2545</v>
      </c>
    </row>
    <row r="197">
      <c r="A197" s="18">
        <f t="shared" si="1"/>
        <v>196</v>
      </c>
      <c r="D197" s="18" t="s">
        <v>2546</v>
      </c>
    </row>
    <row r="198">
      <c r="A198" s="18">
        <f t="shared" si="1"/>
        <v>197</v>
      </c>
      <c r="D198" s="18" t="s">
        <v>2547</v>
      </c>
    </row>
    <row r="199">
      <c r="A199" s="18">
        <f t="shared" si="1"/>
        <v>198</v>
      </c>
      <c r="D199" s="18" t="s">
        <v>1887</v>
      </c>
    </row>
    <row r="200">
      <c r="A200" s="18">
        <f t="shared" si="1"/>
        <v>199</v>
      </c>
      <c r="D200" s="18" t="s">
        <v>2548</v>
      </c>
    </row>
    <row r="201">
      <c r="A201" s="18">
        <f t="shared" si="1"/>
        <v>200</v>
      </c>
      <c r="D201" s="18" t="s">
        <v>1892</v>
      </c>
    </row>
    <row r="202">
      <c r="A202" s="18">
        <f t="shared" si="1"/>
        <v>201</v>
      </c>
      <c r="D202" s="18" t="s">
        <v>1894</v>
      </c>
    </row>
    <row r="203">
      <c r="A203" s="18">
        <f t="shared" si="1"/>
        <v>202</v>
      </c>
      <c r="D203" s="18" t="s">
        <v>1895</v>
      </c>
    </row>
    <row r="204">
      <c r="A204" s="18">
        <f t="shared" si="1"/>
        <v>203</v>
      </c>
      <c r="D204" s="18" t="s">
        <v>1896</v>
      </c>
    </row>
    <row r="205">
      <c r="A205" s="18">
        <f t="shared" si="1"/>
        <v>204</v>
      </c>
      <c r="D205" s="18" t="s">
        <v>1897</v>
      </c>
    </row>
    <row r="206">
      <c r="A206" s="18">
        <f t="shared" si="1"/>
        <v>205</v>
      </c>
      <c r="D206" s="18" t="s">
        <v>1898</v>
      </c>
    </row>
    <row r="207">
      <c r="A207" s="18">
        <f t="shared" si="1"/>
        <v>206</v>
      </c>
      <c r="D207" s="18" t="s">
        <v>2549</v>
      </c>
    </row>
    <row r="208">
      <c r="A208" s="18">
        <f t="shared" si="1"/>
        <v>207</v>
      </c>
      <c r="D208" s="18" t="s">
        <v>1912</v>
      </c>
    </row>
    <row r="209">
      <c r="A209" s="18">
        <f t="shared" si="1"/>
        <v>208</v>
      </c>
      <c r="D209" s="18" t="s">
        <v>1915</v>
      </c>
    </row>
    <row r="210">
      <c r="A210" s="18">
        <f t="shared" si="1"/>
        <v>209</v>
      </c>
      <c r="D210" s="18" t="s">
        <v>1916</v>
      </c>
    </row>
    <row r="211">
      <c r="A211" s="18">
        <f t="shared" si="1"/>
        <v>210</v>
      </c>
      <c r="D211" s="18" t="s">
        <v>1918</v>
      </c>
    </row>
    <row r="212">
      <c r="A212" s="18">
        <f t="shared" si="1"/>
        <v>211</v>
      </c>
      <c r="D212" s="18" t="s">
        <v>1923</v>
      </c>
    </row>
    <row r="213">
      <c r="A213" s="18">
        <f t="shared" si="1"/>
        <v>212</v>
      </c>
      <c r="D213" s="18" t="s">
        <v>1924</v>
      </c>
    </row>
    <row r="214">
      <c r="A214" s="18">
        <f t="shared" si="1"/>
        <v>213</v>
      </c>
      <c r="D214" s="18" t="s">
        <v>1925</v>
      </c>
    </row>
    <row r="215">
      <c r="A215" s="18">
        <f t="shared" si="1"/>
        <v>214</v>
      </c>
      <c r="D215" s="18" t="s">
        <v>1926</v>
      </c>
    </row>
    <row r="216">
      <c r="A216" s="18">
        <f t="shared" si="1"/>
        <v>215</v>
      </c>
      <c r="D216" s="18" t="s">
        <v>1927</v>
      </c>
    </row>
    <row r="217">
      <c r="A217" s="18">
        <f t="shared" si="1"/>
        <v>216</v>
      </c>
      <c r="D217" s="18" t="s">
        <v>1928</v>
      </c>
    </row>
    <row r="218">
      <c r="A218" s="18">
        <f t="shared" si="1"/>
        <v>217</v>
      </c>
      <c r="D218" s="18" t="s">
        <v>1929</v>
      </c>
    </row>
    <row r="219">
      <c r="A219" s="18">
        <f t="shared" si="1"/>
        <v>218</v>
      </c>
      <c r="D219" s="18" t="s">
        <v>1930</v>
      </c>
    </row>
    <row r="220">
      <c r="A220" s="18">
        <f t="shared" si="1"/>
        <v>219</v>
      </c>
      <c r="D220" s="18" t="s">
        <v>1931</v>
      </c>
    </row>
    <row r="221">
      <c r="A221" s="18">
        <f t="shared" si="1"/>
        <v>220</v>
      </c>
      <c r="D221" s="18" t="s">
        <v>2550</v>
      </c>
    </row>
    <row r="222">
      <c r="A222" s="18">
        <f t="shared" si="1"/>
        <v>221</v>
      </c>
      <c r="D222" s="18" t="s">
        <v>2551</v>
      </c>
    </row>
    <row r="223">
      <c r="A223" s="18">
        <f t="shared" si="1"/>
        <v>222</v>
      </c>
      <c r="D223" s="18" t="s">
        <v>1919</v>
      </c>
    </row>
    <row r="224">
      <c r="A224" s="18">
        <f t="shared" si="1"/>
        <v>223</v>
      </c>
      <c r="D224" s="18" t="s">
        <v>1934</v>
      </c>
    </row>
    <row r="225">
      <c r="A225" s="18">
        <f t="shared" si="1"/>
        <v>224</v>
      </c>
      <c r="D225" s="18" t="s">
        <v>1942</v>
      </c>
    </row>
    <row r="226">
      <c r="A226" s="18">
        <f t="shared" si="1"/>
        <v>225</v>
      </c>
      <c r="D226" s="18" t="s">
        <v>1944</v>
      </c>
    </row>
    <row r="227">
      <c r="A227" s="18">
        <f t="shared" si="1"/>
        <v>226</v>
      </c>
      <c r="D227" s="18" t="s">
        <v>1945</v>
      </c>
    </row>
    <row r="228">
      <c r="A228" s="18">
        <f t="shared" si="1"/>
        <v>227</v>
      </c>
      <c r="D228" s="18" t="s">
        <v>2552</v>
      </c>
    </row>
    <row r="229">
      <c r="A229" s="18">
        <f t="shared" si="1"/>
        <v>228</v>
      </c>
      <c r="D229" s="18" t="s">
        <v>1950</v>
      </c>
    </row>
    <row r="230">
      <c r="A230" s="18">
        <f t="shared" si="1"/>
        <v>229</v>
      </c>
      <c r="D230" s="18" t="s">
        <v>1951</v>
      </c>
    </row>
    <row r="231">
      <c r="A231" s="18">
        <f t="shared" si="1"/>
        <v>230</v>
      </c>
      <c r="D231" s="18" t="s">
        <v>1952</v>
      </c>
    </row>
    <row r="232">
      <c r="A232" s="18">
        <f t="shared" si="1"/>
        <v>231</v>
      </c>
      <c r="D232" s="18" t="s">
        <v>1953</v>
      </c>
    </row>
    <row r="233">
      <c r="A233" s="18">
        <f t="shared" si="1"/>
        <v>232</v>
      </c>
      <c r="D233" s="18" t="s">
        <v>1954</v>
      </c>
    </row>
    <row r="234">
      <c r="A234" s="18">
        <f t="shared" si="1"/>
        <v>233</v>
      </c>
      <c r="D234" s="18" t="s">
        <v>1955</v>
      </c>
    </row>
    <row r="235">
      <c r="A235" s="18">
        <f t="shared" si="1"/>
        <v>234</v>
      </c>
      <c r="D235" s="18" t="s">
        <v>1956</v>
      </c>
    </row>
    <row r="236">
      <c r="A236" s="18">
        <f t="shared" si="1"/>
        <v>235</v>
      </c>
      <c r="D236" s="18" t="s">
        <v>1957</v>
      </c>
    </row>
    <row r="237">
      <c r="A237" s="18">
        <f t="shared" si="1"/>
        <v>236</v>
      </c>
      <c r="D237" s="18" t="s">
        <v>1958</v>
      </c>
    </row>
    <row r="238">
      <c r="A238" s="18">
        <f t="shared" si="1"/>
        <v>237</v>
      </c>
      <c r="D238" s="18" t="s">
        <v>2553</v>
      </c>
    </row>
    <row r="239">
      <c r="A239" s="18">
        <f t="shared" si="1"/>
        <v>238</v>
      </c>
      <c r="D239" s="18" t="s">
        <v>1959</v>
      </c>
    </row>
    <row r="240">
      <c r="A240" s="18">
        <f t="shared" si="1"/>
        <v>239</v>
      </c>
      <c r="D240" s="18" t="s">
        <v>1960</v>
      </c>
    </row>
    <row r="241">
      <c r="A241" s="18">
        <f t="shared" si="1"/>
        <v>240</v>
      </c>
      <c r="D241" s="18" t="s">
        <v>1961</v>
      </c>
    </row>
    <row r="242">
      <c r="A242" s="18">
        <f t="shared" si="1"/>
        <v>241</v>
      </c>
      <c r="D242" s="18" t="s">
        <v>1962</v>
      </c>
    </row>
    <row r="243">
      <c r="A243" s="18">
        <f t="shared" si="1"/>
        <v>242</v>
      </c>
      <c r="D243" s="18" t="s">
        <v>1965</v>
      </c>
    </row>
    <row r="244">
      <c r="A244" s="18">
        <f t="shared" si="1"/>
        <v>243</v>
      </c>
      <c r="D244" s="18" t="s">
        <v>1967</v>
      </c>
    </row>
    <row r="245">
      <c r="A245" s="18">
        <f t="shared" si="1"/>
        <v>244</v>
      </c>
      <c r="D245" s="18" t="s">
        <v>1977</v>
      </c>
    </row>
    <row r="246">
      <c r="A246" s="18">
        <f t="shared" si="1"/>
        <v>245</v>
      </c>
      <c r="D246" s="18" t="s">
        <v>1978</v>
      </c>
    </row>
    <row r="247">
      <c r="A247" s="18">
        <f t="shared" si="1"/>
        <v>246</v>
      </c>
      <c r="D247" s="18" t="s">
        <v>1979</v>
      </c>
    </row>
    <row r="248">
      <c r="A248" s="18">
        <f t="shared" si="1"/>
        <v>247</v>
      </c>
      <c r="D248" s="18" t="s">
        <v>1980</v>
      </c>
    </row>
    <row r="249">
      <c r="A249" s="18">
        <f t="shared" si="1"/>
        <v>248</v>
      </c>
      <c r="D249" s="18" t="s">
        <v>1981</v>
      </c>
    </row>
    <row r="250">
      <c r="A250" s="18">
        <f t="shared" si="1"/>
        <v>249</v>
      </c>
      <c r="D250" s="18" t="s">
        <v>1982</v>
      </c>
    </row>
    <row r="251">
      <c r="A251" s="18">
        <f t="shared" si="1"/>
        <v>250</v>
      </c>
      <c r="D251" s="18" t="s">
        <v>1983</v>
      </c>
    </row>
    <row r="252">
      <c r="A252" s="18">
        <f t="shared" si="1"/>
        <v>251</v>
      </c>
      <c r="D252" s="18" t="s">
        <v>1984</v>
      </c>
    </row>
    <row r="253">
      <c r="A253" s="18">
        <f t="shared" si="1"/>
        <v>252</v>
      </c>
      <c r="D253" s="18" t="s">
        <v>1985</v>
      </c>
    </row>
    <row r="254">
      <c r="A254" s="18">
        <f t="shared" si="1"/>
        <v>253</v>
      </c>
      <c r="D254" s="18" t="s">
        <v>1986</v>
      </c>
    </row>
    <row r="255">
      <c r="A255" s="18">
        <f t="shared" si="1"/>
        <v>254</v>
      </c>
      <c r="D255" s="18" t="s">
        <v>2554</v>
      </c>
    </row>
    <row r="256">
      <c r="A256" s="18">
        <f t="shared" si="1"/>
        <v>255</v>
      </c>
      <c r="D256" s="18" t="s">
        <v>1988</v>
      </c>
    </row>
    <row r="257">
      <c r="A257" s="18">
        <f t="shared" si="1"/>
        <v>256</v>
      </c>
      <c r="D257" s="18" t="s">
        <v>1993</v>
      </c>
    </row>
    <row r="258">
      <c r="A258" s="18">
        <f t="shared" si="1"/>
        <v>257</v>
      </c>
      <c r="D258" s="18" t="s">
        <v>1996</v>
      </c>
    </row>
    <row r="259">
      <c r="A259" s="18">
        <f t="shared" si="1"/>
        <v>258</v>
      </c>
      <c r="D259" s="18" t="s">
        <v>2003</v>
      </c>
    </row>
    <row r="260">
      <c r="A260" s="18">
        <f t="shared" si="1"/>
        <v>259</v>
      </c>
      <c r="D260" s="18" t="s">
        <v>2004</v>
      </c>
    </row>
    <row r="261">
      <c r="A261" s="18">
        <f t="shared" si="1"/>
        <v>260</v>
      </c>
      <c r="D261" s="18" t="s">
        <v>2555</v>
      </c>
    </row>
    <row r="262">
      <c r="A262" s="18">
        <f t="shared" si="1"/>
        <v>261</v>
      </c>
      <c r="D262" s="18" t="s">
        <v>2009</v>
      </c>
    </row>
    <row r="263">
      <c r="A263" s="18">
        <f t="shared" si="1"/>
        <v>262</v>
      </c>
      <c r="D263" s="18" t="s">
        <v>2010</v>
      </c>
    </row>
    <row r="264">
      <c r="A264" s="18">
        <f t="shared" si="1"/>
        <v>263</v>
      </c>
      <c r="D264" s="18" t="s">
        <v>2011</v>
      </c>
    </row>
    <row r="265">
      <c r="A265" s="18">
        <f t="shared" si="1"/>
        <v>264</v>
      </c>
      <c r="D265" s="18" t="s">
        <v>2012</v>
      </c>
    </row>
    <row r="266">
      <c r="A266" s="18">
        <f t="shared" si="1"/>
        <v>265</v>
      </c>
      <c r="D266" s="18" t="s">
        <v>2015</v>
      </c>
    </row>
    <row r="267">
      <c r="A267" s="18">
        <f t="shared" si="1"/>
        <v>266</v>
      </c>
      <c r="D267" s="18" t="s">
        <v>2021</v>
      </c>
    </row>
    <row r="268">
      <c r="A268" s="18">
        <f t="shared" si="1"/>
        <v>267</v>
      </c>
      <c r="D268" s="18" t="s">
        <v>2023</v>
      </c>
    </row>
    <row r="269">
      <c r="A269" s="18">
        <f t="shared" si="1"/>
        <v>268</v>
      </c>
      <c r="D269" s="18" t="s">
        <v>2024</v>
      </c>
    </row>
    <row r="270">
      <c r="A270" s="18">
        <f t="shared" si="1"/>
        <v>269</v>
      </c>
      <c r="D270" s="18" t="s">
        <v>2025</v>
      </c>
    </row>
    <row r="271">
      <c r="A271" s="18">
        <f t="shared" si="1"/>
        <v>270</v>
      </c>
      <c r="D271" s="18" t="s">
        <v>2026</v>
      </c>
    </row>
    <row r="272">
      <c r="A272" s="18">
        <f t="shared" si="1"/>
        <v>271</v>
      </c>
      <c r="D272" s="18" t="s">
        <v>2027</v>
      </c>
    </row>
    <row r="273">
      <c r="A273" s="18">
        <f t="shared" si="1"/>
        <v>272</v>
      </c>
      <c r="D273" s="18" t="s">
        <v>2029</v>
      </c>
    </row>
    <row r="274">
      <c r="A274" s="18">
        <f t="shared" si="1"/>
        <v>273</v>
      </c>
      <c r="D274" s="18" t="s">
        <v>2031</v>
      </c>
    </row>
    <row r="275">
      <c r="A275" s="18">
        <f t="shared" si="1"/>
        <v>274</v>
      </c>
      <c r="D275" s="18" t="s">
        <v>2032</v>
      </c>
    </row>
    <row r="276">
      <c r="A276" s="18">
        <f t="shared" si="1"/>
        <v>275</v>
      </c>
      <c r="D276" s="18" t="s">
        <v>2033</v>
      </c>
    </row>
    <row r="277">
      <c r="A277" s="18">
        <f t="shared" si="1"/>
        <v>276</v>
      </c>
      <c r="D277" s="18" t="s">
        <v>2034</v>
      </c>
    </row>
    <row r="278">
      <c r="A278" s="18">
        <f t="shared" si="1"/>
        <v>277</v>
      </c>
      <c r="D278" s="18" t="s">
        <v>2036</v>
      </c>
    </row>
    <row r="279">
      <c r="A279" s="18">
        <f t="shared" si="1"/>
        <v>278</v>
      </c>
      <c r="D279" s="18" t="s">
        <v>2040</v>
      </c>
    </row>
    <row r="280">
      <c r="A280" s="18">
        <f t="shared" si="1"/>
        <v>279</v>
      </c>
      <c r="D280" s="18" t="s">
        <v>2042</v>
      </c>
    </row>
    <row r="281">
      <c r="A281" s="18">
        <f t="shared" si="1"/>
        <v>280</v>
      </c>
      <c r="D281" s="18" t="s">
        <v>2045</v>
      </c>
    </row>
    <row r="282">
      <c r="A282" s="18">
        <f t="shared" si="1"/>
        <v>281</v>
      </c>
      <c r="D282" s="18" t="s">
        <v>2556</v>
      </c>
    </row>
    <row r="283">
      <c r="A283" s="18">
        <f t="shared" si="1"/>
        <v>282</v>
      </c>
      <c r="D283" s="18" t="s">
        <v>2046</v>
      </c>
    </row>
    <row r="284">
      <c r="A284" s="18">
        <f t="shared" si="1"/>
        <v>283</v>
      </c>
      <c r="D284" s="18" t="s">
        <v>2047</v>
      </c>
    </row>
    <row r="285">
      <c r="A285" s="18">
        <f t="shared" si="1"/>
        <v>284</v>
      </c>
      <c r="D285" s="18" t="s">
        <v>2049</v>
      </c>
    </row>
    <row r="286">
      <c r="A286" s="18">
        <f t="shared" si="1"/>
        <v>285</v>
      </c>
      <c r="D286" s="18" t="s">
        <v>2050</v>
      </c>
    </row>
    <row r="287">
      <c r="A287" s="18">
        <f t="shared" si="1"/>
        <v>286</v>
      </c>
      <c r="D287" s="18" t="s">
        <v>2051</v>
      </c>
    </row>
    <row r="288">
      <c r="A288" s="18">
        <f t="shared" si="1"/>
        <v>287</v>
      </c>
      <c r="D288" s="18" t="s">
        <v>2052</v>
      </c>
    </row>
    <row r="289">
      <c r="A289" s="18">
        <f t="shared" si="1"/>
        <v>288</v>
      </c>
      <c r="D289" s="18" t="s">
        <v>2053</v>
      </c>
    </row>
    <row r="290">
      <c r="A290" s="18">
        <f t="shared" si="1"/>
        <v>289</v>
      </c>
      <c r="D290" s="18" t="s">
        <v>2054</v>
      </c>
    </row>
    <row r="291">
      <c r="A291" s="18">
        <f t="shared" si="1"/>
        <v>290</v>
      </c>
      <c r="D291" s="18" t="s">
        <v>2557</v>
      </c>
    </row>
    <row r="292">
      <c r="A292" s="18">
        <f t="shared" si="1"/>
        <v>291</v>
      </c>
      <c r="D292" s="24" t="s">
        <v>2059</v>
      </c>
    </row>
    <row r="293">
      <c r="A293" s="18">
        <f t="shared" si="1"/>
        <v>292</v>
      </c>
      <c r="D293" s="24" t="s">
        <v>2061</v>
      </c>
    </row>
    <row r="294">
      <c r="A294" s="18">
        <f t="shared" si="1"/>
        <v>293</v>
      </c>
      <c r="D294" s="24" t="s">
        <v>2062</v>
      </c>
    </row>
    <row r="295">
      <c r="A295" s="18">
        <f t="shared" si="1"/>
        <v>294</v>
      </c>
      <c r="D295" s="24" t="s">
        <v>2063</v>
      </c>
    </row>
    <row r="296">
      <c r="A296" s="18">
        <f t="shared" si="1"/>
        <v>295</v>
      </c>
      <c r="D296" s="24" t="s">
        <v>2064</v>
      </c>
    </row>
    <row r="297">
      <c r="A297" s="18">
        <f t="shared" si="1"/>
        <v>296</v>
      </c>
      <c r="D297" s="24" t="s">
        <v>2065</v>
      </c>
    </row>
    <row r="298">
      <c r="A298" s="18">
        <f t="shared" si="1"/>
        <v>297</v>
      </c>
      <c r="D298" s="18" t="s">
        <v>2067</v>
      </c>
    </row>
    <row r="299">
      <c r="A299" s="18">
        <f t="shared" si="1"/>
        <v>298</v>
      </c>
      <c r="D299" s="18" t="s">
        <v>2069</v>
      </c>
    </row>
    <row r="300">
      <c r="A300" s="18">
        <f t="shared" si="1"/>
        <v>299</v>
      </c>
      <c r="D300" s="18" t="s">
        <v>2558</v>
      </c>
    </row>
    <row r="301">
      <c r="A301" s="18">
        <f t="shared" si="1"/>
        <v>300</v>
      </c>
      <c r="D301" s="18" t="s">
        <v>2072</v>
      </c>
    </row>
    <row r="302">
      <c r="A302" s="18">
        <f t="shared" si="1"/>
        <v>301</v>
      </c>
      <c r="D302" s="18" t="s">
        <v>2073</v>
      </c>
    </row>
    <row r="303">
      <c r="A303" s="18">
        <f t="shared" si="1"/>
        <v>302</v>
      </c>
      <c r="D303" s="18" t="s">
        <v>2074</v>
      </c>
    </row>
    <row r="304">
      <c r="A304" s="18">
        <f t="shared" si="1"/>
        <v>303</v>
      </c>
      <c r="D304" s="18" t="s">
        <v>2075</v>
      </c>
    </row>
    <row r="305">
      <c r="A305" s="18">
        <f t="shared" si="1"/>
        <v>304</v>
      </c>
      <c r="D305" s="18" t="s">
        <v>2076</v>
      </c>
    </row>
    <row r="306">
      <c r="A306" s="18">
        <f t="shared" si="1"/>
        <v>305</v>
      </c>
      <c r="D306" s="18" t="s">
        <v>2077</v>
      </c>
    </row>
    <row r="307">
      <c r="A307" s="18">
        <f t="shared" si="1"/>
        <v>306</v>
      </c>
      <c r="D307" s="18" t="s">
        <v>2078</v>
      </c>
    </row>
    <row r="308">
      <c r="A308" s="18">
        <f t="shared" si="1"/>
        <v>307</v>
      </c>
      <c r="D308" s="18" t="s">
        <v>2079</v>
      </c>
    </row>
    <row r="309">
      <c r="A309" s="18">
        <f t="shared" si="1"/>
        <v>308</v>
      </c>
      <c r="D309" s="18" t="s">
        <v>2080</v>
      </c>
    </row>
    <row r="310">
      <c r="A310" s="18">
        <f t="shared" si="1"/>
        <v>309</v>
      </c>
      <c r="D310" s="18" t="s">
        <v>2081</v>
      </c>
    </row>
    <row r="311">
      <c r="A311" s="18">
        <f t="shared" si="1"/>
        <v>310</v>
      </c>
      <c r="D311" s="18" t="s">
        <v>2084</v>
      </c>
    </row>
    <row r="312">
      <c r="A312" s="18">
        <f t="shared" si="1"/>
        <v>311</v>
      </c>
      <c r="D312" s="18" t="s">
        <v>2087</v>
      </c>
    </row>
    <row r="313">
      <c r="A313" s="18">
        <f t="shared" si="1"/>
        <v>312</v>
      </c>
      <c r="D313" s="18" t="s">
        <v>2088</v>
      </c>
    </row>
    <row r="314">
      <c r="A314" s="18">
        <f t="shared" si="1"/>
        <v>313</v>
      </c>
      <c r="D314" s="18" t="s">
        <v>2089</v>
      </c>
    </row>
    <row r="315">
      <c r="A315" s="18">
        <f t="shared" si="1"/>
        <v>314</v>
      </c>
      <c r="D315" s="18" t="s">
        <v>2091</v>
      </c>
    </row>
    <row r="316">
      <c r="A316" s="18">
        <f t="shared" si="1"/>
        <v>315</v>
      </c>
      <c r="D316" s="18" t="s">
        <v>2092</v>
      </c>
    </row>
    <row r="317">
      <c r="A317" s="18">
        <f t="shared" si="1"/>
        <v>316</v>
      </c>
      <c r="D317" s="18" t="s">
        <v>2093</v>
      </c>
    </row>
    <row r="318">
      <c r="A318" s="18">
        <f t="shared" si="1"/>
        <v>317</v>
      </c>
      <c r="D318" s="18" t="s">
        <v>2094</v>
      </c>
    </row>
    <row r="319">
      <c r="A319" s="18">
        <f t="shared" si="1"/>
        <v>318</v>
      </c>
      <c r="D319" s="18" t="s">
        <v>2095</v>
      </c>
    </row>
    <row r="320">
      <c r="A320" s="18">
        <f t="shared" si="1"/>
        <v>319</v>
      </c>
      <c r="D320" s="18" t="s">
        <v>2096</v>
      </c>
    </row>
    <row r="321">
      <c r="A321" s="18">
        <f t="shared" si="1"/>
        <v>320</v>
      </c>
      <c r="D321" s="18" t="s">
        <v>2097</v>
      </c>
    </row>
    <row r="322">
      <c r="A322" s="18">
        <f t="shared" si="1"/>
        <v>321</v>
      </c>
      <c r="D322" s="18" t="s">
        <v>2103</v>
      </c>
    </row>
    <row r="323">
      <c r="A323" s="18">
        <f t="shared" si="1"/>
        <v>322</v>
      </c>
      <c r="D323" s="18" t="s">
        <v>2106</v>
      </c>
    </row>
    <row r="324">
      <c r="A324" s="18">
        <f t="shared" si="1"/>
        <v>323</v>
      </c>
      <c r="D324" s="18" t="s">
        <v>2107</v>
      </c>
    </row>
    <row r="325">
      <c r="A325" s="18">
        <f t="shared" si="1"/>
        <v>324</v>
      </c>
      <c r="D325" s="18" t="s">
        <v>2109</v>
      </c>
    </row>
    <row r="326">
      <c r="A326" s="18">
        <f t="shared" si="1"/>
        <v>325</v>
      </c>
      <c r="D326" s="18" t="s">
        <v>2110</v>
      </c>
    </row>
    <row r="327">
      <c r="A327" s="18">
        <f t="shared" si="1"/>
        <v>326</v>
      </c>
      <c r="D327" s="18" t="s">
        <v>2111</v>
      </c>
    </row>
    <row r="328">
      <c r="A328" s="18">
        <f t="shared" si="1"/>
        <v>327</v>
      </c>
      <c r="D328" s="18" t="s">
        <v>2112</v>
      </c>
    </row>
    <row r="329">
      <c r="A329" s="18">
        <f t="shared" si="1"/>
        <v>328</v>
      </c>
      <c r="D329" s="18" t="s">
        <v>2559</v>
      </c>
    </row>
    <row r="330">
      <c r="A330" s="18">
        <f t="shared" si="1"/>
        <v>329</v>
      </c>
      <c r="D330" s="18" t="s">
        <v>2113</v>
      </c>
    </row>
    <row r="331">
      <c r="A331" s="18">
        <f t="shared" si="1"/>
        <v>330</v>
      </c>
      <c r="D331" s="18" t="s">
        <v>2114</v>
      </c>
    </row>
    <row r="332">
      <c r="A332" s="18">
        <f t="shared" si="1"/>
        <v>331</v>
      </c>
      <c r="D332" s="18" t="s">
        <v>2115</v>
      </c>
    </row>
    <row r="333">
      <c r="A333" s="18">
        <f t="shared" si="1"/>
        <v>332</v>
      </c>
      <c r="D333" s="18" t="s">
        <v>2116</v>
      </c>
    </row>
    <row r="334">
      <c r="A334" s="18">
        <f t="shared" si="1"/>
        <v>333</v>
      </c>
      <c r="D334" s="18" t="s">
        <v>2117</v>
      </c>
    </row>
    <row r="335">
      <c r="A335" s="18">
        <f t="shared" si="1"/>
        <v>334</v>
      </c>
      <c r="D335" s="18" t="s">
        <v>2118</v>
      </c>
    </row>
    <row r="336">
      <c r="A336" s="18">
        <f t="shared" si="1"/>
        <v>335</v>
      </c>
      <c r="D336" s="18" t="s">
        <v>2119</v>
      </c>
    </row>
    <row r="337">
      <c r="A337" s="18">
        <f t="shared" si="1"/>
        <v>336</v>
      </c>
      <c r="D337" s="18" t="s">
        <v>2560</v>
      </c>
    </row>
    <row r="338">
      <c r="A338" s="18">
        <f t="shared" si="1"/>
        <v>337</v>
      </c>
      <c r="D338" s="18" t="s">
        <v>2120</v>
      </c>
    </row>
    <row r="339">
      <c r="A339" s="18">
        <f t="shared" si="1"/>
        <v>338</v>
      </c>
      <c r="D339" s="18" t="s">
        <v>2121</v>
      </c>
    </row>
    <row r="340">
      <c r="A340" s="18">
        <f t="shared" si="1"/>
        <v>339</v>
      </c>
      <c r="D340" s="18" t="s">
        <v>2122</v>
      </c>
    </row>
    <row r="341">
      <c r="A341" s="18">
        <f t="shared" si="1"/>
        <v>340</v>
      </c>
      <c r="D341" s="18" t="s">
        <v>2123</v>
      </c>
    </row>
    <row r="342">
      <c r="A342" s="18">
        <f t="shared" si="1"/>
        <v>341</v>
      </c>
      <c r="D342" s="18" t="s">
        <v>2124</v>
      </c>
    </row>
    <row r="343">
      <c r="A343" s="18">
        <f t="shared" si="1"/>
        <v>342</v>
      </c>
      <c r="D343" s="18" t="s">
        <v>2125</v>
      </c>
    </row>
    <row r="344">
      <c r="A344" s="18">
        <f t="shared" si="1"/>
        <v>343</v>
      </c>
      <c r="D344" s="18" t="s">
        <v>2126</v>
      </c>
    </row>
    <row r="345">
      <c r="A345" s="18">
        <f t="shared" si="1"/>
        <v>344</v>
      </c>
      <c r="D345" s="18" t="s">
        <v>2127</v>
      </c>
    </row>
    <row r="346">
      <c r="A346" s="18">
        <f t="shared" si="1"/>
        <v>345</v>
      </c>
      <c r="D346" s="18" t="s">
        <v>2128</v>
      </c>
    </row>
    <row r="347">
      <c r="A347" s="18">
        <f t="shared" si="1"/>
        <v>346</v>
      </c>
      <c r="D347" s="18" t="s">
        <v>2129</v>
      </c>
    </row>
    <row r="348">
      <c r="A348" s="18">
        <f t="shared" si="1"/>
        <v>347</v>
      </c>
      <c r="D348" s="18" t="s">
        <v>2130</v>
      </c>
    </row>
    <row r="349">
      <c r="A349" s="18">
        <f t="shared" si="1"/>
        <v>348</v>
      </c>
      <c r="D349" s="18" t="s">
        <v>2132</v>
      </c>
    </row>
    <row r="350">
      <c r="A350" s="18">
        <f t="shared" si="1"/>
        <v>349</v>
      </c>
      <c r="D350" s="18" t="s">
        <v>2133</v>
      </c>
    </row>
    <row r="351">
      <c r="A351" s="18">
        <f t="shared" si="1"/>
        <v>350</v>
      </c>
      <c r="D351" s="18" t="s">
        <v>2134</v>
      </c>
    </row>
    <row r="352">
      <c r="A352" s="18">
        <f t="shared" si="1"/>
        <v>351</v>
      </c>
      <c r="D352" s="18" t="s">
        <v>2135</v>
      </c>
    </row>
    <row r="353">
      <c r="A353" s="18">
        <f t="shared" si="1"/>
        <v>352</v>
      </c>
      <c r="D353" s="18" t="s">
        <v>2137</v>
      </c>
    </row>
    <row r="354">
      <c r="A354" s="18">
        <f t="shared" si="1"/>
        <v>353</v>
      </c>
      <c r="D354" s="18" t="s">
        <v>2138</v>
      </c>
    </row>
    <row r="355">
      <c r="A355" s="18">
        <f t="shared" si="1"/>
        <v>354</v>
      </c>
      <c r="D355" s="18" t="s">
        <v>2139</v>
      </c>
    </row>
    <row r="356">
      <c r="A356" s="18">
        <f t="shared" si="1"/>
        <v>355</v>
      </c>
      <c r="D356" s="18" t="s">
        <v>2140</v>
      </c>
    </row>
    <row r="357">
      <c r="A357" s="18">
        <f t="shared" si="1"/>
        <v>356</v>
      </c>
      <c r="D357" s="18" t="s">
        <v>2141</v>
      </c>
    </row>
    <row r="358">
      <c r="A358" s="18">
        <f t="shared" si="1"/>
        <v>357</v>
      </c>
      <c r="D358" s="18" t="s">
        <v>2142</v>
      </c>
    </row>
    <row r="359">
      <c r="A359" s="18">
        <f t="shared" si="1"/>
        <v>358</v>
      </c>
      <c r="D359" s="18" t="s">
        <v>2143</v>
      </c>
    </row>
    <row r="360">
      <c r="A360" s="18">
        <f t="shared" si="1"/>
        <v>359</v>
      </c>
      <c r="D360" s="18" t="s">
        <v>2144</v>
      </c>
    </row>
    <row r="361">
      <c r="A361" s="18">
        <f t="shared" si="1"/>
        <v>360</v>
      </c>
      <c r="D361" s="18" t="s">
        <v>2145</v>
      </c>
    </row>
    <row r="362">
      <c r="A362" s="18">
        <f t="shared" si="1"/>
        <v>361</v>
      </c>
      <c r="D362" s="18" t="s">
        <v>2148</v>
      </c>
    </row>
    <row r="363">
      <c r="A363" s="18">
        <f t="shared" si="1"/>
        <v>362</v>
      </c>
      <c r="D363" s="18" t="s">
        <v>2149</v>
      </c>
    </row>
    <row r="364">
      <c r="A364" s="18">
        <f t="shared" si="1"/>
        <v>363</v>
      </c>
      <c r="D364" s="18" t="s">
        <v>2150</v>
      </c>
    </row>
    <row r="365">
      <c r="A365" s="18">
        <f t="shared" si="1"/>
        <v>364</v>
      </c>
      <c r="D365" s="18" t="s">
        <v>2151</v>
      </c>
    </row>
    <row r="366">
      <c r="A366" s="18">
        <f t="shared" si="1"/>
        <v>365</v>
      </c>
      <c r="D366" s="18" t="s">
        <v>2152</v>
      </c>
    </row>
    <row r="367">
      <c r="A367" s="18">
        <f t="shared" si="1"/>
        <v>366</v>
      </c>
      <c r="D367" s="18" t="s">
        <v>2561</v>
      </c>
    </row>
    <row r="368">
      <c r="A368" s="18">
        <f t="shared" si="1"/>
        <v>367</v>
      </c>
      <c r="D368" s="18" t="s">
        <v>2153</v>
      </c>
    </row>
    <row r="369">
      <c r="A369" s="18">
        <f t="shared" si="1"/>
        <v>368</v>
      </c>
      <c r="D369" s="18" t="s">
        <v>2562</v>
      </c>
    </row>
    <row r="370">
      <c r="A370" s="18">
        <f t="shared" si="1"/>
        <v>369</v>
      </c>
      <c r="D370" s="18" t="s">
        <v>2154</v>
      </c>
    </row>
    <row r="371">
      <c r="A371" s="18">
        <f t="shared" si="1"/>
        <v>370</v>
      </c>
      <c r="D371" s="18" t="s">
        <v>2158</v>
      </c>
    </row>
    <row r="372">
      <c r="A372" s="18">
        <f t="shared" si="1"/>
        <v>371</v>
      </c>
      <c r="D372" s="18" t="s">
        <v>2160</v>
      </c>
    </row>
    <row r="373">
      <c r="A373" s="18">
        <f t="shared" si="1"/>
        <v>372</v>
      </c>
      <c r="D373" s="18" t="s">
        <v>2161</v>
      </c>
    </row>
    <row r="374">
      <c r="A374" s="18">
        <f t="shared" si="1"/>
        <v>373</v>
      </c>
      <c r="D374" s="18" t="s">
        <v>2162</v>
      </c>
    </row>
    <row r="375">
      <c r="A375" s="18">
        <f t="shared" si="1"/>
        <v>374</v>
      </c>
      <c r="D375" s="18" t="s">
        <v>2163</v>
      </c>
    </row>
    <row r="376">
      <c r="A376" s="18">
        <f t="shared" si="1"/>
        <v>375</v>
      </c>
      <c r="D376" s="18" t="s">
        <v>2165</v>
      </c>
    </row>
    <row r="377">
      <c r="A377" s="18">
        <f t="shared" si="1"/>
        <v>376</v>
      </c>
      <c r="D377" s="18" t="s">
        <v>2166</v>
      </c>
    </row>
    <row r="378">
      <c r="A378" s="18">
        <f t="shared" si="1"/>
        <v>377</v>
      </c>
      <c r="D378" s="18" t="s">
        <v>2168</v>
      </c>
    </row>
    <row r="379">
      <c r="A379" s="18">
        <f t="shared" si="1"/>
        <v>378</v>
      </c>
      <c r="D379" s="18" t="s">
        <v>2169</v>
      </c>
    </row>
    <row r="380">
      <c r="A380" s="18">
        <f t="shared" si="1"/>
        <v>379</v>
      </c>
      <c r="D380" s="18" t="s">
        <v>2171</v>
      </c>
    </row>
    <row r="381">
      <c r="A381" s="18">
        <f t="shared" si="1"/>
        <v>380</v>
      </c>
      <c r="D381" s="18" t="s">
        <v>2172</v>
      </c>
    </row>
    <row r="382">
      <c r="A382" s="18">
        <f t="shared" si="1"/>
        <v>381</v>
      </c>
      <c r="D382" s="18" t="s">
        <v>2173</v>
      </c>
    </row>
    <row r="383">
      <c r="A383" s="18">
        <f t="shared" si="1"/>
        <v>382</v>
      </c>
      <c r="D383" s="18" t="s">
        <v>2174</v>
      </c>
    </row>
    <row r="384">
      <c r="A384" s="18">
        <f t="shared" si="1"/>
        <v>383</v>
      </c>
      <c r="D384" s="18" t="s">
        <v>2175</v>
      </c>
    </row>
    <row r="385">
      <c r="A385" s="18">
        <f t="shared" si="1"/>
        <v>384</v>
      </c>
      <c r="D385" s="18" t="s">
        <v>2178</v>
      </c>
    </row>
    <row r="386">
      <c r="A386" s="18">
        <f t="shared" si="1"/>
        <v>385</v>
      </c>
      <c r="D386" s="18" t="s">
        <v>2179</v>
      </c>
    </row>
    <row r="387">
      <c r="A387" s="18">
        <f t="shared" si="1"/>
        <v>386</v>
      </c>
      <c r="D387" s="18" t="s">
        <v>2180</v>
      </c>
    </row>
    <row r="388">
      <c r="A388" s="18">
        <f t="shared" si="1"/>
        <v>387</v>
      </c>
      <c r="D388" s="18" t="s">
        <v>2181</v>
      </c>
    </row>
    <row r="389">
      <c r="A389" s="18">
        <f t="shared" si="1"/>
        <v>388</v>
      </c>
      <c r="D389" s="18" t="s">
        <v>2182</v>
      </c>
    </row>
    <row r="390">
      <c r="A390" s="18">
        <f t="shared" si="1"/>
        <v>389</v>
      </c>
      <c r="D390" s="18" t="s">
        <v>2183</v>
      </c>
    </row>
    <row r="391">
      <c r="A391" s="18">
        <f t="shared" si="1"/>
        <v>390</v>
      </c>
      <c r="D391" s="18" t="s">
        <v>2184</v>
      </c>
    </row>
    <row r="392">
      <c r="A392" s="18">
        <f t="shared" si="1"/>
        <v>391</v>
      </c>
      <c r="D392" s="18" t="s">
        <v>2185</v>
      </c>
    </row>
    <row r="393">
      <c r="A393" s="18">
        <f t="shared" si="1"/>
        <v>392</v>
      </c>
      <c r="D393" s="18" t="s">
        <v>2186</v>
      </c>
    </row>
    <row r="394">
      <c r="A394" s="18">
        <f t="shared" si="1"/>
        <v>393</v>
      </c>
      <c r="D394" s="18" t="s">
        <v>2187</v>
      </c>
    </row>
    <row r="395">
      <c r="A395" s="18">
        <f t="shared" si="1"/>
        <v>394</v>
      </c>
      <c r="D395" s="18" t="s">
        <v>2188</v>
      </c>
    </row>
    <row r="396">
      <c r="A396" s="18">
        <f t="shared" si="1"/>
        <v>395</v>
      </c>
      <c r="D396" s="18" t="s">
        <v>2189</v>
      </c>
    </row>
    <row r="397">
      <c r="A397" s="18">
        <f t="shared" si="1"/>
        <v>396</v>
      </c>
      <c r="D397" s="18" t="s">
        <v>2190</v>
      </c>
    </row>
    <row r="398">
      <c r="A398" s="18">
        <f t="shared" si="1"/>
        <v>397</v>
      </c>
      <c r="D398" s="18" t="s">
        <v>2191</v>
      </c>
    </row>
    <row r="399">
      <c r="A399" s="18">
        <f t="shared" si="1"/>
        <v>398</v>
      </c>
      <c r="D399" s="18" t="s">
        <v>2192</v>
      </c>
    </row>
    <row r="400">
      <c r="A400" s="18">
        <f t="shared" si="1"/>
        <v>399</v>
      </c>
      <c r="D400" s="18" t="s">
        <v>2193</v>
      </c>
    </row>
    <row r="401">
      <c r="A401" s="18">
        <f t="shared" si="1"/>
        <v>400</v>
      </c>
      <c r="D401" s="18" t="s">
        <v>2194</v>
      </c>
    </row>
    <row r="402">
      <c r="A402" s="18">
        <f t="shared" si="1"/>
        <v>401</v>
      </c>
      <c r="D402" s="18" t="s">
        <v>2195</v>
      </c>
    </row>
    <row r="403">
      <c r="A403" s="18">
        <f t="shared" si="1"/>
        <v>402</v>
      </c>
      <c r="D403" s="18" t="s">
        <v>2196</v>
      </c>
    </row>
    <row r="404">
      <c r="A404" s="18">
        <f t="shared" si="1"/>
        <v>403</v>
      </c>
      <c r="D404" s="18" t="s">
        <v>2197</v>
      </c>
    </row>
    <row r="405">
      <c r="A405" s="18">
        <f t="shared" si="1"/>
        <v>404</v>
      </c>
      <c r="D405" s="18" t="s">
        <v>2198</v>
      </c>
    </row>
    <row r="406">
      <c r="A406" s="18">
        <f t="shared" si="1"/>
        <v>405</v>
      </c>
      <c r="D406" s="18" t="s">
        <v>2199</v>
      </c>
    </row>
    <row r="407">
      <c r="A407" s="18">
        <f t="shared" si="1"/>
        <v>406</v>
      </c>
      <c r="D407" s="18" t="s">
        <v>2200</v>
      </c>
    </row>
    <row r="408">
      <c r="A408" s="18">
        <f t="shared" si="1"/>
        <v>407</v>
      </c>
      <c r="D408" s="18" t="s">
        <v>2201</v>
      </c>
    </row>
    <row r="409">
      <c r="A409" s="18">
        <f t="shared" si="1"/>
        <v>408</v>
      </c>
      <c r="D409" s="18" t="s">
        <v>2202</v>
      </c>
    </row>
    <row r="410">
      <c r="A410" s="18">
        <f t="shared" si="1"/>
        <v>409</v>
      </c>
      <c r="D410" s="18" t="s">
        <v>2203</v>
      </c>
    </row>
    <row r="411">
      <c r="A411" s="18">
        <f t="shared" si="1"/>
        <v>410</v>
      </c>
      <c r="D411" s="18" t="s">
        <v>2204</v>
      </c>
    </row>
    <row r="412">
      <c r="A412" s="18">
        <f t="shared" si="1"/>
        <v>411</v>
      </c>
      <c r="D412" s="18" t="s">
        <v>2205</v>
      </c>
    </row>
    <row r="413">
      <c r="A413" s="18">
        <f t="shared" si="1"/>
        <v>412</v>
      </c>
      <c r="D413" s="18" t="s">
        <v>2206</v>
      </c>
    </row>
    <row r="414">
      <c r="A414" s="18">
        <f t="shared" si="1"/>
        <v>413</v>
      </c>
      <c r="D414" s="18" t="s">
        <v>2207</v>
      </c>
    </row>
    <row r="415">
      <c r="A415" s="18">
        <f t="shared" si="1"/>
        <v>414</v>
      </c>
      <c r="D415" s="18" t="s">
        <v>2208</v>
      </c>
    </row>
    <row r="416">
      <c r="A416" s="18">
        <f t="shared" si="1"/>
        <v>415</v>
      </c>
      <c r="D416" s="18" t="s">
        <v>2209</v>
      </c>
    </row>
    <row r="417">
      <c r="A417" s="18">
        <f t="shared" si="1"/>
        <v>416</v>
      </c>
      <c r="D417" s="18" t="s">
        <v>2210</v>
      </c>
    </row>
    <row r="418">
      <c r="A418" s="18">
        <f t="shared" si="1"/>
        <v>417</v>
      </c>
      <c r="D418" s="18" t="s">
        <v>2211</v>
      </c>
    </row>
    <row r="419">
      <c r="A419" s="18">
        <f t="shared" si="1"/>
        <v>418</v>
      </c>
      <c r="D419" s="18" t="s">
        <v>2212</v>
      </c>
    </row>
    <row r="420">
      <c r="A420" s="18">
        <f t="shared" si="1"/>
        <v>419</v>
      </c>
      <c r="D420" s="18" t="s">
        <v>2213</v>
      </c>
    </row>
    <row r="421">
      <c r="A421" s="18">
        <f t="shared" si="1"/>
        <v>420</v>
      </c>
      <c r="D421" s="18" t="s">
        <v>2214</v>
      </c>
    </row>
    <row r="422">
      <c r="A422" s="18">
        <f t="shared" si="1"/>
        <v>421</v>
      </c>
      <c r="D422" s="18" t="s">
        <v>2215</v>
      </c>
    </row>
    <row r="423">
      <c r="A423" s="18">
        <f t="shared" si="1"/>
        <v>422</v>
      </c>
      <c r="D423" s="18" t="s">
        <v>2216</v>
      </c>
    </row>
    <row r="424">
      <c r="A424" s="18">
        <f t="shared" si="1"/>
        <v>423</v>
      </c>
      <c r="D424" s="18" t="s">
        <v>2217</v>
      </c>
    </row>
    <row r="425">
      <c r="A425" s="18">
        <f t="shared" si="1"/>
        <v>424</v>
      </c>
      <c r="D425" s="18" t="s">
        <v>2218</v>
      </c>
    </row>
    <row r="426">
      <c r="A426" s="18">
        <f t="shared" si="1"/>
        <v>425</v>
      </c>
      <c r="D426" s="18" t="s">
        <v>2219</v>
      </c>
    </row>
    <row r="427">
      <c r="A427" s="18">
        <f t="shared" si="1"/>
        <v>426</v>
      </c>
      <c r="D427" s="18" t="s">
        <v>2220</v>
      </c>
    </row>
    <row r="428">
      <c r="A428" s="18">
        <f t="shared" si="1"/>
        <v>427</v>
      </c>
      <c r="D428" s="18" t="s">
        <v>2221</v>
      </c>
    </row>
    <row r="429">
      <c r="A429" s="18">
        <f t="shared" si="1"/>
        <v>428</v>
      </c>
      <c r="D429" s="18" t="s">
        <v>2222</v>
      </c>
    </row>
    <row r="430">
      <c r="A430" s="18">
        <f t="shared" si="1"/>
        <v>429</v>
      </c>
      <c r="D430" s="18" t="s">
        <v>2223</v>
      </c>
    </row>
    <row r="431">
      <c r="A431" s="18">
        <f t="shared" si="1"/>
        <v>430</v>
      </c>
      <c r="D431" s="18" t="s">
        <v>2224</v>
      </c>
    </row>
    <row r="432">
      <c r="A432" s="18">
        <f t="shared" si="1"/>
        <v>431</v>
      </c>
      <c r="D432" s="18" t="s">
        <v>2225</v>
      </c>
    </row>
    <row r="433">
      <c r="A433" s="18">
        <f t="shared" si="1"/>
        <v>432</v>
      </c>
      <c r="D433" s="18" t="s">
        <v>2226</v>
      </c>
    </row>
    <row r="434">
      <c r="A434" s="18">
        <f t="shared" si="1"/>
        <v>433</v>
      </c>
      <c r="D434" s="18" t="s">
        <v>2227</v>
      </c>
    </row>
    <row r="435">
      <c r="A435" s="18">
        <f t="shared" si="1"/>
        <v>434</v>
      </c>
      <c r="D435" s="18" t="s">
        <v>2228</v>
      </c>
    </row>
    <row r="436">
      <c r="A436" s="18">
        <f t="shared" si="1"/>
        <v>435</v>
      </c>
      <c r="D436" s="18" t="s">
        <v>2229</v>
      </c>
    </row>
    <row r="437">
      <c r="A437" s="18">
        <f t="shared" si="1"/>
        <v>436</v>
      </c>
      <c r="D437" s="18" t="s">
        <v>2230</v>
      </c>
    </row>
    <row r="438">
      <c r="A438" s="18">
        <f t="shared" si="1"/>
        <v>437</v>
      </c>
      <c r="D438" s="18" t="s">
        <v>2231</v>
      </c>
    </row>
    <row r="439">
      <c r="A439" s="18">
        <f t="shared" si="1"/>
        <v>438</v>
      </c>
      <c r="D439" s="18" t="s">
        <v>2232</v>
      </c>
    </row>
    <row r="440">
      <c r="A440" s="18">
        <f t="shared" si="1"/>
        <v>439</v>
      </c>
      <c r="D440" s="18" t="s">
        <v>2233</v>
      </c>
    </row>
    <row r="441">
      <c r="A441" s="18">
        <f t="shared" si="1"/>
        <v>440</v>
      </c>
      <c r="D441" s="18" t="s">
        <v>2234</v>
      </c>
    </row>
    <row r="442">
      <c r="A442" s="18">
        <f t="shared" si="1"/>
        <v>441</v>
      </c>
      <c r="D442" s="18" t="s">
        <v>2235</v>
      </c>
    </row>
    <row r="443">
      <c r="A443" s="18">
        <f t="shared" si="1"/>
        <v>442</v>
      </c>
      <c r="D443" s="18" t="s">
        <v>2236</v>
      </c>
    </row>
    <row r="444">
      <c r="A444" s="18">
        <f t="shared" si="1"/>
        <v>443</v>
      </c>
      <c r="D444" s="18" t="s">
        <v>2237</v>
      </c>
    </row>
    <row r="445">
      <c r="A445" s="18">
        <f t="shared" si="1"/>
        <v>444</v>
      </c>
      <c r="D445" s="18" t="s">
        <v>2238</v>
      </c>
    </row>
    <row r="446">
      <c r="A446" s="18">
        <f t="shared" si="1"/>
        <v>445</v>
      </c>
      <c r="D446" s="18" t="s">
        <v>2239</v>
      </c>
    </row>
    <row r="447">
      <c r="A447" s="18">
        <f t="shared" si="1"/>
        <v>446</v>
      </c>
      <c r="D447" s="18" t="s">
        <v>2240</v>
      </c>
    </row>
    <row r="448">
      <c r="A448" s="18">
        <f t="shared" si="1"/>
        <v>447</v>
      </c>
      <c r="D448" s="18" t="s">
        <v>2241</v>
      </c>
    </row>
    <row r="449">
      <c r="A449" s="18">
        <f t="shared" si="1"/>
        <v>448</v>
      </c>
      <c r="D449" s="18" t="s">
        <v>2242</v>
      </c>
    </row>
    <row r="450">
      <c r="A450" s="18">
        <f t="shared" si="1"/>
        <v>449</v>
      </c>
      <c r="D450" s="18" t="s">
        <v>2243</v>
      </c>
    </row>
    <row r="451">
      <c r="A451" s="18">
        <f t="shared" si="1"/>
        <v>450</v>
      </c>
      <c r="D451" s="18" t="s">
        <v>2244</v>
      </c>
    </row>
    <row r="452">
      <c r="A452" s="18">
        <f t="shared" si="1"/>
        <v>451</v>
      </c>
      <c r="D452" s="18" t="s">
        <v>2245</v>
      </c>
    </row>
    <row r="453">
      <c r="A453" s="18">
        <f t="shared" si="1"/>
        <v>452</v>
      </c>
      <c r="D453" s="18" t="s">
        <v>2246</v>
      </c>
    </row>
    <row r="454">
      <c r="A454" s="18">
        <f t="shared" si="1"/>
        <v>453</v>
      </c>
      <c r="D454" s="18" t="s">
        <v>2247</v>
      </c>
    </row>
    <row r="455">
      <c r="A455" s="18">
        <f t="shared" si="1"/>
        <v>454</v>
      </c>
      <c r="D455" s="18" t="s">
        <v>2248</v>
      </c>
    </row>
    <row r="456">
      <c r="A456" s="18">
        <f t="shared" si="1"/>
        <v>455</v>
      </c>
      <c r="D456" s="18" t="s">
        <v>2249</v>
      </c>
    </row>
    <row r="457">
      <c r="A457" s="18">
        <f t="shared" si="1"/>
        <v>456</v>
      </c>
      <c r="D457" s="18" t="s">
        <v>2250</v>
      </c>
    </row>
    <row r="458">
      <c r="A458" s="18">
        <f t="shared" si="1"/>
        <v>457</v>
      </c>
      <c r="D458" s="18" t="s">
        <v>2200</v>
      </c>
    </row>
    <row r="459">
      <c r="A459" s="18">
        <f t="shared" si="1"/>
        <v>458</v>
      </c>
      <c r="D459" s="18" t="s">
        <v>2251</v>
      </c>
    </row>
    <row r="460">
      <c r="A460" s="18">
        <f t="shared" si="1"/>
        <v>459</v>
      </c>
      <c r="D460" s="18" t="s">
        <v>2252</v>
      </c>
    </row>
    <row r="461">
      <c r="A461" s="18">
        <f t="shared" si="1"/>
        <v>460</v>
      </c>
      <c r="D461" s="18" t="s">
        <v>2253</v>
      </c>
    </row>
    <row r="462">
      <c r="A462" s="18">
        <f t="shared" si="1"/>
        <v>461</v>
      </c>
      <c r="D462" s="18" t="s">
        <v>2254</v>
      </c>
    </row>
    <row r="463">
      <c r="A463" s="18">
        <f t="shared" si="1"/>
        <v>462</v>
      </c>
      <c r="D463" s="18" t="s">
        <v>2255</v>
      </c>
    </row>
    <row r="464">
      <c r="A464" s="18">
        <f t="shared" si="1"/>
        <v>463</v>
      </c>
      <c r="D464" s="18" t="s">
        <v>2256</v>
      </c>
    </row>
    <row r="465">
      <c r="A465" s="18">
        <f t="shared" si="1"/>
        <v>464</v>
      </c>
      <c r="D465" s="18" t="s">
        <v>2257</v>
      </c>
    </row>
    <row r="466">
      <c r="A466" s="18">
        <f t="shared" si="1"/>
        <v>465</v>
      </c>
      <c r="D466" s="18" t="s">
        <v>2258</v>
      </c>
    </row>
    <row r="467">
      <c r="A467" s="18">
        <f t="shared" si="1"/>
        <v>466</v>
      </c>
      <c r="D467" s="18" t="s">
        <v>2259</v>
      </c>
    </row>
    <row r="468">
      <c r="A468" s="18">
        <f t="shared" si="1"/>
        <v>467</v>
      </c>
      <c r="D468" s="18" t="s">
        <v>2260</v>
      </c>
    </row>
    <row r="469">
      <c r="A469" s="18">
        <f t="shared" si="1"/>
        <v>468</v>
      </c>
      <c r="D469" s="18" t="s">
        <v>2261</v>
      </c>
    </row>
    <row r="470">
      <c r="A470" s="18">
        <f t="shared" si="1"/>
        <v>469</v>
      </c>
      <c r="D470" s="18" t="s">
        <v>2262</v>
      </c>
    </row>
    <row r="471">
      <c r="A471" s="18">
        <f t="shared" si="1"/>
        <v>470</v>
      </c>
      <c r="D471" s="18" t="s">
        <v>2263</v>
      </c>
    </row>
    <row r="472">
      <c r="A472" s="18">
        <f t="shared" si="1"/>
        <v>471</v>
      </c>
      <c r="D472" s="18" t="s">
        <v>2264</v>
      </c>
    </row>
    <row r="473">
      <c r="A473" s="18">
        <f t="shared" si="1"/>
        <v>472</v>
      </c>
      <c r="D473" s="18" t="s">
        <v>2265</v>
      </c>
    </row>
    <row r="474">
      <c r="A474" s="18">
        <f t="shared" si="1"/>
        <v>473</v>
      </c>
      <c r="D474" s="18" t="s">
        <v>2266</v>
      </c>
    </row>
    <row r="475">
      <c r="A475" s="18">
        <f t="shared" si="1"/>
        <v>474</v>
      </c>
      <c r="D475" s="18" t="s">
        <v>2267</v>
      </c>
    </row>
    <row r="476">
      <c r="A476" s="18">
        <f t="shared" si="1"/>
        <v>475</v>
      </c>
      <c r="D476" s="18" t="s">
        <v>2269</v>
      </c>
    </row>
    <row r="477">
      <c r="A477" s="18">
        <f t="shared" si="1"/>
        <v>476</v>
      </c>
      <c r="D477" s="18" t="s">
        <v>2270</v>
      </c>
    </row>
    <row r="478">
      <c r="A478" s="18">
        <f t="shared" si="1"/>
        <v>477</v>
      </c>
      <c r="D478" s="18" t="s">
        <v>2271</v>
      </c>
    </row>
    <row r="479">
      <c r="A479" s="18">
        <f t="shared" si="1"/>
        <v>478</v>
      </c>
      <c r="D479" s="18" t="s">
        <v>2272</v>
      </c>
    </row>
    <row r="480">
      <c r="A480" s="18">
        <f t="shared" si="1"/>
        <v>479</v>
      </c>
      <c r="D480" s="18" t="s">
        <v>2273</v>
      </c>
    </row>
    <row r="481">
      <c r="A481" s="18">
        <f t="shared" si="1"/>
        <v>480</v>
      </c>
      <c r="D481" s="18" t="s">
        <v>2274</v>
      </c>
    </row>
    <row r="482">
      <c r="A482" s="18">
        <f t="shared" si="1"/>
        <v>481</v>
      </c>
      <c r="D482" s="18" t="s">
        <v>2275</v>
      </c>
    </row>
    <row r="483">
      <c r="A483" s="18">
        <f t="shared" si="1"/>
        <v>482</v>
      </c>
      <c r="D483" s="18" t="s">
        <v>2276</v>
      </c>
    </row>
    <row r="484">
      <c r="A484" s="18">
        <f t="shared" si="1"/>
        <v>483</v>
      </c>
      <c r="D484" s="18" t="s">
        <v>2277</v>
      </c>
    </row>
    <row r="485">
      <c r="A485" s="18">
        <f t="shared" si="1"/>
        <v>484</v>
      </c>
      <c r="D485" s="18" t="s">
        <v>2278</v>
      </c>
    </row>
    <row r="486">
      <c r="A486" s="18">
        <f t="shared" si="1"/>
        <v>485</v>
      </c>
      <c r="D486" s="18" t="s">
        <v>2279</v>
      </c>
    </row>
    <row r="487">
      <c r="A487" s="18">
        <f t="shared" si="1"/>
        <v>486</v>
      </c>
      <c r="D487" s="18" t="s">
        <v>2280</v>
      </c>
    </row>
    <row r="488">
      <c r="A488" s="18">
        <f t="shared" si="1"/>
        <v>487</v>
      </c>
      <c r="D488" s="18" t="s">
        <v>2281</v>
      </c>
    </row>
    <row r="489">
      <c r="A489" s="18">
        <f t="shared" si="1"/>
        <v>488</v>
      </c>
      <c r="D489" s="18" t="s">
        <v>2282</v>
      </c>
    </row>
    <row r="490">
      <c r="A490" s="18">
        <f t="shared" si="1"/>
        <v>489</v>
      </c>
      <c r="D490" s="18" t="s">
        <v>2283</v>
      </c>
    </row>
    <row r="491">
      <c r="A491" s="18">
        <f t="shared" si="1"/>
        <v>490</v>
      </c>
      <c r="D491" s="18" t="s">
        <v>2284</v>
      </c>
    </row>
    <row r="492">
      <c r="A492" s="18">
        <f t="shared" si="1"/>
        <v>491</v>
      </c>
      <c r="D492" s="18" t="s">
        <v>2285</v>
      </c>
    </row>
    <row r="493">
      <c r="A493" s="18">
        <f t="shared" si="1"/>
        <v>492</v>
      </c>
      <c r="D493" s="18" t="s">
        <v>2286</v>
      </c>
    </row>
    <row r="494">
      <c r="A494" s="18">
        <f t="shared" si="1"/>
        <v>493</v>
      </c>
      <c r="D494" s="18" t="s">
        <v>2287</v>
      </c>
    </row>
    <row r="495">
      <c r="A495" s="18">
        <f t="shared" si="1"/>
        <v>494</v>
      </c>
      <c r="D495" s="18" t="s">
        <v>2288</v>
      </c>
    </row>
    <row r="496">
      <c r="A496" s="18">
        <f t="shared" si="1"/>
        <v>495</v>
      </c>
      <c r="D496" s="18" t="s">
        <v>2289</v>
      </c>
    </row>
    <row r="497">
      <c r="A497" s="18">
        <f t="shared" si="1"/>
        <v>496</v>
      </c>
      <c r="D497" s="18" t="s">
        <v>2290</v>
      </c>
    </row>
    <row r="498">
      <c r="A498" s="18">
        <f t="shared" si="1"/>
        <v>497</v>
      </c>
      <c r="D498" s="18" t="s">
        <v>2291</v>
      </c>
    </row>
    <row r="499">
      <c r="A499" s="18">
        <f t="shared" si="1"/>
        <v>498</v>
      </c>
      <c r="D499" s="18" t="s">
        <v>2292</v>
      </c>
    </row>
    <row r="500">
      <c r="A500" s="18">
        <f t="shared" si="1"/>
        <v>499</v>
      </c>
      <c r="D500" s="18" t="s">
        <v>2293</v>
      </c>
    </row>
    <row r="501">
      <c r="A501" s="18">
        <f t="shared" si="1"/>
        <v>500</v>
      </c>
      <c r="D501" s="18" t="s">
        <v>2294</v>
      </c>
    </row>
    <row r="502">
      <c r="A502" s="18">
        <f t="shared" si="1"/>
        <v>501</v>
      </c>
      <c r="D502" s="18" t="s">
        <v>2295</v>
      </c>
    </row>
    <row r="503">
      <c r="A503" s="18">
        <f t="shared" si="1"/>
        <v>502</v>
      </c>
      <c r="D503" s="18" t="s">
        <v>2296</v>
      </c>
    </row>
    <row r="504">
      <c r="A504" s="18">
        <f t="shared" si="1"/>
        <v>503</v>
      </c>
      <c r="D504" s="18" t="s">
        <v>2297</v>
      </c>
    </row>
    <row r="505">
      <c r="A505" s="18">
        <f t="shared" si="1"/>
        <v>504</v>
      </c>
      <c r="D505" s="18" t="s">
        <v>2298</v>
      </c>
    </row>
    <row r="506">
      <c r="A506" s="18">
        <f t="shared" si="1"/>
        <v>505</v>
      </c>
      <c r="D506" s="18" t="s">
        <v>2299</v>
      </c>
    </row>
    <row r="507">
      <c r="A507" s="18">
        <f t="shared" si="1"/>
        <v>506</v>
      </c>
      <c r="D507" s="18" t="s">
        <v>2300</v>
      </c>
    </row>
    <row r="508">
      <c r="A508" s="18">
        <f t="shared" si="1"/>
        <v>507</v>
      </c>
      <c r="D508" s="18" t="s">
        <v>2302</v>
      </c>
    </row>
    <row r="509">
      <c r="A509" s="18">
        <f t="shared" si="1"/>
        <v>508</v>
      </c>
      <c r="D509" s="18" t="s">
        <v>2303</v>
      </c>
    </row>
    <row r="510">
      <c r="A510" s="18">
        <f t="shared" si="1"/>
        <v>509</v>
      </c>
      <c r="D510" s="18" t="s">
        <v>2304</v>
      </c>
    </row>
    <row r="511">
      <c r="A511" s="18">
        <f t="shared" si="1"/>
        <v>510</v>
      </c>
      <c r="D511" s="18" t="s">
        <v>2305</v>
      </c>
    </row>
    <row r="512">
      <c r="A512" s="18">
        <f t="shared" si="1"/>
        <v>511</v>
      </c>
      <c r="D512" s="18" t="s">
        <v>2306</v>
      </c>
    </row>
    <row r="513">
      <c r="A513" s="18">
        <f t="shared" si="1"/>
        <v>512</v>
      </c>
      <c r="D513" s="18" t="s">
        <v>2307</v>
      </c>
    </row>
    <row r="514">
      <c r="A514" s="18" t="str">
        <f t="shared" si="1"/>
        <v/>
      </c>
    </row>
    <row r="515">
      <c r="A515" s="18" t="str">
        <f t="shared" si="1"/>
        <v/>
      </c>
    </row>
    <row r="516">
      <c r="A516" s="18" t="str">
        <f t="shared" si="1"/>
        <v/>
      </c>
    </row>
    <row r="517">
      <c r="A517" s="18" t="str">
        <f t="shared" si="1"/>
        <v/>
      </c>
    </row>
    <row r="518">
      <c r="A518" s="18" t="str">
        <f t="shared" si="1"/>
        <v/>
      </c>
    </row>
  </sheetData>
  <hyperlinks>
    <hyperlink r:id="rId1" ref="R3"/>
    <hyperlink r:id="rId2" ref="R4"/>
    <hyperlink r:id="rId3" ref="R5"/>
    <hyperlink r:id="rId4" ref="R6"/>
    <hyperlink r:id="rId5" ref="R7"/>
    <hyperlink r:id="rId6" ref="R8"/>
    <hyperlink r:id="rId7" ref="R9"/>
    <hyperlink r:id="rId8" ref="R10"/>
    <hyperlink r:id="rId9" ref="R11"/>
    <hyperlink r:id="rId10" ref="R12"/>
    <hyperlink r:id="rId11" ref="R13"/>
    <hyperlink r:id="rId12" ref="R14"/>
    <hyperlink r:id="rId13" ref="R15"/>
    <hyperlink r:id="rId14" ref="R16"/>
    <hyperlink r:id="rId15" ref="R17"/>
    <hyperlink r:id="rId16" ref="R18"/>
    <hyperlink r:id="rId17" ref="R19"/>
    <hyperlink r:id="rId18" ref="R20"/>
    <hyperlink r:id="rId19" ref="R21"/>
    <hyperlink r:id="rId20" ref="R22"/>
    <hyperlink r:id="rId21" ref="R23"/>
    <hyperlink r:id="rId22" ref="R24"/>
    <hyperlink r:id="rId23" ref="R25"/>
    <hyperlink r:id="rId24" ref="R26"/>
    <hyperlink r:id="rId25" ref="R27"/>
    <hyperlink r:id="rId26" ref="R28"/>
    <hyperlink r:id="rId27" ref="R29"/>
    <hyperlink r:id="rId28" ref="R30"/>
    <hyperlink r:id="rId29" ref="R31"/>
    <hyperlink r:id="rId30" ref="R32"/>
    <hyperlink r:id="rId31" ref="R33"/>
    <hyperlink r:id="rId32" ref="R34"/>
    <hyperlink r:id="rId33" ref="R35"/>
    <hyperlink r:id="rId34" ref="R36"/>
    <hyperlink r:id="rId35" ref="R37"/>
  </hyperlinks>
  <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  <col customWidth="1" min="4" max="4" width="116.25"/>
    <col customWidth="1" min="5" max="5" width="44.13"/>
    <col customWidth="1" min="6" max="6" width="12.63"/>
    <col customWidth="1" min="7" max="7" width="23.38"/>
  </cols>
  <sheetData>
    <row r="1">
      <c r="A1" s="18" t="s">
        <v>2563</v>
      </c>
      <c r="B1" s="18" t="s">
        <v>2564</v>
      </c>
      <c r="C1" s="38" t="s">
        <v>2565</v>
      </c>
      <c r="D1" s="38" t="s">
        <v>2566</v>
      </c>
      <c r="E1" s="38" t="s">
        <v>2567</v>
      </c>
      <c r="F1" s="38" t="s">
        <v>2568</v>
      </c>
      <c r="G1" s="38" t="s">
        <v>2569</v>
      </c>
      <c r="H1" s="18" t="s">
        <v>2570</v>
      </c>
      <c r="I1" s="38" t="s">
        <v>2571</v>
      </c>
      <c r="J1" s="39" t="s">
        <v>2572</v>
      </c>
      <c r="K1" s="38" t="s">
        <v>2573</v>
      </c>
      <c r="L1" s="40" t="s">
        <v>2574</v>
      </c>
      <c r="M1" s="38" t="s">
        <v>2342</v>
      </c>
      <c r="N1" s="38" t="s">
        <v>2575</v>
      </c>
      <c r="O1" s="38" t="s">
        <v>2576</v>
      </c>
      <c r="P1" s="38" t="s">
        <v>2577</v>
      </c>
      <c r="Q1" s="38" t="s">
        <v>2578</v>
      </c>
      <c r="R1" s="38" t="s">
        <v>2579</v>
      </c>
      <c r="S1" s="38" t="s">
        <v>2580</v>
      </c>
      <c r="T1" s="38" t="s">
        <v>2581</v>
      </c>
      <c r="U1" s="38" t="s">
        <v>2582</v>
      </c>
      <c r="V1" s="38" t="s">
        <v>2583</v>
      </c>
      <c r="W1" s="38" t="s">
        <v>2584</v>
      </c>
      <c r="X1" s="38" t="s">
        <v>2585</v>
      </c>
      <c r="Y1" s="38" t="s">
        <v>2586</v>
      </c>
      <c r="Z1" s="38" t="s">
        <v>2587</v>
      </c>
      <c r="AA1" s="38" t="s">
        <v>2588</v>
      </c>
      <c r="AB1" s="38" t="s">
        <v>2589</v>
      </c>
      <c r="AC1" s="38" t="s">
        <v>2590</v>
      </c>
      <c r="AD1" s="38" t="s">
        <v>2591</v>
      </c>
      <c r="AE1" s="38" t="s">
        <v>2592</v>
      </c>
      <c r="AF1" s="38" t="s">
        <v>2593</v>
      </c>
      <c r="AG1" s="38" t="s">
        <v>2594</v>
      </c>
      <c r="AH1" s="38" t="s">
        <v>2595</v>
      </c>
      <c r="AI1" s="38" t="s">
        <v>2596</v>
      </c>
      <c r="AJ1" s="38" t="s">
        <v>2597</v>
      </c>
      <c r="AK1" s="38" t="s">
        <v>2598</v>
      </c>
      <c r="AL1" s="38" t="s">
        <v>2599</v>
      </c>
      <c r="AM1" s="38" t="s">
        <v>2600</v>
      </c>
      <c r="AN1" s="38" t="s">
        <v>2601</v>
      </c>
      <c r="AO1" s="38" t="s">
        <v>2602</v>
      </c>
      <c r="AP1" s="38" t="s">
        <v>2603</v>
      </c>
      <c r="AQ1" s="38" t="s">
        <v>2604</v>
      </c>
      <c r="AR1" s="38" t="s">
        <v>2605</v>
      </c>
      <c r="AS1" s="38" t="s">
        <v>2606</v>
      </c>
      <c r="AT1" s="38" t="s">
        <v>2607</v>
      </c>
      <c r="AU1" s="38" t="s">
        <v>2608</v>
      </c>
      <c r="AV1" s="38" t="s">
        <v>2609</v>
      </c>
      <c r="AW1" s="38" t="s">
        <v>2610</v>
      </c>
      <c r="AX1" s="38" t="s">
        <v>2611</v>
      </c>
    </row>
    <row r="2">
      <c r="A2" s="18">
        <v>33.0</v>
      </c>
      <c r="B2" s="18" t="s">
        <v>2612</v>
      </c>
      <c r="C2" s="41" t="s">
        <v>2613</v>
      </c>
      <c r="D2" s="41" t="s">
        <v>2614</v>
      </c>
      <c r="F2" s="18" t="s">
        <v>2615</v>
      </c>
      <c r="G2" s="42" t="str">
        <f t="shared" ref="G2:G49" si="1">CONCAT("https://drive.google.com/uc?export=view&amp;id=",F2)</f>
        <v>https://drive.google.com/uc?export=view&amp;id=1a6-pT5AddIkxDNwf8y6_oRHkI0PJYeLv</v>
      </c>
      <c r="H2" s="43"/>
      <c r="I2" s="6" t="str">
        <f t="shared" ref="I2:I49" si="2">CONCAT("100",A2)</f>
        <v>10033</v>
      </c>
      <c r="J2" s="18" t="s">
        <v>2616</v>
      </c>
      <c r="K2" s="18" t="s">
        <v>2339</v>
      </c>
      <c r="L2" s="18"/>
      <c r="M2" s="18" t="b">
        <v>1</v>
      </c>
      <c r="N2" s="39" t="s">
        <v>2617</v>
      </c>
      <c r="O2" s="18" t="s">
        <v>2353</v>
      </c>
      <c r="P2" s="39">
        <v>100.0</v>
      </c>
      <c r="Q2" s="18">
        <v>1.0</v>
      </c>
    </row>
    <row r="3">
      <c r="A3" s="18">
        <v>41.0</v>
      </c>
      <c r="B3" s="18" t="s">
        <v>2612</v>
      </c>
      <c r="C3" s="22" t="s">
        <v>195</v>
      </c>
      <c r="D3" s="41" t="s">
        <v>2618</v>
      </c>
      <c r="F3" s="18" t="s">
        <v>2619</v>
      </c>
      <c r="G3" s="42" t="str">
        <f t="shared" si="1"/>
        <v>https://drive.google.com/uc?export=view&amp;id=1DbPvN-XbSankVUjhqp0is35WkehZtcoP</v>
      </c>
      <c r="H3" s="43"/>
      <c r="I3" s="6" t="str">
        <f t="shared" si="2"/>
        <v>10041</v>
      </c>
      <c r="J3" s="18" t="s">
        <v>2616</v>
      </c>
      <c r="K3" s="18" t="s">
        <v>2339</v>
      </c>
      <c r="L3" s="18"/>
      <c r="M3" s="18" t="b">
        <v>1</v>
      </c>
      <c r="N3" s="39" t="s">
        <v>2617</v>
      </c>
      <c r="O3" s="18" t="s">
        <v>2353</v>
      </c>
      <c r="P3" s="39">
        <v>100.0</v>
      </c>
      <c r="Q3" s="18">
        <v>1.0</v>
      </c>
    </row>
    <row r="4">
      <c r="A4" s="18">
        <v>42.0</v>
      </c>
      <c r="B4" s="18" t="s">
        <v>2612</v>
      </c>
      <c r="C4" s="22" t="s">
        <v>200</v>
      </c>
      <c r="D4" s="41" t="s">
        <v>2620</v>
      </c>
      <c r="F4" s="18" t="s">
        <v>2621</v>
      </c>
      <c r="G4" s="42" t="str">
        <f t="shared" si="1"/>
        <v>https://drive.google.com/uc?export=view&amp;id=1eopSCkWy_j_9iUrB8ZDIR8qv39c19_FR</v>
      </c>
      <c r="H4" s="43"/>
      <c r="I4" s="6" t="str">
        <f t="shared" si="2"/>
        <v>10042</v>
      </c>
      <c r="J4" s="18" t="s">
        <v>2616</v>
      </c>
      <c r="K4" s="18" t="s">
        <v>2339</v>
      </c>
      <c r="L4" s="18"/>
      <c r="M4" s="18" t="b">
        <v>1</v>
      </c>
      <c r="N4" s="39" t="s">
        <v>2617</v>
      </c>
      <c r="O4" s="18" t="s">
        <v>2353</v>
      </c>
      <c r="P4" s="39">
        <v>100.0</v>
      </c>
      <c r="Q4" s="18">
        <v>1.0</v>
      </c>
    </row>
    <row r="5">
      <c r="A5" s="18">
        <v>43.0</v>
      </c>
      <c r="B5" s="18" t="s">
        <v>2612</v>
      </c>
      <c r="C5" s="18" t="s">
        <v>204</v>
      </c>
      <c r="D5" s="36" t="s">
        <v>2622</v>
      </c>
      <c r="F5" s="18" t="s">
        <v>2623</v>
      </c>
      <c r="G5" s="42" t="str">
        <f t="shared" si="1"/>
        <v>https://drive.google.com/uc?export=view&amp;id=1YWGLbNACeg95SKhNDPjm4eZSNi3wIeWk</v>
      </c>
      <c r="H5" s="43"/>
      <c r="I5" s="6" t="str">
        <f t="shared" si="2"/>
        <v>10043</v>
      </c>
      <c r="J5" s="18" t="s">
        <v>2616</v>
      </c>
      <c r="K5" s="18" t="s">
        <v>2339</v>
      </c>
      <c r="L5" s="18"/>
      <c r="M5" s="18" t="b">
        <v>1</v>
      </c>
      <c r="N5" s="39" t="s">
        <v>2617</v>
      </c>
      <c r="O5" s="18" t="s">
        <v>2353</v>
      </c>
      <c r="P5" s="39">
        <v>100.0</v>
      </c>
      <c r="Q5" s="18">
        <v>1.0</v>
      </c>
    </row>
    <row r="6">
      <c r="A6" s="18">
        <v>44.0</v>
      </c>
      <c r="B6" s="18" t="s">
        <v>2612</v>
      </c>
      <c r="C6" s="18" t="s">
        <v>209</v>
      </c>
      <c r="D6" s="36" t="s">
        <v>2624</v>
      </c>
      <c r="F6" s="18" t="s">
        <v>2625</v>
      </c>
      <c r="G6" s="42" t="str">
        <f t="shared" si="1"/>
        <v>https://drive.google.com/uc?export=view&amp;id=15i3eP1a02M4nnVgtSsQqcqZfXeYUgKM_</v>
      </c>
      <c r="H6" s="43"/>
      <c r="I6" s="6" t="str">
        <f t="shared" si="2"/>
        <v>10044</v>
      </c>
      <c r="J6" s="18" t="s">
        <v>2616</v>
      </c>
      <c r="K6" s="18" t="s">
        <v>2339</v>
      </c>
      <c r="L6" s="18"/>
      <c r="M6" s="18" t="b">
        <v>1</v>
      </c>
      <c r="N6" s="39" t="s">
        <v>2617</v>
      </c>
      <c r="O6" s="18" t="s">
        <v>2353</v>
      </c>
      <c r="P6" s="39">
        <v>100.0</v>
      </c>
      <c r="Q6" s="18">
        <v>1.0</v>
      </c>
    </row>
    <row r="7">
      <c r="A7" s="18">
        <v>45.0</v>
      </c>
      <c r="B7" s="18" t="s">
        <v>2612</v>
      </c>
      <c r="C7" s="22" t="s">
        <v>214</v>
      </c>
      <c r="D7" s="41" t="s">
        <v>2626</v>
      </c>
      <c r="F7" s="18" t="s">
        <v>2627</v>
      </c>
      <c r="G7" s="42" t="str">
        <f t="shared" si="1"/>
        <v>https://drive.google.com/uc?export=view&amp;id=1U2UubvXq4ni6DmaouGn615tzxl1NNsWr</v>
      </c>
      <c r="H7" s="43"/>
      <c r="I7" s="6" t="str">
        <f t="shared" si="2"/>
        <v>10045</v>
      </c>
      <c r="J7" s="18" t="s">
        <v>2616</v>
      </c>
      <c r="K7" s="18" t="s">
        <v>2339</v>
      </c>
      <c r="L7" s="18"/>
      <c r="M7" s="18" t="b">
        <v>1</v>
      </c>
      <c r="N7" s="39" t="s">
        <v>2617</v>
      </c>
      <c r="O7" s="18" t="s">
        <v>2353</v>
      </c>
      <c r="P7" s="39">
        <v>100.0</v>
      </c>
      <c r="Q7" s="18">
        <v>1.0</v>
      </c>
    </row>
    <row r="8">
      <c r="A8" s="18">
        <v>46.0</v>
      </c>
      <c r="B8" s="18" t="s">
        <v>2612</v>
      </c>
      <c r="C8" s="22" t="s">
        <v>219</v>
      </c>
      <c r="D8" s="41" t="s">
        <v>2628</v>
      </c>
      <c r="F8" s="18" t="s">
        <v>2629</v>
      </c>
      <c r="G8" s="42" t="str">
        <f t="shared" si="1"/>
        <v>https://drive.google.com/uc?export=view&amp;id=1DKtYqVLzw8sz0PTooEZkFka3d09vU00R</v>
      </c>
      <c r="H8" s="43"/>
      <c r="I8" s="6" t="str">
        <f t="shared" si="2"/>
        <v>10046</v>
      </c>
      <c r="J8" s="18" t="s">
        <v>2616</v>
      </c>
      <c r="K8" s="18" t="s">
        <v>2339</v>
      </c>
      <c r="L8" s="18"/>
      <c r="M8" s="18" t="b">
        <v>1</v>
      </c>
      <c r="N8" s="39" t="s">
        <v>2617</v>
      </c>
      <c r="O8" s="18" t="s">
        <v>2353</v>
      </c>
      <c r="P8" s="39">
        <v>100.0</v>
      </c>
      <c r="Q8" s="18">
        <v>1.0</v>
      </c>
    </row>
    <row r="9">
      <c r="A9" s="44">
        <v>47.0</v>
      </c>
      <c r="B9" s="44" t="s">
        <v>2612</v>
      </c>
      <c r="C9" s="22" t="s">
        <v>224</v>
      </c>
      <c r="D9" s="45" t="s">
        <v>2630</v>
      </c>
      <c r="E9" s="46"/>
      <c r="F9" s="44" t="s">
        <v>2631</v>
      </c>
      <c r="G9" s="42" t="str">
        <f t="shared" si="1"/>
        <v>https://drive.google.com/uc?export=view&amp;id=1Xt_ve4xixSlVHpMv_vHHgses74hmzeb7</v>
      </c>
      <c r="H9" s="43"/>
      <c r="I9" s="6" t="str">
        <f t="shared" si="2"/>
        <v>10047</v>
      </c>
      <c r="J9" s="18" t="s">
        <v>2616</v>
      </c>
      <c r="K9" s="18" t="s">
        <v>2339</v>
      </c>
      <c r="L9" s="18"/>
      <c r="M9" s="18" t="b">
        <v>1</v>
      </c>
      <c r="N9" s="39" t="s">
        <v>2617</v>
      </c>
      <c r="O9" s="18" t="s">
        <v>2353</v>
      </c>
      <c r="P9" s="39">
        <v>100.0</v>
      </c>
      <c r="Q9" s="18">
        <v>1.0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</row>
    <row r="10">
      <c r="A10" s="44">
        <v>48.0</v>
      </c>
      <c r="B10" s="44" t="s">
        <v>2612</v>
      </c>
      <c r="C10" s="22" t="s">
        <v>224</v>
      </c>
      <c r="D10" s="45" t="s">
        <v>2632</v>
      </c>
      <c r="E10" s="46"/>
      <c r="F10" s="44" t="s">
        <v>2633</v>
      </c>
      <c r="G10" s="42" t="str">
        <f t="shared" si="1"/>
        <v>https://drive.google.com/uc?export=view&amp;id=1GadS1-WoIaIckXHHH-QUjnBEGHifJx1v</v>
      </c>
      <c r="H10" s="43"/>
      <c r="I10" s="6" t="str">
        <f t="shared" si="2"/>
        <v>10048</v>
      </c>
      <c r="J10" s="18" t="s">
        <v>2616</v>
      </c>
      <c r="K10" s="18" t="s">
        <v>2339</v>
      </c>
      <c r="L10" s="18"/>
      <c r="M10" s="18" t="b">
        <v>1</v>
      </c>
      <c r="N10" s="39" t="s">
        <v>2617</v>
      </c>
      <c r="O10" s="18" t="s">
        <v>2353</v>
      </c>
      <c r="P10" s="39">
        <v>100.0</v>
      </c>
      <c r="Q10" s="18">
        <v>1.0</v>
      </c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</row>
    <row r="11">
      <c r="A11" s="18">
        <v>49.0</v>
      </c>
      <c r="B11" s="18" t="s">
        <v>2612</v>
      </c>
      <c r="C11" s="22" t="s">
        <v>234</v>
      </c>
      <c r="D11" s="22" t="s">
        <v>2634</v>
      </c>
      <c r="F11" s="18" t="s">
        <v>2635</v>
      </c>
      <c r="G11" s="42" t="str">
        <f t="shared" si="1"/>
        <v>https://drive.google.com/uc?export=view&amp;id=1jxhXjtbwQDF2jUGSC07_FM7D85u6UhjD</v>
      </c>
      <c r="H11" s="43"/>
      <c r="I11" s="6" t="str">
        <f t="shared" si="2"/>
        <v>10049</v>
      </c>
      <c r="J11" s="18" t="s">
        <v>2616</v>
      </c>
      <c r="K11" s="18" t="s">
        <v>2339</v>
      </c>
      <c r="L11" s="18"/>
      <c r="M11" s="18" t="b">
        <v>1</v>
      </c>
      <c r="N11" s="39" t="s">
        <v>2617</v>
      </c>
      <c r="O11" s="18" t="s">
        <v>2353</v>
      </c>
      <c r="P11" s="39">
        <v>100.0</v>
      </c>
      <c r="Q11" s="18">
        <v>1.0</v>
      </c>
    </row>
    <row r="12">
      <c r="A12" s="18">
        <v>50.0</v>
      </c>
      <c r="B12" s="18" t="s">
        <v>2612</v>
      </c>
      <c r="C12" s="22" t="s">
        <v>234</v>
      </c>
      <c r="D12" s="36" t="s">
        <v>2636</v>
      </c>
      <c r="F12" s="18" t="s">
        <v>2637</v>
      </c>
      <c r="G12" s="42" t="str">
        <f t="shared" si="1"/>
        <v>https://drive.google.com/uc?export=view&amp;id=1WwqbRSDxK3Ltv-B5oqXBmY4OIwylbkJD</v>
      </c>
      <c r="H12" s="43"/>
      <c r="I12" s="6" t="str">
        <f t="shared" si="2"/>
        <v>10050</v>
      </c>
      <c r="J12" s="18" t="s">
        <v>2616</v>
      </c>
      <c r="K12" s="18" t="s">
        <v>2339</v>
      </c>
      <c r="L12" s="18"/>
      <c r="M12" s="18" t="b">
        <v>1</v>
      </c>
      <c r="N12" s="39" t="s">
        <v>2617</v>
      </c>
      <c r="O12" s="18" t="s">
        <v>2353</v>
      </c>
      <c r="P12" s="39">
        <v>100.0</v>
      </c>
      <c r="Q12" s="18">
        <v>1.0</v>
      </c>
    </row>
    <row r="13">
      <c r="A13" s="18">
        <v>51.0</v>
      </c>
      <c r="B13" s="18" t="s">
        <v>2612</v>
      </c>
      <c r="C13" s="22" t="s">
        <v>239</v>
      </c>
      <c r="D13" s="41" t="s">
        <v>2638</v>
      </c>
      <c r="F13" s="18" t="s">
        <v>2639</v>
      </c>
      <c r="G13" s="42" t="str">
        <f t="shared" si="1"/>
        <v>https://drive.google.com/uc?export=view&amp;id=1FthU_pgh6v-59ywuMnE5FltBhwj2JXRL</v>
      </c>
      <c r="H13" s="43"/>
      <c r="I13" s="6" t="str">
        <f t="shared" si="2"/>
        <v>10051</v>
      </c>
      <c r="J13" s="18" t="s">
        <v>2616</v>
      </c>
      <c r="K13" s="18" t="s">
        <v>2339</v>
      </c>
      <c r="L13" s="18"/>
      <c r="M13" s="18" t="b">
        <v>1</v>
      </c>
      <c r="N13" s="39" t="s">
        <v>2617</v>
      </c>
      <c r="O13" s="18" t="s">
        <v>2353</v>
      </c>
      <c r="P13" s="39">
        <v>100.0</v>
      </c>
      <c r="Q13" s="18">
        <v>1.0</v>
      </c>
    </row>
    <row r="14">
      <c r="A14" s="18">
        <v>52.0</v>
      </c>
      <c r="B14" s="18" t="s">
        <v>2612</v>
      </c>
      <c r="C14" s="22" t="s">
        <v>244</v>
      </c>
      <c r="D14" s="41" t="s">
        <v>2640</v>
      </c>
      <c r="F14" s="18" t="s">
        <v>2641</v>
      </c>
      <c r="G14" s="42" t="str">
        <f t="shared" si="1"/>
        <v>https://drive.google.com/uc?export=view&amp;id=13g0YRmmXkkBWI-eyqKenL0dwL9qLG0Tq</v>
      </c>
      <c r="H14" s="43"/>
      <c r="I14" s="6" t="str">
        <f t="shared" si="2"/>
        <v>10052</v>
      </c>
      <c r="J14" s="18" t="s">
        <v>2616</v>
      </c>
      <c r="K14" s="18" t="s">
        <v>2339</v>
      </c>
      <c r="L14" s="18"/>
      <c r="M14" s="18" t="b">
        <v>1</v>
      </c>
      <c r="N14" s="39" t="s">
        <v>2617</v>
      </c>
      <c r="O14" s="18" t="s">
        <v>2353</v>
      </c>
      <c r="P14" s="39">
        <v>100.0</v>
      </c>
      <c r="Q14" s="18">
        <v>1.0</v>
      </c>
    </row>
    <row r="15">
      <c r="A15" s="18">
        <v>53.0</v>
      </c>
      <c r="B15" s="18" t="s">
        <v>2612</v>
      </c>
      <c r="C15" s="22" t="s">
        <v>248</v>
      </c>
      <c r="D15" s="41" t="s">
        <v>2642</v>
      </c>
      <c r="F15" s="18" t="s">
        <v>2643</v>
      </c>
      <c r="G15" s="42" t="str">
        <f t="shared" si="1"/>
        <v>https://drive.google.com/uc?export=view&amp;id=1J0YpBCuTPmZGjoULCXsJgHIfX2th0YI4</v>
      </c>
      <c r="H15" s="43"/>
      <c r="I15" s="6" t="str">
        <f t="shared" si="2"/>
        <v>10053</v>
      </c>
      <c r="J15" s="18" t="s">
        <v>2616</v>
      </c>
      <c r="K15" s="18" t="s">
        <v>2339</v>
      </c>
      <c r="L15" s="18"/>
      <c r="M15" s="18" t="b">
        <v>1</v>
      </c>
      <c r="N15" s="39" t="s">
        <v>2617</v>
      </c>
      <c r="O15" s="18" t="s">
        <v>2353</v>
      </c>
      <c r="P15" s="39">
        <v>100.0</v>
      </c>
      <c r="Q15" s="18">
        <v>1.0</v>
      </c>
    </row>
    <row r="16">
      <c r="A16" s="18">
        <v>55.0</v>
      </c>
      <c r="B16" s="18" t="s">
        <v>2612</v>
      </c>
      <c r="C16" s="22" t="s">
        <v>264</v>
      </c>
      <c r="D16" s="41" t="s">
        <v>2644</v>
      </c>
      <c r="F16" s="18" t="s">
        <v>2645</v>
      </c>
      <c r="G16" s="42" t="str">
        <f t="shared" si="1"/>
        <v>https://drive.google.com/uc?export=view&amp;id=1cmB3Kd7kaIMqUu3VYV1-IP9WozVw7k_3</v>
      </c>
      <c r="H16" s="43"/>
      <c r="I16" s="6" t="str">
        <f t="shared" si="2"/>
        <v>10055</v>
      </c>
      <c r="J16" s="18" t="s">
        <v>2616</v>
      </c>
      <c r="K16" s="18" t="s">
        <v>2339</v>
      </c>
      <c r="L16" s="18"/>
      <c r="M16" s="18" t="b">
        <v>1</v>
      </c>
      <c r="N16" s="39" t="s">
        <v>2617</v>
      </c>
      <c r="O16" s="18" t="s">
        <v>2353</v>
      </c>
      <c r="P16" s="39">
        <v>100.0</v>
      </c>
      <c r="Q16" s="18">
        <v>1.0</v>
      </c>
    </row>
    <row r="17">
      <c r="A17" s="18">
        <v>56.0</v>
      </c>
      <c r="B17" s="18" t="s">
        <v>2612</v>
      </c>
      <c r="C17" s="22" t="s">
        <v>260</v>
      </c>
      <c r="D17" s="41" t="s">
        <v>2646</v>
      </c>
      <c r="F17" s="18" t="s">
        <v>2647</v>
      </c>
      <c r="G17" s="42" t="str">
        <f t="shared" si="1"/>
        <v>https://drive.google.com/uc?export=view&amp;id=1lJXgSo31xuuXHhz9202QBh30lnRRvbNH</v>
      </c>
      <c r="H17" s="43"/>
      <c r="I17" s="6" t="str">
        <f t="shared" si="2"/>
        <v>10056</v>
      </c>
      <c r="J17" s="18" t="s">
        <v>2616</v>
      </c>
      <c r="K17" s="18" t="s">
        <v>2339</v>
      </c>
      <c r="L17" s="18"/>
      <c r="M17" s="18" t="b">
        <v>1</v>
      </c>
      <c r="N17" s="39" t="s">
        <v>2617</v>
      </c>
      <c r="O17" s="18" t="s">
        <v>2353</v>
      </c>
      <c r="P17" s="39">
        <v>100.0</v>
      </c>
      <c r="Q17" s="18">
        <v>1.0</v>
      </c>
    </row>
    <row r="18">
      <c r="A18" s="18">
        <v>58.0</v>
      </c>
      <c r="B18" s="18" t="s">
        <v>2612</v>
      </c>
      <c r="C18" s="22" t="s">
        <v>2648</v>
      </c>
      <c r="D18" s="41" t="s">
        <v>2649</v>
      </c>
      <c r="F18" s="18" t="s">
        <v>2650</v>
      </c>
      <c r="G18" s="42" t="str">
        <f t="shared" si="1"/>
        <v>https://drive.google.com/uc?export=view&amp;id=1paa53C0EnjQmaTiCUrY0aFwhN6KueroM</v>
      </c>
      <c r="H18" s="43"/>
      <c r="I18" s="6" t="str">
        <f t="shared" si="2"/>
        <v>10058</v>
      </c>
      <c r="J18" s="18" t="s">
        <v>2616</v>
      </c>
      <c r="K18" s="18" t="s">
        <v>2339</v>
      </c>
      <c r="L18" s="18"/>
      <c r="M18" s="18" t="b">
        <v>1</v>
      </c>
      <c r="N18" s="39" t="s">
        <v>2617</v>
      </c>
      <c r="O18" s="18" t="s">
        <v>2353</v>
      </c>
      <c r="P18" s="39">
        <v>100.0</v>
      </c>
      <c r="Q18" s="18">
        <v>1.0</v>
      </c>
    </row>
    <row r="19">
      <c r="A19" s="18">
        <v>59.0</v>
      </c>
      <c r="B19" s="18" t="s">
        <v>2612</v>
      </c>
      <c r="C19" s="22" t="s">
        <v>267</v>
      </c>
      <c r="D19" s="41" t="s">
        <v>2651</v>
      </c>
      <c r="F19" s="18" t="s">
        <v>2652</v>
      </c>
      <c r="G19" s="42" t="str">
        <f t="shared" si="1"/>
        <v>https://drive.google.com/uc?export=view&amp;id=1-tUBqoDbasMBtwlQV21G_yzkJLeykELB</v>
      </c>
      <c r="H19" s="43"/>
      <c r="I19" s="6" t="str">
        <f t="shared" si="2"/>
        <v>10059</v>
      </c>
      <c r="J19" s="18" t="s">
        <v>2616</v>
      </c>
      <c r="K19" s="18" t="s">
        <v>2339</v>
      </c>
      <c r="L19" s="18"/>
      <c r="M19" s="18" t="b">
        <v>1</v>
      </c>
      <c r="N19" s="39" t="s">
        <v>2617</v>
      </c>
      <c r="O19" s="18" t="s">
        <v>2353</v>
      </c>
      <c r="P19" s="39">
        <v>100.0</v>
      </c>
      <c r="Q19" s="18">
        <v>1.0</v>
      </c>
    </row>
    <row r="20">
      <c r="A20" s="18">
        <v>60.0</v>
      </c>
      <c r="B20" s="18" t="s">
        <v>2612</v>
      </c>
      <c r="C20" s="22" t="s">
        <v>271</v>
      </c>
      <c r="D20" s="41" t="s">
        <v>2653</v>
      </c>
      <c r="F20" s="18" t="s">
        <v>2654</v>
      </c>
      <c r="G20" s="42" t="str">
        <f t="shared" si="1"/>
        <v>https://drive.google.com/uc?export=view&amp;id=14ya9jn6mXUqixF6mApcVYF-sAxDGluVU</v>
      </c>
      <c r="H20" s="43"/>
      <c r="I20" s="6" t="str">
        <f t="shared" si="2"/>
        <v>10060</v>
      </c>
      <c r="J20" s="18" t="s">
        <v>2616</v>
      </c>
      <c r="K20" s="18" t="s">
        <v>2339</v>
      </c>
      <c r="L20" s="18"/>
      <c r="M20" s="18" t="b">
        <v>1</v>
      </c>
      <c r="N20" s="39" t="s">
        <v>2617</v>
      </c>
      <c r="O20" s="18" t="s">
        <v>2353</v>
      </c>
      <c r="P20" s="39">
        <v>100.0</v>
      </c>
      <c r="Q20" s="18">
        <v>1.0</v>
      </c>
    </row>
    <row r="21">
      <c r="A21" s="18">
        <v>61.0</v>
      </c>
      <c r="B21" s="18" t="s">
        <v>2612</v>
      </c>
      <c r="C21" s="22" t="s">
        <v>276</v>
      </c>
      <c r="D21" s="41" t="s">
        <v>2655</v>
      </c>
      <c r="F21" s="18" t="s">
        <v>2656</v>
      </c>
      <c r="G21" s="42" t="str">
        <f t="shared" si="1"/>
        <v>https://drive.google.com/uc?export=view&amp;id=1BxO_53-Tu90DiFKJbxROLikMwXXVB22p</v>
      </c>
      <c r="H21" s="43"/>
      <c r="I21" s="6" t="str">
        <f t="shared" si="2"/>
        <v>10061</v>
      </c>
      <c r="J21" s="18" t="s">
        <v>2616</v>
      </c>
      <c r="K21" s="18" t="s">
        <v>2339</v>
      </c>
      <c r="L21" s="18"/>
      <c r="M21" s="18" t="b">
        <v>1</v>
      </c>
      <c r="N21" s="39" t="s">
        <v>2617</v>
      </c>
      <c r="O21" s="18" t="s">
        <v>2353</v>
      </c>
      <c r="P21" s="39">
        <v>100.0</v>
      </c>
      <c r="Q21" s="18">
        <v>1.0</v>
      </c>
    </row>
    <row r="22">
      <c r="A22" s="18">
        <v>62.0</v>
      </c>
      <c r="B22" s="18" t="s">
        <v>2612</v>
      </c>
      <c r="C22" s="36" t="s">
        <v>280</v>
      </c>
      <c r="D22" s="36" t="s">
        <v>2657</v>
      </c>
      <c r="F22" s="18" t="s">
        <v>2658</v>
      </c>
      <c r="G22" s="42" t="str">
        <f t="shared" si="1"/>
        <v>https://drive.google.com/uc?export=view&amp;id=1f9bjuz42wuGgKz7YDEU6GGSi63ZakPtb</v>
      </c>
      <c r="H22" s="43"/>
      <c r="I22" s="6" t="str">
        <f t="shared" si="2"/>
        <v>10062</v>
      </c>
      <c r="J22" s="18" t="s">
        <v>2616</v>
      </c>
      <c r="K22" s="18" t="s">
        <v>2339</v>
      </c>
      <c r="L22" s="18"/>
      <c r="M22" s="18" t="b">
        <v>1</v>
      </c>
      <c r="N22" s="39" t="s">
        <v>2617</v>
      </c>
      <c r="O22" s="18" t="s">
        <v>2353</v>
      </c>
      <c r="P22" s="39">
        <v>100.0</v>
      </c>
      <c r="Q22" s="18">
        <v>1.0</v>
      </c>
    </row>
    <row r="23">
      <c r="A23" s="18">
        <v>64.0</v>
      </c>
      <c r="B23" s="18" t="s">
        <v>2612</v>
      </c>
      <c r="C23" s="22" t="s">
        <v>2659</v>
      </c>
      <c r="D23" s="18" t="s">
        <v>2660</v>
      </c>
      <c r="F23" s="18" t="s">
        <v>2661</v>
      </c>
      <c r="G23" s="42" t="str">
        <f t="shared" si="1"/>
        <v>https://drive.google.com/uc?export=view&amp;id=16LLJIo8pXNmpKvDlQbaUQk41dDGhCS5-</v>
      </c>
      <c r="H23" s="43"/>
      <c r="I23" s="6" t="str">
        <f t="shared" si="2"/>
        <v>10064</v>
      </c>
      <c r="J23" s="18" t="s">
        <v>2616</v>
      </c>
      <c r="K23" s="18" t="s">
        <v>2339</v>
      </c>
      <c r="L23" s="18"/>
      <c r="M23" s="18" t="b">
        <v>1</v>
      </c>
      <c r="N23" s="39" t="s">
        <v>2617</v>
      </c>
      <c r="O23" s="18" t="s">
        <v>2353</v>
      </c>
      <c r="P23" s="39">
        <v>100.0</v>
      </c>
      <c r="Q23" s="18">
        <v>1.0</v>
      </c>
    </row>
    <row r="24">
      <c r="A24" s="18">
        <v>66.0</v>
      </c>
      <c r="B24" s="18" t="s">
        <v>2612</v>
      </c>
      <c r="C24" s="22" t="s">
        <v>290</v>
      </c>
      <c r="D24" s="41" t="s">
        <v>2662</v>
      </c>
      <c r="F24" s="18" t="s">
        <v>2663</v>
      </c>
      <c r="G24" s="42" t="str">
        <f t="shared" si="1"/>
        <v>https://drive.google.com/uc?export=view&amp;id=1da4ksL8ekYCowmTTNAGxE8F-AnJn4Beu</v>
      </c>
      <c r="H24" s="43"/>
      <c r="I24" s="6" t="str">
        <f t="shared" si="2"/>
        <v>10066</v>
      </c>
      <c r="J24" s="18" t="s">
        <v>2616</v>
      </c>
      <c r="K24" s="18" t="s">
        <v>2339</v>
      </c>
      <c r="L24" s="18"/>
      <c r="M24" s="18" t="b">
        <v>1</v>
      </c>
      <c r="N24" s="39" t="s">
        <v>2617</v>
      </c>
      <c r="O24" s="18" t="s">
        <v>2353</v>
      </c>
      <c r="P24" s="39">
        <v>100.0</v>
      </c>
      <c r="Q24" s="18">
        <v>1.0</v>
      </c>
    </row>
    <row r="25">
      <c r="A25" s="18">
        <v>67.0</v>
      </c>
      <c r="B25" s="18" t="s">
        <v>2612</v>
      </c>
      <c r="C25" s="22" t="s">
        <v>294</v>
      </c>
      <c r="D25" s="41" t="s">
        <v>2664</v>
      </c>
      <c r="F25" s="18" t="s">
        <v>2665</v>
      </c>
      <c r="G25" s="42" t="str">
        <f t="shared" si="1"/>
        <v>https://drive.google.com/uc?export=view&amp;id=1eFJAwZ9XndOuTBP4Qe6-P5FdIgjcnML9</v>
      </c>
      <c r="H25" s="43"/>
      <c r="I25" s="6" t="str">
        <f t="shared" si="2"/>
        <v>10067</v>
      </c>
      <c r="J25" s="18" t="s">
        <v>2616</v>
      </c>
      <c r="K25" s="18" t="s">
        <v>2339</v>
      </c>
      <c r="L25" s="18"/>
      <c r="M25" s="18" t="b">
        <v>1</v>
      </c>
      <c r="N25" s="39" t="s">
        <v>2617</v>
      </c>
      <c r="O25" s="18" t="s">
        <v>2353</v>
      </c>
      <c r="P25" s="39">
        <v>100.0</v>
      </c>
      <c r="Q25" s="18">
        <v>1.0</v>
      </c>
    </row>
    <row r="26">
      <c r="A26" s="18">
        <v>68.0</v>
      </c>
      <c r="B26" s="18" t="s">
        <v>2612</v>
      </c>
      <c r="C26" s="22" t="s">
        <v>297</v>
      </c>
      <c r="D26" s="41" t="s">
        <v>2666</v>
      </c>
      <c r="F26" s="18" t="s">
        <v>2667</v>
      </c>
      <c r="G26" s="42" t="str">
        <f t="shared" si="1"/>
        <v>https://drive.google.com/uc?export=view&amp;id=1nOoboK5-nEMGv7sbWveCd08PKuKPySRT</v>
      </c>
      <c r="H26" s="43"/>
      <c r="I26" s="6" t="str">
        <f t="shared" si="2"/>
        <v>10068</v>
      </c>
      <c r="J26" s="18" t="s">
        <v>2616</v>
      </c>
      <c r="K26" s="18" t="s">
        <v>2339</v>
      </c>
      <c r="L26" s="18"/>
      <c r="M26" s="18" t="b">
        <v>1</v>
      </c>
      <c r="N26" s="39" t="s">
        <v>2617</v>
      </c>
      <c r="O26" s="18" t="s">
        <v>2353</v>
      </c>
      <c r="P26" s="39">
        <v>100.0</v>
      </c>
      <c r="Q26" s="18">
        <v>1.0</v>
      </c>
    </row>
    <row r="27">
      <c r="A27" s="18">
        <v>70.0</v>
      </c>
      <c r="B27" s="18" t="s">
        <v>2612</v>
      </c>
      <c r="C27" s="22" t="s">
        <v>301</v>
      </c>
      <c r="D27" s="41" t="s">
        <v>2668</v>
      </c>
      <c r="F27" s="18" t="s">
        <v>2669</v>
      </c>
      <c r="G27" s="42" t="str">
        <f t="shared" si="1"/>
        <v>https://drive.google.com/uc?export=view&amp;id=1pUKGXwBFvNQuxF30-cPTefg56xR0ac6q</v>
      </c>
      <c r="H27" s="43"/>
      <c r="I27" s="6" t="str">
        <f t="shared" si="2"/>
        <v>10070</v>
      </c>
      <c r="J27" s="18" t="s">
        <v>2616</v>
      </c>
      <c r="K27" s="18" t="s">
        <v>2339</v>
      </c>
      <c r="L27" s="18"/>
      <c r="M27" s="18" t="b">
        <v>1</v>
      </c>
      <c r="N27" s="39" t="s">
        <v>2617</v>
      </c>
      <c r="O27" s="18" t="s">
        <v>2353</v>
      </c>
      <c r="P27" s="39">
        <v>100.0</v>
      </c>
      <c r="Q27" s="18">
        <v>1.0</v>
      </c>
    </row>
    <row r="28">
      <c r="A28" s="18">
        <v>72.0</v>
      </c>
      <c r="B28" s="18" t="s">
        <v>2612</v>
      </c>
      <c r="C28" s="18" t="s">
        <v>305</v>
      </c>
      <c r="D28" s="41" t="s">
        <v>2670</v>
      </c>
      <c r="F28" s="18" t="s">
        <v>2671</v>
      </c>
      <c r="G28" s="42" t="str">
        <f t="shared" si="1"/>
        <v>https://drive.google.com/uc?export=view&amp;id=1ZWQy2-oTV6YCzRrbM-JtK3p7naABlwpQ</v>
      </c>
      <c r="H28" s="43"/>
      <c r="I28" s="6" t="str">
        <f t="shared" si="2"/>
        <v>10072</v>
      </c>
      <c r="J28" s="18" t="s">
        <v>2616</v>
      </c>
      <c r="K28" s="18" t="s">
        <v>2339</v>
      </c>
      <c r="L28" s="18"/>
      <c r="M28" s="18" t="b">
        <v>1</v>
      </c>
      <c r="N28" s="39" t="s">
        <v>2617</v>
      </c>
      <c r="O28" s="18" t="s">
        <v>2353</v>
      </c>
      <c r="P28" s="39">
        <v>100.0</v>
      </c>
      <c r="Q28" s="18">
        <v>1.0</v>
      </c>
    </row>
    <row r="29">
      <c r="A29" s="18">
        <v>73.0</v>
      </c>
      <c r="B29" s="18" t="s">
        <v>2612</v>
      </c>
      <c r="C29" s="22" t="s">
        <v>309</v>
      </c>
      <c r="D29" s="41" t="s">
        <v>2672</v>
      </c>
      <c r="F29" s="18" t="s">
        <v>2673</v>
      </c>
      <c r="G29" s="42" t="str">
        <f t="shared" si="1"/>
        <v>https://drive.google.com/uc?export=view&amp;id=177oT0tqFTUrIFkaLKXvyJmm0MHkRscVw</v>
      </c>
      <c r="H29" s="43"/>
      <c r="I29" s="6" t="str">
        <f t="shared" si="2"/>
        <v>10073</v>
      </c>
      <c r="J29" s="18" t="s">
        <v>2616</v>
      </c>
      <c r="K29" s="18" t="s">
        <v>2339</v>
      </c>
      <c r="L29" s="18"/>
      <c r="M29" s="18" t="b">
        <v>1</v>
      </c>
      <c r="N29" s="39" t="s">
        <v>2617</v>
      </c>
      <c r="O29" s="18" t="s">
        <v>2353</v>
      </c>
      <c r="P29" s="39">
        <v>100.0</v>
      </c>
      <c r="Q29" s="18">
        <v>1.0</v>
      </c>
    </row>
    <row r="30">
      <c r="A30" s="18">
        <v>74.0</v>
      </c>
      <c r="B30" s="18" t="s">
        <v>2612</v>
      </c>
      <c r="C30" s="22" t="s">
        <v>312</v>
      </c>
      <c r="D30" s="41" t="s">
        <v>2674</v>
      </c>
      <c r="F30" s="18" t="s">
        <v>2675</v>
      </c>
      <c r="G30" s="42" t="str">
        <f t="shared" si="1"/>
        <v>https://drive.google.com/uc?export=view&amp;id=1UJJvaGSQ-h1g1kY_7H4dBcfMQNrtG-xD</v>
      </c>
      <c r="H30" s="43"/>
      <c r="I30" s="6" t="str">
        <f t="shared" si="2"/>
        <v>10074</v>
      </c>
      <c r="J30" s="18" t="s">
        <v>2616</v>
      </c>
      <c r="K30" s="18" t="s">
        <v>2339</v>
      </c>
      <c r="L30" s="18"/>
      <c r="M30" s="18" t="b">
        <v>1</v>
      </c>
      <c r="N30" s="39" t="s">
        <v>2617</v>
      </c>
      <c r="O30" s="18" t="s">
        <v>2353</v>
      </c>
      <c r="P30" s="39">
        <v>100.0</v>
      </c>
      <c r="Q30" s="18">
        <v>1.0</v>
      </c>
    </row>
    <row r="31">
      <c r="A31" s="18">
        <v>75.0</v>
      </c>
      <c r="B31" s="18" t="s">
        <v>2612</v>
      </c>
      <c r="C31" s="22" t="s">
        <v>315</v>
      </c>
      <c r="D31" s="41" t="s">
        <v>2676</v>
      </c>
      <c r="F31" s="18" t="s">
        <v>2677</v>
      </c>
      <c r="G31" s="42" t="str">
        <f t="shared" si="1"/>
        <v>https://drive.google.com/uc?export=view&amp;id=1BXp1ljzHdCUT60jS2Ir2kZ_JVbTfPJsN</v>
      </c>
      <c r="H31" s="43"/>
      <c r="I31" s="6" t="str">
        <f t="shared" si="2"/>
        <v>10075</v>
      </c>
      <c r="J31" s="18" t="s">
        <v>2616</v>
      </c>
      <c r="K31" s="18" t="s">
        <v>2339</v>
      </c>
      <c r="L31" s="18"/>
      <c r="M31" s="18" t="b">
        <v>1</v>
      </c>
      <c r="N31" s="39" t="s">
        <v>2617</v>
      </c>
      <c r="O31" s="18" t="s">
        <v>2353</v>
      </c>
      <c r="P31" s="39">
        <v>100.0</v>
      </c>
      <c r="Q31" s="18">
        <v>1.0</v>
      </c>
    </row>
    <row r="32">
      <c r="A32" s="18">
        <v>77.0</v>
      </c>
      <c r="B32" s="18" t="s">
        <v>2612</v>
      </c>
      <c r="C32" s="22" t="s">
        <v>319</v>
      </c>
      <c r="D32" s="41" t="s">
        <v>2678</v>
      </c>
      <c r="F32" s="18" t="s">
        <v>2679</v>
      </c>
      <c r="G32" s="42" t="str">
        <f t="shared" si="1"/>
        <v>https://drive.google.com/uc?export=view&amp;id=17x5jTr9LflqWreUzQRv20QCZN6ElUA2s</v>
      </c>
      <c r="H32" s="43"/>
      <c r="I32" s="6" t="str">
        <f t="shared" si="2"/>
        <v>10077</v>
      </c>
      <c r="J32" s="18" t="s">
        <v>2616</v>
      </c>
      <c r="K32" s="18" t="s">
        <v>2339</v>
      </c>
      <c r="L32" s="18"/>
      <c r="M32" s="18" t="b">
        <v>1</v>
      </c>
      <c r="N32" s="39" t="s">
        <v>2617</v>
      </c>
      <c r="O32" s="18" t="s">
        <v>2353</v>
      </c>
      <c r="P32" s="39">
        <v>100.0</v>
      </c>
      <c r="Q32" s="18">
        <v>1.0</v>
      </c>
    </row>
    <row r="33">
      <c r="A33" s="18">
        <v>79.0</v>
      </c>
      <c r="B33" s="18" t="s">
        <v>2612</v>
      </c>
      <c r="C33" s="22" t="s">
        <v>323</v>
      </c>
      <c r="D33" s="41" t="s">
        <v>2680</v>
      </c>
      <c r="F33" s="18" t="s">
        <v>2681</v>
      </c>
      <c r="G33" s="42" t="str">
        <f t="shared" si="1"/>
        <v>https://drive.google.com/uc?export=view&amp;id=1H_vL9Cngu2UwBtDU_bLU2JnjwrQNDxgY</v>
      </c>
      <c r="H33" s="43"/>
      <c r="I33" s="6" t="str">
        <f t="shared" si="2"/>
        <v>10079</v>
      </c>
      <c r="J33" s="18" t="s">
        <v>2616</v>
      </c>
      <c r="K33" s="18" t="s">
        <v>2339</v>
      </c>
      <c r="L33" s="18"/>
      <c r="M33" s="18" t="b">
        <v>1</v>
      </c>
      <c r="N33" s="39" t="s">
        <v>2617</v>
      </c>
      <c r="O33" s="18" t="s">
        <v>2353</v>
      </c>
      <c r="P33" s="39">
        <v>100.0</v>
      </c>
      <c r="Q33" s="18">
        <v>1.0</v>
      </c>
    </row>
    <row r="34">
      <c r="A34" s="18">
        <v>80.0</v>
      </c>
      <c r="B34" s="18" t="s">
        <v>2612</v>
      </c>
      <c r="C34" s="22" t="s">
        <v>327</v>
      </c>
      <c r="D34" s="41" t="s">
        <v>2682</v>
      </c>
      <c r="F34" s="18" t="s">
        <v>2683</v>
      </c>
      <c r="G34" s="42" t="str">
        <f t="shared" si="1"/>
        <v>https://drive.google.com/uc?export=view&amp;id=1qqNRWPXrQi522FZ_E2yaJmT05PDLWqwF</v>
      </c>
      <c r="H34" s="43"/>
      <c r="I34" s="6" t="str">
        <f t="shared" si="2"/>
        <v>10080</v>
      </c>
      <c r="J34" s="18" t="s">
        <v>2616</v>
      </c>
      <c r="K34" s="18" t="s">
        <v>2339</v>
      </c>
      <c r="L34" s="18"/>
      <c r="M34" s="18" t="b">
        <v>1</v>
      </c>
      <c r="N34" s="39" t="s">
        <v>2617</v>
      </c>
      <c r="O34" s="18" t="s">
        <v>2353</v>
      </c>
      <c r="P34" s="39">
        <v>100.0</v>
      </c>
      <c r="Q34" s="18">
        <v>1.0</v>
      </c>
    </row>
    <row r="35">
      <c r="A35" s="18">
        <v>82.0</v>
      </c>
      <c r="B35" s="18" t="s">
        <v>2612</v>
      </c>
      <c r="C35" s="22" t="s">
        <v>331</v>
      </c>
      <c r="D35" s="41" t="s">
        <v>2684</v>
      </c>
      <c r="F35" s="18" t="s">
        <v>2685</v>
      </c>
      <c r="G35" s="42" t="str">
        <f t="shared" si="1"/>
        <v>https://drive.google.com/uc?export=view&amp;id=1fauqDpkijrSUZwyevuKPWn-Ds_P_ek3x</v>
      </c>
      <c r="H35" s="43"/>
      <c r="I35" s="6" t="str">
        <f t="shared" si="2"/>
        <v>10082</v>
      </c>
      <c r="J35" s="18" t="s">
        <v>2616</v>
      </c>
      <c r="K35" s="18" t="s">
        <v>2339</v>
      </c>
      <c r="L35" s="18"/>
      <c r="M35" s="18" t="b">
        <v>1</v>
      </c>
      <c r="N35" s="39" t="s">
        <v>2617</v>
      </c>
      <c r="O35" s="18" t="s">
        <v>2353</v>
      </c>
      <c r="P35" s="39">
        <v>100.0</v>
      </c>
      <c r="Q35" s="18">
        <v>1.0</v>
      </c>
    </row>
    <row r="36">
      <c r="A36" s="18">
        <v>83.0</v>
      </c>
      <c r="B36" s="18" t="s">
        <v>2612</v>
      </c>
      <c r="C36" s="22" t="s">
        <v>335</v>
      </c>
      <c r="D36" s="41" t="s">
        <v>2686</v>
      </c>
      <c r="F36" s="18" t="s">
        <v>2687</v>
      </c>
      <c r="G36" s="42" t="str">
        <f t="shared" si="1"/>
        <v>https://drive.google.com/uc?export=view&amp;id=1lEQP9Y1PIOykHx05l5XQXJ7ymvHOrpFt</v>
      </c>
      <c r="H36" s="43"/>
      <c r="I36" s="6" t="str">
        <f t="shared" si="2"/>
        <v>10083</v>
      </c>
      <c r="J36" s="18" t="s">
        <v>2616</v>
      </c>
      <c r="K36" s="18" t="s">
        <v>2339</v>
      </c>
      <c r="L36" s="18"/>
      <c r="M36" s="18" t="b">
        <v>1</v>
      </c>
      <c r="N36" s="39" t="s">
        <v>2617</v>
      </c>
      <c r="O36" s="18" t="s">
        <v>2353</v>
      </c>
      <c r="P36" s="39">
        <v>100.0</v>
      </c>
      <c r="Q36" s="18">
        <v>1.0</v>
      </c>
    </row>
    <row r="37">
      <c r="A37" s="18">
        <v>85.0</v>
      </c>
      <c r="B37" s="18" t="s">
        <v>2612</v>
      </c>
      <c r="C37" s="22" t="s">
        <v>339</v>
      </c>
      <c r="D37" s="41" t="s">
        <v>2688</v>
      </c>
      <c r="F37" s="18" t="s">
        <v>2689</v>
      </c>
      <c r="G37" s="42" t="str">
        <f t="shared" si="1"/>
        <v>https://drive.google.com/uc?export=view&amp;id=1bIc5iIxhOHJY9y72Fc4HqKcCjniopdCA</v>
      </c>
      <c r="H37" s="43"/>
      <c r="I37" s="6" t="str">
        <f t="shared" si="2"/>
        <v>10085</v>
      </c>
      <c r="J37" s="18" t="s">
        <v>2616</v>
      </c>
      <c r="K37" s="18" t="s">
        <v>2339</v>
      </c>
      <c r="L37" s="18"/>
      <c r="M37" s="18" t="b">
        <v>1</v>
      </c>
      <c r="N37" s="39" t="s">
        <v>2617</v>
      </c>
      <c r="O37" s="18" t="s">
        <v>2353</v>
      </c>
      <c r="P37" s="39">
        <v>100.0</v>
      </c>
      <c r="Q37" s="18">
        <v>1.0</v>
      </c>
    </row>
    <row r="38">
      <c r="A38" s="18">
        <v>86.0</v>
      </c>
      <c r="B38" s="18" t="s">
        <v>2612</v>
      </c>
      <c r="C38" s="18" t="s">
        <v>342</v>
      </c>
      <c r="D38" s="41" t="s">
        <v>2690</v>
      </c>
      <c r="F38" s="18" t="s">
        <v>2691</v>
      </c>
      <c r="G38" s="42" t="str">
        <f t="shared" si="1"/>
        <v>https://drive.google.com/uc?export=view&amp;id=1PGDVV0xC3b6p_z2Nkqr4rz56Oa_iPPMi</v>
      </c>
      <c r="H38" s="43"/>
      <c r="I38" s="6" t="str">
        <f t="shared" si="2"/>
        <v>10086</v>
      </c>
      <c r="J38" s="18" t="s">
        <v>2616</v>
      </c>
      <c r="K38" s="18" t="s">
        <v>2339</v>
      </c>
      <c r="L38" s="18"/>
      <c r="M38" s="18" t="b">
        <v>1</v>
      </c>
      <c r="N38" s="39" t="s">
        <v>2617</v>
      </c>
      <c r="O38" s="18" t="s">
        <v>2353</v>
      </c>
      <c r="P38" s="39">
        <v>100.0</v>
      </c>
      <c r="Q38" s="18">
        <v>1.0</v>
      </c>
    </row>
    <row r="39">
      <c r="A39" s="18">
        <v>87.0</v>
      </c>
      <c r="B39" s="18" t="s">
        <v>2612</v>
      </c>
      <c r="C39" s="22" t="s">
        <v>2692</v>
      </c>
      <c r="D39" s="41" t="s">
        <v>2693</v>
      </c>
      <c r="F39" s="18" t="s">
        <v>2694</v>
      </c>
      <c r="G39" s="42" t="str">
        <f t="shared" si="1"/>
        <v>https://drive.google.com/uc?export=view&amp;id=1AQa_wg8cJxKLTD7bRifjDenWZkhEFxGa</v>
      </c>
      <c r="H39" s="43"/>
      <c r="I39" s="6" t="str">
        <f t="shared" si="2"/>
        <v>10087</v>
      </c>
      <c r="J39" s="18" t="s">
        <v>2616</v>
      </c>
      <c r="K39" s="18" t="s">
        <v>2339</v>
      </c>
      <c r="L39" s="18"/>
      <c r="M39" s="18" t="b">
        <v>1</v>
      </c>
      <c r="N39" s="39" t="s">
        <v>2617</v>
      </c>
      <c r="O39" s="18" t="s">
        <v>2353</v>
      </c>
      <c r="P39" s="39">
        <v>100.0</v>
      </c>
      <c r="Q39" s="18">
        <v>1.0</v>
      </c>
    </row>
    <row r="40">
      <c r="A40" s="18">
        <v>88.0</v>
      </c>
      <c r="B40" s="18" t="s">
        <v>2612</v>
      </c>
      <c r="C40" s="22" t="s">
        <v>350</v>
      </c>
      <c r="D40" s="41" t="s">
        <v>2695</v>
      </c>
      <c r="F40" s="18" t="s">
        <v>2696</v>
      </c>
      <c r="G40" s="42" t="str">
        <f t="shared" si="1"/>
        <v>https://drive.google.com/uc?export=view&amp;id=11eeuUCmjT9089CWXj-k-utCLc2O0vgbQ</v>
      </c>
      <c r="H40" s="43"/>
      <c r="I40" s="6" t="str">
        <f t="shared" si="2"/>
        <v>10088</v>
      </c>
      <c r="J40" s="18" t="s">
        <v>2616</v>
      </c>
      <c r="K40" s="18" t="s">
        <v>2339</v>
      </c>
      <c r="L40" s="18"/>
      <c r="M40" s="18" t="b">
        <v>1</v>
      </c>
      <c r="N40" s="39" t="s">
        <v>2617</v>
      </c>
      <c r="O40" s="18" t="s">
        <v>2353</v>
      </c>
      <c r="P40" s="39">
        <v>100.0</v>
      </c>
      <c r="Q40" s="18">
        <v>1.0</v>
      </c>
    </row>
    <row r="41">
      <c r="A41" s="18">
        <v>90.0</v>
      </c>
      <c r="B41" s="18" t="s">
        <v>2612</v>
      </c>
      <c r="C41" s="22" t="s">
        <v>354</v>
      </c>
      <c r="D41" s="41" t="s">
        <v>2697</v>
      </c>
      <c r="F41" s="18" t="s">
        <v>2698</v>
      </c>
      <c r="G41" s="42" t="str">
        <f t="shared" si="1"/>
        <v>https://drive.google.com/uc?export=view&amp;id=1cBPQKHrH89S0EjylbJIt8DfmIsCM96KT</v>
      </c>
      <c r="H41" s="43"/>
      <c r="I41" s="6" t="str">
        <f t="shared" si="2"/>
        <v>10090</v>
      </c>
      <c r="J41" s="18" t="s">
        <v>2616</v>
      </c>
      <c r="K41" s="18" t="s">
        <v>2339</v>
      </c>
      <c r="L41" s="18"/>
      <c r="M41" s="18" t="b">
        <v>1</v>
      </c>
      <c r="N41" s="39" t="s">
        <v>2617</v>
      </c>
      <c r="O41" s="18" t="s">
        <v>2353</v>
      </c>
      <c r="P41" s="39">
        <v>100.0</v>
      </c>
      <c r="Q41" s="18">
        <v>1.0</v>
      </c>
    </row>
    <row r="42">
      <c r="A42" s="18">
        <v>91.0</v>
      </c>
      <c r="B42" s="18" t="s">
        <v>2612</v>
      </c>
      <c r="C42" s="22" t="s">
        <v>357</v>
      </c>
      <c r="D42" s="41" t="s">
        <v>2699</v>
      </c>
      <c r="F42" s="18" t="s">
        <v>2700</v>
      </c>
      <c r="G42" s="42" t="str">
        <f t="shared" si="1"/>
        <v>https://drive.google.com/uc?export=view&amp;id=1WlrBwNSmzUZot5ad1iZAF3-KuhKzwhlZ</v>
      </c>
      <c r="H42" s="43"/>
      <c r="I42" s="6" t="str">
        <f t="shared" si="2"/>
        <v>10091</v>
      </c>
      <c r="J42" s="18" t="s">
        <v>2616</v>
      </c>
      <c r="K42" s="18" t="s">
        <v>2339</v>
      </c>
      <c r="L42" s="18"/>
      <c r="M42" s="18" t="b">
        <v>1</v>
      </c>
      <c r="N42" s="39" t="s">
        <v>2617</v>
      </c>
      <c r="O42" s="18" t="s">
        <v>2353</v>
      </c>
      <c r="P42" s="39">
        <v>100.0</v>
      </c>
      <c r="Q42" s="18">
        <v>1.0</v>
      </c>
    </row>
    <row r="43">
      <c r="A43" s="18">
        <v>93.0</v>
      </c>
      <c r="B43" s="18" t="s">
        <v>2612</v>
      </c>
      <c r="C43" s="22" t="s">
        <v>362</v>
      </c>
      <c r="D43" s="41" t="s">
        <v>2701</v>
      </c>
      <c r="F43" s="18" t="s">
        <v>2702</v>
      </c>
      <c r="G43" s="42" t="str">
        <f t="shared" si="1"/>
        <v>https://drive.google.com/uc?export=view&amp;id=1gQ0ZjyDnQRoCpI79txso19fu5nMVKb1J</v>
      </c>
      <c r="H43" s="43"/>
      <c r="I43" s="6" t="str">
        <f t="shared" si="2"/>
        <v>10093</v>
      </c>
      <c r="J43" s="18" t="s">
        <v>2616</v>
      </c>
      <c r="K43" s="18" t="s">
        <v>2339</v>
      </c>
      <c r="L43" s="18"/>
      <c r="M43" s="18" t="b">
        <v>1</v>
      </c>
      <c r="N43" s="39" t="s">
        <v>2617</v>
      </c>
      <c r="O43" s="18" t="s">
        <v>2353</v>
      </c>
      <c r="P43" s="39">
        <v>100.0</v>
      </c>
      <c r="Q43" s="18">
        <v>1.0</v>
      </c>
    </row>
    <row r="44">
      <c r="A44" s="18">
        <v>94.0</v>
      </c>
      <c r="B44" s="18" t="s">
        <v>2612</v>
      </c>
      <c r="C44" s="22" t="s">
        <v>366</v>
      </c>
      <c r="D44" s="41" t="s">
        <v>2703</v>
      </c>
      <c r="F44" s="18" t="s">
        <v>2704</v>
      </c>
      <c r="G44" s="42" t="str">
        <f t="shared" si="1"/>
        <v>https://drive.google.com/uc?export=view&amp;id=1-KeiI8xznF4oVAfYvFQNlvrSgJsQ44uP</v>
      </c>
      <c r="H44" s="43"/>
      <c r="I44" s="6" t="str">
        <f t="shared" si="2"/>
        <v>10094</v>
      </c>
      <c r="J44" s="18" t="s">
        <v>2616</v>
      </c>
      <c r="K44" s="18" t="s">
        <v>2339</v>
      </c>
      <c r="L44" s="18"/>
      <c r="M44" s="18" t="b">
        <v>1</v>
      </c>
      <c r="N44" s="39" t="s">
        <v>2617</v>
      </c>
      <c r="O44" s="18" t="s">
        <v>2353</v>
      </c>
      <c r="P44" s="39">
        <v>100.0</v>
      </c>
      <c r="Q44" s="18">
        <v>1.0</v>
      </c>
    </row>
    <row r="45">
      <c r="A45" s="18">
        <v>95.0</v>
      </c>
      <c r="B45" s="18" t="s">
        <v>2612</v>
      </c>
      <c r="C45" s="22" t="s">
        <v>369</v>
      </c>
      <c r="D45" s="41" t="s">
        <v>2705</v>
      </c>
      <c r="F45" s="18" t="s">
        <v>2706</v>
      </c>
      <c r="G45" s="42" t="str">
        <f t="shared" si="1"/>
        <v>https://drive.google.com/uc?export=view&amp;id=1gs70WU74agTCGED4tMalV8BCf7n5JrED</v>
      </c>
      <c r="H45" s="43"/>
      <c r="I45" s="6" t="str">
        <f t="shared" si="2"/>
        <v>10095</v>
      </c>
      <c r="J45" s="18" t="s">
        <v>2616</v>
      </c>
      <c r="K45" s="18" t="s">
        <v>2339</v>
      </c>
      <c r="L45" s="18"/>
      <c r="M45" s="18" t="b">
        <v>1</v>
      </c>
      <c r="N45" s="39" t="s">
        <v>2617</v>
      </c>
      <c r="O45" s="18" t="s">
        <v>2353</v>
      </c>
      <c r="P45" s="39">
        <v>100.0</v>
      </c>
      <c r="Q45" s="18">
        <v>1.0</v>
      </c>
    </row>
    <row r="46">
      <c r="A46" s="18">
        <v>96.0</v>
      </c>
      <c r="B46" s="18" t="s">
        <v>2612</v>
      </c>
      <c r="C46" s="22" t="s">
        <v>373</v>
      </c>
      <c r="D46" s="41" t="s">
        <v>2707</v>
      </c>
      <c r="F46" s="18" t="s">
        <v>2708</v>
      </c>
      <c r="G46" s="42" t="str">
        <f t="shared" si="1"/>
        <v>https://drive.google.com/uc?export=view&amp;id=135PSx0j1S_WfaWFeeKjypWoYE_Lpd6K9</v>
      </c>
      <c r="H46" s="43"/>
      <c r="I46" s="6" t="str">
        <f t="shared" si="2"/>
        <v>10096</v>
      </c>
      <c r="J46" s="18" t="s">
        <v>2616</v>
      </c>
      <c r="K46" s="18" t="s">
        <v>2339</v>
      </c>
      <c r="L46" s="18"/>
      <c r="M46" s="18" t="b">
        <v>1</v>
      </c>
      <c r="N46" s="39" t="s">
        <v>2617</v>
      </c>
      <c r="O46" s="18" t="s">
        <v>2353</v>
      </c>
      <c r="P46" s="39">
        <v>100.0</v>
      </c>
      <c r="Q46" s="18">
        <v>1.0</v>
      </c>
    </row>
    <row r="47">
      <c r="A47" s="18">
        <v>98.0</v>
      </c>
      <c r="B47" s="18" t="s">
        <v>2612</v>
      </c>
      <c r="C47" s="22" t="s">
        <v>377</v>
      </c>
      <c r="D47" s="41" t="s">
        <v>2709</v>
      </c>
      <c r="F47" s="18" t="s">
        <v>2710</v>
      </c>
      <c r="G47" s="42" t="str">
        <f t="shared" si="1"/>
        <v>https://drive.google.com/uc?export=view&amp;id=1U1IiBoVvEOPBror_3JcXt06ENUjU1jzq</v>
      </c>
      <c r="H47" s="43"/>
      <c r="I47" s="6" t="str">
        <f t="shared" si="2"/>
        <v>10098</v>
      </c>
      <c r="J47" s="18" t="s">
        <v>2616</v>
      </c>
      <c r="K47" s="18" t="s">
        <v>2339</v>
      </c>
      <c r="L47" s="18"/>
      <c r="M47" s="18" t="b">
        <v>1</v>
      </c>
      <c r="N47" s="39" t="s">
        <v>2617</v>
      </c>
      <c r="O47" s="18" t="s">
        <v>2353</v>
      </c>
      <c r="P47" s="39">
        <v>100.0</v>
      </c>
      <c r="Q47" s="18">
        <v>1.0</v>
      </c>
    </row>
    <row r="48">
      <c r="A48" s="18">
        <v>99.0</v>
      </c>
      <c r="B48" s="18" t="s">
        <v>2612</v>
      </c>
      <c r="C48" s="22" t="s">
        <v>380</v>
      </c>
      <c r="D48" s="41" t="s">
        <v>2711</v>
      </c>
      <c r="F48" s="18" t="s">
        <v>2712</v>
      </c>
      <c r="G48" s="42" t="str">
        <f t="shared" si="1"/>
        <v>https://drive.google.com/uc?export=view&amp;id=1rS65p4s16vJ1cGW6LvwBHZKiwZudwrjl</v>
      </c>
      <c r="H48" s="43"/>
      <c r="I48" s="6" t="str">
        <f t="shared" si="2"/>
        <v>10099</v>
      </c>
      <c r="J48" s="18" t="s">
        <v>2616</v>
      </c>
      <c r="K48" s="18" t="s">
        <v>2339</v>
      </c>
      <c r="L48" s="18"/>
      <c r="M48" s="18" t="b">
        <v>1</v>
      </c>
      <c r="N48" s="39" t="s">
        <v>2617</v>
      </c>
      <c r="O48" s="18" t="s">
        <v>2353</v>
      </c>
      <c r="P48" s="39">
        <v>100.0</v>
      </c>
      <c r="Q48" s="18">
        <v>1.0</v>
      </c>
    </row>
    <row r="49">
      <c r="A49" s="18">
        <v>100.0</v>
      </c>
      <c r="B49" s="18" t="s">
        <v>2612</v>
      </c>
      <c r="C49" s="22" t="s">
        <v>384</v>
      </c>
      <c r="D49" s="41" t="s">
        <v>2713</v>
      </c>
      <c r="F49" s="18" t="s">
        <v>2714</v>
      </c>
      <c r="G49" s="42" t="str">
        <f t="shared" si="1"/>
        <v>https://drive.google.com/uc?export=view&amp;id=1jvnN_lyOVouF78NaAHtlDGD3dYqCWCxu</v>
      </c>
      <c r="H49" s="43"/>
      <c r="I49" s="6" t="str">
        <f t="shared" si="2"/>
        <v>100100</v>
      </c>
      <c r="J49" s="18" t="s">
        <v>2616</v>
      </c>
      <c r="K49" s="18" t="s">
        <v>2339</v>
      </c>
      <c r="L49" s="18"/>
      <c r="M49" s="18" t="b">
        <v>1</v>
      </c>
      <c r="N49" s="39" t="s">
        <v>2617</v>
      </c>
      <c r="O49" s="18" t="s">
        <v>2353</v>
      </c>
      <c r="P49" s="39">
        <v>100.0</v>
      </c>
      <c r="Q49" s="18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4" max="4" width="16.5"/>
    <col customWidth="1" min="5" max="5" width="81.38"/>
    <col customWidth="1" min="6" max="6" width="105.38"/>
  </cols>
  <sheetData>
    <row r="1">
      <c r="A1" s="47" t="s">
        <v>0</v>
      </c>
      <c r="B1" s="47" t="s">
        <v>2565</v>
      </c>
      <c r="C1" s="47" t="s">
        <v>2715</v>
      </c>
      <c r="D1" s="47" t="s">
        <v>2716</v>
      </c>
      <c r="E1" s="48" t="s">
        <v>7</v>
      </c>
      <c r="F1" s="47" t="s">
        <v>2566</v>
      </c>
    </row>
    <row r="2">
      <c r="A2" s="34">
        <v>100.0</v>
      </c>
      <c r="B2" s="43" t="s">
        <v>1658</v>
      </c>
      <c r="C2" s="49"/>
      <c r="D2" s="34" t="s">
        <v>2717</v>
      </c>
      <c r="E2" s="50" t="s">
        <v>2718</v>
      </c>
      <c r="F2" s="34" t="s">
        <v>2719</v>
      </c>
    </row>
    <row r="3">
      <c r="A3" s="34">
        <v>101.0</v>
      </c>
      <c r="B3" s="51" t="s">
        <v>1659</v>
      </c>
      <c r="C3" s="34">
        <v>100.0</v>
      </c>
      <c r="D3" s="51" t="s">
        <v>2720</v>
      </c>
      <c r="E3" s="50" t="s">
        <v>2721</v>
      </c>
      <c r="F3" s="52" t="s">
        <v>2722</v>
      </c>
    </row>
    <row r="4">
      <c r="A4" s="34">
        <v>141.0</v>
      </c>
      <c r="B4" s="51" t="s">
        <v>2723</v>
      </c>
      <c r="C4" s="34">
        <v>100.0</v>
      </c>
      <c r="D4" s="34" t="s">
        <v>2724</v>
      </c>
      <c r="E4" s="50" t="s">
        <v>2725</v>
      </c>
      <c r="F4" s="34" t="s">
        <v>2726</v>
      </c>
    </row>
    <row r="5">
      <c r="A5" s="34">
        <v>161.0</v>
      </c>
      <c r="B5" s="51" t="s">
        <v>1667</v>
      </c>
      <c r="C5" s="34">
        <v>100.0</v>
      </c>
      <c r="D5" s="34" t="s">
        <v>2727</v>
      </c>
      <c r="E5" s="50" t="s">
        <v>2728</v>
      </c>
      <c r="F5" s="34" t="s">
        <v>2729</v>
      </c>
    </row>
    <row r="6">
      <c r="A6" s="34">
        <v>200.0</v>
      </c>
      <c r="B6" s="43" t="s">
        <v>1732</v>
      </c>
      <c r="C6" s="49"/>
      <c r="D6" s="34" t="s">
        <v>2730</v>
      </c>
      <c r="E6" s="50" t="s">
        <v>2731</v>
      </c>
      <c r="F6" s="34" t="s">
        <v>2732</v>
      </c>
    </row>
    <row r="7">
      <c r="A7" s="34">
        <v>220.0</v>
      </c>
      <c r="B7" s="34" t="s">
        <v>1830</v>
      </c>
      <c r="C7" s="49"/>
      <c r="D7" s="53" t="s">
        <v>2733</v>
      </c>
      <c r="E7" s="50" t="s">
        <v>2734</v>
      </c>
      <c r="F7" s="34" t="s">
        <v>2735</v>
      </c>
    </row>
    <row r="8">
      <c r="A8" s="34">
        <v>221.0</v>
      </c>
      <c r="B8" s="53" t="s">
        <v>1837</v>
      </c>
      <c r="C8" s="34">
        <v>220.0</v>
      </c>
      <c r="D8" s="34" t="s">
        <v>2736</v>
      </c>
      <c r="E8" s="50" t="s">
        <v>2737</v>
      </c>
      <c r="F8" s="34" t="s">
        <v>2738</v>
      </c>
    </row>
    <row r="9">
      <c r="A9" s="34">
        <v>222.0</v>
      </c>
      <c r="B9" s="53" t="s">
        <v>1858</v>
      </c>
      <c r="C9" s="34">
        <v>220.0</v>
      </c>
      <c r="D9" s="34" t="s">
        <v>2739</v>
      </c>
      <c r="E9" s="50" t="s">
        <v>2740</v>
      </c>
      <c r="F9" s="34" t="s">
        <v>2741</v>
      </c>
    </row>
    <row r="10">
      <c r="A10" s="34">
        <v>223.0</v>
      </c>
      <c r="B10" s="53" t="s">
        <v>1864</v>
      </c>
      <c r="C10" s="34">
        <v>220.0</v>
      </c>
      <c r="D10" s="34" t="s">
        <v>2742</v>
      </c>
      <c r="E10" s="50" t="s">
        <v>2743</v>
      </c>
      <c r="F10" s="34" t="s">
        <v>2744</v>
      </c>
    </row>
    <row r="11">
      <c r="A11" s="34">
        <v>224.0</v>
      </c>
      <c r="B11" s="53" t="s">
        <v>1868</v>
      </c>
      <c r="C11" s="34">
        <v>220.0</v>
      </c>
      <c r="D11" s="34" t="s">
        <v>2745</v>
      </c>
      <c r="E11" s="50" t="s">
        <v>2746</v>
      </c>
      <c r="F11" s="34" t="s">
        <v>2747</v>
      </c>
    </row>
    <row r="12">
      <c r="A12" s="34">
        <v>240.0</v>
      </c>
      <c r="B12" s="34" t="s">
        <v>1893</v>
      </c>
      <c r="C12" s="49"/>
      <c r="D12" s="34" t="s">
        <v>2748</v>
      </c>
      <c r="E12" s="50" t="s">
        <v>2749</v>
      </c>
      <c r="F12" s="34" t="s">
        <v>2750</v>
      </c>
    </row>
    <row r="13">
      <c r="A13" s="34">
        <v>260.0</v>
      </c>
      <c r="B13" s="34" t="s">
        <v>1913</v>
      </c>
      <c r="C13" s="49"/>
      <c r="D13" s="34" t="s">
        <v>2751</v>
      </c>
      <c r="E13" s="50" t="s">
        <v>2752</v>
      </c>
      <c r="F13" s="34" t="s">
        <v>2753</v>
      </c>
    </row>
    <row r="14">
      <c r="A14" s="34">
        <v>261.0</v>
      </c>
      <c r="B14" s="53" t="s">
        <v>1914</v>
      </c>
      <c r="C14" s="34">
        <v>260.0</v>
      </c>
      <c r="D14" s="34" t="s">
        <v>2754</v>
      </c>
      <c r="E14" s="50" t="s">
        <v>2755</v>
      </c>
      <c r="F14" s="34" t="s">
        <v>2756</v>
      </c>
    </row>
    <row r="15">
      <c r="A15" s="34">
        <v>271.0</v>
      </c>
      <c r="B15" s="34" t="s">
        <v>1935</v>
      </c>
      <c r="C15" s="34">
        <v>260.0</v>
      </c>
      <c r="D15" s="34" t="s">
        <v>2757</v>
      </c>
      <c r="E15" s="50" t="s">
        <v>2758</v>
      </c>
      <c r="F15" s="34" t="s">
        <v>2759</v>
      </c>
    </row>
    <row r="16">
      <c r="A16" s="34">
        <v>280.0</v>
      </c>
      <c r="B16" s="34" t="s">
        <v>1943</v>
      </c>
      <c r="C16" s="49"/>
      <c r="D16" s="34" t="s">
        <v>2760</v>
      </c>
      <c r="E16" s="50" t="s">
        <v>2761</v>
      </c>
      <c r="F16" s="34" t="s">
        <v>2762</v>
      </c>
    </row>
    <row r="17">
      <c r="A17" s="34">
        <v>300.0</v>
      </c>
      <c r="B17" s="34" t="s">
        <v>1072</v>
      </c>
      <c r="C17" s="49"/>
      <c r="D17" s="34" t="s">
        <v>2763</v>
      </c>
      <c r="E17" s="50" t="s">
        <v>2764</v>
      </c>
      <c r="F17" s="34" t="s">
        <v>2765</v>
      </c>
    </row>
    <row r="18">
      <c r="A18" s="34">
        <v>320.0</v>
      </c>
      <c r="B18" s="34" t="s">
        <v>1973</v>
      </c>
      <c r="C18" s="49"/>
      <c r="D18" s="34" t="s">
        <v>2766</v>
      </c>
      <c r="E18" s="50" t="s">
        <v>2767</v>
      </c>
      <c r="F18" s="34" t="s">
        <v>2768</v>
      </c>
    </row>
    <row r="19">
      <c r="A19" s="34">
        <v>340.0</v>
      </c>
      <c r="B19" s="34" t="s">
        <v>1994</v>
      </c>
      <c r="C19" s="49"/>
      <c r="D19" s="34" t="s">
        <v>2769</v>
      </c>
      <c r="E19" s="50" t="s">
        <v>2770</v>
      </c>
      <c r="F19" s="34" t="s">
        <v>2771</v>
      </c>
    </row>
    <row r="20">
      <c r="A20" s="34">
        <v>360.0</v>
      </c>
      <c r="B20" s="34" t="s">
        <v>2022</v>
      </c>
      <c r="C20" s="49"/>
      <c r="D20" s="34" t="s">
        <v>2772</v>
      </c>
      <c r="E20" s="50" t="s">
        <v>2773</v>
      </c>
      <c r="F20" s="34" t="s">
        <v>2774</v>
      </c>
    </row>
    <row r="21">
      <c r="A21" s="34">
        <v>380.0</v>
      </c>
      <c r="B21" s="34" t="s">
        <v>2041</v>
      </c>
      <c r="C21" s="49"/>
      <c r="D21" s="34" t="s">
        <v>2775</v>
      </c>
      <c r="E21" s="50" t="s">
        <v>2776</v>
      </c>
      <c r="F21" s="34" t="s">
        <v>2777</v>
      </c>
    </row>
    <row r="22">
      <c r="A22" s="34">
        <v>400.0</v>
      </c>
      <c r="B22" s="54" t="s">
        <v>2060</v>
      </c>
      <c r="C22" s="49"/>
      <c r="D22" s="34" t="s">
        <v>2778</v>
      </c>
      <c r="E22" s="50" t="s">
        <v>2779</v>
      </c>
      <c r="F22" s="34" t="s">
        <v>2780</v>
      </c>
    </row>
    <row r="23">
      <c r="A23" s="34">
        <v>420.0</v>
      </c>
      <c r="B23" s="54" t="s">
        <v>2068</v>
      </c>
      <c r="C23" s="49"/>
      <c r="D23" s="34" t="s">
        <v>2781</v>
      </c>
      <c r="E23" s="50" t="s">
        <v>2782</v>
      </c>
      <c r="F23" s="34" t="s">
        <v>2783</v>
      </c>
    </row>
    <row r="24">
      <c r="A24" s="34">
        <v>440.0</v>
      </c>
      <c r="B24" s="34" t="s">
        <v>2085</v>
      </c>
      <c r="C24" s="49"/>
      <c r="D24" s="53" t="s">
        <v>2784</v>
      </c>
      <c r="E24" s="50" t="s">
        <v>2785</v>
      </c>
      <c r="F24" s="34" t="s">
        <v>2786</v>
      </c>
    </row>
    <row r="25">
      <c r="A25" s="34">
        <v>460.0</v>
      </c>
      <c r="B25" s="34" t="s">
        <v>2090</v>
      </c>
      <c r="C25" s="49"/>
      <c r="D25" s="34" t="s">
        <v>2787</v>
      </c>
      <c r="E25" s="50" t="s">
        <v>2788</v>
      </c>
      <c r="F25" s="34" t="s">
        <v>2789</v>
      </c>
    </row>
    <row r="26">
      <c r="A26" s="34">
        <v>480.0</v>
      </c>
      <c r="B26" s="34" t="s">
        <v>2108</v>
      </c>
      <c r="C26" s="49"/>
      <c r="D26" s="34" t="s">
        <v>2790</v>
      </c>
      <c r="E26" s="50" t="s">
        <v>2791</v>
      </c>
      <c r="F26" s="34" t="s">
        <v>2792</v>
      </c>
    </row>
    <row r="27">
      <c r="A27" s="34">
        <v>500.0</v>
      </c>
      <c r="B27" s="34" t="s">
        <v>2131</v>
      </c>
      <c r="C27" s="49"/>
      <c r="D27" s="34" t="s">
        <v>2793</v>
      </c>
      <c r="E27" s="50" t="s">
        <v>2794</v>
      </c>
      <c r="F27" s="34" t="s">
        <v>2795</v>
      </c>
    </row>
    <row r="28">
      <c r="A28" s="34">
        <v>520.0</v>
      </c>
      <c r="B28" s="34" t="s">
        <v>2136</v>
      </c>
      <c r="C28" s="49"/>
      <c r="D28" s="34" t="s">
        <v>2796</v>
      </c>
      <c r="E28" s="50" t="s">
        <v>2797</v>
      </c>
      <c r="F28" s="34" t="s">
        <v>2798</v>
      </c>
    </row>
    <row r="29">
      <c r="A29" s="34">
        <v>540.0</v>
      </c>
      <c r="B29" s="34" t="s">
        <v>2146</v>
      </c>
      <c r="C29" s="49"/>
      <c r="D29" s="53" t="s">
        <v>2799</v>
      </c>
      <c r="E29" s="50" t="s">
        <v>2800</v>
      </c>
      <c r="F29" s="34" t="s">
        <v>2801</v>
      </c>
    </row>
    <row r="30">
      <c r="A30" s="34">
        <v>541.0</v>
      </c>
      <c r="B30" s="53" t="s">
        <v>2147</v>
      </c>
      <c r="C30" s="34">
        <v>540.0</v>
      </c>
      <c r="D30" s="34" t="s">
        <v>2802</v>
      </c>
      <c r="E30" s="50" t="s">
        <v>2803</v>
      </c>
      <c r="F30" s="34" t="s">
        <v>2804</v>
      </c>
    </row>
    <row r="31">
      <c r="A31" s="34">
        <v>551.0</v>
      </c>
      <c r="B31" s="34" t="s">
        <v>2155</v>
      </c>
      <c r="C31" s="34">
        <v>540.0</v>
      </c>
      <c r="D31" s="34" t="s">
        <v>2805</v>
      </c>
      <c r="E31" s="50" t="s">
        <v>2806</v>
      </c>
      <c r="F31" s="34" t="s">
        <v>2807</v>
      </c>
    </row>
    <row r="32">
      <c r="A32" s="34">
        <v>560.0</v>
      </c>
      <c r="B32" s="34" t="s">
        <v>2159</v>
      </c>
      <c r="C32" s="49"/>
      <c r="D32" s="34" t="s">
        <v>2808</v>
      </c>
      <c r="E32" s="50" t="s">
        <v>2809</v>
      </c>
      <c r="F32" s="34" t="s">
        <v>2810</v>
      </c>
    </row>
    <row r="33">
      <c r="A33" s="34">
        <v>580.0</v>
      </c>
      <c r="B33" s="34" t="s">
        <v>2164</v>
      </c>
      <c r="C33" s="49"/>
      <c r="D33" s="34" t="s">
        <v>2811</v>
      </c>
      <c r="E33" s="50" t="s">
        <v>2812</v>
      </c>
      <c r="F33" s="34" t="s">
        <v>2813</v>
      </c>
    </row>
    <row r="34">
      <c r="A34" s="34">
        <v>600.0</v>
      </c>
      <c r="B34" s="34" t="s">
        <v>2167</v>
      </c>
      <c r="C34" s="49"/>
      <c r="D34" s="34" t="s">
        <v>2814</v>
      </c>
      <c r="E34" s="50" t="s">
        <v>2815</v>
      </c>
      <c r="F34" s="34" t="s">
        <v>2816</v>
      </c>
    </row>
    <row r="35">
      <c r="A35" s="34">
        <v>620.0</v>
      </c>
      <c r="B35" s="34" t="s">
        <v>2170</v>
      </c>
      <c r="C35" s="49"/>
      <c r="D35" s="34" t="s">
        <v>2817</v>
      </c>
      <c r="E35" s="50" t="s">
        <v>2818</v>
      </c>
      <c r="F35" s="34" t="s">
        <v>2819</v>
      </c>
    </row>
    <row r="36">
      <c r="A36" s="34">
        <v>700.0</v>
      </c>
      <c r="B36" s="34" t="s">
        <v>2176</v>
      </c>
      <c r="C36" s="49"/>
      <c r="D36" s="34" t="s">
        <v>2820</v>
      </c>
      <c r="E36" s="50" t="s">
        <v>2821</v>
      </c>
      <c r="F36" s="34" t="s">
        <v>2822</v>
      </c>
    </row>
    <row r="37">
      <c r="A37" s="34">
        <v>701.0</v>
      </c>
      <c r="B37" s="53" t="s">
        <v>2177</v>
      </c>
      <c r="C37" s="34">
        <v>700.0</v>
      </c>
      <c r="D37" s="34" t="s">
        <v>2823</v>
      </c>
      <c r="E37" s="50" t="s">
        <v>2824</v>
      </c>
      <c r="F37" s="34" t="s">
        <v>2825</v>
      </c>
    </row>
    <row r="38">
      <c r="A38" s="34">
        <v>751.0</v>
      </c>
      <c r="B38" s="34" t="s">
        <v>2268</v>
      </c>
      <c r="C38" s="34">
        <v>700.0</v>
      </c>
      <c r="D38" s="34" t="s">
        <v>2826</v>
      </c>
      <c r="E38" s="50" t="s">
        <v>2827</v>
      </c>
      <c r="F38" s="34" t="s">
        <v>2828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</hyperlinks>
  <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4.13"/>
    <col customWidth="1" min="9" max="9" width="22.5"/>
    <col customWidth="1" min="10" max="10" width="187.75"/>
  </cols>
  <sheetData>
    <row r="1">
      <c r="A1" s="1" t="s">
        <v>4</v>
      </c>
    </row>
    <row r="2">
      <c r="A2" s="11" t="s">
        <v>202</v>
      </c>
      <c r="I2" s="55" t="str">
        <f>IFERROR(__xludf.DUMMYFUNCTION("SPLIT(A2,""."")"),"Американский ребристый")</f>
        <v>Американский ребристый</v>
      </c>
      <c r="J2" s="6" t="str">
        <f>IFERROR(__xludf.DUMMYFUNCTION("""COMPUTED_VALUE""")," Новый супер - урожайный средне - спелый сорт томата, плоды крупные,  огненно - красные относится к салатным сортам томатов")</f>
        <v> Новый супер - урожайный средне - спелый сорт томата, плоды крупные,  огненно - красные относится к салатным сортам томатов</v>
      </c>
      <c r="K2" s="6" t="str">
        <f>IFERROR(__xludf.DUMMYFUNCTION("""COMPUTED_VALUE""")," Отличается большой устойчивостью  к  фитофторозу, вес плода от 400гр до 1 кг")</f>
        <v> Отличается большой устойчивостью  к  фитофторозу, вес плода от 400гр до 1 кг</v>
      </c>
      <c r="L2" s="6" t="str">
        <f>IFERROR(__xludf.DUMMYFUNCTION("""COMPUTED_VALUE""")," В пленочном укрытии урожай выше чем в открытом грунте, но можно использовать оба вида выращивания")</f>
        <v> В пленочном укрытии урожай выше чем в открытом грунте, но можно использовать оба вида выращивания</v>
      </c>
    </row>
    <row r="3">
      <c r="A3" s="11" t="s">
        <v>206</v>
      </c>
      <c r="I3" s="55" t="str">
        <f>IFERROR(__xludf.DUMMYFUNCTION("SPLIT(A3,""."")"),"Аврора")</f>
        <v>Аврора</v>
      </c>
      <c r="J3" s="6" t="str">
        <f>IFERROR(__xludf.DUMMYFUNCTION("""COMPUTED_VALUE""")," Ультраскороспелый ,низкорослый сорт, от всходов до созревания 79 - 85 дней, детерминантный, плоды округлые интенсивно красного цвета без зеленого пятна у плодоножки")</f>
        <v> Ультраскороспелый ,низкорослый сорт, от всходов до созревания 79 - 85 дней, детерминантный, плоды округлые интенсивно красного цвета без зеленого пятна у плодоножки</v>
      </c>
      <c r="K3" s="6" t="str">
        <f>IFERROR(__xludf.DUMMYFUNCTION("""COMPUTED_VALUE""")," Урожайность 9 -12 кг с м2")</f>
        <v> Урожайность 9 -12 кг с м2</v>
      </c>
      <c r="L3" s="6" t="str">
        <f>IFERROR(__xludf.DUMMYFUNCTION("""COMPUTED_VALUE""")," Пригоден для всех видов  переработки ,устойчив к болезням")</f>
        <v> Пригоден для всех видов  переработки ,устойчив к болезням</v>
      </c>
    </row>
    <row r="4">
      <c r="A4" s="11" t="s">
        <v>211</v>
      </c>
      <c r="I4" s="55" t="str">
        <f>IFERROR(__xludf.DUMMYFUNCTION("SPLIT(A4,""."")"),"Аризона")</f>
        <v>Аризона</v>
      </c>
      <c r="J4" s="6" t="str">
        <f>IFERROR(__xludf.DUMMYFUNCTION("""COMPUTED_VALUE""")," Томат отличается тем что , можно сажать не только рассадой ,но и семенами  в открытый грунт, среднеспелый сорт,плод округлый,крепкий массой от 100- 140гр")</f>
        <v> Томат отличается тем что , можно сажать не только рассадой ,но и семенами  в открытый грунт, среднеспелый сорт,плод округлый,крепкий массой от 100- 140гр</v>
      </c>
      <c r="K4" s="6" t="str">
        <f>IFERROR(__xludf.DUMMYFUNCTION("""COMPUTED_VALUE""")," Пригоден для всех видов переработок, очень вкусный в свежем виде")</f>
        <v> Пригоден для всех видов переработок, очень вкусный в свежем виде</v>
      </c>
    </row>
    <row r="5">
      <c r="A5" s="11" t="s">
        <v>216</v>
      </c>
      <c r="I5" s="55" t="str">
        <f>IFERROR(__xludf.DUMMYFUNCTION("SPLIT(A5,""."")"),"Баллада")</f>
        <v>Баллада</v>
      </c>
      <c r="J5" s="6" t="str">
        <f>IFERROR(__xludf.DUMMYFUNCTION("""COMPUTED_VALUE""")," Среднеспелый сорт для открытого грунта,высаживается на хорошо прогретые участки защищенные от холодных ветров")</f>
        <v> Среднеспелый сорт для открытого грунта,высаживается на хорошо прогретые участки защищенные от холодных ветров</v>
      </c>
      <c r="K5" s="6" t="str">
        <f>IFERROR(__xludf.DUMMYFUNCTION("""COMPUTED_VALUE""")," Плод плоско округлой формы,  темно - красного цвета, массой130-180гр")</f>
        <v> Плод плоско округлой формы,  темно - красного цвета, массой130-180гр</v>
      </c>
      <c r="L5" s="6" t="str">
        <f>IFERROR(__xludf.DUMMYFUNCTION("""COMPUTED_VALUE""")," Урожайный,транспортабельный, вкусный")</f>
        <v> Урожайный,транспортабельный, вкусный</v>
      </c>
    </row>
    <row r="6">
      <c r="A6" s="11" t="s">
        <v>221</v>
      </c>
      <c r="I6" s="55" t="str">
        <f>IFERROR(__xludf.DUMMYFUNCTION("SPLIT(A6,""."")"),"Белый налив 241")</f>
        <v>Белый налив 241</v>
      </c>
      <c r="J6" s="6" t="str">
        <f>IFERROR(__xludf.DUMMYFUNCTION("""COMPUTED_VALUE""")," Раннеспелый сорт открытого грунта, отличителен очень дружным созреванием, выращивается без пасынкования ,урожайность до 8кг/ м2,число гнезд от 5 до 12")</f>
        <v> Раннеспелый сорт открытого грунта, отличителен очень дружным созреванием, выращивается без пасынкования ,урожайность до 8кг/ м2,число гнезд от 5 до 12</v>
      </c>
      <c r="K6" s="6" t="str">
        <f>IFERROR(__xludf.DUMMYFUNCTION("""COMPUTED_VALUE""")," Плоды округлые слабо-ребристые,красные массой  90-135гр")</f>
        <v> Плоды округлые слабо-ребристые,красные массой  90-135гр</v>
      </c>
      <c r="L6" s="6" t="str">
        <f>IFERROR(__xludf.DUMMYFUNCTION("""COMPUTED_VALUE""")," Вкусовые качества отличные")</f>
        <v> Вкусовые качества отличные</v>
      </c>
    </row>
    <row r="7">
      <c r="A7" s="11" t="s">
        <v>226</v>
      </c>
      <c r="I7" s="55" t="str">
        <f>IFERROR(__xludf.DUMMYFUNCTION("SPLIT(A7,""."")"),"Волгоградский323")</f>
        <v>Волгоградский323</v>
      </c>
      <c r="J7" s="6" t="str">
        <f>IFERROR(__xludf.DUMMYFUNCTION("""COMPUTED_VALUE""")," Базовый сорт, растение насыщенного темно- зеленого окраса стеблей ,низкое 40-50см")</f>
        <v> Базовый сорт, растение насыщенного темно- зеленого окраса стеблей ,низкое 40-50см</v>
      </c>
      <c r="K7" s="6" t="str">
        <f>IFERROR(__xludf.DUMMYFUNCTION("""COMPUTED_VALUE""")," Плод круглый немного приплюснут темно красного цвета,скороспелый, салатного назначения")</f>
        <v> Плод круглый немного приплюснут темно красного цвета,скороспелый, салатного назначения</v>
      </c>
      <c r="L7" s="6" t="str">
        <f>IFERROR(__xludf.DUMMYFUNCTION("""COMPUTED_VALUE""")," Предпочитает суглинистые почвы")</f>
        <v> Предпочитает суглинистые почвы</v>
      </c>
      <c r="M7" s="6" t="str">
        <f>IFERROR(__xludf.DUMMYFUNCTION("""COMPUTED_VALUE""")," Очень вкусен для  томатных  соков, кетчупов ,паст")</f>
        <v> Очень вкусен для  томатных  соков, кетчупов ,паст</v>
      </c>
    </row>
    <row r="8">
      <c r="A8" s="11" t="s">
        <v>231</v>
      </c>
      <c r="I8" s="55" t="str">
        <f>IFERROR(__xludf.DUMMYFUNCTION("SPLIT(A8,""."")"),"Волгоградский 323 ")</f>
        <v>Волгоградский 323 </v>
      </c>
      <c r="J8" s="6" t="str">
        <f>IFERROR(__xludf.DUMMYFUNCTION("""COMPUTED_VALUE""")," Базовый сорт, растение насыщенного темно зеленого окраса стеблей,очень ранний")</f>
        <v> Базовый сорт, растение насыщенного темно зеленого окраса стеблей,очень ранний</v>
      </c>
      <c r="K8" s="6" t="str">
        <f>IFERROR(__xludf.DUMMYFUNCTION("""COMPUTED_VALUE""")," Плод округлый слабо приплюснутый  темно красного цвета,салатного назначения но и вкусные томатные соки ,кетчупы ,пасты")</f>
        <v> Плод округлый слабо приплюснутый  темно красного цвета,салатного назначения но и вкусные томатные соки ,кетчупы ,пасты</v>
      </c>
    </row>
    <row r="9">
      <c r="A9" s="11" t="s">
        <v>236</v>
      </c>
      <c r="I9" s="55" t="str">
        <f>IFERROR(__xludf.DUMMYFUNCTION("SPLIT(A9,""."")"),"Волгоградский 5/95")</f>
        <v>Волгоградский 5/95</v>
      </c>
      <c r="J9" s="6" t="str">
        <f>IFERROR(__xludf.DUMMYFUNCTION("""COMPUTED_VALUE""")," Средне поздний сорт отличается высокой урожайностью")</f>
        <v> Средне поздний сорт отличается высокой урожайностью</v>
      </c>
      <c r="K9" s="6" t="str">
        <f>IFERROR(__xludf.DUMMYFUNCTION("""COMPUTED_VALUE""")," Плоды плоскоокруглые ,с насыщенным красным цветом, массой  90/150гр, Применяется в изготовлении ,томатных соков, паст и в  консервации")</f>
        <v> Плоды плоскоокруглые ,с насыщенным красным цветом, массой  90/150гр, Применяется в изготовлении ,томатных соков, паст и в  консервации</v>
      </c>
      <c r="L9" s="6" t="str">
        <f>IFERROR(__xludf.DUMMYFUNCTION("""COMPUTED_VALUE"""),"Вкусовые качества отличные")</f>
        <v>Вкусовые качества отличные</v>
      </c>
    </row>
    <row r="10">
      <c r="A10" s="11" t="s">
        <v>241</v>
      </c>
      <c r="I10" s="55" t="str">
        <f>IFERROR(__xludf.DUMMYFUNCTION("SPLIT(A10,""."")"),"Волгоградский розовый")</f>
        <v>Волгоградский розовый</v>
      </c>
      <c r="J10" s="6" t="str">
        <f>IFERROR(__xludf.DUMMYFUNCTION("""COMPUTED_VALUE""")," Раннеспелый сорт для выращивания в  открытом грунте вегетационный период  95-100 дней Характеризуется  дружным созреванием и хорошей транспортабельностью")</f>
        <v> Раннеспелый сорт для выращивания в  открытом грунте вегетационный период  95-100 дней Характеризуется  дружным созреванием и хорошей транспортабельностью</v>
      </c>
    </row>
    <row r="11">
      <c r="A11" s="11" t="s">
        <v>246</v>
      </c>
      <c r="I11" s="55" t="str">
        <f>IFERROR(__xludf.DUMMYFUNCTION("SPLIT(A11,""."")"),"Шедевр Рудаса")</f>
        <v>Шедевр Рудаса</v>
      </c>
      <c r="J11" s="6" t="str">
        <f>IFERROR(__xludf.DUMMYFUNCTION("""COMPUTED_VALUE"""),"  Селекционный сорт с очень длинным сроком хранения до 4 месяцев")</f>
        <v>  Селекционный сорт с очень длинным сроком хранения до 4 месяцев</v>
      </c>
      <c r="K11" s="6" t="str">
        <f>IFERROR(__xludf.DUMMYFUNCTION("""COMPUTED_VALUE""")," Плоды среднего размера с плотной кожурой красно-оранжевого цвета мякоть имеет более интенсивную окраску ")</f>
        <v> Плоды среднего размера с плотной кожурой красно-оранжевого цвета мякоть имеет более интенсивную окраску </v>
      </c>
      <c r="L11" s="6" t="str">
        <f>IFERROR(__xludf.DUMMYFUNCTION("""COMPUTED_VALUE""")," Сорт очень урожайний")</f>
        <v> Сорт очень урожайний</v>
      </c>
    </row>
    <row r="12">
      <c r="A12" s="11" t="s">
        <v>250</v>
      </c>
      <c r="I12" s="55" t="str">
        <f>IFERROR(__xludf.DUMMYFUNCTION("SPLIT(A12,""."")"),"Господар")</f>
        <v>Господар</v>
      </c>
      <c r="J12" s="6" t="str">
        <f>IFERROR(__xludf.DUMMYFUNCTION("""COMPUTED_VALUE""")," Сорт выведен в Украинском НИИ")</f>
        <v> Сорт выведен в Украинском НИИ</v>
      </c>
      <c r="K12" s="6" t="str">
        <f>IFERROR(__xludf.DUMMYFUNCTION("""COMPUTED_VALUE""")," Плоды крупные, плотные, красные вкусовые и товарные качества отличные")</f>
        <v> Плоды крупные, плотные, красные вкусовые и товарные качества отличные</v>
      </c>
      <c r="L12" s="6" t="str">
        <f>IFERROR(__xludf.DUMMYFUNCTION("""COMPUTED_VALUE""")," Перспективный сорт для открытого грунта  так как устойчив к фитофторозу")</f>
        <v> Перспективный сорт для открытого грунта  так как устойчив к фитофторозу</v>
      </c>
    </row>
    <row r="13">
      <c r="A13" s="11" t="s">
        <v>253</v>
      </c>
      <c r="I13" s="55" t="str">
        <f>IFERROR(__xludf.DUMMYFUNCTION("SPLIT(A13,""."")"),"Господар")</f>
        <v>Господар</v>
      </c>
      <c r="J13" s="6" t="str">
        <f>IFERROR(__xludf.DUMMYFUNCTION("""COMPUTED_VALUE""")," Украинский сорт, детерминантного типа слабо облиственный")</f>
        <v> Украинский сорт, детерминантного типа слабо облиственный</v>
      </c>
      <c r="K13" s="6" t="str">
        <f>IFERROR(__xludf.DUMMYFUNCTION("""COMPUTED_VALUE""")," Плоды красные крупные  отличного вкуса")</f>
        <v> Плоды красные крупные  отличного вкуса</v>
      </c>
      <c r="L13" s="6" t="str">
        <f>IFERROR(__xludf.DUMMYFUNCTION("""COMPUTED_VALUE""")," Устойчив к грибковым заболеваниям")</f>
        <v> Устойчив к грибковым заболеваниям</v>
      </c>
    </row>
    <row r="14">
      <c r="A14" s="11" t="s">
        <v>257</v>
      </c>
      <c r="I14" s="55" t="str">
        <f>IFERROR(__xludf.DUMMYFUNCTION("SPLIT(A14,""."")"),"Дар Заволжья ")</f>
        <v>Дар Заволжья </v>
      </c>
      <c r="J14" s="6" t="str">
        <f>IFERROR(__xludf.DUMMYFUNCTION("""COMPUTED_VALUE""")," Среднеранний сорт, сроком созревания 110-112 дней, куст низкий,  компактный")</f>
        <v> Среднеранний сорт, сроком созревания 110-112 дней, куст низкий,  компактный</v>
      </c>
      <c r="K14" s="6" t="str">
        <f>IFERROR(__xludf.DUMMYFUNCTION("""COMPUTED_VALUE""")," Плоды красные ,круглые со слабо выраженным  кончиком")</f>
        <v> Плоды красные ,круглые со слабо выраженным  кончиком</v>
      </c>
      <c r="L14" s="6" t="str">
        <f>IFERROR(__xludf.DUMMYFUNCTION("""COMPUTED_VALUE""")," Дружное созревание , высокая транспортабельность отличают сорт")</f>
        <v> Дружное созревание , высокая транспортабельность отличают сорт</v>
      </c>
      <c r="M14" s="6" t="str">
        <f>IFERROR(__xludf.DUMMYFUNCTION("""COMPUTED_VALUE""")," Потребление в свежем виде , засолке, переработке на томаты,пасты , соки")</f>
        <v> Потребление в свежем виде , засолке, переработке на томаты,пасты , соки</v>
      </c>
      <c r="N14" s="6" t="str">
        <f>IFERROR(__xludf.DUMMYFUNCTION("""COMPUTED_VALUE""")," Сорт очень продуктивен")</f>
        <v> Сорт очень продуктивен</v>
      </c>
    </row>
    <row r="15">
      <c r="A15" s="11" t="s">
        <v>262</v>
      </c>
      <c r="I15" s="55" t="str">
        <f>IFERROR(__xludf.DUMMYFUNCTION("SPLIT(A15,""."")"),"Дар Заволжья розовый")</f>
        <v>Дар Заволжья розовый</v>
      </c>
      <c r="J15" s="6" t="str">
        <f>IFERROR(__xludf.DUMMYFUNCTION("""COMPUTED_VALUE""")," Среднеранний сорт ,сроком  созревания 110-112 дней , куст низкий, компактный, плоды розовые,  круглые со слабо выраженным кончиком, транспортабельные")</f>
        <v> Среднеранний сорт ,сроком  созревания 110-112 дней , куст низкий, компактный, плоды розовые,  круглые со слабо выраженным кончиком, транспортабельные</v>
      </c>
      <c r="K15" s="6" t="str">
        <f>IFERROR(__xludf.DUMMYFUNCTION("""COMPUTED_VALUE""")," Используются как в свежем виде,  так и в переработанном")</f>
        <v> Используются как в свежем виде,  так и в переработанном</v>
      </c>
      <c r="L15" s="6" t="str">
        <f>IFERROR(__xludf.DUMMYFUNCTION("""COMPUTED_VALUE""")," Сорт очень продуктивен")</f>
        <v> Сорт очень продуктивен</v>
      </c>
    </row>
    <row r="16">
      <c r="A16" s="11" t="s">
        <v>266</v>
      </c>
      <c r="I16" s="55" t="str">
        <f>IFERROR(__xludf.DUMMYFUNCTION("SPLIT(A16,""."")"),"Дар Заволжья")</f>
        <v>Дар Заволжья</v>
      </c>
      <c r="J16" s="6" t="str">
        <f>IFERROR(__xludf.DUMMYFUNCTION("""COMPUTED_VALUE""")," Среднеранний сорт, сроки созревания 110-112 дней, куст низкий, компактный")</f>
        <v> Среднеранний сорт, сроки созревания 110-112 дней, куст низкий, компактный</v>
      </c>
      <c r="K16" s="6" t="str">
        <f>IFERROR(__xludf.DUMMYFUNCTION("""COMPUTED_VALUE""")," Плоды круглые, красные со слабо выраженным кончиком")</f>
        <v> Плоды круглые, красные со слабо выраженным кончиком</v>
      </c>
      <c r="L16" s="6" t="str">
        <f>IFERROR(__xludf.DUMMYFUNCTION("""COMPUTED_VALUE""")," Дружное созревание и высокая транспортабельность отличают сорт")</f>
        <v> Дружное созревание и высокая транспортабельность отличают сорт</v>
      </c>
      <c r="M16" s="6" t="str">
        <f>IFERROR(__xludf.DUMMYFUNCTION("""COMPUTED_VALUE""")," Употребляется в свежем виде и во всех видах переработок")</f>
        <v> Употребляется в свежем виде и во всех видах переработок</v>
      </c>
      <c r="N16" s="6" t="str">
        <f>IFERROR(__xludf.DUMMYFUNCTION("""COMPUTED_VALUE""")," Сорт очень продуктивен")</f>
        <v> Сорт очень продуктивен</v>
      </c>
    </row>
    <row r="17">
      <c r="A17" s="12" t="s">
        <v>2829</v>
      </c>
      <c r="I17" s="55">
        <f>IFERROR(__xludf.DUMMYFUNCTION("SPLIT(A17,""."")"),59.0)</f>
        <v>59</v>
      </c>
      <c r="J17" s="6" t="str">
        <f>IFERROR(__xludf.DUMMYFUNCTION("""COMPUTED_VALUE"""),"Джина")</f>
        <v>Джина</v>
      </c>
      <c r="K17" s="6" t="str">
        <f>IFERROR(__xludf.DUMMYFUNCTION("""COMPUTED_VALUE""")," Среднеспелый очень урожайный сорт рекомендуется для выращивания в открытом ��рунте как рассадным, так и без рассадным способом")</f>
        <v> Среднеспелый очень урожайный сорт рекомендуется для выращивания в открытом ��рунте как рассадным, так и без рассадным способом</v>
      </c>
      <c r="L17" s="6" t="str">
        <f>IFERROR(__xludf.DUMMYFUNCTION("""COMPUTED_VALUE""")," Устойчив к заболеваниям")</f>
        <v> Устойчив к заболеваниям</v>
      </c>
      <c r="M17" s="6" t="str">
        <f>IFERROR(__xludf.DUMMYFUNCTION("""COMPUTED_VALUE"""),"Плоды круглые красные массой до 200гр")</f>
        <v>Плоды круглые красные массой до 200гр</v>
      </c>
      <c r="N17" s="6" t="str">
        <f>IFERROR(__xludf.DUMMYFUNCTION("""COMPUTED_VALUE""")," Пригодны для всех видов переработки  и вкусные в свежем виде")</f>
        <v> Пригодны для всех видов переработки  и вкусные в свежем виде</v>
      </c>
    </row>
    <row r="18">
      <c r="A18" s="11" t="s">
        <v>273</v>
      </c>
      <c r="I18" s="55" t="str">
        <f>IFERROR(__xludf.DUMMYFUNCTION("SPLIT(A18,""."")"),"Дубок")</f>
        <v>Дубок</v>
      </c>
      <c r="J18" s="6" t="str">
        <f>IFERROR(__xludf.DUMMYFUNCTION("""COMPUTED_VALUE""")," Раннеспелый сорт (90-95)дней")</f>
        <v> Раннеспелый сорт (90-95)дней</v>
      </c>
      <c r="K18" s="6" t="str">
        <f>IFERROR(__xludf.DUMMYFUNCTION("""COMPUTED_VALUE""")," Куст компактный 40-50см высотой")</f>
        <v> Куст компактный 40-50см высотой</v>
      </c>
      <c r="L18" s="6" t="str">
        <f>IFERROR(__xludf.DUMMYFUNCTION("""COMPUTED_VALUE""")," Плоды красного цвета мякоть сочная, плотная ,сладкая массой 120гр")</f>
        <v> Плоды красного цвета мякоть сочная, плотная ,сладкая массой 120гр</v>
      </c>
      <c r="M18" s="6" t="str">
        <f>IFERROR(__xludf.DUMMYFUNCTION("""COMPUTED_VALUE"""),"Устойчив к фитофторозу Урожайность7кг см/2")</f>
        <v>Устойчив к фитофторозу Урожайность7кг см/2</v>
      </c>
    </row>
    <row r="19">
      <c r="A19" s="11" t="s">
        <v>278</v>
      </c>
      <c r="I19" s="55" t="str">
        <f>IFERROR(__xludf.DUMMYFUNCTION("SPLIT(A19,""."")"),"Эфемер F1")</f>
        <v>Эфемер F1</v>
      </c>
      <c r="J19" s="6" t="str">
        <f>IFERROR(__xludf.DUMMYFUNCTION("""COMPUTED_VALUE""")," Раннеспелый детерминантный гибрид, максимум высота 70см")</f>
        <v> Раннеспелый детерминантный гибрид, максимум высота 70см</v>
      </c>
      <c r="K19" s="6" t="str">
        <f>IFERROR(__xludf.DUMMYFUNCTION("""COMPUTED_VALUE""")," Плоды не крупные , но очень вкусные универсальные в использовании")</f>
        <v> Плоды не крупные , но очень вкусные универсальные в использовании</v>
      </c>
      <c r="L19" s="6" t="str">
        <f>IFERROR(__xludf.DUMMYFUNCTION("""COMPUTED_VALUE""")," Есть возможность получить два урожая за сезон  благодаря хорошей всхожести семян")</f>
        <v> Есть возможность получить два урожая за сезон  благодаря хорошей всхожести семян</v>
      </c>
    </row>
    <row r="20">
      <c r="A20" s="14" t="s">
        <v>282</v>
      </c>
      <c r="I20" s="55" t="str">
        <f>IFERROR(__xludf.DUMMYFUNCTION("SPLIT(A20,""."")"),"Иришка")</f>
        <v>Иришка</v>
      </c>
      <c r="J20" s="6" t="str">
        <f>IFERROR(__xludf.DUMMYFUNCTION("""COMPUTED_VALUE"""),"Ультраранний высокоурожайный сорт с дружным дозреванием плодов")</f>
        <v>Ультраранний высокоурожайный сорт с дружным дозреванием плодов</v>
      </c>
      <c r="K20" s="6" t="str">
        <f>IFERROR(__xludf.DUMMYFUNCTION("""COMPUTED_VALUE""")," Вегетационный
период от всходов до начала созревания- 87- 92 дня")</f>
        <v> Вегетационный
период от всходов до начала созревания- 87- 92 дня</v>
      </c>
      <c r="L20" s="6" t="str">
        <f>IFERROR(__xludf.DUMMYFUNCTION("""COMPUTED_VALUE""")," Плоды ярко красного цвета, без
зеленого пятна у основания, овальной формы, гладкие,средним весом 20- 25 грамм")</f>
        <v> Плоды ярко красного цвета, без
зеленого пятна у основания, овальной формы, гладкие,средним весом 20- 25 грамм</v>
      </c>
      <c r="M20" s="6" t="str">
        <f>IFERROR(__xludf.DUMMYFUNCTION("""COMPUTED_VALUE""")," Сорт характеризируется устойчивостью к фитофторозу")</f>
        <v> Сорт характеризируется устойчивостью к фитофторозу</v>
      </c>
      <c r="N20" s="6" t="str">
        <f>IFERROR(__xludf.DUMMYFUNCTION("""COMPUTED_VALUE""")," Используют в свежем виде и для
переработки")</f>
        <v> Используют в свежем виде и для
переработки</v>
      </c>
    </row>
    <row r="21">
      <c r="A21" s="15" t="s">
        <v>2830</v>
      </c>
      <c r="I21" s="55" t="str">
        <f>IFERROR(__xludf.DUMMYFUNCTION("SPLIT(A21,""."")"),"Катюша F /1")</f>
        <v>Катюша F /1</v>
      </c>
      <c r="J21" s="6" t="str">
        <f>IFERROR(__xludf.DUMMYFUNCTION("""COMPUTED_VALUE""")," Ультраскороспелый гибрид для открытого грунта  весенних пленочных теплиц")</f>
        <v> Ультраскороспелый гибрид для открытого грунта  весенних пленочных теплиц</v>
      </c>
      <c r="K21" s="6" t="str">
        <f>IFERROR(__xludf.DUMMYFUNCTION("""COMPUTED_VALUE"""),"Созревание плодов через 80 дней после появления всходов с дружной отдачей урожая")</f>
        <v>Созревание плодов через 80 дней после появления всходов с дружной отдачей урожая</v>
      </c>
      <c r="L21" s="6" t="str">
        <f>IFERROR(__xludf.DUMMYFUNCTION("""COMPUTED_VALUE"""),"
Растение детерминантное, высотой 70-80 см")</f>
        <v>
Растение детерминантное, высотой 70-80 см</v>
      </c>
      <c r="M21" s="6" t="str">
        <f>IFERROR(__xludf.DUMMYFUNCTION("""COMPUTED_VALUE""")," Соцветие простое с 5-6 плодами, массой 100-110 г")</f>
        <v> Соцветие простое с 5-6 плодами, массой 100-110 г</v>
      </c>
      <c r="N21" s="6" t="str">
        <f>IFERROR(__xludf.DUMMYFUNCTION("""COMPUTED_VALUE""")," Окраска незрелого плода – белая, зрелого – ярко-красная без зеленого пятна у
плодоножки")</f>
        <v> Окраска незрелого плода – белая, зрелого – ярко-красная без зеленого пятна у
плодоножки</v>
      </c>
      <c r="O21" s="6" t="str">
        <f>IFERROR(__xludf.DUMMYFUNCTION("""COMPUTED_VALUE""")," Первое соцветие закладывается над 5-6 листом")</f>
        <v> Первое соцветие закладывается над 5-6 листом</v>
      </c>
      <c r="P21" s="6" t="str">
        <f>IFERROR(__xludf.DUMMYFUNCTION("""COMPUTED_VALUE""")," Плоды плоско-округлые,
плотные, транспортабельные")</f>
        <v> Плоды плоско-округлые,
плотные, транспортабельные</v>
      </c>
    </row>
    <row r="22">
      <c r="A22" s="14" t="s">
        <v>291</v>
      </c>
      <c r="I22" s="55" t="str">
        <f>IFERROR(__xludf.DUMMYFUNCTION("SPLIT(A22,""."")"),"Кибиц")</f>
        <v>Кибиц</v>
      </c>
      <c r="J22" s="6" t="str">
        <f>IFERROR(__xludf.DUMMYFUNCTION("""COMPUTED_VALUE"""),"Сверхранний сорт, от высадки до сбора проходит 68 дней")</f>
        <v>Сверхранний сорт, от высадки до сбора проходит 68 дней</v>
      </c>
      <c r="K22" s="6" t="str">
        <f>IFERROR(__xludf.DUMMYFUNCTION("""COMPUTED_VALUE""")," Растение карликовое с
вытянутыми стеблями")</f>
        <v> Растение карликовое с
вытянутыми стеблями</v>
      </c>
      <c r="L22" s="6" t="str">
        <f>IFERROR(__xludf.DUMMYFUNCTION("""COMPUTED_VALUE""")," Плоды красные, удлиненные, массой60г")</f>
        <v> Плоды красные, удлиненные, массой60г</v>
      </c>
      <c r="M22" s="6" t="str">
        <f>IFERROR(__xludf.DUMMYFUNCTION("""COMPUTED_VALUE"""),"Рекомендуются для выращивания в открытом грунте")</f>
        <v>Рекомендуются для выращивания в открытом грунте</v>
      </c>
      <c r="N22" s="6" t="str">
        <f>IFERROR(__xludf.DUMMYFUNCTION("""COMPUTED_VALUE""")," Используют в свежем виде, для переработки, цельноплодного консервирования")</f>
        <v> Используют в свежем виде, для переработки, цельноплодного консервирования</v>
      </c>
      <c r="O22" s="6" t="str">
        <f>IFERROR(__xludf.DUMMYFUNCTION("""COMPUTED_VALUE""")," На рассаду высевают в начале марта")</f>
        <v> На рассаду высевают в начале марта</v>
      </c>
    </row>
    <row r="23">
      <c r="A23" s="14" t="s">
        <v>295</v>
      </c>
      <c r="I23" s="55" t="str">
        <f>IFERROR(__xludf.DUMMYFUNCTION("SPLIT(A23,""."")"),"Колхозный")</f>
        <v>Колхозный</v>
      </c>
      <c r="J23" s="6" t="str">
        <f>IFERROR(__xludf.DUMMYFUNCTION("""COMPUTED_VALUE""")," Популярный сорт среднего срока созревания")</f>
        <v> Популярный сорт среднего срока созревания</v>
      </c>
      <c r="K23" s="6" t="str">
        <f>IFERROR(__xludf.DUMMYFUNCTION("""COMPUTED_VALUE""")," Растение низкорослое, полураскидистое")</f>
        <v> Растение низкорослое, полураскидистое</v>
      </c>
      <c r="L23" s="6" t="str">
        <f>IFERROR(__xludf.DUMMYFUNCTION("""COMPUTED_VALUE"""),"
Плоды круглые, ровные, красные, массой 110-120г")</f>
        <v>
Плоды круглые, ровные, красные, массой 110-120г</v>
      </c>
      <c r="M23" s="6" t="str">
        <f>IFERROR(__xludf.DUMMYFUNCTION("""COMPUTED_VALUE""")," Вкусовые качества хорошие,урожайность высокая")</f>
        <v> Вкусовые качества хорошие,урожайность высокая</v>
      </c>
      <c r="N23" s="6" t="str">
        <f>IFERROR(__xludf.DUMMYFUNCTION("""COMPUTED_VALUE""")," Пригоден для употребления в свежем виде, консервирования и для переработки")</f>
        <v> Пригоден для употребления в свежем виде, консервирования и для переработки</v>
      </c>
    </row>
    <row r="24">
      <c r="A24" s="14" t="s">
        <v>298</v>
      </c>
      <c r="I24" s="55" t="str">
        <f>IFERROR(__xludf.DUMMYFUNCTION("SPLIT(A24,""."")"),"Кременчуцький")</f>
        <v>Кременчуцький</v>
      </c>
      <c r="J24" s="6" t="str">
        <f>IFERROR(__xludf.DUMMYFUNCTION("""COMPUTED_VALUE"""),"Раннеспелый, универсальный, до созревания 95-105 дней")</f>
        <v>Раннеспелый, универсальный, до созревания 95-105 дней</v>
      </c>
      <c r="K24" s="6" t="str">
        <f>IFERROR(__xludf.DUMMYFUNCTION("""COMPUTED_VALUE""")," Куст компактный низкий")</f>
        <v> Куст компактный низкий</v>
      </c>
      <c r="L24" s="6" t="str">
        <f>IFERROR(__xludf.DUMMYFUNCTION("""COMPUTED_VALUE""")," Плод
плоскоокруглый, красный, массой 114-132г, камер 5-10")</f>
        <v> Плод
плоскоокруглый, красный, массой 114-132г, камер 5-10</v>
      </c>
      <c r="M24" s="6" t="str">
        <f>IFERROR(__xludf.DUMMYFUNCTION("""COMPUTED_VALUE""")," Вкус отличный")</f>
        <v> Вкус отличный</v>
      </c>
      <c r="N24" s="6" t="str">
        <f>IFERROR(__xludf.DUMMYFUNCTION("""COMPUTED_VALUE"""),"
Транспортабельность высокая")</f>
        <v>
Транспортабельность высокая</v>
      </c>
      <c r="O24" s="6" t="str">
        <f>IFERROR(__xludf.DUMMYFUNCTION("""COMPUTED_VALUE""")," Лежкий, относительно устойчив к болезням")</f>
        <v> Лежкий, относительно устойчив к болезням</v>
      </c>
      <c r="P24" s="6" t="str">
        <f>IFERROR(__xludf.DUMMYFUNCTION("""COMPUTED_VALUE""")," На рассаду высевают в начале марта")</f>
        <v> На рассаду высевают в начале марта</v>
      </c>
      <c r="Q24" s="6" t="str">
        <f>IFERROR(__xludf.DUMMYFUNCTION("""COMPUTED_VALUE""")," На постоянное место высаживают во второй декаде мая ")</f>
        <v> На постоянное место высаживают во второй декаде мая </v>
      </c>
    </row>
    <row r="25">
      <c r="A25" s="14" t="s">
        <v>302</v>
      </c>
      <c r="I25" s="55" t="str">
        <f>IFERROR(__xludf.DUMMYFUNCTION("SPLIT(A25,""."")"),"Лагидный")</f>
        <v>Лагидный</v>
      </c>
      <c r="J25" s="6" t="str">
        <f>IFERROR(__xludf.DUMMYFUNCTION("""COMPUTED_VALUE""")," Раннеспелый сорт открытого грунта")</f>
        <v> Раннеспелый сорт открытого грунта</v>
      </c>
      <c r="K25" s="6" t="str">
        <f>IFERROR(__xludf.DUMMYFUNCTION("""COMPUTED_VALUE""")," Вегетационный период 103-120 дней")</f>
        <v> Вегетационный период 103-120 дней</v>
      </c>
      <c r="L25" s="6" t="str">
        <f>IFERROR(__xludf.DUMMYFUNCTION("""COMPUTED_VALUE""")," Растение
прямостоячее, высотой 50 см, средне ветвистое")</f>
        <v> Растение
прямостоячее, высотой 50 см, средне ветвистое</v>
      </c>
      <c r="M25" s="6" t="str">
        <f>IFERROR(__xludf.DUMMYFUNCTION("""COMPUTED_VALUE""")," Плод сливо видный, гладкий, красный, массой 62-77 г")</f>
        <v> Плод сливо видный, гладкий, красный, массой 62-77 г</v>
      </c>
      <c r="N25" s="6" t="str">
        <f>IFERROR(__xludf.DUMMYFUNCTION("""COMPUTED_VALUE""")," Ценится за высокую урожайность, дружное созревание плодов, отличные вкусовые качества, пригодность к консервированию и засолу")</f>
        <v> Ценится за высокую урожайность, дружное созревание плодов, отличные вкусовые качества, пригодность к консервированию и засолу</v>
      </c>
      <c r="O25" s="6" t="str">
        <f>IFERROR(__xludf.DUMMYFUNCTION("""COMPUTED_VALUE""")," Устойчив к бактериальной пятнистости, септориозу")</f>
        <v> Устойчив к бактериальной пятнистости, септориозу</v>
      </c>
      <c r="P25" s="6" t="str">
        <f>IFERROR(__xludf.DUMMYFUNCTION("""COMPUTED_VALUE""")," Пригоден для выращивания по интенсивным технологиям")</f>
        <v> Пригоден для выращивания по интенсивным технологиям</v>
      </c>
    </row>
    <row r="26">
      <c r="A26" s="14" t="s">
        <v>306</v>
      </c>
      <c r="I26" s="55" t="str">
        <f>IFERROR(__xludf.DUMMYFUNCTION("SPLIT(A26,""."")"),"Линда")</f>
        <v>Линда</v>
      </c>
      <c r="J26" s="6" t="str">
        <f>IFERROR(__xludf.DUMMYFUNCTION("""COMPUTED_VALUE"""),"Низкорослый сорт, предназначен для выращивания в горшках и балконных ящиках")</f>
        <v>Низкорослый сорт, предназначен для выращивания в горшках и балконных ящиках</v>
      </c>
      <c r="K26" s="6" t="str">
        <f>IFERROR(__xludf.DUMMYFUNCTION("""COMPUTED_VALUE""")," Также
возможно выращивание в открытом грунте")</f>
        <v> Также
возможно выращивание в открытом грунте</v>
      </c>
      <c r="L26" s="6" t="str">
        <f>IFERROR(__xludf.DUMMYFUNCTION("""COMPUTED_VALUE""")," Куст высотой 25 см, много пасынков с большим
количеством плодов")</f>
        <v> Куст высотой 25 см, много пасынков с большим
количеством плодов</v>
      </c>
      <c r="M26" s="6" t="str">
        <f>IFERROR(__xludf.DUMMYFUNCTION("""COMPUTED_VALUE""")," Плоды массой 30-40 г, приятные на вкус")</f>
        <v> Плоды массой 30-40 г, приятные на вкус</v>
      </c>
      <c r="N26" s="6" t="str">
        <f>IFERROR(__xludf.DUMMYFUNCTION("""COMPUTED_VALUE""")," Универсального использования")</f>
        <v> Универсального использования</v>
      </c>
      <c r="O26" s="6" t="str">
        <f>IFERROR(__xludf.DUMMYFUNCTION("""COMPUTED_VALUE"""),"
Культура тепло-и светолюбивая")</f>
        <v>
Культура тепло-и светолюбивая</v>
      </c>
      <c r="P26" s="6" t="str">
        <f>IFERROR(__xludf.DUMMYFUNCTION("""COMPUTED_VALUE""")," Выращивать рассадой или посевом семян в грунт")</f>
        <v> Выращивать рассадой или посевом семян в грунт</v>
      </c>
    </row>
    <row r="27">
      <c r="A27" s="11" t="s">
        <v>310</v>
      </c>
      <c r="I27" s="55" t="str">
        <f>IFERROR(__xludf.DUMMYFUNCTION("SPLIT(A27,""."")"),"Любимый")</f>
        <v>Любимый</v>
      </c>
      <c r="J27" s="6" t="str">
        <f>IFERROR(__xludf.DUMMYFUNCTION("""COMPUTED_VALUE"""),"Среднеспелый сорт для открытого грунта")</f>
        <v>Среднеспелый сорт для открытого грунта</v>
      </c>
      <c r="K27" s="6" t="str">
        <f>IFERROR(__xludf.DUMMYFUNCTION("""COMPUTED_VALUE""")," От всходов до начала созревания- 100- 112 дней")</f>
        <v> От всходов до начала созревания- 100- 112 дней</v>
      </c>
      <c r="L27" s="6" t="str">
        <f>IFERROR(__xludf.DUMMYFUNCTION("""COMPUTED_VALUE""")," Растение детерминантное, высотой 75 см")</f>
        <v> Растение детерминантное, высотой 75 см</v>
      </c>
      <c r="M27" s="6" t="str">
        <f>IFERROR(__xludf.DUMMYFUNCTION("""COMPUTED_VALUE""")," Плод красный, округлый или плоскоокруглый, мясистый, сладкий, массой 115- 230 грамм, с высоким содержанием сухих веществ")</f>
        <v> Плод красный, округлый или плоскоокруглый, мясистый, сладкий, массой 115- 230 грамм, с высоким содержанием сухих веществ</v>
      </c>
      <c r="N27" s="6" t="str">
        <f>IFERROR(__xludf.DUMMYFUNCTION("""COMPUTED_VALUE""")," Универсального использования")</f>
        <v> Универсального использования</v>
      </c>
      <c r="O27" s="6" t="str">
        <f>IFERROR(__xludf.DUMMYFUNCTION("""COMPUTED_VALUE""")," Предназначен для употребления в свежемвиде и переработки на томато- продукты")</f>
        <v> Предназначен для употребления в свежемвиде и переработки на томато- продукты</v>
      </c>
    </row>
    <row r="28">
      <c r="A28" s="11" t="s">
        <v>313</v>
      </c>
      <c r="I28" s="55" t="str">
        <f>IFERROR(__xludf.DUMMYFUNCTION("SPLIT(A28,""."")"),"Ляна")</f>
        <v>Ляна</v>
      </c>
      <c r="J28" s="6" t="str">
        <f>IFERROR(__xludf.DUMMYFUNCTION("""COMPUTED_VALUE"""),"Сорт очень ранний, дружно созревающий, высокоурожайный")</f>
        <v>Сорт очень ранний, дружно созревающий, высокоурожайный</v>
      </c>
      <c r="K28" s="6" t="str">
        <f>IFERROR(__xludf.DUMMYFUNCTION("""COMPUTED_VALUE""")," Плодоношение начинается через 87-93 дня после появления всходов")</f>
        <v> Плодоношение начинается через 87-93 дня после появления всходов</v>
      </c>
      <c r="L28" s="6" t="str">
        <f>IFERROR(__xludf.DUMMYFUNCTION("""COMPUTED_VALUE""")," Растение детерминантное")</f>
        <v> Растение детерминантное</v>
      </c>
      <c r="M28" s="6" t="str">
        <f>IFERROR(__xludf.DUMMYFUNCTION("""COMPUTED_VALUE""")," Плоды округлые, плотные, красные")</f>
        <v> Плоды округлые, плотные, красные</v>
      </c>
      <c r="N28" s="6" t="str">
        <f>IFERROR(__xludf.DUMMYFUNCTION("""COMPUTED_VALUE""")," Масса плода 80-100 г")</f>
        <v> Масса плода 80-100 г</v>
      </c>
      <c r="O28" s="6" t="str">
        <f>IFERROR(__xludf.DUMMYFUNCTION("""COMPUTED_VALUE""")," Вкусовые качества хорошие")</f>
        <v> Вкусовые качества хорошие</v>
      </c>
      <c r="P28" s="6" t="str">
        <f>IFERROR(__xludf.DUMMYFUNCTION("""COMPUTED_VALUE""")," Период уборки растянутый")</f>
        <v> Период уборки растянутый</v>
      </c>
      <c r="Q28" s="6" t="str">
        <f>IFERROR(__xludf.DUMMYFUNCTION("""COMPUTED_VALUE""")," Урожайность в открытом грунте 4,5-6 кг/кв")</f>
        <v> Урожайность в открытом грунте 4,5-6 кг/кв</v>
      </c>
      <c r="R28" s="6" t="str">
        <f>IFERROR(__xludf.DUMMYFUNCTION("""COMPUTED_VALUE"""),"м")</f>
        <v>м</v>
      </c>
      <c r="S28" s="6" t="str">
        <f>IFERROR(__xludf.DUMMYFUNCTION("""COMPUTED_VALUE""")," Плоды пригодны для  транспортировки на дальние расстояния")</f>
        <v> Плоды пригодны для  транспортировки на дальние расстояния</v>
      </c>
    </row>
    <row r="29">
      <c r="A29" s="56" t="s">
        <v>2831</v>
      </c>
      <c r="I29" s="55">
        <f>IFERROR(__xludf.DUMMYFUNCTION("SPLIT(A29,""."")"),75.0)</f>
        <v>75</v>
      </c>
      <c r="J29" s="6" t="str">
        <f>IFERROR(__xludf.DUMMYFUNCTION("""COMPUTED_VALUE""")," Чайка")</f>
        <v> Чайка</v>
      </c>
      <c r="K29" s="6" t="str">
        <f>IFERROR(__xludf.DUMMYFUNCTION("""COMPUTED_VALUE"""),"Среднеспелый сорт")</f>
        <v>Среднеспелый сорт</v>
      </c>
      <c r="L29" s="6" t="str">
        <f>IFERROR(__xludf.DUMMYFUNCTION("""COMPUTED_VALUE""")," Растение низкорослое, компактное")</f>
        <v> Растение низкорослое, компактное</v>
      </c>
      <c r="M29" s="6" t="str">
        <f>IFERROR(__xludf.DUMMYFUNCTION("""COMPUTED_VALUE""")," Листья прочные, темно-зелёные,
сильно гофрированные")</f>
        <v> Листья прочные, темно-зелёные,
сильно гофрированные</v>
      </c>
      <c r="N29" s="6" t="str">
        <f>IFERROR(__xludf.DUMMYFUNCTION("""COMPUTED_VALUE""")," Плоды округлые, ровные, гладкие, без зелёного пятна возле
плодоножки, массой 70-90 г")</f>
        <v> Плоды округлые, ровные, гладкие, без зелёного пятна возле
плодоножки, массой 70-90 г</v>
      </c>
      <c r="O29" s="6" t="str">
        <f>IFERROR(__xludf.DUMMYFUNCTION("""COMPUTED_VALUE""")," Плоды отличаются , устойчивостью к растрес-киванию, имеют очень привлекательный внешний вид и хорошие вкусовые качества")</f>
        <v> Плоды отличаются , устойчивостью к растрес-киванию, имеют очень привлекательный внешний вид и хорошие вкусовые качества</v>
      </c>
    </row>
    <row r="30">
      <c r="A30" s="14" t="s">
        <v>320</v>
      </c>
      <c r="I30" s="55" t="str">
        <f>IFERROR(__xludf.DUMMYFUNCTION("SPLIT(A30,""."")"),"Мобил")</f>
        <v>Мобил</v>
      </c>
      <c r="J30" s="6" t="str">
        <f>IFERROR(__xludf.DUMMYFUNCTION("""COMPUTED_VALUE"""),"Среднеранний сорт с вегетационным периодом 115-120 дней, высокоурожайный")</f>
        <v>Среднеранний сорт с вегетационным периодом 115-120 дней, высокоурожайный</v>
      </c>
      <c r="K30" s="6" t="str">
        <f>IFERROR(__xludf.DUMMYFUNCTION("""COMPUTED_VALUE""")," Куст
компактный, среднерослый")</f>
        <v> Куст
компактный, среднерослый</v>
      </c>
      <c r="L30" s="6" t="str">
        <f>IFERROR(__xludf.DUMMYFUNCTION("""COMPUTED_VALUE""")," Плоды  массой 90-120 г")</f>
        <v> Плоды  массой 90-120 г</v>
      </c>
      <c r="M30" s="6" t="str">
        <f>IFERROR(__xludf.DUMMYFUNCTION("""COMPUTED_VALUE""")," Вкусовые качества высокие,транспортабельность хорошая")</f>
        <v> Вкусовые качества высокие,транспортабельность хорошая</v>
      </c>
      <c r="N30" s="6" t="str">
        <f>IFERROR(__xludf.DUMMYFUNCTION("""COMPUTED_VALUE""")," Обладает устойчивость к болезням")</f>
        <v> Обладает устойчивость к болезням</v>
      </c>
      <c r="O30" s="6" t="str">
        <f>IFERROR(__xludf.DUMMYFUNCTION("""COMPUTED_VALUE""")," Используют для
потребления в свежем виде,изготовления томатного сока, пасты, пюре")</f>
        <v> Используют для
потребления в свежем виде,изготовления томатного сока, пасты, пюре</v>
      </c>
    </row>
    <row r="31">
      <c r="A31" s="11" t="s">
        <v>324</v>
      </c>
      <c r="I31" s="55" t="str">
        <f>IFERROR(__xludf.DUMMYFUNCTION("SPLIT(A31,""."")"),"Новинка Приднестровья")</f>
        <v>Новинка Приднестровья</v>
      </c>
      <c r="J31" s="6" t="str">
        <f>IFERROR(__xludf.DUMMYFUNCTION("""COMPUTED_VALUE"""),"Средне - спелый универсальный сорт открытого грунта ")</f>
        <v>Средне - спелый универсальный сорт открытого грунта </v>
      </c>
      <c r="K31" s="6" t="str">
        <f>IFERROR(__xludf.DUMMYFUNCTION("""COMPUTED_VALUE""")," От всходов до первого сбора 120-135 дней (период плодоношения 55-68 дней)")</f>
        <v> От всходов до первого сбора 120-135 дней (период плодоношения 55-68 дней)</v>
      </c>
      <c r="L31" s="6" t="str">
        <f>IFERROR(__xludf.DUMMYFUNCTION("""COMPUTED_VALUE""")," Урожайность высокая, с дружным созреванием урожая")</f>
        <v> Урожайность высокая, с дружным созреванием урожая</v>
      </c>
      <c r="M31" s="6" t="str">
        <f>IFERROR(__xludf.DUMMYFUNCTION("""COMPUTED_VALUE""")," Растение компактное,средне ветвистое, высотой 40-80см")</f>
        <v> Растение компактное,средне ветвистое, высотой 40-80см</v>
      </c>
      <c r="N31" s="6" t="str">
        <f>IFERROR(__xludf.DUMMYFUNCTION("""COMPUTED_VALUE""")," Плод удлиненно-сливовидный, мясистый, гладкий с гранями, красный, 2-3 гнездный, массой 60 г, отличного вкуса")</f>
        <v> Плод удлиненно-сливовидный, мясистый, гладкий с гранями, красный, 2-3 гнездный, массой 60 г, отличного вкуса</v>
      </c>
    </row>
    <row r="32">
      <c r="A32" s="14" t="s">
        <v>328</v>
      </c>
      <c r="I32" s="55" t="str">
        <f>IFERROR(__xludf.DUMMYFUNCTION("SPLIT(A32,""."")"),"Новичок")</f>
        <v>Новичок</v>
      </c>
      <c r="J32" s="6" t="str">
        <f>IFERROR(__xludf.DUMMYFUNCTION("""COMPUTED_VALUE"""),"Среднеранний сорт универсальный для открытого грунта  используется в свежем виде,
цельно плодного консервирования и приготовления томато- продуктов")</f>
        <v>Среднеранний сорт универсальный для открытого грунта  используется в свежем виде,
цельно плодного консервирования и приготовления томато- продуктов</v>
      </c>
      <c r="K32" s="6" t="str">
        <f>IFERROR(__xludf.DUMMYFUNCTION("""COMPUTED_VALUE""")," От всходов до созревания 110-127 дней")</f>
        <v> От всходов до созревания 110-127 дней</v>
      </c>
      <c r="L32" s="6" t="str">
        <f>IFERROR(__xludf.DUMMYFUNCTION("""COMPUTED_VALUE""")," Плоды дружно созревают")</f>
        <v> Плоды дружно созревают</v>
      </c>
      <c r="M32" s="6" t="str">
        <f>IFERROR(__xludf.DUMMYFUNCTION("""COMPUTED_VALUE"""),"  В кисти 5-6плодов")</f>
        <v>  В кисти 5-6плодов</v>
      </c>
      <c r="N32" s="6" t="str">
        <f>IFERROR(__xludf.DUMMYFUNCTION("""COMPUTED_VALUE""")," Плод сливо видный, массой 70-150 г, отличаются высокими вкусовыми и товарными качествами")</f>
        <v> Плод сливо видный, массой 70-150 г, отличаются высокими вкусовыми и товарными качествами</v>
      </c>
    </row>
    <row r="33">
      <c r="A33" s="11" t="s">
        <v>332</v>
      </c>
      <c r="I33" s="55" t="str">
        <f>IFERROR(__xludf.DUMMYFUNCTION("SPLIT(A33,""."")"),"Нота")</f>
        <v>Нота</v>
      </c>
      <c r="J33" s="6" t="str">
        <f>IFERROR(__xludf.DUMMYFUNCTION("""COMPUTED_VALUE"""),"Сорт скороспелый, дружное созревание плодов начинается через 103-106 дней после появления всходов")</f>
        <v>Сорт скороспелый, дружное созревание плодов начинается через 103-106 дней после появления всходов</v>
      </c>
      <c r="K33" s="6" t="str">
        <f>IFERROR(__xludf.DUMMYFUNCTION("""COMPUTED_VALUE"""),"Растение низкорослое")</f>
        <v>Растение низкорослое</v>
      </c>
      <c r="L33" s="6" t="str">
        <f>IFERROR(__xludf.DUMMYFUNCTION("""COMPUTED_VALUE""")," Плоды округлые, плотные, гладкие,красные, массой 95-110 г")</f>
        <v> Плоды округлые, плотные, гладкие,красные, массой 95-110 г</v>
      </c>
      <c r="M33" s="6" t="str">
        <f>IFERROR(__xludf.DUMMYFUNCTION("""COMPUTED_VALUE""")," Вкусовые качества хорошие")</f>
        <v> Вкусовые качества хорошие</v>
      </c>
      <c r="N33" s="6" t="str">
        <f>IFERROR(__xludf.DUMMYFUNCTION("""COMPUTED_VALUE"""),"Транспортабельные")</f>
        <v>Транспортабельные</v>
      </c>
      <c r="O33" s="6" t="str">
        <f>IFERROR(__xludf.DUMMYFUNCTION("""COMPUTED_VALUE""")," Ценится за хорошую завязываемость плодов при неблагоприятных условиях")</f>
        <v> Ценится за хорошую завязываемость плодов при неблагоприятных условиях</v>
      </c>
    </row>
    <row r="34">
      <c r="A34" s="14" t="s">
        <v>336</v>
      </c>
      <c r="I34" s="55" t="str">
        <f>IFERROR(__xludf.DUMMYFUNCTION("SPLIT(A34,""."")"),"Ранний 83")</f>
        <v>Ранний 83</v>
      </c>
      <c r="J34" s="6" t="str">
        <f>IFERROR(__xludf.DUMMYFUNCTION("""COMPUTED_VALUE"""),"Скороспелый сорт открытого грунта для использования в свежем виде и переработки")</f>
        <v>Скороспелый сорт открытого грунта для использования в свежем виде и переработки</v>
      </c>
      <c r="K34" s="6" t="str">
        <f>IFERROR(__xludf.DUMMYFUNCTION("""COMPUTED_VALUE""")," Может
возделываться в весенних пленочных теплицах и укрытиях")</f>
        <v> Может
возделываться в весенних пленочных теплицах и укрытиях</v>
      </c>
      <c r="L34" s="6" t="str">
        <f>IFERROR(__xludf.DUMMYFUNCTION("""COMPUTED_VALUE""")," От всходов до созревания 103-110 дней")</f>
        <v> От всходов до созревания 103-110 дней</v>
      </c>
      <c r="M34" s="6" t="str">
        <f>IFERROR(__xludf.DUMMYFUNCTION("""COMPUTED_VALUE""")," Растение небольшое, компактное")</f>
        <v> Растение небольшое, компактное</v>
      </c>
      <c r="N34" s="6" t="str">
        <f>IFERROR(__xludf.DUMMYFUNCTION("""COMPUTED_VALUE""")," Высотой 35-60 см")</f>
        <v> Высотой 35-60 см</v>
      </c>
      <c r="O34" s="6" t="str">
        <f>IFERROR(__xludf.DUMMYFUNCTION("""COMPUTED_VALUE""")," плод плоско-округлый , гладкий или слаборебристый, красный, массой 90-100 г, хорошего вкуса")</f>
        <v> плод плоско-округлый , гладкий или слаборебристый, красный, массой 90-100 г, хорошего вкуса</v>
      </c>
    </row>
    <row r="35">
      <c r="A35" s="11" t="s">
        <v>340</v>
      </c>
      <c r="I35" s="55" t="str">
        <f>IFERROR(__xludf.DUMMYFUNCTION("SPLIT(A35,""."")"),"Рио-Гранде")</f>
        <v>Рио-Гранде</v>
      </c>
      <c r="J35" s="6" t="str">
        <f>IFERROR(__xludf.DUMMYFUNCTION("""COMPUTED_VALUE""")," Раннеспелый, среднерослый сорт")</f>
        <v> Раннеспелый, среднерослый сорт</v>
      </c>
      <c r="K35" s="6" t="str">
        <f>IFERROR(__xludf.DUMMYFUNCTION("""COMPUTED_VALUE""")," Плоды плотные, красные, удлиненной формы, хороши в лежке, транспортабельные")</f>
        <v> Плоды плотные, красные, удлиненной формы, хороши в лежке, транспортабельные</v>
      </c>
      <c r="L35" s="6" t="str">
        <f>IFERROR(__xludf.DUMMYFUNCTION("""COMPUTED_VALUE""")," Масса 80-100 г")</f>
        <v> Масса 80-100 г</v>
      </c>
      <c r="M35" s="6" t="str">
        <f>IFERROR(__xludf.DUMMYFUNCTION("""COMPUTED_VALUE""")," Пригодны для потребления в свежем виде,консервирования, изготовления томатопродуктов, засолки")</f>
        <v> Пригодны для потребления в свежем виде,консервирования, изготовления томатопродуктов, засолки</v>
      </c>
    </row>
    <row r="36">
      <c r="A36" s="14" t="s">
        <v>344</v>
      </c>
      <c r="I36" s="55" t="str">
        <f>IFERROR(__xludf.DUMMYFUNCTION("SPLIT(A36,""."")"),"Сан-марцано")</f>
        <v>Сан-марцано</v>
      </c>
      <c r="J36" s="6" t="str">
        <f>IFERROR(__xludf.DUMMYFUNCTION("""COMPUTED_VALUE"""),"Среднеранний сорт")</f>
        <v>Среднеранний сорт</v>
      </c>
      <c r="K36" s="6" t="str">
        <f>IFERROR(__xludf.DUMMYFUNCTION("""COMPUTED_VALUE""")," Период вегетации от всходов до технической спелости 110-115 дней")</f>
        <v> Период вегетации от всходов до технической спелости 110-115 дней</v>
      </c>
      <c r="L36" s="6" t="str">
        <f>IFERROR(__xludf.DUMMYFUNCTION("""COMPUTED_VALUE""")," Растение низкорослое, высотой 40-60см")</f>
        <v> Растение низкорослое, высотой 40-60см</v>
      </c>
      <c r="M36" s="6" t="str">
        <f>IFERROR(__xludf.DUMMYFUNCTION("""COMPUTED_VALUE""")," Плоды интенсивно-красного цвета, удлиненно-цилиндрической
формы, мясистые, массой 100-130г, хороших вкусовых качеств")</f>
        <v> Плоды интенсивно-красного цвета, удлиненно-цилиндрической
формы, мясистые, массой 100-130г, хороших вкусовых качеств</v>
      </c>
    </row>
    <row r="37">
      <c r="A37" s="11" t="s">
        <v>348</v>
      </c>
      <c r="I37" s="55" t="str">
        <f>IFERROR(__xludf.DUMMYFUNCTION("SPLIT(A37,""."")"),"Рио- Фуего")</f>
        <v>Рио- Фуего</v>
      </c>
      <c r="J37" s="6" t="str">
        <f>IFERROR(__xludf.DUMMYFUNCTION("""COMPUTED_VALUE"""),"Раннеспелый сорт, от всходов до созревания – 110-115 дней")</f>
        <v>Раннеспелый сорт, от всходов до созревания – 110-115 дней</v>
      </c>
      <c r="K37" s="6" t="str">
        <f>IFERROR(__xludf.DUMMYFUNCTION("""COMPUTED_VALUE""")," Предназначен для выращивания в открытом грунте и в пленочных теплицах")</f>
        <v> Предназначен для выращивания в открытом грунте и в пленочных теплицах</v>
      </c>
      <c r="L37" s="6" t="str">
        <f>IFERROR(__xludf.DUMMYFUNCTION("""COMPUTED_VALUE""")," Плоды овально-округлые,красные, массой 100-110 г, плотные, с высоким содержанием сухих веществ")</f>
        <v> Плоды овально-округлые,красные, массой 100-110 г, плотные, с высоким содержанием сухих веществ</v>
      </c>
      <c r="M37" s="6" t="str">
        <f>IFERROR(__xludf.DUMMYFUNCTION("""COMPUTED_VALUE""")," Устойчив к фузариозу,   альтернариозу, Пригоден для потребления в свежем виде, засолки и консервировании")</f>
        <v> Устойчив к фузариозу,   альтернариозу, Пригоден для потребления в свежем виде, засолки и консервировании</v>
      </c>
    </row>
    <row r="38">
      <c r="A38" s="11" t="s">
        <v>351</v>
      </c>
      <c r="I38" s="55" t="str">
        <f>IFERROR(__xludf.DUMMYFUNCTION("SPLIT(A38,""."")"),"Рома VFN")</f>
        <v>Рома VFN</v>
      </c>
      <c r="J38" s="6" t="str">
        <f>IFERROR(__xludf.DUMMYFUNCTION("""COMPUTED_VALUE""")," Среднеранний детерминантный сорт")</f>
        <v> Среднеранний детерминантный сорт</v>
      </c>
      <c r="K38" s="6" t="str">
        <f>IFERROR(__xludf.DUMMYFUNCTION("""COMPUTED_VALUE""")," Вегетационный период от высадки рассады 75-80 дней")</f>
        <v> Вегетационный период от высадки рассады 75-80 дней</v>
      </c>
      <c r="L38" s="6" t="str">
        <f>IFERROR(__xludf.DUMMYFUNCTION("""COMPUTED_VALUE"""),"Плоды грушевидной формы массой 70 гр")</f>
        <v>Плоды грушевидной формы массой 70 гр</v>
      </c>
      <c r="M38" s="6" t="str">
        <f>IFERROR(__xludf.DUMMYFUNCTION("""COMPUTED_VALUE""")," интенсивно красного цвета,транспортабельные")</f>
        <v> интенсивно красного цвета,транспортабельные</v>
      </c>
      <c r="N38" s="6" t="str">
        <f>IFERROR(__xludf.DUMMYFUNCTION("""COMPUTED_VALUE""")," Вкусовые качества высокие")</f>
        <v> Вкусовые качества высокие</v>
      </c>
    </row>
    <row r="39">
      <c r="A39" s="14" t="s">
        <v>355</v>
      </c>
      <c r="I39" s="55" t="str">
        <f>IFERROR(__xludf.DUMMYFUNCTION("SPLIT(A39,""."")"),"Самый ранний")</f>
        <v>Самый ранний</v>
      </c>
      <c r="J39" s="6" t="str">
        <f>IFERROR(__xludf.DUMMYFUNCTION("""COMPUTED_VALUE"""),"Супер -скороспелый сорт")</f>
        <v>Супер -скороспелый сорт</v>
      </c>
      <c r="K39" s="6" t="str">
        <f>IFERROR(__xludf.DUMMYFUNCTION("""COMPUTED_VALUE""")," Растение высотой до 60 см, сильное, хорошо облиственное")</f>
        <v> Растение высотой до 60 см, сильное, хорошо облиственное</v>
      </c>
      <c r="L39" s="6" t="str">
        <f>IFERROR(__xludf.DUMMYFUNCTION("""COMPUTED_VALUE"""),"
Плоды круглые и плоско-округлые, весом 120-150г, хороших вкусовых качеств, стойкие крастрескиванию")</f>
        <v>
Плоды круглые и плоско-округлые, весом 120-150г, хороших вкусовых качеств, стойкие крастрескиванию</v>
      </c>
      <c r="M39" s="6" t="str">
        <f>IFERROR(__xludf.DUMMYFUNCTION("""COMPUTED_VALUE""")," Сорт также устойчив к пониженным температурам")</f>
        <v> Сорт также устойчив к пониженным температурам</v>
      </c>
      <c r="N39" s="6" t="str">
        <f>IFERROR(__xludf.DUMMYFUNCTION("""COMPUTED_VALUE""")," Рекомендуется для выращивания в открытом грунте и пленочных укрытиях")</f>
        <v> Рекомендуется для выращивания в открытом грунте и пленочных укрытиях</v>
      </c>
    </row>
    <row r="40">
      <c r="A40" s="11" t="s">
        <v>358</v>
      </c>
      <c r="I40" s="55" t="str">
        <f>IFERROR(__xludf.DUMMYFUNCTION("SPLIT(A40,""."")"),"Санька")</f>
        <v>Санька</v>
      </c>
      <c r="J40" s="6" t="str">
        <f>IFERROR(__xludf.DUMMYFUNCTION("""COMPUTED_VALUE"""),"Сорт сверхранний (85 дней), высокоурожайный")</f>
        <v>Сорт сверхранний (85 дней), высокоурожайный</v>
      </c>
      <c r="K40" s="6" t="str">
        <f>IFERROR(__xludf.DUMMYFUNCTION("""COMPUTED_VALUE""")," Плоды красные, плотные, массой 120-150г, без зеленого пятна у плодоножки, отличного вкуса и лежкости")</f>
        <v> Плоды красные, плотные, массой 120-150г, без зеленого пятна у плодоножки, отличного вкуса и лежкости</v>
      </c>
      <c r="L40" s="6" t="str">
        <f>IFERROR(__xludf.DUMMYFUNCTION("""COMPUTED_VALUE""")," Используют в свежем виде, для переработки, цельноплодного консервирования")</f>
        <v> Используют в свежем виде, для переработки, цельноплодного консервирования</v>
      </c>
      <c r="M40" s="6" t="str">
        <f>IFERROR(__xludf.DUMMYFUNCTION("""COMPUTED_VALUE""")," На рассаду высевают в начале марта")</f>
        <v> На рассаду высевают в начале марта</v>
      </c>
      <c r="N40" s="6" t="str">
        <f>IFERROR(__xludf.DUMMYFUNCTION("""COMPUTED_VALUE""")," На постоянное место высаживают во  второй декаде мая")</f>
        <v> На постоянное место высаживают во  второй декаде мая</v>
      </c>
    </row>
    <row r="41">
      <c r="A41" s="11" t="s">
        <v>360</v>
      </c>
      <c r="I41" s="55" t="str">
        <f>IFERROR(__xludf.DUMMYFUNCTION("SPLIT(A41,""."")"),"Санька")</f>
        <v>Санька</v>
      </c>
      <c r="J41" s="6" t="str">
        <f>IFERROR(__xludf.DUMMYFUNCTION("""COMPUTED_VALUE""")," Сорт сверх ранний(85-90дней), высокоурожайный")</f>
        <v> Сорт сверх ранний(85-90дней), высокоурожайный</v>
      </c>
      <c r="K41" s="6" t="str">
        <f>IFERROR(__xludf.DUMMYFUNCTION("""COMPUTED_VALUE""")," Плоды красные,плотные, массой120-150гр без зеленого пятна у плодоножки отличный вкус и лежкость")</f>
        <v> Плоды красные,плотные, массой120-150гр без зеленого пятна у плодоножки отличный вкус и лежкость</v>
      </c>
      <c r="L41" s="6" t="str">
        <f>IFERROR(__xludf.DUMMYFUNCTION("""COMPUTED_VALUE""")," Используется в свежем виде и во всех видах переработок")</f>
        <v> Используется в свежем виде и во всех видах переработок</v>
      </c>
    </row>
    <row r="42">
      <c r="A42" s="11" t="s">
        <v>363</v>
      </c>
      <c r="I42" s="55" t="str">
        <f>IFERROR(__xludf.DUMMYFUNCTION("SPLIT(A42,""."")"),"Союз 8 F1")</f>
        <v>Союз 8 F1</v>
      </c>
      <c r="J42" s="6" t="str">
        <f>IFERROR(__xludf.DUMMYFUNCTION("""COMPUTED_VALUE""")," гибрид для  открытого грунта, но часто используют посадку в пленочных укрытиях раннеспелый ,дружнего созревания ")</f>
        <v> гибрид для  открытого грунта, но часто используют посадку в пленочных укрытиях раннеспелый ,дружнего созревания </v>
      </c>
      <c r="K42" s="6" t="str">
        <f>IFERROR(__xludf.DUMMYFUNCTION("""COMPUTED_VALUE""")," Плоды красные весом 120-150гр")</f>
        <v> Плоды красные весом 120-150гр</v>
      </c>
      <c r="L42" s="6" t="str">
        <f>IFERROR(__xludf.DUMMYFUNCTION("""COMPUTED_VALUE""")," Плоды используют как в сыром так и в переработанном виде")</f>
        <v> Плоды используют как в сыром так и в переработанном виде</v>
      </c>
      <c r="M42" s="6" t="str">
        <f>IFERROR(__xludf.DUMMYFUNCTION("""COMPUTED_VALUE""")," Вкусовые качества высоки")</f>
        <v> Вкусовые качества высоки</v>
      </c>
    </row>
    <row r="43">
      <c r="A43" s="11" t="s">
        <v>367</v>
      </c>
      <c r="I43" s="55" t="str">
        <f>IFERROR(__xludf.DUMMYFUNCTION("SPLIT(A43,""."")"),"Супер стрейн")</f>
        <v>Супер стрейн</v>
      </c>
      <c r="J43" s="6" t="str">
        <f>IFERROR(__xludf.DUMMYFUNCTION("""COMPUTED_VALUE""")," Сорт голландской селекции очень ранний ,куст компактный не нуждается в пасынковании")</f>
        <v> Сорт голландской селекции очень ранний ,куст компактный не нуждается в пасынковании</v>
      </c>
      <c r="K43" s="6" t="str">
        <f>IFERROR(__xludf.DUMMYFUNCTION("""COMPUTED_VALUE""")," Плоды округло удлиненные с ярко красным окрасом весом 90-140гр, прекрасен в свежем виде и в соусах так как сруктура мякоти плотная и нежная")</f>
        <v> Плоды округло удлиненные с ярко красным окрасом весом 90-140гр, прекрасен в свежем виде и в соусах так как сруктура мякоти плотная и нежная</v>
      </c>
    </row>
    <row r="44">
      <c r="A44" s="14" t="s">
        <v>370</v>
      </c>
      <c r="I44" s="55" t="str">
        <f>IFERROR(__xludf.DUMMYFUNCTION("SPLIT(A44,""."")"),"Титан")</f>
        <v>Титан</v>
      </c>
      <c r="J44" s="6" t="str">
        <f>IFERROR(__xludf.DUMMYFUNCTION("""COMPUTED_VALUE"""),"Среднепоздний сорт для открытого грунта")</f>
        <v>Среднепоздний сорт для открытого грунта</v>
      </c>
      <c r="K44" s="6" t="str">
        <f>IFERROR(__xludf.DUMMYFUNCTION("""COMPUTED_VALUE""")," Созревание плодов наступает на 120-135 день после появления всходов")</f>
        <v> Созревание плодов наступает на 120-135 день после появления всходов</v>
      </c>
      <c r="L44" s="6" t="str">
        <f>IFERROR(__xludf.DUMMYFUNCTION("""COMPUTED_VALUE""")," Растение детерминантного типа, нештамбовое,
среднеоблиственное")</f>
        <v> Растение детерминантного типа, нештамбовое,
среднеоблиственное</v>
      </c>
      <c r="M44" s="6" t="str">
        <f>IFERROR(__xludf.DUMMYFUNCTION("""COMPUTED_VALUE""")," Высота главного стебля 38-50 см")</f>
        <v> Высота главного стебля 38-50 см</v>
      </c>
      <c r="N44" s="6" t="str">
        <f>IFERROR(__xludf.DUMMYFUNCTION("""COMPUTED_VALUE""")," Плод округлый, красный, массой 140 г")</f>
        <v> Плод округлый, красный, массой 140 г</v>
      </c>
      <c r="O44" s="6" t="str">
        <f>IFERROR(__xludf.DUMMYFUNCTION("""COMPUTED_VALUE""")," Сорт ценится за стабильную и высокую урожайность - 8 кг/м,")</f>
        <v> Сорт ценится за стабильную и высокую урожайность - 8 кг/м,</v>
      </c>
    </row>
    <row r="45">
      <c r="A45" s="11" t="s">
        <v>374</v>
      </c>
      <c r="I45" s="55" t="str">
        <f>IFERROR(__xludf.DUMMYFUNCTION("SPLIT(A45,""."")"),"Факел")</f>
        <v>Факел</v>
      </c>
      <c r="J45" s="6" t="str">
        <f>IFERROR(__xludf.DUMMYFUNCTION("""COMPUTED_VALUE""")," Среднеспелый сорт,плоды созревают на 112-127 день после появления всходов")</f>
        <v> Среднеспелый сорт,плоды созревают на 112-127 день после появления всходов</v>
      </c>
      <c r="K45" s="6" t="str">
        <f>IFERROR(__xludf.DUMMYFUNCTION("""COMPUTED_VALUE""")," Растение компактное 33-56 см")</f>
        <v> Растение компактное 33-56 см</v>
      </c>
      <c r="L45" s="6" t="str">
        <f>IFERROR(__xludf.DUMMYFUNCTION("""COMPUTED_VALUE""")," Плоды округлые,красные,сладкие массой 60-90 гр")</f>
        <v> Плоды округлые,красные,сладкие массой 60-90 гр</v>
      </c>
      <c r="M45" s="6" t="str">
        <f>IFERROR(__xludf.DUMMYFUNCTION("""COMPUTED_VALUE""")," Вкусовые качества хорошие")</f>
        <v> Вкусовые качества хорошие</v>
      </c>
      <c r="N45" s="6" t="str">
        <f>IFERROR(__xludf.DUMMYFUNCTION("""COMPUTED_VALUE""")," Сорт ценится за высокую урожайность и дружное созревание")</f>
        <v> Сорт ценится за высокую урожайность и дружное созревание</v>
      </c>
      <c r="O45" s="6" t="str">
        <f>IFERROR(__xludf.DUMMYFUNCTION("""COMPUTED_VALUE""")," Используется для потребления в свежем виде,изготовлении соков, пасты а также для засолки")</f>
        <v> Используется для потребления в свежем виде,изготовлении соков, пасты а также для засолки</v>
      </c>
    </row>
    <row r="46">
      <c r="A46" s="11" t="s">
        <v>378</v>
      </c>
      <c r="I46" s="55" t="str">
        <f>IFERROR(__xludf.DUMMYFUNCTION("SPLIT(A46,""."")"),"Долгохранящийся")</f>
        <v>Долгохранящийся</v>
      </c>
      <c r="J46" s="6" t="str">
        <f>IFERROR(__xludf.DUMMYFUNCTION("""COMPUTED_VALUE""")," Среднепоздний сорт ,среднерослый пригоден для выращивания в открытом грунте , влаго- устойчив не боится перепадов температур")</f>
        <v> Среднепоздний сорт ,среднерослый пригоден для выращивания в открытом грунте , влаго- устойчив не боится перепадов температур</v>
      </c>
      <c r="K46" s="6" t="str">
        <f>IFERROR(__xludf.DUMMYFUNCTION("""COMPUTED_VALUE""")," Плоды плотные ,округло плоские, с плотной кожурой масса плода достигает от 120до 300гр ,окрас плода алый с оранжевым отливом")</f>
        <v> Плоды плотные ,округло плоские, с плотной кожурой масса плода достигает от 120до 300гр ,окрас плода алый с оранжевым отливом</v>
      </c>
      <c r="L46" s="6" t="str">
        <f>IFERROR(__xludf.DUMMYFUNCTION("""COMPUTED_VALUE"""),"Собранные в октябре плоды могут хранится до нового года и более")</f>
        <v>Собранные в октябре плоды могут хранится до нового года и более</v>
      </c>
    </row>
    <row r="47">
      <c r="A47" s="14" t="s">
        <v>381</v>
      </c>
      <c r="I47" s="55" t="str">
        <f>IFERROR(__xludf.DUMMYFUNCTION("SPLIT(A47,""."")"),"Президент")</f>
        <v>Президент</v>
      </c>
      <c r="J47" s="6" t="str">
        <f>IFERROR(__xludf.DUMMYFUNCTION("""COMPUTED_VALUE"""),"Ранний,высокоурожайный гибрид")</f>
        <v>Ранний,высокоурожайный гибрид</v>
      </c>
      <c r="K47" s="6" t="str">
        <f>IFERROR(__xludf.DUMMYFUNCTION("""COMPUTED_VALUE""")," Созревает через 68-70 дней после высадки рассады")</f>
        <v> Созревает через 68-70 дней после высадки рассады</v>
      </c>
      <c r="L47" s="6" t="str">
        <f>IFERROR(__xludf.DUMMYFUNCTION("""COMPUTED_VALUE"""),"Растение мощное")</f>
        <v>Растение мощное</v>
      </c>
      <c r="M47" s="6" t="str">
        <f>IFERROR(__xludf.DUMMYFUNCTION("""COMPUTED_VALUE""")," Плоды плоскоокруглые, массой 200-220 г, плотные,транспортабельные, отличных вкусовых качеств")</f>
        <v> Плоды плоскоокруглые, массой 200-220 г, плотные,транспортабельные, отличных вкусовых качеств</v>
      </c>
      <c r="N47" s="6" t="str">
        <f>IFERROR(__xludf.DUMMYFUNCTION("""COMPUTED_VALUE""")," Предназначены для потребления в
свежем виде и переработки, особенно вкусно на томатный сок")</f>
        <v> Предназначены для потребления в
свежем виде и переработки, особенно вкусно на томатный сок</v>
      </c>
    </row>
    <row r="48">
      <c r="A48" s="11" t="s">
        <v>385</v>
      </c>
      <c r="I48" s="55" t="str">
        <f>IFERROR(__xludf.DUMMYFUNCTION("SPLIT(A48,""."")"),"Бедуин")</f>
        <v>Бедуин</v>
      </c>
      <c r="J48" s="6" t="str">
        <f>IFERROR(__xludf.DUMMYFUNCTION("""COMPUTED_VALUE""")," Средне-спелый высокорослый  индетерминантного типа,салатно -консервный сорт")</f>
        <v> Средне-спелый высокорослый  индетерминантного типа,салатно -консервный сорт</v>
      </c>
      <c r="K48" s="6" t="str">
        <f>IFERROR(__xludf.DUMMYFUNCTION("""COMPUTED_VALUE""")," Плоды грушевидной формы,весом от 90 до 110гр")</f>
        <v> Плоды грушевидной формы,весом от 90 до 110гр</v>
      </c>
      <c r="L48" s="6" t="str">
        <f>IFERROR(__xludf.DUMMYFUNCTION("""COMPUTED_VALUE"""),"Окраска зрелого плода буровато -коричневая")</f>
        <v>Окраска зрелого плода буровато -коричневая</v>
      </c>
      <c r="M48" s="6" t="str">
        <f>IFERROR(__xludf.DUMMYFUNCTION("""COMPUTED_VALUE""")," Очень вкусный сорт")</f>
        <v> Очень вкусный сорт</v>
      </c>
    </row>
    <row r="49">
      <c r="A49" s="11" t="s">
        <v>389</v>
      </c>
      <c r="I49" s="55" t="str">
        <f>IFERROR(__xludf.DUMMYFUNCTION("SPLIT(A49,""."")"),"Аист")</f>
        <v>Аист</v>
      </c>
      <c r="J49" s="6" t="str">
        <f>IFERROR(__xludf.DUMMYFUNCTION("""COMPUTED_VALUE""")," Среднеспелый сорт")</f>
        <v> Среднеспелый сорт</v>
      </c>
      <c r="K49" s="6" t="str">
        <f>IFERROR(__xludf.DUMMYFUNCTION("""COMPUTED_VALUE""")," Длинна основного стебля 2,20-2,")</f>
        <v> Длинна основного стебля 2,20-2,</v>
      </c>
      <c r="L49" s="6" t="str">
        <f>IFERROR(__xludf.DUMMYFUNCTION("""COMPUTED_VALUE"""),"50 м")</f>
        <v>50 м</v>
      </c>
      <c r="M49" s="6" t="str">
        <f>IFERROR(__xludf.DUMMYFUNCTION("""COMPUTED_VALUE""")," Разветвленность умеренная,длинна зеленца 12-15с ")</f>
        <v> Разветвленность умеренная,длинна зеленца 12-15с </v>
      </c>
      <c r="N49" s="6" t="str">
        <f>IFERROR(__xludf.DUMMYFUNCTION("""COMPUTED_VALUE""")," зеленец  темно-зеленый со слабо выраженными светлыми полосками пчело-,опыляемый, хрустящий , без горечи")</f>
        <v> зеленец  темно-зеленый со слабо выраженными светлыми полосками пчело-,опыляемый, хрустящий , без горечи</v>
      </c>
    </row>
    <row r="50">
      <c r="A50" s="14" t="s">
        <v>392</v>
      </c>
      <c r="I50" s="55" t="str">
        <f>IFERROR(__xludf.DUMMYFUNCTION("SPLIT(A50,""."")"),"Алексеич F1")</f>
        <v>Алексеич F1</v>
      </c>
      <c r="J50" s="6" t="str">
        <f>IFERROR(__xludf.DUMMYFUNCTION("""COMPUTED_VALUE""")," Раннеспелый партенокарпический гибрид огурца с женским типом цветения")</f>
        <v> Раннеспелый партенокарпический гибрид огурца с женским типом цветения</v>
      </c>
      <c r="K50" s="6" t="str">
        <f>IFERROR(__xludf.DUMMYFUNCTION("""COMPUTED_VALUE""")," Период от всходов до сбора первого урожая составляет 37-43 дня")</f>
        <v> Период от всходов до сбора первого урожая составляет 37-43 дня</v>
      </c>
      <c r="L50" s="6" t="str">
        <f>IFERROR(__xludf.DUMMYFUNCTION("""COMPUTED_VALUE""")," Растение среднерослое, завязь групповая")</f>
        <v> Растение среднерослое, завязь групповая</v>
      </c>
      <c r="M50" s="6" t="str">
        <f>IFERROR(__xludf.DUMMYFUNCTION("""COMPUTED_VALUE""")," Зеленец имеет очень
привлекательный вид, слабо - бугорчатый, массой 60-75г, длиной 7-8см")</f>
        <v> Зеленец имеет очень
привлекательный вид, слабо - бугорчатый, массой 60-75г, длиной 7-8см</v>
      </c>
      <c r="N50" s="6" t="str">
        <f>IFERROR(__xludf.DUMMYFUNCTION("""COMPUTED_VALUE""")," Плоды без горечи, вкусовые качества высокие")</f>
        <v> Плоды без горечи, вкусовые качества высокие</v>
      </c>
    </row>
    <row r="51">
      <c r="A51" s="11" t="s">
        <v>396</v>
      </c>
      <c r="I51" s="55" t="str">
        <f>IFERROR(__xludf.DUMMYFUNCTION("SPLIT(A51,""."")"),"Аладин F1")</f>
        <v>Аладин F1</v>
      </c>
      <c r="J51" s="6" t="str">
        <f>IFERROR(__xludf.DUMMYFUNCTION("""COMPUTED_VALUE"""),"Средне-ранний гибрид")</f>
        <v>Средне-ранний гибрид</v>
      </c>
      <c r="K51" s="6" t="str">
        <f>IFERROR(__xludf.DUMMYFUNCTION("""COMPUTED_VALUE""")," Вегетационный период от всходов до плодоношения 46-50 дней")</f>
        <v> Вегетационный период от всходов до плодоношения 46-50 дней</v>
      </c>
      <c r="L51" s="6" t="str">
        <f>IFERROR(__xludf.DUMMYFUNCTION("""COMPUTED_VALUE""")," Растение кустового типа")</f>
        <v> Растение кустового типа</v>
      </c>
      <c r="M51" s="6" t="str">
        <f>IFERROR(__xludf.DUMMYFUNCTION("""COMPUTED_VALUE""")," Зеленцы короткие, выровненные по форме, зеленого цвета со светлыми полосами")</f>
        <v> Зеленцы короткие, выровненные по форме, зеленого цвета со светлыми полосами</v>
      </c>
      <c r="N51" s="6" t="str">
        <f>IFERROR(__xludf.DUMMYFUNCTION("""COMPUTED_VALUE""")," Плоды не желтеют, даже после того как перезреют")</f>
        <v> Плоды не желтеют, даже после того как перезреют</v>
      </c>
      <c r="O51" s="6" t="str">
        <f>IFERROR(__xludf.DUMMYFUNCTION("""COMPUTED_VALUE""")," Выращивается в открытом грунте и в пленочных укрытиях")</f>
        <v> Выращивается в открытом грунте и в пленочных укрытиях</v>
      </c>
      <c r="P51" s="6" t="str">
        <f>IFERROR(__xludf.DUMMYFUNCTION("""COMPUTED_VALUE""")," Используется для потребления в свежем виде, засолки и консервации")</f>
        <v> Используется для потребления в свежем виде, засолки и консервации</v>
      </c>
    </row>
    <row r="52">
      <c r="A52" s="11" t="s">
        <v>399</v>
      </c>
      <c r="I52" s="55" t="str">
        <f>IFERROR(__xludf.DUMMYFUNCTION("SPLIT(A52,""."")"),"Амур F1")</f>
        <v>Амур F1</v>
      </c>
      <c r="J52" s="6" t="str">
        <f>IFERROR(__xludf.DUMMYFUNCTION("""COMPUTED_VALUE"""),"Суперраний гибрид с мощным габитусом для выращивания в открытом грунте, пленочных стеклянных теплицах")</f>
        <v>Суперраний гибрид с мощным габитусом для выращивания в открытом грунте, пленочных стеклянных теплицах</v>
      </c>
      <c r="K52" s="6" t="str">
        <f>IFERROR(__xludf.DUMMYFUNCTION("""COMPUTED_VALUE""")," В одном узле формируется 10 и больше выровненных цилиндрических плодов")</f>
        <v> В одном узле формируется 10 и больше выровненных цилиндрических плодов</v>
      </c>
      <c r="L52" s="6" t="str">
        <f>IFERROR(__xludf.DUMMYFUNCTION("""COMPUTED_VALUE""")," Плоды насыщенного зеленого цвета с мелкими, частыми шипами, тонкой кожицей, без потери транспортабельности и лежкости")</f>
        <v> Плоды насыщенного зеленого цвета с мелкими, частыми шипами, тонкой кожицей, без потери транспортабельности и лежкости</v>
      </c>
    </row>
    <row r="53">
      <c r="A53" s="11" t="s">
        <v>402</v>
      </c>
      <c r="I53" s="55" t="str">
        <f>IFERROR(__xludf.DUMMYFUNCTION("SPLIT(A53,""."")"),"Андрус F1")</f>
        <v>Андрус F1</v>
      </c>
      <c r="J53" s="6" t="str">
        <f>IFERROR(__xludf.DUMMYFUNCTION("""COMPUTED_VALUE"""),"Среднеранний высокоурожайный гибрид для открытого грунта")</f>
        <v>Среднеранний высокоурожайный гибрид для открытого грунта</v>
      </c>
      <c r="K53" s="6" t="str">
        <f>IFERROR(__xludf.DUMMYFUNCTION("""COMPUTED_VALUE""")," Растение преимущественно женского типа цветения")</f>
        <v> Растение преимущественно женского типа цветения</v>
      </c>
      <c r="L53" s="6" t="str">
        <f>IFERROR(__xludf.DUMMYFUNCTION("""COMPUTED_VALUE""")," Плод цилиндрический корнишон, крупнобугорчатый, светло-зеленого цвета")</f>
        <v> Плод цилиндрический корнишон, крупнобугорчатый, светло-зеленого цвета</v>
      </c>
      <c r="M53" s="6" t="str">
        <f>IFERROR(__xludf.DUMMYFUNCTION("""COMPUTED_VALUE""")," Соотношение длины и ширины - 2,6-1")</f>
        <v> Соотношение длины и ширины - 2,6-1</v>
      </c>
      <c r="N53" s="6" t="str">
        <f>IFERROR(__xludf.DUMMYFUNCTION("""COMPUTED_VALUE""")," Устойчив к болезням")</f>
        <v> Устойчив к болезням</v>
      </c>
    </row>
    <row r="54">
      <c r="A54" s="11" t="s">
        <v>405</v>
      </c>
      <c r="I54" s="55" t="str">
        <f>IFERROR(__xludf.DUMMYFUNCTION("SPLIT(A54,""."")"),"Анулька F1")</f>
        <v>Анулька F1</v>
      </c>
      <c r="J54" s="6" t="str">
        <f>IFERROR(__xludf.DUMMYFUNCTION("""COMPUTED_VALUE"""),"Раннеспелый гибрид корнишонного типа")</f>
        <v>Раннеспелый гибрид корнишонного типа</v>
      </c>
      <c r="K54" s="6" t="str">
        <f>IFERROR(__xludf.DUMMYFUNCTION("""COMPUTED_VALUE""")," Плоды выровненные, без горечи, исключительно хороши для консервирования и засола")</f>
        <v> Плоды выровненные, без горечи, исключительно хороши для консервирования и засола</v>
      </c>
      <c r="L54" s="6" t="str">
        <f>IFERROR(__xludf.DUMMYFUNCTION("""COMPUTED_VALUE""")," Вкус свежих и консервированных плодов отличный")</f>
        <v> Вкус свежих и консервированных плодов отличный</v>
      </c>
    </row>
    <row r="55">
      <c r="A55" s="14" t="s">
        <v>409</v>
      </c>
      <c r="I55" s="55" t="str">
        <f>IFERROR(__xludf.DUMMYFUNCTION("SPLIT(A55,""."")"),"Астерикс F1")</f>
        <v>Астерикс F1</v>
      </c>
      <c r="J55" s="6" t="str">
        <f>IFERROR(__xludf.DUMMYFUNCTION("""COMPUTED_VALUE""")," Раннеспелый гибрид женского типа цветения снебольшими, темно-зеленой окраски, шиповидними плодами")</f>
        <v> Раннеспелый гибрид женского типа цветения снебольшими, темно-зеленой окраски, шиповидними плодами</v>
      </c>
      <c r="K55" s="6" t="str">
        <f>IFERROR(__xludf.DUMMYFUNCTION("""COMPUTED_VALUE"""),"
Мощный в росте, с прекрасной устойчивостью к засухе")</f>
        <v>
Мощный в росте, с прекрасной устойчивостью к засухе</v>
      </c>
      <c r="L55" s="6" t="str">
        <f>IFERROR(__xludf.DUMMYFUNCTION("""COMPUTED_VALUE""")," Устойчив к кладоспирозу, ложной мучнистой росе,")</f>
        <v> Устойчив к кладоспирозу, ложной мучнистой росе,</v>
      </c>
    </row>
    <row r="56">
      <c r="A56" s="14" t="s">
        <v>413</v>
      </c>
      <c r="I56" s="55" t="str">
        <f>IFERROR(__xludf.DUMMYFUNCTION("SPLIT(A56,""."")"),"Атлантис F1")</f>
        <v>Атлантис F1</v>
      </c>
      <c r="J56" s="6" t="str">
        <f>IFERROR(__xludf.DUMMYFUNCTION("""COMPUTED_VALUE"""),"Раннеспелый высокоурожайный гибрид с преимущественно женским типом цветения")</f>
        <v>Раннеспелый высокоурожайный гибрид с преимущественно женским типом цветения</v>
      </c>
      <c r="K56" s="6" t="str">
        <f>IFERROR(__xludf.DUMMYFUNCTION("""COMPUTED_VALUE""")," Начало уборки – через
45 дней после посева")</f>
        <v> Начало уборки – через
45 дней после посева</v>
      </c>
      <c r="L56" s="6" t="str">
        <f>IFERROR(__xludf.DUMMYFUNCTION("""COMPUTED_VALUE""")," Плоды прекрасного вкуса, совсем без горечи, используют для консервирования и
засолки")</f>
        <v> Плоды прекрасного вкуса, совсем без горечи, используют для консервирования и
засолки</v>
      </c>
      <c r="M56" s="6" t="str">
        <f>IFERROR(__xludf.DUMMYFUNCTION("""COMPUTED_VALUE""")," Хорошо хранятся и транспортируются")</f>
        <v> Хорошо хранятся и транспортируются</v>
      </c>
      <c r="N56" s="6" t="str">
        <f>IFERROR(__xludf.DUMMYFUNCTION("""COMPUTED_VALUE""")," итранспортируются")</f>
        <v> итранспортируются</v>
      </c>
    </row>
    <row r="57">
      <c r="A57" s="11" t="s">
        <v>416</v>
      </c>
      <c r="I57" s="55" t="str">
        <f>IFERROR(__xludf.DUMMYFUNCTION("SPLIT(A57,""."")"),"Аякс F1")</f>
        <v>Аякс F1</v>
      </c>
      <c r="J57" s="6" t="str">
        <f>IFERROR(__xludf.DUMMYFUNCTION("""COMPUTED_VALUE"""),"Раннеспелый, высокоурожайный гибрид голландской селекции с преимущественно женским типом цветения")</f>
        <v>Раннеспелый, высокоурожайный гибрид голландской селекции с преимущественно женским типом цветения</v>
      </c>
      <c r="K57" s="6" t="str">
        <f>IFERROR(__xludf.DUMMYFUNCTION("""COMPUTED_VALUE"""),"Выращивают в открытом грунте и в пленочных тонеллях")</f>
        <v>Выращивают в открытом грунте и в пленочных тонеллях</v>
      </c>
      <c r="L57" s="6" t="str">
        <f>IFERROR(__xludf.DUMMYFUNCTION("""COMPUTED_VALUE""")," От всходов до начала созревания 45-50 дней")</f>
        <v> От всходов до начала созревания 45-50 дней</v>
      </c>
      <c r="M57" s="6" t="str">
        <f>IFERROR(__xludf.DUMMYFUNCTION("""COMPUTED_VALUE""")," Зеленец длиной 8 см и массой 90 г, цилиндрической формы")</f>
        <v> Зеленец длиной 8 см и массой 90 г, цилиндрической формы</v>
      </c>
      <c r="N57" s="6" t="str">
        <f>IFERROR(__xludf.DUMMYFUNCTION("""COMPUTED_VALUE""")," Засолочный, консервный")</f>
        <v> Засолочный, консервный</v>
      </c>
      <c r="O57" s="6" t="str">
        <f>IFERROR(__xludf.DUMMYFUNCTION("""COMPUTED_VALUE""")," Вкусовые качества высокие")</f>
        <v> Вкусовые качества высокие</v>
      </c>
    </row>
    <row r="58">
      <c r="A58" s="11" t="s">
        <v>420</v>
      </c>
      <c r="I58" s="55" t="str">
        <f>IFERROR(__xludf.DUMMYFUNCTION("SPLIT(A58,""."")"),"Береговой")</f>
        <v>Береговой</v>
      </c>
      <c r="J58" s="6" t="str">
        <f>IFERROR(__xludf.DUMMYFUNCTION("""COMPUTED_VALUE"""),"Среднеранний пчело- опыляемый сорт открытого грунта")</f>
        <v>Среднеранний пчело- опыляемый сорт открытого грунта</v>
      </c>
      <c r="K58" s="6" t="str">
        <f>IFERROR(__xludf.DUMMYFUNCTION("""COMPUTED_VALUE""")," Предназначен для засола и консервирования")</f>
        <v> Предназначен для засола и консервирования</v>
      </c>
      <c r="L58" s="6" t="str">
        <f>IFERROR(__xludf.DUMMYFUNCTION("""COMPUTED_VALUE""")," Вплодоношение вступает на 47-51 день от всходов")</f>
        <v> Вплодоношение вступает на 47-51 день от всходов</v>
      </c>
      <c r="M58" s="6" t="str">
        <f>IFERROR(__xludf.DUMMYFUNCTION("""COMPUTED_VALUE""")," Длина главного стебля 1,6-2,3 м")</f>
        <v> Длина главного стебля 1,6-2,3 м</v>
      </c>
      <c r="N58" s="6" t="str">
        <f>IFERROR(__xludf.DUMMYFUNCTION("""COMPUTED_VALUE""")," Плод длиной 10-12 см,диаметром 3-4 см, массой около 100 г, отличного вкуса")</f>
        <v> Плод длиной 10-12 см,диаметром 3-4 см, массой около 100 г, отличного вкуса</v>
      </c>
      <c r="O58" s="6" t="str">
        <f>IFERROR(__xludf.DUMMYFUNCTION("""COMPUTED_VALUE""")," Сорт устойчив к ложной мучнистой росе")</f>
        <v> Сорт устойчив к ложной мучнистой росе</v>
      </c>
    </row>
    <row r="59">
      <c r="A59" s="11" t="s">
        <v>424</v>
      </c>
      <c r="I59" s="55" t="str">
        <f>IFERROR(__xludf.DUMMYFUNCTION("SPLIT(A59,""."")"),"Белый ангел")</f>
        <v>Белый ангел</v>
      </c>
      <c r="J59" s="6" t="str">
        <f>IFERROR(__xludf.DUMMYFUNCTION("""COMPUTED_VALUE"""),"Среднеранний гибрид")</f>
        <v>Среднеранний гибрид</v>
      </c>
      <c r="K59" s="6" t="str">
        <f>IFERROR(__xludf.DUMMYFUNCTION("""COMPUTED_VALUE""")," Вегетационный период от всходов до массового плодоношения 50-55 дней")</f>
        <v> Вегетационный период от всходов до массового плодоношения 50-55 дней</v>
      </c>
      <c r="L59" s="6" t="str">
        <f>IFERROR(__xludf.DUMMYFUNCTION("""COMPUTED_VALUE""")," Плоды крупные, кремово-белой окраски, удлиненно-овальной формы, длиной 18-20см, хороших вкусовых качеств")</f>
        <v> Плоды крупные, кремово-белой окраски, удлиненно-овальной формы, длиной 18-20см, хороших вкусовых качеств</v>
      </c>
      <c r="M59" s="6" t="str">
        <f>IFERROR(__xludf.DUMMYFUNCTION("""COMPUTED_VALUE"""),"Гибрид отличается необыкновенным цветом плодов")</f>
        <v>Гибрид отличается необыкновенным цветом плодов</v>
      </c>
    </row>
    <row r="60">
      <c r="A60" s="14" t="s">
        <v>428</v>
      </c>
      <c r="I60" s="55" t="str">
        <f>IFERROR(__xludf.DUMMYFUNCTION("SPLIT(A60,""."")"),"БригадныйF1")</f>
        <v>БригадныйF1</v>
      </c>
      <c r="J60" s="6" t="str">
        <f>IFERROR(__xludf.DUMMYFUNCTION("""COMPUTED_VALUE"""),"Среднеранний пчело-опыляемый сорт открытого грунта, засолочного назначения, консервный")</f>
        <v>Среднеранний пчело-опыляемый сорт открытого грунта, засолочного назначения, консервный</v>
      </c>
      <c r="K60" s="6" t="str">
        <f>IFERROR(__xludf.DUMMYFUNCTION("""COMPUTED_VALUE""")," Отличается дружной отдачей урожая")</f>
        <v> Отличается дружной отдачей урожая</v>
      </c>
      <c r="L60" s="6" t="str">
        <f>IFERROR(__xludf.DUMMYFUNCTION("""COMPUTED_VALUE""")," Плод овально-цилиндрический, длиной 9 см, диаметром 3-4 см, массой 64-80 г, с
крупнобугорчатой поверхностью и гладким коротким основанием")</f>
        <v> Плод овально-цилиндрический, длиной 9 см, диаметром 3-4 см, массой 64-80 г, с
крупнобугорчатой поверхностью и гладким коротким основанием</v>
      </c>
    </row>
    <row r="61">
      <c r="A61" s="14" t="s">
        <v>432</v>
      </c>
      <c r="I61" s="55" t="str">
        <f>IFERROR(__xludf.DUMMYFUNCTION("SPLIT(A61,""."")"),"Беляевский")</f>
        <v>Беляевский</v>
      </c>
      <c r="J61" s="6" t="str">
        <f>IFERROR(__xludf.DUMMYFUNCTION("""COMPUTED_VALUE"""),"Создан для выращивания в закрытом грунте, в частности в весенний и весенне-
летний периоды в пленочных теплицах")</f>
        <v>Создан для выращивания в закрытом грунте, в частности в весенний и весенне-
летний периоды в пленочных теплицах</v>
      </c>
      <c r="K61" s="6" t="str">
        <f>IFERROR(__xludf.DUMMYFUNCTION("""COMPUTED_VALUE""")," Кроме того, его можно эффективновыращивать в открытом грунте с использованием общепринятых технологий")</f>
        <v> Кроме того, его можно эффективновыращивать в открытом грунте с использованием общепринятых технологий</v>
      </c>
      <c r="L61" s="6" t="str">
        <f>IFERROR(__xludf.DUMMYFUNCTION("""COMPUTED_VALUE""")," Плодам этого гибрида присущи высокие  товарные качества")</f>
        <v> Плодам этого гибрида присущи высокие  товарные качества</v>
      </c>
    </row>
    <row r="62">
      <c r="A62" s="11" t="s">
        <v>436</v>
      </c>
      <c r="I62" s="55" t="str">
        <f>IFERROR(__xludf.DUMMYFUNCTION("SPLIT(A62,""."")"),"Бочковий")</f>
        <v>Бочковий</v>
      </c>
      <c r="J62" s="6" t="str">
        <f>IFERROR(__xludf.DUMMYFUNCTION("""COMPUTED_VALUE"""),"Среднеспелый (53-57 дней), пчелоопыляемый сорт для открытого грунта")</f>
        <v>Среднеспелый (53-57 дней), пчелоопыляемый сорт для открытого грунта</v>
      </c>
      <c r="K62" s="6" t="str">
        <f>IFERROR(__xludf.DUMMYFUNCTION("""COMPUTED_VALUE""")," Растение сильнорослое,плетистое, со смешанным цветением")</f>
        <v> Растение сильнорослое,плетистое, со смешанным цветением</v>
      </c>
      <c r="L62" s="6" t="str">
        <f>IFERROR(__xludf.DUMMYFUNCTION("""COMPUTED_VALUE""")," Зеленцы крупнобугорчатые, ярко-зелёные с восковым налётом,длиной 11-13 см, плотные, хрустящие")</f>
        <v> Зеленцы крупнобугорчатые, ярко-зелёные с восковым налётом,длиной 11-13 см, плотные, хрустящие</v>
      </c>
    </row>
    <row r="63">
      <c r="A63" s="14" t="s">
        <v>440</v>
      </c>
      <c r="I63" s="55" t="str">
        <f>IFERROR(__xludf.DUMMYFUNCTION("SPLIT(A63,""."")"),"Весела компаниF1")</f>
        <v>Весела компаниF1</v>
      </c>
      <c r="J63" s="6" t="str">
        <f>IFERROR(__xludf.DUMMYFUNCTION("""COMPUTED_VALUE"""),"Среднеранний гибрид корнишонного типа, для выращивания в открытом и закрытом грунте")</f>
        <v>Среднеранний гибрид корнишонного типа, для выращивания в открытом и закрытом грунте</v>
      </c>
      <c r="K63" s="6" t="str">
        <f>IFERROR(__xludf.DUMMYFUNCTION("""COMPUTED_VALUE""")," Зеленец среднбугорчатый, длиной 7-9 см")</f>
        <v> Зеленец среднбугорчатый, длиной 7-9 см</v>
      </c>
      <c r="L63" s="6" t="str">
        <f>IFERROR(__xludf.DUMMYFUNCTION("""COMPUTED_VALUE""")," Тип завязи пучковый")</f>
        <v> Тип завязи пучковый</v>
      </c>
      <c r="M63" s="6" t="str">
        <f>IFERROR(__xludf.DUMMYFUNCTION("""COMPUTED_VALUE""")," Устойчив к основным заболеваниям огурцов")</f>
        <v> Устойчив к основным заболеваниям огурцов</v>
      </c>
      <c r="N63" s="6" t="str">
        <f>IFERROR(__xludf.DUMMYFUNCTION("""COMPUTED_VALUE"""),"
Отлично подходит для употребления в свежем виде и консервирования")</f>
        <v>
Отлично подходит для употребления в свежем виде и консервирования</v>
      </c>
    </row>
    <row r="64">
      <c r="A64" s="11" t="s">
        <v>444</v>
      </c>
      <c r="I64" s="55" t="str">
        <f>IFERROR(__xludf.DUMMYFUNCTION("SPLIT(A64,""."")"),"Виноградная гроздь   Раннеспелый гибрид, от всходов до первого сбора 42 - 45 дней, формирующий пучковую завязь плодов")</f>
        <v>Виноградная гроздь   Раннеспелый гибрид, от всходов до первого сбора 42 - 45 дней, формирующий пучковую завязь плодов</v>
      </c>
      <c r="J64" s="6" t="str">
        <f>IFERROR(__xludf.DUMMYFUNCTION("""COMPUTED_VALUE""")," Плоды однородные по размеру, удлиненно-яйцевидной формы, долго не желтеют, крупнобугорчатые с нежной кожицей, без горечи, с отличными засолочными качествами")</f>
        <v> Плоды однородные по размеру, удлиненно-яйцевидной формы, долго не желтеют, крупнобугорчатые с нежной кожицей, без горечи, с отличными засолочными качествами</v>
      </c>
      <c r="K64" s="6" t="str">
        <f>IFERROR(__xludf.DUMMYFUNCTION("""COMPUTED_VALUE""")," Длина зеленца 8-9 см")</f>
        <v> Длина зеленца 8-9 см</v>
      </c>
    </row>
    <row r="65">
      <c r="A65" s="14" t="s">
        <v>448</v>
      </c>
      <c r="I65" s="55" t="str">
        <f>IFERROR(__xludf.DUMMYFUNCTION("SPLIT(A65,""."")"),"Верныедрузья")</f>
        <v>Верныедрузья</v>
      </c>
      <c r="J65" s="6" t="str">
        <f>IFERROR(__xludf.DUMMYFUNCTION("""COMPUTED_VALUE"""),"Ультраскороспелый, пчело-опыляемый гибрид для открытого грунта и пленочных укрытий")</f>
        <v>Ультраскороспелый, пчело-опыляемый гибрид для открытого грунта и пленочных укрытий</v>
      </c>
      <c r="K65" s="6" t="str">
        <f>IFERROR(__xludf.DUMMYFUNCTION("""COMPUTED_VALUE""")," Период вегетации
37-39 дней")</f>
        <v> Период вегетации
37-39 дней</v>
      </c>
      <c r="L65" s="6" t="str">
        <f>IFERROR(__xludf.DUMMYFUNCTION("""COMPUTED_VALUE""")," Салатного и консервного назначения")</f>
        <v> Салатного и консервного назначения</v>
      </c>
      <c r="M65" s="6" t="str">
        <f>IFERROR(__xludf.DUMMYFUNCTION("""COMPUTED_VALUE""")," В пазухе листа закладывается по 2-7 завязей")</f>
        <v> В пазухе листа закладывается по 2-7 завязей</v>
      </c>
      <c r="N65" s="6" t="str">
        <f>IFERROR(__xludf.DUMMYFUNCTION("""COMPUTED_VALUE""")," Каждоерастение дает до 47 овально-цилиндрических плодов, длиной 8-10 см, без горечи, массой 80-115 г")</f>
        <v> Каждоерастение дает до 47 овально-цилиндрических плодов, длиной 8-10 см, без горечи, массой 80-115 г</v>
      </c>
    </row>
    <row r="66">
      <c r="A66" s="14" t="s">
        <v>451</v>
      </c>
      <c r="I66" s="55" t="str">
        <f>IFERROR(__xludf.DUMMYFUNCTION("SPLIT(A66,""."")"),"Владко")</f>
        <v>Владко</v>
      </c>
      <c r="J66" s="6" t="str">
        <f>IFERROR(__xludf.DUMMYFUNCTION("""COMPUTED_VALUE"""),"Среднеспелый, высокоурожайный гибрид с отличными вкусовыми качествами")</f>
        <v>Среднеспелый, высокоурожайный гибрид с отличными вкусовыми качествами</v>
      </c>
      <c r="K66" s="6" t="str">
        <f>IFERROR(__xludf.DUMMYFUNCTION("""COMPUTED_VALUE""")," Используется в свежем виде,
для соления и консервации")</f>
        <v> Используется в свежем виде,
для соления и консервации</v>
      </c>
      <c r="L66" s="6" t="str">
        <f>IFERROR(__xludf.DUMMYFUNCTION("""COMPUTED_VALUE""")," Вегетационный период от всходов до начала плодоношения – 45-50 дней")</f>
        <v> Вегетационный период от всходов до начала плодоношения – 45-50 дней</v>
      </c>
      <c r="M66" s="6" t="str">
        <f>IFERROR(__xludf.DUMMYFUNCTION("""COMPUTED_VALUE"""),"Предназначен для выращивания в открытом грунте")</f>
        <v>Предназначен для выращивания в открытом грунте</v>
      </c>
    </row>
    <row r="67">
      <c r="A67" s="11" t="s">
        <v>454</v>
      </c>
      <c r="I67" s="55" t="str">
        <f>IFERROR(__xludf.DUMMYFUNCTION("SPLIT(A67,""."")"),"Водограй")</f>
        <v>Водограй</v>
      </c>
      <c r="J67" s="6" t="str">
        <f>IFERROR(__xludf.DUMMYFUNCTION("""COMPUTED_VALUE""")," Скороспелый гибрид, созревает на 35 день после появления всходов")</f>
        <v> Скороспелый гибрид, созревает на 35 день после появления всходов</v>
      </c>
      <c r="K67" s="6" t="str">
        <f>IFERROR(__xludf.DUMMYFUNCTION("""COMPUTED_VALUE""")," Отличается высокой продуктивностью,дружным созреванием плодов, пригодных к засолке и консервированию, устойчивостью растений к засухе и болезням")</f>
        <v> Отличается высокой продуктивностью,дружным созреванием плодов, пригодных к засолке и консервированию, устойчивостью растений к засухе и болезням</v>
      </c>
    </row>
    <row r="68">
      <c r="A68" s="12" t="s">
        <v>457</v>
      </c>
      <c r="I68" s="55">
        <f>IFERROR(__xludf.DUMMYFUNCTION("SPLIT(A68,""."")"),120.0)</f>
        <v>120</v>
      </c>
      <c r="J68" s="6" t="str">
        <f>IFERROR(__xludf.DUMMYFUNCTION("""COMPUTED_VALUE"""),"Всем на зависть")</f>
        <v>Всем на зависть</v>
      </c>
      <c r="K68" s="6" t="str">
        <f>IFERROR(__xludf.DUMMYFUNCTION("""COMPUTED_VALUE""")," Высокоурожайный, скороспелый, корнишонный гибрид для открытого грунта и весенних теплиц")</f>
        <v> Высокоурожайный, скороспелый, корнишонный гибрид для открытого грунта и весенних теплиц</v>
      </c>
      <c r="L68" s="6" t="str">
        <f>IFERROR(__xludf.DUMMYFUNCTION("""COMPUTED_VALUE"""),"В узлах формируется 3-6 и более завязей")</f>
        <v>В узлах формируется 3-6 и более завязей</v>
      </c>
      <c r="M68" s="6" t="str">
        <f>IFERROR(__xludf.DUMMYFUNCTION("""COMPUTED_VALUE""")," Окраска - красивая, ��рко-зеленая")</f>
        <v> Окраска - красивая, ��рко-зеленая</v>
      </c>
      <c r="N68" s="6" t="str">
        <f>IFERROR(__xludf.DUMMYFUNCTION("""COMPUTED_VALUE""")," Зеленцы - белошипые")</f>
        <v> Зеленцы - белошипые</v>
      </c>
    </row>
    <row r="69">
      <c r="A69" s="14" t="s">
        <v>460</v>
      </c>
      <c r="I69" s="55" t="str">
        <f>IFERROR(__xludf.DUMMYFUNCTION("SPLIT(A69,""."")"),"Гейм")</f>
        <v>Гейм</v>
      </c>
      <c r="J69" s="6" t="str">
        <f>IFERROR(__xludf.DUMMYFUNCTION("""COMPUTED_VALUE"""),"Среднеспелый, нежинского сортотипа")</f>
        <v>Среднеспелый, нежинского сортотипа</v>
      </c>
      <c r="K69" s="6" t="str">
        <f>IFERROR(__xludf.DUMMYFUNCTION("""COMPUTED_VALUE""")," Плодоносит на 49 день после появления всходов,длительность
плодоношения 31-35 дней")</f>
        <v> Плодоносит на 49 день после появления всходов,длительность
плодоношения 31-35 дней</v>
      </c>
      <c r="L69" s="6" t="str">
        <f>IFERROR(__xludf.DUMMYFUNCTION("""COMPUTED_VALUE""")," Устойчив против пероноспороза и бактериоза")</f>
        <v> Устойчив против пероноспороза и бактериоза</v>
      </c>
      <c r="M69" s="6" t="str">
        <f>IFERROR(__xludf.DUMMYFUNCTION("""COMPUTED_VALUE""")," Высокие консервные и засолочные качества Зеленец удлиненно-овальный, длиной 10-11 см")</f>
        <v> Высокие консервные и засолочные качества Зеленец удлиненно-овальный, длиной 10-11 см</v>
      </c>
    </row>
    <row r="70">
      <c r="A70" s="14" t="s">
        <v>464</v>
      </c>
      <c r="I70" s="55" t="str">
        <f>IFERROR(__xludf.DUMMYFUNCTION("SPLIT(A70,""."")"),"Гирлянда F1")</f>
        <v>Гирлянда F1</v>
      </c>
      <c r="J70" s="6" t="str">
        <f>IFERROR(__xludf.DUMMYFUNCTION("""COMPUTED_VALUE"""),"Раннеспелый (45-50 дней от всходов до плодоношения) самоопыляемый гибрид с букетным
заложением завязей (до 4-5 в одном узле)")</f>
        <v>Раннеспелый (45-50 дней от всходов до плодоношения) самоопыляемый гибрид с букетным
заложением завязей (до 4-5 в одном узле)</v>
      </c>
      <c r="K70" s="6" t="str">
        <f>IFERROR(__xludf.DUMMYFUNCTION("""COMPUTED_VALUE""")," Растение с мощным ростом, слабоветвистое")</f>
        <v> Растение с мощным ростом, слабоветвистое</v>
      </c>
      <c r="L70" s="6" t="str">
        <f>IFERROR(__xludf.DUMMYFUNCTION("""COMPUTED_VALUE"""),"Рекомендуется для выращивания в пленочных теплицах")</f>
        <v>Рекомендуется для выращивания в пленочных теплицах</v>
      </c>
      <c r="M70" s="6" t="str">
        <f>IFERROR(__xludf.DUMMYFUNCTION("""COMPUTED_VALUE""")," Благодаря теневыносливости подходит для
выращивания на балконе")</f>
        <v> Благодаря теневыносливости подходит для
выращивания на балконе</v>
      </c>
    </row>
    <row r="71">
      <c r="A71" s="11" t="s">
        <v>467</v>
      </c>
      <c r="I71" s="55" t="str">
        <f>IFERROR(__xludf.DUMMYFUNCTION("SPLIT(A71,""."")"),"ГекторF1")</f>
        <v>ГекторF1</v>
      </c>
      <c r="J71" s="6" t="str">
        <f>IFERROR(__xludf.DUMMYFUNCTION("""COMPUTED_VALUE"""),"Сверхранний кустовой гибрид огурца с преимущественно женским типом цветения")</f>
        <v>Сверхранний кустовой гибрид огурца с преимущественно женским типом цветения</v>
      </c>
      <c r="K71" s="6" t="str">
        <f>IFERROR(__xludf.DUMMYFUNCTION("""COMPUTED_VALUE""")," Дает высокий и дружный урожай")</f>
        <v> Дает высокий и дружный урожай</v>
      </c>
      <c r="L71" s="6" t="str">
        <f>IFERROR(__xludf.DUMMYFUNCTION("""COMPUTED_VALUE""")," Хорошо переносит загущение")</f>
        <v> Хорошо переносит загущение</v>
      </c>
      <c r="M71" s="6" t="str">
        <f>IFERROR(__xludf.DUMMYFUNCTION("""COMPUTED_VALUE""")," Плоды однородные, крупнобугорчатые, белошипые цилиндрические,равномерного темно-зеленого цвета, не желтеют")</f>
        <v> Плоды однородные, крупнобугорчатые, белошипые цилиндрические,равномерного темно-зеленого цвета, не желтеют</v>
      </c>
    </row>
    <row r="72">
      <c r="A72" s="14" t="s">
        <v>470</v>
      </c>
      <c r="I72" s="55" t="str">
        <f>IFERROR(__xludf.DUMMYFUNCTION("SPLIT(A72,""."")"),"Герман F1")</f>
        <v>Герман F1</v>
      </c>
      <c r="J72" s="6" t="str">
        <f>IFERROR(__xludf.DUMMYFUNCTION("""COMPUTED_VALUE"""),"Самый популярный, суперранний (38-40 дней), сверхурожайный гибрид")</f>
        <v>Самый популярный, суперранний (38-40 дней), сверхурожайный гибрид</v>
      </c>
      <c r="K72" s="6" t="str">
        <f>IFERROR(__xludf.DUMMYFUNCTION("""COMPUTED_VALUE""")," С 1 кв")</f>
        <v> С 1 кв</v>
      </c>
      <c r="L72" s="6" t="str">
        <f>IFERROR(__xludf.DUMMYFUNCTION("""COMPUTED_VALUE"""),"м можно получить более 20 кг 
великолепных огурцов-корнишонов")</f>
        <v>м можно получить более 20 кг 
великолепных огурцов-корнишонов</v>
      </c>
      <c r="M72" s="6" t="str">
        <f>IFERROR(__xludf.DUMMYFUNCTION("""COMPUTED_VALUE""")," Зеленцы крупнобугорчатые,равномерные")</f>
        <v> Зеленцы крупнобугорчатые,равномерные</v>
      </c>
      <c r="N72" s="6" t="str">
        <f>IFERROR(__xludf.DUMMYFUNCTION("""COMPUTED_VALUE"""),"  Предназначен дла употребления в свежем виде а так же во всех видах переработок")</f>
        <v>  Предназначен дла употребления в свежем виде а так же во всех видах переработок</v>
      </c>
      <c r="O72" s="6" t="str">
        <f>IFERROR(__xludf.DUMMYFUNCTION("""COMPUTED_VALUE""")," Гибрид из Голландии")</f>
        <v> Гибрид из Голландии</v>
      </c>
    </row>
    <row r="73">
      <c r="A73" s="11" t="s">
        <v>473</v>
      </c>
      <c r="I73" s="55" t="str">
        <f>IFERROR(__xludf.DUMMYFUNCTION("SPLIT(A73,""."")"),"Голубчик F1")</f>
        <v>Голубчик F1</v>
      </c>
      <c r="J73" s="6" t="str">
        <f>IFERROR(__xludf.DUMMYFUNCTION("""COMPUTED_VALUE"""),"Раннеспелый гибрид (42-45 дней), преимущественно жнско- го  типа цветения,  пчело-опыляемый, корнишон")</f>
        <v>Раннеспелый гибрид (42-45 дней), преимущественно жнско- го  типа цветения,  пчело-опыляемый, корнишон</v>
      </c>
      <c r="K73" s="6" t="str">
        <f>IFERROR(__xludf.DUMMYFUNCTION("""COMPUTED_VALUE""")," Зеленец овально-цилиндрический длиной 9-12 см и диаметром 3,5-4,5 см, без горечи")</f>
        <v> Зеленец овально-цилиндрический длиной 9-12 см и диаметром 3,5-4,5 см, без горечи</v>
      </c>
      <c r="L73" s="6" t="str">
        <f>IFERROR(__xludf.DUMMYFUNCTION("""COMPUTED_VALUE""")," Дружно формирует урожай")</f>
        <v> Дружно формирует урожай</v>
      </c>
      <c r="M73" s="6" t="str">
        <f>IFERROR(__xludf.DUMMYFUNCTION("""COMPUTED_VALUE""")," Пригоден для потребления в свежем виде,засолки  ,консервирования")</f>
        <v> Пригоден для потребления в свежем виде,засолки  ,консервирования</v>
      </c>
    </row>
    <row r="74">
      <c r="A74" s="14" t="s">
        <v>477</v>
      </c>
      <c r="I74" s="55" t="str">
        <f>IFERROR(__xludf.DUMMYFUNCTION("SPLIT(A74,""."")"),"Дальневосточный 27")</f>
        <v>Дальневосточный 27</v>
      </c>
      <c r="J74" s="6" t="str">
        <f>IFERROR(__xludf.DUMMYFUNCTION("""COMPUTED_VALUE"""),"Сорт среднеспелый, доспевает за 40-45 дней")</f>
        <v>Сорт среднеспелый, доспевает за 40-45 дней</v>
      </c>
      <c r="K74" s="6" t="str">
        <f>IFERROR(__xludf.DUMMYFUNCTION("""COMPUTED_VALUE""")," Длинноплетистый")</f>
        <v> Длинноплетистый</v>
      </c>
      <c r="L74" s="6" t="str">
        <f>IFERROR(__xludf.DUMMYFUNCTION("""COMPUTED_VALUE""")," Плод эллипсовидный, бугорчатый,
черношипый, длиной 11-15см, массой 100-200г, без горечи")</f>
        <v> Плод эллипсовидный, бугорчатый,
черношипый, длиной 11-15см, массой 100-200г, без горечи</v>
      </c>
      <c r="M74" s="6" t="str">
        <f>IFERROR(__xludf.DUMMYFUNCTION("""COMPUTED_VALUE""")," Урожайность 1-3кг/м")</f>
        <v> Урожайность 1-3кг/м</v>
      </c>
      <c r="N74" s="6" t="str">
        <f>IFERROR(__xludf.DUMMYFUNCTION("""COMPUTED_VALUE""")," Предназначен для открытого грунта, пчело-опыляемый, засолочный, засухоустойчивый")</f>
        <v> Предназначен для открытого грунта, пчело-опыляемый, засолочный, засухоустойчивый</v>
      </c>
    </row>
    <row r="75">
      <c r="A75" s="14" t="s">
        <v>480</v>
      </c>
      <c r="I75" s="55" t="str">
        <f>IFERROR(__xludf.DUMMYFUNCTION("SPLIT(A75,""."")"),"Джерело")</f>
        <v>Джерело</v>
      </c>
      <c r="J75" s="6" t="str">
        <f>IFERROR(__xludf.DUMMYFUNCTION("""COMPUTED_VALUE"""),"Раннеспелый, до начала плодоношения 40-45 дней")</f>
        <v>Раннеспелый, до начала плодоношения 40-45 дней</v>
      </c>
      <c r="K75" s="6" t="str">
        <f>IFERROR(__xludf.DUMMYFUNCTION("""COMPUTED_VALUE""")," Сорт относительно холодоустойчивый")</f>
        <v> Сорт относительно холодоустойчивый</v>
      </c>
      <c r="L75" s="6" t="str">
        <f>IFERROR(__xludf.DUMMYFUNCTION("""COMPUTED_VALUE""")," Зеленец удлиненноовальный, длиной около 11 см, диаметром 4 см, массой 70-80 г, поверхность бугорчатая с четкими
полосками до половины длины")</f>
        <v> Зеленец удлиненноовальный, длиной около 11 см, диаметром 4 см, массой 70-80 г, поверхность бугорчатая с четкими
полосками до половины длины</v>
      </c>
      <c r="M75" s="6" t="str">
        <f>IFERROR(__xludf.DUMMYFUNCTION("""COMPUTED_VALUE""")," Вкус свежих, консервированных изасоленных плодов отличный")</f>
        <v> Вкус свежих, консервированных изасоленных плодов отличный</v>
      </c>
      <c r="N75" s="6" t="str">
        <f>IFERROR(__xludf.DUMMYFUNCTION("""COMPUTED_VALUE""")," Урожайность высокая")</f>
        <v> Урожайность высокая</v>
      </c>
    </row>
    <row r="76">
      <c r="A76" s="11" t="s">
        <v>484</v>
      </c>
      <c r="I76" s="55" t="str">
        <f>IFERROR(__xludf.DUMMYFUNCTION("SPLIT(A76,""."")"),"Дружная семейка")</f>
        <v>Дружная семейка</v>
      </c>
      <c r="J76" s="6" t="str">
        <f>IFERROR(__xludf.DUMMYFUNCTION("""COMPUTED_VALUE""")," Ультраскороспе- лый , пчело-опыляемый сорт открыто- го грунта")</f>
        <v> Ультраскороспе- лый , пчело-опыляемый сорт открыто- го грунта</v>
      </c>
      <c r="K76" s="6" t="str">
        <f>IFERROR(__xludf.DUMMYFUNCTION("""COMPUTED_VALUE""")," Салатного и консервного назначения")</f>
        <v> Салатного и консервного назначения</v>
      </c>
      <c r="L76" s="6" t="str">
        <f>IFERROR(__xludf.DUMMYFUNCTION("""COMPUTED_VALUE""")," В пазухе листа закладывается по 2-3 завязи")</f>
        <v> В пазухе листа закладывается по 2-3 завязи</v>
      </c>
      <c r="M76" s="6" t="str">
        <f>IFERROR(__xludf.DUMMYFUNCTION("""COMPUTED_VALUE""")," Ценность сорта – раннеспелость, дружная отдача урожая, что позволяет провести уборку за 2-3 сбора, высокая товарность")</f>
        <v> Ценность сорта – раннеспелость, дружная отдача урожая, что позволяет провести уборку за 2-3 сбора, высокая товарность</v>
      </c>
    </row>
    <row r="77">
      <c r="A77" s="11" t="s">
        <v>488</v>
      </c>
      <c r="I77" s="55" t="str">
        <f>IFERROR(__xludf.DUMMYFUNCTION("SPLIT(A77,""."")"),"Деликатесный")</f>
        <v>Деликатесный</v>
      </c>
      <c r="J77" s="6" t="str">
        <f>IFERROR(__xludf.DUMMYFUNCTION("""COMPUTED_VALUE"""),"Раннеспелый сорт для выращивания в открытом грунте")</f>
        <v>Раннеспелый сорт для выращивания в открытом грунте</v>
      </c>
      <c r="K77" s="6" t="str">
        <f>IFERROR(__xludf.DUMMYFUNCTION("""COMPUTED_VALUE""")," Растение мощное, длинноплетистое")</f>
        <v> Растение мощное, длинноплетистое</v>
      </c>
      <c r="L77" s="6" t="str">
        <f>IFERROR(__xludf.DUMMYFUNCTION("""COMPUTED_VALUE""")," Зеленцы цилиндрические, выровненные, мелко-,частобугорчатые, длиной 9-12 см")</f>
        <v> Зеленцы цилиндрические, выровненные, мелко-,частобугорчатые, длиной 9-12 см</v>
      </c>
      <c r="M77" s="6" t="str">
        <f>IFERROR(__xludf.DUMMYFUNCTION("""COMPUTED_VALUE""")," Кожица негрубая, темно-зеленая")</f>
        <v> Кожица негрубая, темно-зеленая</v>
      </c>
      <c r="N77" s="6" t="str">
        <f>IFERROR(__xludf.DUMMYFUNCTION("""COMPUTED_VALUE"""),"Мякоть плотная, с высоким содержанием сахаров")</f>
        <v>Мякоть плотная, с высоким содержанием сахаров</v>
      </c>
    </row>
    <row r="78">
      <c r="A78" s="11" t="s">
        <v>492</v>
      </c>
      <c r="I78" s="55" t="str">
        <f>IFERROR(__xludf.DUMMYFUNCTION("SPLIT(A78,""."")"),"Емеля")</f>
        <v>Емеля</v>
      </c>
      <c r="J78" s="6" t="str">
        <f>IFERROR(__xludf.DUMMYFUNCTION("""COMPUTED_VALUE"""),"Среднеранний салатный сорт")</f>
        <v>Среднеранний салатный сорт</v>
      </c>
      <c r="K78" s="6" t="str">
        <f>IFERROR(__xludf.DUMMYFUNCTION("""COMPUTED_VALUE""")," Вегетационный период от всходов до первого сбора 55-60 дней")</f>
        <v> Вегетационный период от всходов до первого сбора 55-60 дней</v>
      </c>
      <c r="L78" s="6" t="str">
        <f>IFERROR(__xludf.DUMMYFUNCTION("""COMPUTED_VALUE""")," Зеленцы гладкие, длиной 16-20см, диаметром 3-5см, массой 120-180г, с тонкой, блестящей темно-зеленой кожурой")</f>
        <v> Зеленцы гладкие, длиной 16-20см, диаметром 3-5см, массой 120-180г, с тонкой, блестящей темно-зеленой кожурой</v>
      </c>
      <c r="M78" s="6" t="str">
        <f>IFERROR(__xludf.DUMMYFUNCTION("""COMPUTED_VALUE"""),"Мякоть толстая, сочная, без горечи с приятным вкусом и ароматом")</f>
        <v>Мякоть толстая, сочная, без горечи с приятным вкусом и ароматом</v>
      </c>
    </row>
    <row r="79">
      <c r="A79" s="11" t="s">
        <v>496</v>
      </c>
      <c r="I79" s="55" t="str">
        <f>IFERROR(__xludf.DUMMYFUNCTION("SPLIT(A79,""."")"),"Журавленок")</f>
        <v>Журавленок</v>
      </c>
      <c r="J79" s="6" t="str">
        <f>IFERROR(__xludf.DUMMYFUNCTION("""COMPUTED_VALUE"""),"F1")</f>
        <v>F1</v>
      </c>
      <c r="K79" s="6" t="str">
        <f>IFERROR(__xludf.DUMMYFUNCTION("""COMPUTED_VALUE"""),"Раннеспелый, пчелоопыляемый гибрид, период от всходов до первого урожая составляет 40-45 дней")</f>
        <v>Раннеспелый, пчелоопыляемый гибрид, период от всходов до первого урожая составляет 40-45 дней</v>
      </c>
      <c r="L79" s="6" t="str">
        <f>IFERROR(__xludf.DUMMYFUNCTION("""COMPUTED_VALUE""")," Зеленец бугорчатый, овально-цилиндрический, длиной 10-12 см, без горечи")</f>
        <v> Зеленец бугорчатый, овально-цилиндрический, длиной 10-12 см, без горечи</v>
      </c>
      <c r="M79" s="6" t="str">
        <f>IFERROR(__xludf.DUMMYFUNCTION("""COMPUTED_VALUE""")," Мякоть плотная, хрустящая")</f>
        <v> Мякоть плотная, хрустящая</v>
      </c>
    </row>
    <row r="80">
      <c r="A80" s="11" t="s">
        <v>500</v>
      </c>
      <c r="I80" s="55" t="str">
        <f>IFERROR(__xludf.DUMMYFUNCTION("SPLIT(A80,""."")"),"Засолочный")</f>
        <v>Засолочный</v>
      </c>
      <c r="J80" s="6" t="str">
        <f>IFERROR(__xludf.DUMMYFUNCTION("""COMPUTED_VALUE"""),"Раннеспелый, пчелоопыляемый сорт")</f>
        <v>Раннеспелый, пчелоопыляемый сорт</v>
      </c>
      <c r="K80" s="6" t="str">
        <f>IFERROR(__xludf.DUMMYFUNCTION("""COMPUTED_VALUE""")," Плоды однородные по размеру, удлиненно-яйцевидной формы, темно-зеленые, не желтеют,крупнобугорчатые, с нежной кожицей и отличными засолочными качествами")</f>
        <v> Плоды однородные по размеру, удлиненно-яйцевидной формы, темно-зеленые, не желтеют,крупнобугорчатые, с нежной кожицей и отличными засолочными качествами</v>
      </c>
    </row>
    <row r="81">
      <c r="A81" s="11" t="s">
        <v>502</v>
      </c>
      <c r="I81" s="55" t="str">
        <f>IFERROR(__xludf.DUMMYFUNCTION("SPLIT(A81,""."")"),"Засолочный")</f>
        <v>Засолочный</v>
      </c>
      <c r="J81" s="6" t="str">
        <f>IFERROR(__xludf.DUMMYFUNCTION("""COMPUTED_VALUE"""),"Раннеспелый, пчело-опыляемый сорт")</f>
        <v>Раннеспелый, пчело-опыляемый сорт</v>
      </c>
      <c r="K81" s="6" t="str">
        <f>IFERROR(__xludf.DUMMYFUNCTION("""COMPUTED_VALUE""")," Плоды однородные по размеру, удлиненно-яйцевидной формы, темно-зеленые, не желтеют,крупнобугорчатые, с нежной кожицей и отличными засолочными качествами")</f>
        <v> Плоды однородные по размеру, удлиненно-яйцевидной формы, темно-зеленые, не желтеют,крупнобугорчатые, с нежной кожицей и отличными засолочными качествами</v>
      </c>
    </row>
    <row r="82">
      <c r="A82" s="11" t="s">
        <v>505</v>
      </c>
      <c r="I82" s="55" t="str">
        <f>IFERROR(__xludf.DUMMYFUNCTION("SPLIT(A82,""."")"),"ЗозуляF1")</f>
        <v>ЗозуляF1</v>
      </c>
      <c r="J82" s="6" t="str">
        <f>IFERROR(__xludf.DUMMYFUNCTION("""COMPUTED_VALUE"""),"Гибрид скороспелый, засолочный, обладает частичной партенокарпией (самоопыляемый)")</f>
        <v>Гибрид скороспелый, засолочный, обладает частичной партенокарпией (самоопыляемый)</v>
      </c>
      <c r="K82" s="6" t="str">
        <f>IFERROR(__xludf.DUMMYFUNCTION("""COMPUTED_VALUE""")," Зеленец цилиндрический, слабобугорчатый, длина плода 15-23 см")</f>
        <v> Зеленец цилиндрический, слабобугорчатый, длина плода 15-23 см</v>
      </c>
      <c r="L82" s="6" t="str">
        <f>IFERROR(__xludf.DUMMYFUNCTION("""COMPUTED_VALUE""")," Урожайность и товарность высокие")</f>
        <v> Урожайность и товарность высокие</v>
      </c>
      <c r="M82" s="6" t="str">
        <f>IFERROR(__xludf.DUMMYFUNCTION("""COMPUTED_VALUE""")," Применяется для выращивания в теплицах, помещениях и в открытом грунте")</f>
        <v> Применяется для выращивания в теплицах, помещениях и в открытом грунте</v>
      </c>
    </row>
    <row r="83">
      <c r="A83" s="11" t="s">
        <v>508</v>
      </c>
      <c r="I83" s="55" t="str">
        <f>IFERROR(__xludf.DUMMYFUNCTION("SPLIT(A83,""."")"),"Зубренок F1")</f>
        <v>Зубренок F1</v>
      </c>
      <c r="J83" s="6" t="str">
        <f>IFERROR(__xludf.DUMMYFUNCTION("""COMPUTED_VALUE"""),"Среднеранний гибрид")</f>
        <v>Среднеранний гибрид</v>
      </c>
      <c r="K83" s="6" t="str">
        <f>IFERROR(__xludf.DUMMYFUNCTION("""COMPUTED_VALUE""")," В плодоношение вступает на 48-50 день после всходов")</f>
        <v> В плодоношение вступает на 48-50 день после всходов</v>
      </c>
      <c r="L83" s="6" t="str">
        <f>IFERROR(__xludf.DUMMYFUNCTION("""COMPUTED_VALUE""")," Пчелоопыляемый,преимущественно с женским типом цветения ")</f>
        <v> Пчелоопыляемый,преимущественно с женским типом цветения </v>
      </c>
      <c r="M83" s="6" t="str">
        <f>IFERROR(__xludf.DUMMYFUNCTION("""COMPUTED_VALUE""")," Зеленец длиной 12-14см, высоких вкусовых качеств, без горечи")</f>
        <v> Зеленец длиной 12-14см, высоких вкусовых качеств, без горечи</v>
      </c>
    </row>
    <row r="84">
      <c r="A84" s="11" t="s">
        <v>512</v>
      </c>
      <c r="I84" s="55" t="str">
        <f>IFERROR(__xludf.DUMMYFUNCTION("SPLIT(A84,""."")"),"Зятек")</f>
        <v>Зятек</v>
      </c>
      <c r="J84" s="6" t="str">
        <f>IFERROR(__xludf.DUMMYFUNCTION("""COMPUTED_VALUE"""),"Скороспелый (45-48 день от всходов до плодоношения) партенокарпический гибрид женского типа цветения")</f>
        <v>Скороспелый (45-48 день от всходов до плодоношения) партенокарпический гибрид женского типа цветения</v>
      </c>
      <c r="K84" s="6" t="str">
        <f>IFERROR(__xludf.DUMMYFUNCTION("""COMPUTED_VALUE"""),"Предназначен для выращивания в открытом грунте и пленочных теплицах")</f>
        <v>Предназначен для выращивания в открытом грунте и пленочных теплицах</v>
      </c>
      <c r="L84" s="6" t="str">
        <f>IFERROR(__xludf.DUMMYFUNCTION("""COMPUTED_VALUE""")," Зеленец длиной 10-12 см,")</f>
        <v> Зеленец длиной 10-12 см,</v>
      </c>
    </row>
    <row r="85">
      <c r="A85" s="11" t="s">
        <v>516</v>
      </c>
      <c r="I85" s="55" t="str">
        <f>IFERROR(__xludf.DUMMYFUNCTION("SPLIT(A85,""."")"),"ИраF1")</f>
        <v>ИраF1</v>
      </c>
      <c r="J85" s="6" t="str">
        <f>IFERROR(__xludf.DUMMYFUNCTION("""COMPUTED_VALUE"""),"Раннеспелый, высокоурожайный, пчелоопыляемый гибрид, с преимущественно женским типом цветения, для выращивания в открытом и закрытом грунте")</f>
        <v>Раннеспелый, высокоурожайный, пчелоопыляемый гибрид, с преимущественно женским типом цветения, для выращивания в открытом и закрытом грунте</v>
      </c>
      <c r="K85" s="6" t="str">
        <f>IFERROR(__xludf.DUMMYFUNCTION("""COMPUTED_VALUE""")," От всходов до первого сбора 40-42 дня")</f>
        <v> От всходов до первого сбора 40-42 дня</v>
      </c>
      <c r="L85" s="6" t="str">
        <f>IFERROR(__xludf.DUMMYFUNCTION("""COMPUTED_VALUE""")," Плод темно-зеленый, без горечи")</f>
        <v> Плод темно-зеленый, без горечи</v>
      </c>
    </row>
    <row r="86">
      <c r="A86" s="11" t="s">
        <v>520</v>
      </c>
      <c r="I86" s="55" t="str">
        <f>IFERROR(__xludf.DUMMYFUNCTION("SPLIT(A86,""."")"),"Китайское чудо")</f>
        <v>Китайское чудо</v>
      </c>
      <c r="J86" s="6" t="str">
        <f>IFERROR(__xludf.DUMMYFUNCTION("""COMPUTED_VALUE"""),"Данный сорт очень привлекателен плодами длиной до 45см, мелкобугорчатыми и шиповатыми")</f>
        <v>Данный сорт очень привлекателен плодами длиной до 45см, мелкобугорчатыми и шиповатыми</v>
      </c>
      <c r="K86" s="6" t="str">
        <f>IFERROR(__xludf.DUMMYFUNCTION("""COMPUTED_VALUE""")," Огурцы имеют тонкую кожицу, плотную консистенцию и отличные вкусовые качества")</f>
        <v> Огурцы имеют тонкую кожицу, плотную консистенцию и отличные вкусовые качества</v>
      </c>
      <c r="L86" s="6" t="str">
        <f>IFERROR(__xludf.DUMMYFUNCTION("""COMPUTED_VALUE""")," Транспортабельность высокая")</f>
        <v> Транспортабельность высокая</v>
      </c>
      <c r="M86" s="6" t="str">
        <f>IFERROR(__xludf.DUMMYFUNCTION("""COMPUTED_VALUE""")," Плоды не содержат горечи, отлично солятся и консервируются, даже нарезанные кусочками")</f>
        <v> Плоды не содержат горечи, отлично солятся и консервируются, даже нарезанные кусочками</v>
      </c>
    </row>
    <row r="87">
      <c r="A87" s="11" t="s">
        <v>524</v>
      </c>
      <c r="I87" s="55" t="str">
        <f>IFERROR(__xludf.DUMMYFUNCTION("SPLIT(A87,""."")"),"Комнатный")</f>
        <v>Комнатный</v>
      </c>
      <c r="J87" s="6" t="str">
        <f>IFERROR(__xludf.DUMMYFUNCTION("""COMPUTED_VALUE"""),"Партенокарпический (самоопыляемый) гибрид, женского типа цветения, который можно выращивать на подоконнике, на балконе, в теплице и в открытом грунте, вертикальным или горизонтальным способом")</f>
        <v>Партенокарпический (самоопыляемый) гибрид, женского типа цветения, который можно выращивать на подоконнике, на балконе, в теплице и в открытом грунте, вертикальным или горизонтальным способом</v>
      </c>
      <c r="K87" s="6" t="str">
        <f>IFERROR(__xludf.DUMMYFUNCTION("""COMPUTED_VALUE""")," Плоды корнишонного типа, 7-8 см, крупнобугорчатые, хороших вкусовых качеств")</f>
        <v> Плоды корнишонного типа, 7-8 см, крупнобугорчатые, хороших вкусовых качеств</v>
      </c>
    </row>
    <row r="88">
      <c r="A88" s="11" t="s">
        <v>528</v>
      </c>
      <c r="I88" s="55" t="str">
        <f>IFERROR(__xludf.DUMMYFUNCTION("SPLIT(A88,""."")"),"Конкурент")</f>
        <v>Конкурент</v>
      </c>
      <c r="J88" s="6" t="str">
        <f>IFERROR(__xludf.DUMMYFUNCTION("""COMPUTED_VALUE"""),"Скороспелый,засолочный пчёлоопыляемый сорт открытого грунта")</f>
        <v>Скороспелый,засолочный пчёлоопыляемый сорт открытого грунта</v>
      </c>
      <c r="K88" s="6" t="str">
        <f>IFERROR(__xludf.DUMMYFUNCTION("""COMPUTED_VALUE""")," В плодоношение вступает на 45-50-й день,при летнем посеве на 29-30-й день")</f>
        <v> В плодоношение вступает на 45-50-й день,при летнем посеве на 29-30-й день</v>
      </c>
      <c r="L88" s="6" t="str">
        <f>IFERROR(__xludf.DUMMYFUNCTION("""COMPUTED_VALUE""")," Плод овально-цилиндрический, крупнобугорчатый, чёрношипый, длинной 9-12см,")</f>
        <v> Плод овально-цилиндрический, крупнобугорчатый, чёрношипый, длинной 9-12см,</v>
      </c>
    </row>
    <row r="89">
      <c r="A89" s="11" t="s">
        <v>532</v>
      </c>
      <c r="I89" s="55" t="str">
        <f>IFERROR(__xludf.DUMMYFUNCTION("SPLIT(A89,""."")"),"Круиз F1")</f>
        <v>Круиз F1</v>
      </c>
      <c r="J89" s="6" t="str">
        <f>IFERROR(__xludf.DUMMYFUNCTION("""COMPUTED_VALUE"""),"Среднеспелый (от всходов до плодоношения 49-52 дня) пчёло-опыляемый гибрид универсального назначения")</f>
        <v>Среднеспелый (от всходов до плодоношения 49-52 дня) пчёло-опыляемый гибрид универсального назначения</v>
      </c>
      <c r="K89" s="6" t="str">
        <f>IFERROR(__xludf.DUMMYFUNCTION("""COMPUTED_VALUE"""),"Растение плетистое ,плод ярко зеленый цилиндрический,крупнобугорчатый,длиной 8-10 см")</f>
        <v>Растение плетистое ,плод ярко зеленый цилиндрический,крупнобугорчатый,длиной 8-10 см</v>
      </c>
    </row>
    <row r="90">
      <c r="A90" s="11" t="s">
        <v>536</v>
      </c>
      <c r="I90" s="55" t="str">
        <f>IFERROR(__xludf.DUMMYFUNCTION("SPLIT(A90,""."")"),"Кустовой")</f>
        <v>Кустовой</v>
      </c>
      <c r="J90" s="6" t="str">
        <f>IFERROR(__xludf.DUMMYFUNCTION("""COMPUTED_VALUE""")," Раннеспелый сорт (45-50 дней)")</f>
        <v> Раннеспелый сорт (45-50 дней)</v>
      </c>
      <c r="K90" s="6" t="str">
        <f>IFERROR(__xludf.DUMMYFUNCTION("""COMPUTED_VALUE"""),"  Растение компактной формы")</f>
        <v>  Растение компактной формы</v>
      </c>
      <c r="L90" s="6" t="str">
        <f>IFERROR(__xludf.DUMMYFUNCTION("""COMPUTED_VALUE""")," Зеленец удлиненно-яйцевидный, длиной 9-12 см,вкусовые качества отличные")</f>
        <v> Зеленец удлиненно-яйцевидный, длиной 9-12 см,вкусовые качества отличные</v>
      </c>
    </row>
    <row r="91">
      <c r="A91" s="11" t="s">
        <v>539</v>
      </c>
      <c r="I91" s="55" t="str">
        <f>IFERROR(__xludf.DUMMYFUNCTION("SPLIT(A91,""."")"),"Лялюк")</f>
        <v>Лялюк</v>
      </c>
      <c r="J91" s="6" t="str">
        <f>IFERROR(__xludf.DUMMYFUNCTION("""COMPUTED_VALUE"""),"Среднеспелый сорт, период от массовых всходов до начала плодоношения 55-60 дней")</f>
        <v>Среднеспелый сорт, период от массовых всходов до начала плодоношения 55-60 дней</v>
      </c>
      <c r="K91" s="6" t="str">
        <f>IFERROR(__xludf.DUMMYFUNCTION("""COMPUTED_VALUE""")," Засолочный,консервный,высокоурожайный")</f>
        <v> Засолочный,консервный,высокоурожайный</v>
      </c>
      <c r="L91" s="6" t="str">
        <f>IFERROR(__xludf.DUMMYFUNCTION("""COMPUTED_VALUE""")," Плоді  крупнобугорчатые, черношипые, длиной 9-12 см")</f>
        <v> Плоді  крупнобугорчатые, черношипые, длиной 9-12 см</v>
      </c>
      <c r="M91" s="6" t="str">
        <f>IFERROR(__xludf.DUMMYFUNCTION("""COMPUTED_VALUE""")," Предназначен для летних сроков посева")</f>
        <v> Предназначен для летних сроков посева</v>
      </c>
      <c r="N91" s="6" t="str">
        <f>IFERROR(__xludf.DUMMYFUNCTION("""COMPUTED_VALUE""")," Устойчив к мучнистой росе")</f>
        <v> Устойчив к мучнистой росе</v>
      </c>
    </row>
    <row r="92">
      <c r="A92" s="14" t="s">
        <v>541</v>
      </c>
      <c r="I92" s="55" t="str">
        <f>IFERROR(__xludf.DUMMYFUNCTION("SPLIT(A92,""."")"),"Лялюк")</f>
        <v>Лялюк</v>
      </c>
      <c r="J92" s="6" t="str">
        <f>IFERROR(__xludf.DUMMYFUNCTION("""COMPUTED_VALUE"""),"Среднеспелый сорт, период от массовых всходов до начала плодоношения 55-60 дней")</f>
        <v>Среднеспелый сорт, период от массовых всходов до начала плодоношения 55-60 дней</v>
      </c>
      <c r="K92" s="6" t="str">
        <f>IFERROR(__xludf.DUMMYFUNCTION("""COMPUTED_VALUE"""),"Засолочный, консервный, высокоурожайный")</f>
        <v>Засолочный, консервный, высокоурожайный</v>
      </c>
      <c r="L92" s="6" t="str">
        <f>IFERROR(__xludf.DUMMYFUNCTION("""COMPUTED_VALUE""")," Плоды крупнобугорчатые, черношипые, длиной 9-12 см")</f>
        <v> Плоды крупнобугорчатые, черношипые, длиной 9-12 см</v>
      </c>
      <c r="M92" s="6" t="str">
        <f>IFERROR(__xludf.DUMMYFUNCTION("""COMPUTED_VALUE""")," Предназначен для
летних сроков посева")</f>
        <v> Предназначен для
летних сроков посева</v>
      </c>
      <c r="N92" s="6" t="str">
        <f>IFERROR(__xludf.DUMMYFUNCTION("""COMPUTED_VALUE""")," Устойчив к мучнистой росе")</f>
        <v> Устойчив к мучнистой росе</v>
      </c>
    </row>
    <row r="93">
      <c r="A93" s="14" t="s">
        <v>545</v>
      </c>
      <c r="I93" s="55" t="str">
        <f>IFERROR(__xludf.DUMMYFUNCTION("SPLIT(A93,""."")"),"Мал да удал F1")</f>
        <v>Мал да удал F1</v>
      </c>
      <c r="J93" s="6" t="str">
        <f>IFERROR(__xludf.DUMMYFUNCTION("""COMPUTED_VALUE"""),"Раннеспелый (от всходов до сбора урожая 40-45 дней) партенокарпический гибрид")</f>
        <v>Раннеспелый (от всходов до сбора урожая 40-45 дней) партенокарпический гибрид</v>
      </c>
      <c r="K93" s="6" t="str">
        <f>IFERROR(__xludf.DUMMYFUNCTION("""COMPUTED_VALUE""")," Растение мощное, плетистое, с женским типом цветения")</f>
        <v> Растение мощное, плетистое, с женским типом цветения</v>
      </c>
      <c r="L93" s="6" t="str">
        <f>IFERROR(__xludf.DUMMYFUNCTION("""COMPUTED_VALUE""")," Плодообразование наглавном стебле - одиночное,
по одной завязи в каждом узле, а на боковых побегах - букетное")</f>
        <v> Плодообразование наглавном стебле - одиночное,
по одной завязи в каждом узле, а на боковых побегах - букетное</v>
      </c>
    </row>
    <row r="94">
      <c r="A94" s="11" t="s">
        <v>549</v>
      </c>
      <c r="I94" s="55" t="str">
        <f>IFERROR(__xludf.DUMMYFUNCTION("SPLIT(A94,""."")"),"Леша F1")</f>
        <v>Леша F1</v>
      </c>
      <c r="J94" s="6" t="str">
        <f>IFERROR(__xludf.DUMMYFUNCTION("""COMPUTED_VALUE"""),"Скороспелый гибрид, селекции Донецкой опытной станции, универсального назначения")</f>
        <v>Скороспелый гибрид, селекции Донецкой опытной станции, универсального назначения</v>
      </c>
      <c r="K94" s="6" t="str">
        <f>IFERROR(__xludf.DUMMYFUNCTION("""COMPUTED_VALUE""")," Устойчив к пероноспорозу и бактериозу, не поражается обычной мозаикой")</f>
        <v> Устойчив к пероноспорозу и бактериозу, не поражается обычной мозаикой</v>
      </c>
      <c r="L94" s="6" t="str">
        <f>IFERROR(__xludf.DUMMYFUNCTION("""COMPUTED_VALUE""")," Плоды не желтеют,  долго сохраняют товарность, високотранспортабельные")</f>
        <v> Плоды не желтеют,  долго сохраняют товарность, високотранспортабельные</v>
      </c>
    </row>
    <row r="95">
      <c r="A95" s="11" t="s">
        <v>553</v>
      </c>
      <c r="I95" s="55" t="str">
        <f>IFERROR(__xludf.DUMMYFUNCTION("SPLIT(A95,""."")"),"Либелла F1")</f>
        <v>Либелла F1</v>
      </c>
      <c r="J95" s="6" t="str">
        <f>IFERROR(__xludf.DUMMYFUNCTION("""COMPUTED_VALUE"""),"Раннеспелый пчелоопыляемый гибрид")</f>
        <v>Раннеспелый пчелоопыляемый гибрид</v>
      </c>
      <c r="K95" s="6" t="str">
        <f>IFERROR(__xludf.DUMMYFUNCTION("""COMPUTED_VALUE""")," Не требует сортов-опылителей")</f>
        <v> Не требует сортов-опылителей</v>
      </c>
      <c r="L95" s="6" t="str">
        <f>IFERROR(__xludf.DUMMYFUNCTION("""COMPUTED_VALUE""")," Для открытого грунта, пленочныхукрытий и теплиц")</f>
        <v> Для открытого грунта, пленочныхукрытий и теплиц</v>
      </c>
      <c r="M95" s="6" t="str">
        <f>IFERROR(__xludf.DUMMYFUNCTION("""COMPUTED_VALUE""")," Пригоден для засола и консервирова-ния")</f>
        <v> Пригоден для засола и консервирова-ния</v>
      </c>
    </row>
    <row r="96">
      <c r="A96" s="11" t="s">
        <v>557</v>
      </c>
      <c r="I96" s="55" t="str">
        <f>IFERROR(__xludf.DUMMYFUNCTION("SPLIT(A96,""."")"),"Мальчик с пальчикF1")</f>
        <v>Мальчик с пальчикF1</v>
      </c>
      <c r="J96" s="6" t="str">
        <f>IFERROR(__xludf.DUMMYFUNCTION("""COMPUTED_VALUE""")," Скороспелый (37-39 дней), пчелоопыляемый, засолочный сорт открытого грунта")</f>
        <v> Скороспелый (37-39 дней), пчелоопыляемый, засолочный сорт открытого грунта</v>
      </c>
      <c r="K96" s="6" t="str">
        <f>IFERROR(__xludf.DUMMYFUNCTION("""COMPUTED_VALUE""")," Не образует пустоцветов")</f>
        <v> Не образует пустоцветов</v>
      </c>
      <c r="L96" s="6" t="str">
        <f>IFERROR(__xludf.DUMMYFUNCTION("""COMPUTED_VALUE"""),"Плод  корнишон, длиной 6-8 см, хорошего вкуса, долго сохраняет товарный вид и зеленую окраску")</f>
        <v>Плод  корнишон, длиной 6-8 см, хорошего вкуса, долго сохраняет товарный вид и зеленую окраску</v>
      </c>
    </row>
    <row r="97">
      <c r="A97" s="11" t="s">
        <v>561</v>
      </c>
      <c r="I97" s="55" t="str">
        <f>IFERROR(__xludf.DUMMYFUNCTION("SPLIT(A97,""."")"),"Мальчик с пальчик")</f>
        <v>Мальчик с пальчик</v>
      </c>
      <c r="J97" s="6" t="str">
        <f>IFERROR(__xludf.DUMMYFUNCTION("""COMPUTED_VALUE"""),"Скороспелый (37-39 дней), пчелоопыляемый, засолочный сорт открытого грунта")</f>
        <v>Скороспелый (37-39 дней), пчелоопыляемый, засолочный сорт открытого грунта</v>
      </c>
      <c r="K97" s="6" t="str">
        <f>IFERROR(__xludf.DUMMYFUNCTION("""COMPUTED_VALUE""")," Не образует пустоцветов")</f>
        <v> Не образует пустоцветов</v>
      </c>
      <c r="L97" s="6" t="str">
        <f>IFERROR(__xludf.DUMMYFUNCTION("""COMPUTED_VALUE"""),"Плод  корнишон, длиной 6-8 см, хорошего вкуса, долго сохраняет товарный вид и зеленую окраску")</f>
        <v>Плод  корнишон, длиной 6-8 см, хорошего вкуса, долго сохраняет товарный вид и зеленую окраску</v>
      </c>
    </row>
    <row r="98">
      <c r="A98" s="11" t="s">
        <v>565</v>
      </c>
      <c r="I98" s="55" t="str">
        <f>IFERROR(__xludf.DUMMYFUNCTION("SPLIT(A98,""."")"),"Маринда F1Партенокарпический (само опыляемый, не нуждается в опылении пчелами), очень ранний гибрид")</f>
        <v>Маринда F1Партенокарпический (само опыляемый, не нуждается в опылении пчелами), очень ранний гибрид</v>
      </c>
      <c r="J98" s="6" t="str">
        <f>IFERROR(__xludf.DUMMYFUNCTION("""COMPUTED_VALUE""")," При достаточном питании формирует по 6-7 плодов в каждом узле")</f>
        <v> При достаточном питании формирует по 6-7 плодов в каждом узле</v>
      </c>
      <c r="K98" s="6" t="str">
        <f>IFERROR(__xludf.DUMMYFUNCTION("""COMPUTED_VALUE""")," Плоды с шипами, красивой темно-зеленойокраски, без горечи")</f>
        <v> Плоды с шипами, красивой темно-зеленойокраски, без горечи</v>
      </c>
    </row>
    <row r="99">
      <c r="A99" s="14" t="s">
        <v>568</v>
      </c>
      <c r="I99" s="55" t="str">
        <f>IFERROR(__xludf.DUMMYFUNCTION("SPLIT(A99,""."")"),"МашаF1")</f>
        <v>МашаF1</v>
      </c>
      <c r="J99" s="6" t="str">
        <f>IFERROR(__xludf.DUMMYFUNCTION("""COMPUTED_VALUE""")," Самый ранний гибрид огурца-корнишона")</f>
        <v> Самый ранний гибрид огурца-корнишона</v>
      </c>
      <c r="K99" s="6" t="str">
        <f>IFERROR(__xludf.DUMMYFUNCTION("""COMPUTED_VALUE""")," Партенокарпик, не нуждается в опылении пчелами")</f>
        <v> Партенокарпик, не нуждается в опылении пчелами</v>
      </c>
      <c r="L99" s="6" t="str">
        <f>IFERROR(__xludf.DUMMYFUNCTION("""COMPUTED_VALUE""")," 
Достаточное питании формирует по 6-7 плодов на каждом узле")</f>
        <v> 
Достаточное питании формирует по 6-7 плодов на каждом узле</v>
      </c>
      <c r="M99" s="6" t="str">
        <f>IFERROR(__xludf.DUMMYFUNCTION("""COMPUTED_VALUE""")," Плоды без горечи, созревают очень рано и дружно")</f>
        <v> Плоды без горечи, созревают очень рано и дружно</v>
      </c>
      <c r="N99" s="6" t="str">
        <f>IFERROR(__xludf.DUMMYFUNCTION("""COMPUTED_VALUE""")," Самый ранний гибрид огурца-корнишона")</f>
        <v> Самый ранний гибрид огурца-корнишона</v>
      </c>
    </row>
    <row r="100">
      <c r="A100" s="11" t="s">
        <v>572</v>
      </c>
      <c r="I100" s="55" t="str">
        <f>IFERROR(__xludf.DUMMYFUNCTION("SPLIT(A100,""."")"),"Монастырский")</f>
        <v>Монастырский</v>
      </c>
      <c r="J100" s="6" t="str">
        <f>IFERROR(__xludf.DUMMYFUNCTION("""COMPUTED_VALUE"""),"Раннеспелый, созреваетза38дней,высокоурожайный сорт")</f>
        <v>Раннеспелый, созреваетза38дней,высокоурожайный сорт</v>
      </c>
      <c r="K100" s="6" t="str">
        <f>IFERROR(__xludf.DUMMYFUNCTION("""COMPUTED_VALUE""")," Плоды не крупные 9-12см, цилиндрической формы, без горечи, с длительным периодом плодоношения")</f>
        <v> Плоды не крупные 9-12см, цилиндрической формы, без горечи, с длительным периодом плодоношения</v>
      </c>
      <c r="L100" s="6" t="str">
        <f>IFERROR(__xludf.DUMMYFUNCTION("""COMPUTED_VALUE""")," Используют в свежем виде консервируют, солят")</f>
        <v> Используют в свежем виде консервируют, солят</v>
      </c>
    </row>
    <row r="101">
      <c r="A101" s="11" t="s">
        <v>575</v>
      </c>
      <c r="I101" s="55" t="str">
        <f>IFERROR(__xludf.DUMMYFUNCTION("SPLIT(A101,""."")"),"Мар`Їна Роща продуктивный, скороспелый, партенокарпический корнишонный гибрид, с пучковым образованием завязей")</f>
        <v>Мар`Їна Роща продуктивный, скороспелый, партенокарпический корнишонный гибрид, с пучковым образованием завязей</v>
      </c>
      <c r="J101" s="6" t="str">
        <f>IFERROR(__xludf.DUMMYFUNCTION("""COMPUTED_VALUE""")," Холодостоек, теневынослив, плодоносит до глубокой осени")</f>
        <v> Холодостоек, теневынослив, плодоносит до глубокой осени</v>
      </c>
      <c r="K101" s="6" t="str">
        <f>IFERROR(__xludf.DUMMYFUNCTION("""COMPUTED_VALUE""")," В узлах формируется от 2-3 до 4-5 завязей")</f>
        <v> В узлах формируется от 2-3 до 4-5 завязей</v>
      </c>
      <c r="L101" s="6" t="str">
        <f>IFERROR(__xludf.DUMMYFUNCTION("""COMPUTED_VALUE"""),"Засолочные и вкусовые качества очень высокие")</f>
        <v>Засолочные и вкусовые качества очень высокие</v>
      </c>
    </row>
    <row r="102">
      <c r="A102" s="11" t="s">
        <v>578</v>
      </c>
      <c r="I102" s="55" t="str">
        <f>IFERROR(__xludf.DUMMYFUNCTION("SPLIT(A102,""."")"),"Мурашка F1")</f>
        <v>Мурашка F1</v>
      </c>
      <c r="J102" s="6" t="str">
        <f>IFERROR(__xludf.DUMMYFUNCTION("""COMPUTED_VALUE"""),"Скороспелый (43-48 дней от всходов до созревания), не требующий опыления, гибрид для открытого и защищенного грунта с женским типом цветения")</f>
        <v>Скороспелый (43-48 дней от всходов до созревания), не требующий опыления, гибрид для открытого и защищенного грунта с женским типом цветения</v>
      </c>
      <c r="K102" s="6" t="str">
        <f>IFERROR(__xludf.DUMMYFUNCTION("""COMPUTED_VALUE""")," Растение выглядит очень привлекательно, на кусте одновременно вы увидите и букетики женских цветков, и яркие, изящные, зеленцы по 4-6 в узле")</f>
        <v> Растение выглядит очень привлекательно, на кусте одновременно вы увидите и букетики женских цветков, и яркие, изящные, зеленцы по 4-6 в узле</v>
      </c>
    </row>
    <row r="103">
      <c r="A103" s="14" t="s">
        <v>582</v>
      </c>
      <c r="I103" s="55" t="str">
        <f>IFERROR(__xludf.DUMMYFUNCTION("SPLIT(A103,""."")"),"Неженский")</f>
        <v>Неженский</v>
      </c>
      <c r="J103" s="6" t="str">
        <f>IFERROR(__xludf.DUMMYFUNCTION("""COMPUTED_VALUE"""),"Сорт среднепоздний, длинноплетистый")</f>
        <v>Сорт среднепоздний, длинноплетистый</v>
      </c>
      <c r="K103" s="6" t="str">
        <f>IFERROR(__xludf.DUMMYFUNCTION("""COMPUTED_VALUE""")," Требователен к влаге и сравнительно устойчив к грибным болезням")</f>
        <v> Требователен к влаге и сравнительно устойчив к грибным болезням</v>
      </c>
      <c r="L103" s="6" t="str">
        <f>IFERROR(__xludf.DUMMYFUNCTION("""COMPUTED_VALUE"""),"Зеленец удлиненно-яцевидной формы, темно-зеленый, крупно-бугорчатый, длиной 9-12 см, диаметром 3-5 см,
массой около 90 г, урожайный")</f>
        <v>Зеленец удлиненно-яцевидной формы, темно-зеленый, крупно-бугорчатый, длиной 9-12 см, диаметром 3-5 см,
массой около 90 г, урожайный</v>
      </c>
      <c r="M103" s="6" t="str">
        <f>IFERROR(__xludf.DUMMYFUNCTION("""COMPUTED_VALUE""")," Сорт требователен к влаге")</f>
        <v> Сорт требователен к влаге</v>
      </c>
    </row>
    <row r="104">
      <c r="A104" s="11" t="s">
        <v>584</v>
      </c>
      <c r="I104" s="55" t="str">
        <f>IFERROR(__xludf.DUMMYFUNCTION("SPLIT(A104,""."")"),"Неженский")</f>
        <v>Неженский</v>
      </c>
      <c r="J104" s="6" t="str">
        <f>IFERROR(__xludf.DUMMYFUNCTION("""COMPUTED_VALUE""")," Сорт среднепоздний, длинноплетистый")</f>
        <v> Сорт среднепоздний, длинноплетистый</v>
      </c>
      <c r="K104" s="6" t="str">
        <f>IFERROR(__xludf.DUMMYFUNCTION("""COMPUTED_VALUE"""),"Требоателен к влаге и сравнительно устойчив к грибным болезням")</f>
        <v>Требоателен к влаге и сравнительно устойчив к грибным болезням</v>
      </c>
      <c r="L104" s="6" t="str">
        <f>IFERROR(__xludf.DUMMYFUNCTION("""COMPUTED_VALUE""")," Зеленец удлиненно яйцевидной формы,темно -зеленый,крупно бугорчатый,длинной 9-12см")</f>
        <v> Зеленец удлиненно яйцевидной формы,темно -зеленый,крупно бугорчатый,длинной 9-12см</v>
      </c>
      <c r="M104" s="6" t="str">
        <f>IFERROR(__xludf.DUMMYFUNCTION("""COMPUTED_VALUE""")," Урожайный Сорт требователен к влаге")</f>
        <v> Урожайный Сорт требователен к влаге</v>
      </c>
    </row>
    <row r="105">
      <c r="A105" s="11" t="s">
        <v>587</v>
      </c>
      <c r="I105" s="55" t="str">
        <f>IFERROR(__xludf.DUMMYFUNCTION("SPLIT(A105,""."")"),"Наташа F1")</f>
        <v>Наташа F1</v>
      </c>
      <c r="J105" s="6" t="str">
        <f>IFERROR(__xludf.DUMMYFUNCTION("""COMPUTED_VALUE"""),"Раннеспелый гибрид с преимущественно женским типом цветения")</f>
        <v>Раннеспелый гибрид с преимущественно женским типом цветения</v>
      </c>
      <c r="K105" s="6" t="str">
        <f>IFERROR(__xludf.DUMMYFUNCTION("""COMPUTED_VALUE""")," Плоды зеленые, с шипами отличного качества без горечи")</f>
        <v> Плоды зеленые, с шипами отличного качества без горечи</v>
      </c>
      <c r="L105" s="6" t="str">
        <f>IFERROR(__xludf.DUMMYFUNCTION("""COMPUTED_VALUE""")," Предназначены для потребления в свежем виде и переработки")</f>
        <v> Предназначены для потребления в свежем виде и переработки</v>
      </c>
    </row>
    <row r="106">
      <c r="A106" s="11" t="s">
        <v>590</v>
      </c>
      <c r="I106" s="55" t="str">
        <f>IFERROR(__xludf.DUMMYFUNCTION("SPLIT(A106,""."")"),"ОктопусF1")</f>
        <v>ОктопусF1</v>
      </c>
      <c r="J106" s="6" t="str">
        <f>IFERROR(__xludf.DUMMYFUNCTION("""COMPUTED_VALUE"""),"Среднеранний (50-55 дней) пчелоопыляемый гибрид")</f>
        <v>Среднеранний (50-55 дней) пчелоопыляемый гибрид</v>
      </c>
      <c r="K106" s="6" t="str">
        <f>IFERROR(__xludf.DUMMYFUNCTION("""COMPUTED_VALUE""")," Растение среднерослое, преимущественно женского типа цветения")</f>
        <v> Растение среднерослое, преимущественно женского типа цветения</v>
      </c>
      <c r="L106" s="6" t="str">
        <f>IFERROR(__xludf.DUMMYFUNCTION("""COMPUTED_VALUE""")," Зеленец цилиндрический, темно-зеленый, среднего размера 8-12 см массой 85-110 г")</f>
        <v> Зеленец цилиндрический, темно-зеленый, среднего размера 8-12 см массой 85-110 г</v>
      </c>
    </row>
    <row r="107">
      <c r="A107" s="14" t="s">
        <v>594</v>
      </c>
      <c r="I107" s="55" t="str">
        <f>IFERROR(__xludf.DUMMYFUNCTION("SPLIT(A107,""."")"),"Пальчик")</f>
        <v>Пальчик</v>
      </c>
      <c r="J107" s="6" t="str">
        <f>IFERROR(__xludf.DUMMYFUNCTION("""COMPUTED_VALUE"""),"Раннеспелый, пчело -опыляемый сорт")</f>
        <v>Раннеспелый, пчело -опыляемый сорт</v>
      </c>
      <c r="K107" s="6" t="str">
        <f>IFERROR(__xludf.DUMMYFUNCTION("""COMPUTED_VALUE""")," По урожайность превосходит в 2-3 раза все стандартные сорта")</f>
        <v> По урожайность превосходит в 2-3 раза все стандартные сорта</v>
      </c>
      <c r="L107" s="6" t="str">
        <f>IFERROR(__xludf.DUMMYFUNCTION("""COMPUTED_VALUE""")," Растение
сильнорослое, средневетвистое, с пучковым расположением завязей")</f>
        <v> Растение
сильнорослое, средневетвистое, с пучковым расположением завязей</v>
      </c>
      <c r="M107" s="6" t="str">
        <f>IFERROR(__xludf.DUMMYFUNCTION("""COMPUTED_VALUE""")," Зеленец удлиненно-элипсовидной формы 9-13см")</f>
        <v> Зеленец удлиненно-элипсовидной формы 9-13см</v>
      </c>
    </row>
    <row r="108">
      <c r="A108" s="14" t="s">
        <v>598</v>
      </c>
      <c r="I108" s="55" t="str">
        <f>IFERROR(__xludf.DUMMYFUNCTION("SPLIT(A108,""."")"),"Парижский корнишон Раннеспелый сорт для открытого грунта")</f>
        <v>Парижский корнишон Раннеспелый сорт для открытого грунта</v>
      </c>
      <c r="J108" s="6" t="str">
        <f>IFERROR(__xludf.DUMMYFUNCTION("""COMPUTED_VALUE""")," Высокоурожайный, засолочного типа")</f>
        <v> Высокоурожайный, засолочного типа</v>
      </c>
      <c r="K108" s="6" t="str">
        <f>IFERROR(__xludf.DUMMYFUNCTION("""COMPUTED_VALUE""")," Плод длиной 8-11см,
цилиндрический с продольными полосками и крупными бугорками, черношипый")</f>
        <v> Плод длиной 8-11см,
цилиндрический с продольными полосками и крупными бугорками, черношипый</v>
      </c>
    </row>
    <row r="109">
      <c r="A109" s="14" t="s">
        <v>601</v>
      </c>
      <c r="I109" s="55" t="str">
        <f>IFERROR(__xludf.DUMMYFUNCTION("SPLIT(A109,""."")"),"ПасамонтеF1")</f>
        <v>ПасамонтеF1</v>
      </c>
      <c r="J109" s="6" t="str">
        <f>IFERROR(__xludf.DUMMYFUNCTION("""COMPUTED_VALUE"""),"Раннеспелыйпаренокарпический (самоопыляемый) гибрид, корнишонного типа, для пленочных и стеклянныхтеплиц")</f>
        <v>Раннеспелыйпаренокарпический (самоопыляемый) гибрид, корнишонного типа, для пленочных и стеклянныхтеплиц</v>
      </c>
      <c r="K109" s="6" t="str">
        <f>IFERROR(__xludf.DUMMYFUNCTION("""COMPUTED_VALUE""")," Начинает плодоносить на 43-45 день после всходов")</f>
        <v> Начинает плодоносить на 43-45 день после всходов</v>
      </c>
      <c r="L109" s="6" t="str">
        <f>IFERROR(__xludf.DUMMYFUNCTION("""COMPUTED_VALUE""")," Пригоден для консервирования и засола")</f>
        <v> Пригоден для консервирования и засола</v>
      </c>
      <c r="M109" s="6" t="str">
        <f>IFERROR(__xludf.DUMMYFUNCTION("""COMPUTED_VALUE"""),"
Урожайность 12-15 кг/кв")</f>
        <v>
Урожайность 12-15 кг/кв</v>
      </c>
      <c r="N109" s="6" t="str">
        <f>IFERROR(__xludf.DUMMYFUNCTION("""COMPUTED_VALUE"""),"м")</f>
        <v>м</v>
      </c>
    </row>
    <row r="110">
      <c r="A110" s="14" t="s">
        <v>605</v>
      </c>
      <c r="I110" s="55" t="str">
        <f>IFERROR(__xludf.DUMMYFUNCTION("SPLIT(A110,""."")"),"Погребок F")</f>
        <v>Погребок F</v>
      </c>
      <c r="J110" s="6" t="str">
        <f>IFERROR(__xludf.DUMMYFUNCTION("""COMPUTED_VALUE"""),"Скороспелый (43-48 дней от всходов до плодоношения) пчелоопыляемый гибрид преимущественно женского типа цветения")</f>
        <v>Скороспелый (43-48 дней от всходов до плодоношения) пчелоопыляемый гибрид преимущественно женского типа цветения</v>
      </c>
      <c r="K110" s="6" t="str">
        <f>IFERROR(__xludf.DUMMYFUNCTION("""COMPUTED_VALUE""")," Предназначен для выращивания в открытом грунте и под временными пленочными укрытиями")</f>
        <v> Предназначен для выращивания в открытом грунте и под временными пленочными укрытиями</v>
      </c>
      <c r="L110" s="6" t="str">
        <f>IFERROR(__xludf.DUMMYFUNCTION("""COMPUTED_VALUE"""),"
Зеленец цилиндрической формы, длиной 9-11 см,")</f>
        <v>
Зеленец цилиндрической формы, длиной 9-11 см,</v>
      </c>
    </row>
    <row r="111">
      <c r="A111" s="14" t="s">
        <v>609</v>
      </c>
      <c r="I111" s="55" t="str">
        <f>IFERROR(__xludf.DUMMYFUNCTION("SPLIT(A111,""."")"),"Подмосковные вечераF1 Скороспелый, партенокарпический гибрид женского типа цветения с дружной отдачей урожая")</f>
        <v>Подмосковные вечераF1 Скороспелый, партенокарпический гибрид женского типа цветения с дружной отдачей урожая</v>
      </c>
      <c r="J111" s="6" t="str">
        <f>IFERROR(__xludf.DUMMYFUNCTION("""COMPUTED_VALUE""")," В узлах формируется 1-2 плода")</f>
        <v> В узлах формируется 1-2 плода</v>
      </c>
      <c r="K111" s="6" t="str">
        <f>IFERROR(__xludf.DUMMYFUNCTION("""COMPUTED_VALUE""")," Зеленцы бугорчатые белошипые, со средним опушением, длиной 12-14см, темно-
зеленые, пригодны для засолки и консервирования")</f>
        <v> Зеленцы бугорчатые белошипые, со средним опушением, длиной 12-14см, темно-
зеленые, пригодны для засолки и консервирования</v>
      </c>
    </row>
    <row r="112">
      <c r="A112" s="14" t="s">
        <v>612</v>
      </c>
      <c r="I112" s="55" t="str">
        <f>IFERROR(__xludf.DUMMYFUNCTION("SPLIT(A112,""."")"),"ПоланF1")</f>
        <v>ПоланF1</v>
      </c>
      <c r="J112" s="6" t="str">
        <f>IFERROR(__xludf.DUMMYFUNCTION("""COMPUTED_VALUE"""),"Среднеранний гибрид")</f>
        <v>Среднеранний гибрид</v>
      </c>
      <c r="K112" s="6" t="str">
        <f>IFERROR(__xludf.DUMMYFUNCTION("""COMPUTED_VALUE""")," Вегетационный период от всходов до начала плодоношения 45-50
дней")</f>
        <v> Вегетационный период от всходов до начала плодоношения 45-50
дней</v>
      </c>
      <c r="L112" s="6" t="str">
        <f>IFERROR(__xludf.DUMMYFUNCTION("""COMPUTED_VALUE""")," Плоды цилиндрические, крупнобугорчатые, черношипые, интенсивно зеленого цвета со светлыми полосками, длиной 7-10см,")</f>
        <v> Плоды цилиндрические, крупнобугорчатые, черношипые, интенсивно зеленого цвета со светлыми полосками, длиной 7-10см,</v>
      </c>
    </row>
    <row r="113">
      <c r="A113" s="11" t="s">
        <v>615</v>
      </c>
      <c r="I113" s="55" t="str">
        <f>IFERROR(__xludf.DUMMYFUNCTION("SPLIT(A113,""."")"),"ПотомакF1")</f>
        <v>ПотомакF1</v>
      </c>
      <c r="J113" s="6" t="str">
        <f>IFERROR(__xludf.DUMMYFUNCTION("""COMPUTED_VALUE"""),"Раннеспелый гибрид голландскойселекции,преимущественно с женским типом цветения, период отвсходов до начала плодоношения - 50-55 дней")</f>
        <v>Раннеспелый гибрид голландскойселекции,преимущественно с женским типом цветения, период отвсходов до начала плодоношения - 50-55 дней</v>
      </c>
      <c r="K113" s="6" t="str">
        <f>IFERROR(__xludf.DUMMYFUNCTION("""COMPUTED_VALUE""")," Растение детерминантное, со слабым ветвлением")</f>
        <v> Растение детерминантное, со слабым ветвлением</v>
      </c>
      <c r="L113" s="6" t="str">
        <f>IFERROR(__xludf.DUMMYFUNCTION("""COMPUTED_VALUE"""),"Плоды без горечи, отличного качества, длиной 9 - 15 см")</f>
        <v>Плоды без горечи, отличного качества, длиной 9 - 15 см</v>
      </c>
    </row>
    <row r="114">
      <c r="A114" s="14" t="s">
        <v>619</v>
      </c>
      <c r="I114" s="55" t="str">
        <f>IFERROR(__xludf.DUMMYFUNCTION("SPLIT(A114,""."")"),"РациборF1")</f>
        <v>РациборF1</v>
      </c>
      <c r="J114" s="6" t="str">
        <f>IFERROR(__xludf.DUMMYFUNCTION("""COMPUTED_VALUE"""),"Гибрид, приносящий обильный урожай")</f>
        <v>Гибрид, приносящий обильный урожай</v>
      </c>
      <c r="K114" s="6" t="str">
        <f>IFERROR(__xludf.DUMMYFUNCTION("""COMPUTED_VALUE""")," Быстро начинает обильно плодоносить")</f>
        <v> Быстро начинает обильно плодоносить</v>
      </c>
      <c r="L114" s="6" t="str">
        <f>IFERROR(__xludf.DUMMYFUNCTION("""COMPUTED_VALUE""")," Плод правильной формы
интенсивно-зеленого цвета с более светлыми полосами,крупнобугорчатые, белошипые")</f>
        <v> Плод правильной формы
интенсивно-зеленого цвета с более светлыми полосами,крупнобугорчатые, белошипые</v>
      </c>
      <c r="M114" s="6" t="str">
        <f>IFERROR(__xludf.DUMMYFUNCTION("""COMPUTED_VALUE""")," Вкус отличный")</f>
        <v> Вкус отличный</v>
      </c>
    </row>
    <row r="115">
      <c r="A115" s="11" t="s">
        <v>623</v>
      </c>
      <c r="I115" s="55" t="str">
        <f>IFERROR(__xludf.DUMMYFUNCTION("SPLIT(A115,""."")"),"Подарок осени")</f>
        <v>Подарок осени</v>
      </c>
      <c r="J115" s="6" t="str">
        <f>IFERROR(__xludf.DUMMYFUNCTION("""COMPUTED_VALUE"""),"Среднеранний сорт с удлиненным периодом плодоношения")</f>
        <v>Среднеранний сорт с удлиненным периодом плодоношения</v>
      </c>
      <c r="K115" s="6" t="str">
        <f>IFERROR(__xludf.DUMMYFUNCTION("""COMPUTED_VALUE""")," От всходов до начала сбора урожая 42-45 дней")</f>
        <v> От всходов до начала сбора урожая 42-45 дней</v>
      </c>
      <c r="L115" s="6" t="str">
        <f>IFERROR(__xludf.DUMMYFUNCTION("""COMPUTED_VALUE""")," Растение среднеплетистое")</f>
        <v> Растение среднеплетистое</v>
      </c>
      <c r="M115" s="6" t="str">
        <f>IFERROR(__xludf.DUMMYFUNCTION("""COMPUTED_VALUE""")," Плод цилиндрический, длиной9-11см,без горечи, крупнобугорчатый")</f>
        <v> Плод цилиндрический, длиной9-11см,без горечи, крупнобугорчатый</v>
      </c>
      <c r="N115" s="6" t="str">
        <f>IFERROR(__xludf.DUMMYFUNCTION("""COMPUTED_VALUE""")," Очень хорош на вкус - хрустящий, сочный")</f>
        <v> Очень хорош на вкус - хрустящий, сочный</v>
      </c>
    </row>
    <row r="116">
      <c r="A116" s="11" t="s">
        <v>627</v>
      </c>
      <c r="I116" s="55" t="str">
        <f>IFERROR(__xludf.DUMMYFUNCTION("SPLIT(A116,""."")"),"Родничок F1")</f>
        <v>Родничок F1</v>
      </c>
      <c r="J116" s="6" t="str">
        <f>IFERROR(__xludf.DUMMYFUNCTION("""COMPUTED_VALUE""")," Раннеспелый,пчело- опыляемый гибрид, в плодоношение вступает на 49-52 день")</f>
        <v> Раннеспелый,пчело- опыляемый гибрид, в плодоношение вступает на 49-52 день</v>
      </c>
      <c r="K116" s="6" t="str">
        <f>IFERROR(__xludf.DUMMYFUNCTION("""COMPUTED_VALUE""")," Засолочный, консервный")</f>
        <v> Засолочный, консервный</v>
      </c>
      <c r="L116" s="6" t="str">
        <f>IFERROR(__xludf.DUMMYFUNCTION("""COMPUTED_VALUE"""),"Плоды цылендрические средне-бугорчатые, длиной 9-10 см")</f>
        <v>Плоды цылендрические средне-бугорчатые, длиной 9-10 см</v>
      </c>
      <c r="M116" s="6" t="str">
        <f>IFERROR(__xludf.DUMMYFUNCTION("""COMPUTED_VALUE""")," Устойчив к мучнистой росе")</f>
        <v> Устойчив к мучнистой росе</v>
      </c>
      <c r="N116" s="6" t="str">
        <f>IFERROR(__xludf.DUMMYFUNCTION("""COMPUTED_VALUE""")," Рекомендован для выращивания в открытом грунте и и в пленочных теплицах")</f>
        <v> Рекомендован для выращивания в открытом грунте и и в пленочных теплицах</v>
      </c>
    </row>
    <row r="117">
      <c r="A117" s="14" t="s">
        <v>631</v>
      </c>
      <c r="I117" s="55" t="str">
        <f>IFERROR(__xludf.DUMMYFUNCTION("SPLIT(A117,""."")"),"РодничокF1")</f>
        <v>РодничокF1</v>
      </c>
      <c r="J117" s="6" t="str">
        <f>IFERROR(__xludf.DUMMYFUNCTION("""COMPUTED_VALUE"""),"Раннеспелый, пчелоопыляемый гибрид, в плодоношение вступает на 49-52 день")</f>
        <v>Раннеспелый, пчелоопыляемый гибрид, в плодоношение вступает на 49-52 день</v>
      </c>
      <c r="K117" s="6" t="str">
        <f>IFERROR(__xludf.DUMMYFUNCTION("""COMPUTED_VALUE"""),"Засолочный, консервный")</f>
        <v>Засолочный, консервный</v>
      </c>
      <c r="L117" s="6" t="str">
        <f>IFERROR(__xludf.DUMMYFUNCTION("""COMPUTED_VALUE"""),"
Плоды цилиндрические, среднебугорчатые, длиной 9-10 см")</f>
        <v>
Плоды цилиндрические, среднебугорчатые, длиной 9-10 см</v>
      </c>
      <c r="M117" s="6" t="str">
        <f>IFERROR(__xludf.DUMMYFUNCTION("""COMPUTED_VALUE""")," Устойчив к мучнистой росе")</f>
        <v> Устойчив к мучнистой росе</v>
      </c>
      <c r="N117" s="6" t="str">
        <f>IFERROR(__xludf.DUMMYFUNCTION("""COMPUTED_VALUE""")," Рекомендован для выращивания в открытом грунте и пленочных теплицах")</f>
        <v> Рекомендован для выращивания в открытом грунте и пленочных теплицах</v>
      </c>
    </row>
    <row r="118">
      <c r="A118" s="14" t="s">
        <v>634</v>
      </c>
      <c r="I118" s="55" t="str">
        <f>IFERROR(__xludf.DUMMYFUNCTION("SPLIT(A118,""."")"),"Руфус F1")</f>
        <v>Руфус F1</v>
      </c>
      <c r="J118" s="6" t="str">
        <f>IFERROR(__xludf.DUMMYFUNCTION("""COMPUTED_VALUE"""),"Раннеспелый высокоурожайный гибрид открытого грунта")</f>
        <v>Раннеспелый высокоурожайный гибрид открытого грунта</v>
      </c>
      <c r="K118" s="6" t="str">
        <f>IFERROR(__xludf.DUMMYFUNCTION("""COMPUTED_VALUE""")," Плод – корнишон, цилиндрической формы, темно-
зеленого цвета, средне-пупырчатый, генетически избавлен от горечи")</f>
        <v> Плод – корнишон, цилиндрической формы, темно-
зеленого цвета, средне-пупырчатый, генетически избавлен от горечи</v>
      </c>
      <c r="L118" s="6" t="str">
        <f>IFERROR(__xludf.DUMMYFUNCTION("""COMPUTED_VALUE""")," Вкусовые качества высокие")</f>
        <v> Вкусовые качества высокие</v>
      </c>
      <c r="M118" s="6" t="str">
        <f>IFERROR(__xludf.DUMMYFUNCTION("""COMPUTED_VALUE""")," Устойчив к ложной мучнистой росе, вирусу мозаики огурца, парше тыквенных")</f>
        <v> Устойчив к ложной мучнистой росе, вирусу мозаики огурца, парше тыквенных</v>
      </c>
    </row>
    <row r="119">
      <c r="A119" s="14" t="s">
        <v>637</v>
      </c>
      <c r="I119" s="55" t="str">
        <f>IFERROR(__xludf.DUMMYFUNCTION("SPLIT(A119,""."")"),"СамородокF1")</f>
        <v>СамородокF1</v>
      </c>
      <c r="J119" s="6" t="str">
        <f>IFERROR(__xludf.DUMMYFUNCTION("""COMPUTED_VALUE"""),"Скороспелый гибрид, от всходов до первого сбора проходит 38-42 дня")</f>
        <v>Скороспелый гибрид, от всходов до первого сбора проходит 38-42 дня</v>
      </c>
      <c r="K119" s="6" t="str">
        <f>IFERROR(__xludf.DUMMYFUNCTION("""COMPUTED_VALUE""")," Зеленец цилиндрический,
крупнобугорчатый, черношипый, длиной 8-9 см, массой 70-80 г")</f>
        <v> Зеленец цилиндрический,
крупнобугорчатый, черношипый, длиной 8-9 см, массой 70-80 г</v>
      </c>
      <c r="L119" s="6" t="str">
        <f>IFERROR(__xludf.DUMMYFUNCTION("""COMPUTED_VALUE""")," Имеет высокие вкусовые и засолочные
качества")</f>
        <v> Имеет высокие вкусовые и засолочные
качества</v>
      </c>
    </row>
    <row r="120">
      <c r="A120" s="11" t="s">
        <v>641</v>
      </c>
      <c r="I120" s="55" t="str">
        <f>IFERROR(__xludf.DUMMYFUNCTION("SPLIT(A120,""."")"),"Сын полкаF1")</f>
        <v>Сын полкаF1</v>
      </c>
      <c r="J120" s="6" t="str">
        <f>IFERROR(__xludf.DUMMYFUNCTION("""COMPUTED_VALUE"""),"Скороспелый гибрид, период от всходо в до начала плодоношения 37-39 дней")</f>
        <v>Скороспелый гибрид, период от всходо в до начала плодоношения 37-39 дней</v>
      </c>
      <c r="K120" s="6" t="str">
        <f>IFERROR(__xludf.DUMMYFUNCTION("""COMPUTED_VALUE""")," Женский тип цветения")</f>
        <v> Женский тип цветения</v>
      </c>
      <c r="L120" s="6" t="str">
        <f>IFERROR(__xludf.DUMMYFUNCTION("""COMPUTED_VALUE"""),"Предназначен для выращивания в открытом грунте и пленочных теплицах")</f>
        <v>Предназначен для выращивания в открытом грунте и пленочных теплицах</v>
      </c>
      <c r="M120" s="6" t="str">
        <f>IFERROR(__xludf.DUMMYFUNCTION("""COMPUTED_VALUE""")," Плоды-корнишоны, темно-зеленого цвета, длиной 8-11 см, без горечи")</f>
        <v> Плоды-корнишоны, темно-зеленого цвета, длиной 8-11 см, без горечи</v>
      </c>
    </row>
    <row r="121">
      <c r="A121" s="11" t="s">
        <v>645</v>
      </c>
      <c r="I121" s="55" t="str">
        <f>IFERROR(__xludf.DUMMYFUNCTION("SPLIT(A121,""."")"),"Сквирский F1")</f>
        <v>Сквирский F1</v>
      </c>
      <c r="J121" s="6" t="str">
        <f>IFERROR(__xludf.DUMMYFUNCTION("""COMPUTED_VALUE"""),"Сорт среднеспелый")</f>
        <v>Сорт среднеспелый</v>
      </c>
      <c r="K121" s="6" t="str">
        <f>IFERROR(__xludf.DUMMYFUNCTION("""COMPUTED_VALUE""")," Предназначен для потребления в свежем виде и засолки")</f>
        <v> Предназначен для потребления в свежем виде и засолки</v>
      </c>
      <c r="L121" s="6" t="str">
        <f>IFERROR(__xludf.DUMMYFUNCTION("""COMPUTED_VALUE""")," От появления всходов до первого сбора плодов проходит 48-52 дня")</f>
        <v> От появления всходов до первого сбора плодов проходит 48-52 дня</v>
      </c>
      <c r="M121" s="6" t="str">
        <f>IFERROR(__xludf.DUMMYFUNCTION("""COMPUTED_VALUE""")," Плоди цилиндрические или овально-цилиндрические, 9-11см в длину и 3-4см в ширину")</f>
        <v> Плоди цилиндрические или овально-цилиндрические, 9-11см в длину и 3-4см в ширину</v>
      </c>
    </row>
    <row r="122">
      <c r="A122" s="11" t="s">
        <v>648</v>
      </c>
      <c r="I122" s="55" t="str">
        <f>IFERROR(__xludf.DUMMYFUNCTION("SPLIT(A122,""."")"),"Семко F1")</f>
        <v>Семко F1</v>
      </c>
      <c r="J122" s="6" t="str">
        <f>IFERROR(__xludf.DUMMYFUNCTION("""COMPUTED_VALUE"""),"Среднеранний гибрид")</f>
        <v>Среднеранний гибрид</v>
      </c>
      <c r="K122" s="6" t="str">
        <f>IFERROR(__xludf.DUMMYFUNCTION("""COMPUTED_VALUE""")," Период от всходов до плодоношения 50-55 дней")</f>
        <v> Период от всходов до плодоношения 50-55 дней</v>
      </c>
      <c r="L122" s="6" t="str">
        <f>IFERROR(__xludf.DUMMYFUNCTION("""COMPUTED_VALUE""")," Плоды зелёного цвета с размытыми светлыми полосами, бугорчатые, цилиндрической формы, длиной 9-11см, весом 80-110г")</f>
        <v> Плоды зелёного цвета с размытыми светлыми полосами, бугорчатые, цилиндрической формы, длиной 9-11см, весом 80-110г</v>
      </c>
      <c r="M122" s="6" t="str">
        <f>IFERROR(__xludf.DUMMYFUNCTION("""COMPUTED_VALUE""")," Гибрид  устойчив к комплексу заболеваний")</f>
        <v> Гибрид  устойчив к комплексу заболеваний</v>
      </c>
    </row>
    <row r="123">
      <c r="A123" s="14" t="s">
        <v>652</v>
      </c>
      <c r="I123" s="55" t="str">
        <f>IFERROR(__xludf.DUMMYFUNCTION("SPLIT(A123,""."")"),"Самоопыляемый F1")</f>
        <v>Самоопыляемый F1</v>
      </c>
      <c r="J123" s="6" t="str">
        <f>IFERROR(__xludf.DUMMYFUNCTION("""COMPUTED_VALUE"""),"Скороспелый гибрид (образует плоды без опыления)")</f>
        <v>Скороспелый гибрид (образует плоды без опыления)</v>
      </c>
      <c r="K123" s="6" t="str">
        <f>IFERROR(__xludf.DUMMYFUNCTION("""COMPUTED_VALUE""")," Вегетационный период от всходов до начала плодоношения 45-47 дней")</f>
        <v> Вегетационный период от всходов до начала плодоношения 45-47 дней</v>
      </c>
      <c r="L123" s="6" t="str">
        <f>IFERROR(__xludf.DUMMYFUNCTION("""COMPUTED_VALUE""")," Плоды цилиндрические, средне-бугорчатые, длиной 6-9см, темно-
зелёной окраски с небольшими полосами, плотные и хрустящие")</f>
        <v> Плоды цилиндрические, средне-бугорчатые, длиной 6-9см, темно-
зелёной окраски с небольшими полосами, плотные и хрустящие</v>
      </c>
    </row>
    <row r="124">
      <c r="A124" s="11" t="s">
        <v>655</v>
      </c>
      <c r="I124" s="55" t="str">
        <f>IFERROR(__xludf.DUMMYFUNCTION("SPLIT(A124,""."")"),"Сремский F1")</f>
        <v>Сремский F1</v>
      </c>
      <c r="J124" s="6" t="str">
        <f>IFERROR(__xludf.DUMMYFUNCTION("""COMPUTED_VALUE""")," Сверхранний, высокоурожайный, болезнеустойчивый гибрид")</f>
        <v> Сверхранний, высокоурожайный, болезнеустойчивый гибрид</v>
      </c>
      <c r="K124" s="6" t="str">
        <f>IFERROR(__xludf.DUMMYFUNCTION("""COMPUTED_VALUE""")," Плоды цилиндрические, бородавчастые,длиной 8-10 см, без тенденции к желтению")</f>
        <v> Плоды цилиндрические, бородавчастые,длиной 8-10 см, без тенденции к желтению</v>
      </c>
      <c r="L124" s="6" t="str">
        <f>IFERROR(__xludf.DUMMYFUNCTION("""COMPUTED_VALUE""")," Имеют чудесный вкус")</f>
        <v> Имеют чудесный вкус</v>
      </c>
      <c r="M124" s="6" t="str">
        <f>IFERROR(__xludf.DUMMYFUNCTION("""COMPUTED_VALUE""")," Выращивают для получения сверхранней продукции, соления и консерви��ования")</f>
        <v> Выращивают для получения сверхранней продукции, соления и консерви��ования</v>
      </c>
    </row>
    <row r="125">
      <c r="A125" s="14" t="s">
        <v>659</v>
      </c>
      <c r="I125" s="55" t="str">
        <f>IFERROR(__xludf.DUMMYFUNCTION("SPLIT(A125,""."")"),"Соседу на зависть F1")</f>
        <v>Соседу на зависть F1</v>
      </c>
      <c r="J125" s="6" t="str">
        <f>IFERROR(__xludf.DUMMYFUNCTION("""COMPUTED_VALUE"""),"Очень ранний, преимущественно женского типа")</f>
        <v>Очень ранний, преимущественно женского типа</v>
      </c>
      <c r="K125" s="6" t="str">
        <f>IFERROR(__xludf.DUMMYFUNCTION("""COMPUTED_VALUE""")," Зеленец удлиненной формы, с крупнобугорчатой
поверхностью, без горечи")</f>
        <v> Зеленец удлиненной формы, с крупнобугорчатой
поверхностью, без горечи</v>
      </c>
      <c r="L125" s="6" t="str">
        <f>IFERROR(__xludf.DUMMYFUNCTION("""COMPUTED_VALUE""")," В засолке нежные, хрустящие")</f>
        <v> В засолке нежные, хрустящие</v>
      </c>
      <c r="M125" s="6" t="str">
        <f>IFERROR(__xludf.DUMMYFUNCTION("""COMPUTED_VALUE""")," Период от полных всходов до начала плодоношения 43-50 дней")</f>
        <v> Период от полных всходов до начала плодоношения 43-50 дней</v>
      </c>
      <c r="N125" s="6" t="str">
        <f>IFERROR(__xludf.DUMMYFUNCTION("""COMPUTED_VALUE""")," Длина плода 8-12 см")</f>
        <v> Длина плода 8-12 см</v>
      </c>
      <c r="O125" s="6" t="str">
        <f>IFERROR(__xludf.DUMMYFUNCTION("""COMPUTED_VALUE""")," Масса плода 102-135 г")</f>
        <v> Масса плода 102-135 г</v>
      </c>
    </row>
    <row r="126">
      <c r="A126" s="11" t="s">
        <v>663</v>
      </c>
      <c r="I126" s="55" t="str">
        <f>IFERROR(__xludf.DUMMYFUNCTION("SPLIT(A126,""."")"),"Титус F1")</f>
        <v>Титус F1</v>
      </c>
      <c r="J126" s="6" t="str">
        <f>IFERROR(__xludf.DUMMYFUNCTION("""COMPUTED_VALUE"""),"Гибрид ранний, высокоурожайный")</f>
        <v>Гибрид ранний, высокоурожайный</v>
      </c>
      <c r="K126" s="6" t="str">
        <f>IFERROR(__xludf.DUMMYFUNCTION("""COMPUTED_VALUE""")," Используют для непосредственного обеспечения рынка и консервирования")</f>
        <v> Используют для непосредственного обеспечения рынка и консервирования</v>
      </c>
      <c r="L126" s="6" t="str">
        <f>IFERROR(__xludf.DUMMYFUNCTION("""COMPUTED_VALUE""")," Выращивают в открытом грунте")</f>
        <v> Выращивают в открытом грунте</v>
      </c>
      <c r="M126" s="6" t="str">
        <f>IFERROR(__xludf.DUMMYFUNCTION("""COMPUTED_VALUE""")," Плод цилиндрический  сильнобугорчатый")</f>
        <v> Плод цилиндрический  сильнобугорчатый</v>
      </c>
    </row>
    <row r="127">
      <c r="A127" s="11" t="s">
        <v>667</v>
      </c>
      <c r="I127" s="55" t="str">
        <f>IFERROR(__xludf.DUMMYFUNCTION("SPLIT(A127,""."")"),"Феникс 640")</f>
        <v>Феникс 640</v>
      </c>
      <c r="J127" s="6" t="str">
        <f>IFERROR(__xludf.DUMMYFUNCTION("""COMPUTED_VALUE"""),"Позднеспелый пчело- опыляемый сорт открытого грунта универсального назначения")</f>
        <v>Позднеспелый пчело- опыляемый сорт открытого грунта универсального назначения</v>
      </c>
      <c r="K127" s="6" t="str">
        <f>IFERROR(__xludf.DUMMYFUNCTION("""COMPUTED_VALUE""")," В плодоношение вступает на 55-65-й день от всходов")</f>
        <v> В плодоношение вступает на 55-65-й день от всходов</v>
      </c>
      <c r="L127" s="6" t="str">
        <f>IFERROR(__xludf.DUMMYFUNCTION("""COMPUTED_VALUE""")," Плод бугорчатый , белошипый,длиной 12-16см, массой 120-180г, не желтеет")</f>
        <v> Плод бугорчатый , белошипый,длиной 12-16см, массой 120-180г, не желтеет</v>
      </c>
    </row>
    <row r="128">
      <c r="A128" s="14" t="s">
        <v>669</v>
      </c>
      <c r="I128" s="55" t="str">
        <f>IFERROR(__xludf.DUMMYFUNCTION("SPLIT(A128,""."")"),"Феникс 640")</f>
        <v>Феникс 640</v>
      </c>
      <c r="J128" s="6" t="str">
        <f>IFERROR(__xludf.DUMMYFUNCTION("""COMPUTED_VALUE"""),"Позднеспелый пчёлоопыляемый сорт открытого грунта универсального назначения")</f>
        <v>Позднеспелый пчёлоопыляемый сорт открытого грунта универсального назначения</v>
      </c>
      <c r="K128" s="6" t="str">
        <f>IFERROR(__xludf.DUMMYFUNCTION("""COMPUTED_VALUE""")," В плодоношение вступает
на 55-65-й день от всходов")</f>
        <v> В плодоношение вступает
на 55-65-й день от всходов</v>
      </c>
      <c r="L128" s="6" t="str">
        <f>IFERROR(__xludf.DUMMYFUNCTION("""COMPUTED_VALUE""")," Плод крупнобугорчатый, белошипый, длиной 12-16см, массой 120-180г, не желтеет")</f>
        <v> Плод крупнобугорчатый, белошипый, длиной 12-16см, массой 120-180г, не желтеет</v>
      </c>
    </row>
    <row r="129">
      <c r="A129" s="11" t="s">
        <v>673</v>
      </c>
      <c r="I129" s="55" t="str">
        <f>IFERROR(__xludf.DUMMYFUNCTION("SPLIT(A129,""."")"),"Феникс плюс")</f>
        <v>Феникс плюс</v>
      </c>
      <c r="J129" s="6" t="str">
        <f>IFERROR(__xludf.DUMMYFUNCTION("""COMPUTED_VALUE"""),"Улучшенный сорт,поз-неспелый, пчёло-опыляемый сорт открытого грунта универсального назначения")</f>
        <v>Улучшенный сорт,поз-неспелый, пчёло-опыляемый сорт открытого грунта универсального назначения</v>
      </c>
      <c r="K129" s="6" t="str">
        <f>IFERROR(__xludf.DUMMYFUNCTION("""COMPUTED_VALUE""")," Вплодоношение вступает на 55-65-й день от всходов Плод крупнобугорчаты, белошипый, длиной 12-16см,массой 120-180г, не желтеет")</f>
        <v> Вплодоношение вступает на 55-65-й день от всходов Плод крупнобугорчаты, белошипый, длиной 12-16см,массой 120-180г, не желтеет</v>
      </c>
    </row>
    <row r="130">
      <c r="A130" s="11" t="s">
        <v>675</v>
      </c>
      <c r="I130" s="55" t="str">
        <f>IFERROR(__xludf.DUMMYFUNCTION("SPLIT(A130,""."")"),"Феникс плюс")</f>
        <v>Феникс плюс</v>
      </c>
      <c r="J130" s="6" t="str">
        <f>IFERROR(__xludf.DUMMYFUNCTION("""COMPUTED_VALUE"""),"Позднеспелый пчёлоопыляемый сорт открытого грунта универсального назначения")</f>
        <v>Позднеспелый пчёлоопыляемый сорт открытого грунта универсального назначения</v>
      </c>
      <c r="K130" s="6" t="str">
        <f>IFERROR(__xludf.DUMMYFUNCTION("""COMPUTED_VALUE""")," Вплодоношение вступает на 55-65-й день от всходов")</f>
        <v> Вплодоношение вступает на 55-65-й день от всходов</v>
      </c>
      <c r="L130" s="6" t="str">
        <f>IFERROR(__xludf.DUMMYFUNCTION("""COMPUTED_VALUE""")," Крупнобугорчатый, белошипый, длиной 12-16см,массой 120-180г, не желтеет")</f>
        <v> Крупнобугорчатый, белошипый, длиной 12-16см,массой 120-180г, не желтеет</v>
      </c>
    </row>
    <row r="131">
      <c r="A131" s="11" t="s">
        <v>679</v>
      </c>
      <c r="I131" s="55" t="str">
        <f>IFERROR(__xludf.DUMMYFUNCTION("SPLIT(A131,""."")"),"Хрустящий")</f>
        <v>Хрустящий</v>
      </c>
      <c r="J131" s="6" t="str">
        <f>IFERROR(__xludf.DUMMYFUNCTION("""COMPUTED_VALUE"""),"Пчелооопыляемый сорт для открытого грунта и пленочных укрытий")</f>
        <v>Пчелооопыляемый сорт для открытого грунта и пленочных укрытий</v>
      </c>
      <c r="K131" s="6" t="str">
        <f>IFERROR(__xludf.DUMMYFUNCTION("""COMPUTED_VALUE""")," Среднеспелый, вступает в плодоношение на 46-50 день от появления массовых всходов")</f>
        <v> Среднеспелый, вступает в плодоношение на 46-50 день от появления массовых всходов</v>
      </c>
      <c r="L131" s="6" t="str">
        <f>IFERROR(__xludf.DUMMYFUNCTION("""COMPUTED_VALUE""")," Зеленцы веретеновидной формы 10-13см")</f>
        <v> Зеленцы веретеновидной формы 10-13см</v>
      </c>
    </row>
    <row r="132">
      <c r="A132" s="14" t="s">
        <v>683</v>
      </c>
      <c r="I132" s="55" t="str">
        <f>IFERROR(__xludf.DUMMYFUNCTION("SPLIT(A132,""."")"),"Цезарь")</f>
        <v>Цезарь</v>
      </c>
      <c r="J132" s="6" t="str">
        <f>IFERROR(__xludf.DUMMYFUNCTION("""COMPUTED_VALUE"""),"Сверхранний, пчелоопыляемый гибрид")</f>
        <v>Сверхранний, пчелоопыляемый гибрид</v>
      </c>
      <c r="K132" s="6" t="str">
        <f>IFERROR(__xludf.DUMMYFUNCTION("""COMPUTED_VALUE""")," Высокоурожайный, пригоден для засолки")</f>
        <v> Высокоурожайный, пригоден для засолки</v>
      </c>
      <c r="L132" s="6" t="str">
        <f>IFERROR(__xludf.DUMMYFUNCTION("""COMPUTED_VALUE""")," Рекомендуется
для выращивания в открытом грунте")</f>
        <v> Рекомендуется
для выращивания в открытом грунте</v>
      </c>
      <c r="M132" s="6" t="str">
        <f>IFERROR(__xludf.DUMMYFUNCTION("""COMPUTED_VALUE""")," Болезнестойкий,не  требует дополнительной химической обработки")</f>
        <v> Болезнестойкий,не  требует дополнительной химической обработки</v>
      </c>
      <c r="N132" s="6" t="str">
        <f>IFERROR(__xludf.DUMMYFUNCTION("""COMPUTED_VALUE""")," Зеленец длинной 8-12 см")</f>
        <v> Зеленец длинной 8-12 см</v>
      </c>
    </row>
    <row r="133">
      <c r="A133" s="11" t="s">
        <v>686</v>
      </c>
      <c r="I133" s="55" t="str">
        <f>IFERROR(__xludf.DUMMYFUNCTION("SPLIT(A133,""."")"),"Фаворит")</f>
        <v>Фаворит</v>
      </c>
      <c r="J133" s="6" t="str">
        <f>IFERROR(__xludf.DUMMYFUNCTION("""COMPUTED_VALUE"""),"Сорт среднеранний с женским типом цветения, пчелоопыляемый, от всходов до первого сбора 50-52 дня")</f>
        <v>Сорт среднеранний с женским типом цветения, пчелоопыляемый, от всходов до первого сбора 50-52 дня</v>
      </c>
      <c r="K133" s="6" t="str">
        <f>IFERROR(__xludf.DUMMYFUNCTION("""COMPUTED_VALUE"""),"Зеленец зеленый с продольными белыми полосками, цилиндрический, средне-бугорчатый, длина 9-11см,")</f>
        <v>Зеленец зеленый с продольными белыми полосками, цилиндрический, средне-бугорчатый, длина 9-11см,</v>
      </c>
    </row>
    <row r="134">
      <c r="A134" s="11" t="s">
        <v>689</v>
      </c>
      <c r="I134" s="55" t="str">
        <f>IFERROR(__xludf.DUMMYFUNCTION("SPLIT(A134,""."")"),"ФермерF1")</f>
        <v>ФермерF1</v>
      </c>
      <c r="J134" s="6" t="str">
        <f>IFERROR(__xludf.DUMMYFUNCTION("""COMPUTED_VALUE"""),"Пчелоопыляемый, преимущественно женского типа цветения")</f>
        <v>Пчелоопыляемый, преимущественно женского типа цветения</v>
      </c>
      <c r="K134" s="6" t="str">
        <f>IFERROR(__xludf.DUMMYFUNCTION("""COMPUTED_VALUE""")," Урожайность в открытом грунте - до 10-12кг/кв")</f>
        <v> Урожайность в открытом грунте - до 10-12кг/кв</v>
      </c>
      <c r="L134" s="6" t="str">
        <f>IFERROR(__xludf.DUMMYFUNCTION("""COMPUTED_VALUE"""),"м, в защищенном грунте - до 20-24 кг/кв")</f>
        <v>м, в защищенном грунте - до 20-24 кг/кв</v>
      </c>
      <c r="M134" s="6" t="str">
        <f>IFERROR(__xludf.DUMMYFUNCTION("""COMPUTED_VALUE"""),"м")</f>
        <v>м</v>
      </c>
      <c r="N134" s="6" t="str">
        <f>IFERROR(__xludf.DUMMYFUNCTION("""COMPUTED_VALUE""")," Выращивают в открытогрунте, пленочных тоннелях и теплица")</f>
        <v> Выращивают в открытогрунте, пленочных тоннелях и теплица</v>
      </c>
    </row>
    <row r="135">
      <c r="A135" s="11" t="s">
        <v>693</v>
      </c>
      <c r="I135" s="55" t="str">
        <f>IFERROR(__xludf.DUMMYFUNCTION("SPLIT(A135,""."")"),"Щелкунчик F1")</f>
        <v>Щелкунчик F1</v>
      </c>
      <c r="J135" s="6" t="str">
        <f>IFERROR(__xludf.DUMMYFUNCTION("""COMPUTED_VALUE"""),"Новый гибрид с частичной партенокарпией для пленочных теплиц и открытого грунта")</f>
        <v>Новый гибрид с частичной партенокарпией для пленочных теплиц и открытого грунта</v>
      </c>
      <c r="K135" s="6" t="str">
        <f>IFERROR(__xludf.DUMMYFUNCTION("""COMPUTED_VALUE""")," Среднеранний(45-50 дней от всходов до начала плодоношения)")</f>
        <v> Среднеранний(45-50 дней от всходов до начала плодоношения)</v>
      </c>
      <c r="L135" s="6" t="str">
        <f>IFERROR(__xludf.DUMMYFUNCTION("""COMPUTED_VALUE""")," Растение среднерослое, с умереннымветвлением,преимущественно женского типа цветения")</f>
        <v> Растение среднерослое, с умереннымветвлением,преимущественно женского типа цветения</v>
      </c>
      <c r="M135" s="6" t="str">
        <f>IFERROR(__xludf.DUMMYFUNCTION("""COMPUTED_VALUE""")," Плоды очень красивые")</f>
        <v> Плоды очень красивые</v>
      </c>
    </row>
    <row r="136">
      <c r="A136" s="11" t="s">
        <v>697</v>
      </c>
      <c r="I136" s="55" t="str">
        <f>IFERROR(__xludf.DUMMYFUNCTION("SPLIT(A136,""."")"),"Меренга F1")</f>
        <v>Меренга F1</v>
      </c>
      <c r="J136" s="6" t="str">
        <f>IFERROR(__xludf.DUMMYFUNCTION("""COMPUTED_VALUE"""),"Новый суперранний  партенокарпический гибрид")</f>
        <v>Новый суперранний  партенокарпический гибрид</v>
      </c>
      <c r="K136" s="6" t="str">
        <f>IFERROR(__xludf.DUMMYFUNCTION("""COMPUTED_VALUE""")," Характеризуется очень высоким и ранним  общим урожаем")</f>
        <v> Характеризуется очень высоким и ранним  общим урожаем</v>
      </c>
      <c r="L136" s="6" t="str">
        <f>IFERROR(__xludf.DUMMYFUNCTION("""COMPUTED_VALUE"""),"Растение средне открытое")</f>
        <v>Растение средне открытое</v>
      </c>
      <c r="M136" s="6" t="str">
        <f>IFERROR(__xludf.DUMMYFUNCTION("""COMPUTED_VALUE""")," Плод  превосходного внешнего вида, без горечи, отличного вкуса, чрезвычайнднородные,правильной цилиндрической формы")</f>
        <v> Плод  превосходного внешнего вида, без горечи, отличного вкуса, чрезвычайнднородные,правильной цилиндрической формы</v>
      </c>
      <c r="N136" s="6" t="str">
        <f>IFERROR(__xludf.DUMMYFUNCTION("""COMPUTED_VALUE""")," Окраска темно-зеленая")</f>
        <v> Окраска темно-зеленая</v>
      </c>
    </row>
    <row r="137">
      <c r="A137" s="14" t="s">
        <v>700</v>
      </c>
      <c r="I137" s="55" t="str">
        <f>IFERROR(__xludf.DUMMYFUNCTION("SPLIT(A137,""."")"),"Еколь F1")</f>
        <v>Еколь F1</v>
      </c>
      <c r="J137" s="6" t="str">
        <f>IFERROR(__xludf.DUMMYFUNCTION("""COMPUTED_VALUE"""),"Партенокарпический раннеспелый гибрид корнишонного типа")</f>
        <v>Партенокарпический раннеспелый гибрид корнишонного типа</v>
      </c>
      <c r="K137" s="6" t="str">
        <f>IFERROR(__xludf.DUMMYFUNCTION("""COMPUTED_VALUE""")," Период от всходов до начала плодоношения -42-45 дней")</f>
        <v> Период от всходов до начала плодоношения -42-45 дней</v>
      </c>
      <c r="L137" s="6" t="str">
        <f>IFERROR(__xludf.DUMMYFUNCTION("""COMPUTED_VALUE""")," Средняя урожайность 100-120 т/га")</f>
        <v> Средняя урожайность 100-120 т/га</v>
      </c>
      <c r="M137" s="6" t="str">
        <f>IFERROR(__xludf.DUMMYFUNCTION("""COMPUTED_VALUE""")," Рекомендуется для выращивания в открытом грунте и
пленочных теплицах")</f>
        <v> Рекомендуется для выращивания в открытом грунте и
пленочных теплицах</v>
      </c>
    </row>
    <row r="138">
      <c r="A138" s="11" t="s">
        <v>704</v>
      </c>
      <c r="I138" s="55" t="str">
        <f>IFERROR(__xludf.DUMMYFUNCTION("SPLIT(A138,""."")"),"Пучини")</f>
        <v>Пучини</v>
      </c>
      <c r="J138" s="6" t="str">
        <f>IFERROR(__xludf.DUMMYFUNCTION("""COMPUTED_VALUE"""),"Новинка от голландских производителей")</f>
        <v>Новинка от голландских производителей</v>
      </c>
      <c r="K138" s="6" t="str">
        <f>IFERROR(__xludf.DUMMYFUNCTION("""COMPUTED_VALUE""")," Среднеспелый партенокарпик, кустовой гибрид")</f>
        <v> Среднеспелый партенокарпик, кустовой гибрид</v>
      </c>
      <c r="L138" s="6" t="str">
        <f>IFERROR(__xludf.DUMMYFUNCTION("""COMPUTED_VALUE""")," Имеет очень высокий выход корнишона без генетической горечи")</f>
        <v> Имеет очень высокий выход корнишона без генетической горечи</v>
      </c>
      <c r="M138" s="6" t="str">
        <f>IFERROR(__xludf.DUMMYFUNCTION("""COMPUTED_VALUE""")," Растение среднегеративноготипа")</f>
        <v> Растение среднегеративноготипа</v>
      </c>
      <c r="N138" s="6" t="str">
        <f>IFERROR(__xludf.DUMMYFUNCTION("""COMPUTED_VALUE""")," Имеет высокие засолочные  качества")</f>
        <v> Имеет высокие засолочные  качества</v>
      </c>
    </row>
    <row r="139">
      <c r="A139" s="11" t="s">
        <v>707</v>
      </c>
      <c r="I139" s="55" t="str">
        <f>IFERROR(__xludf.DUMMYFUNCTION("SPLIT(A139,""."")"),"СоловейF1")</f>
        <v>СоловейF1</v>
      </c>
      <c r="J139" s="6" t="str">
        <f>IFERROR(__xludf.DUMMYFUNCTION("""COMPUTED_VALUE""")," Раннеспелый гибрид открытого грунта")</f>
        <v> Раннеспелый гибрид открытого грунта</v>
      </c>
      <c r="K139" s="6" t="str">
        <f>IFERROR(__xludf.DUMMYFUNCTION("""COMPUTED_VALUE""")," Лучший среди лучших по засолочным качествам")</f>
        <v> Лучший среди лучших по засолочным качествам</v>
      </c>
      <c r="L139" s="6" t="str">
        <f>IFERROR(__xludf.DUMMYFUNCTION("""COMPUTED_VALUE""")," Ценится за отличный вкус изящных плодов красивой ярко-зеленой окраски")</f>
        <v> Ценится за отличный вкус изящных плодов красивой ярко-зеленой окраски</v>
      </c>
      <c r="M139" s="6" t="str">
        <f>IFERROR(__xludf.DUMMYFUNCTION("""COMPUTED_VALUE""")," Высокоустойчив к ложной мучнистой росе")</f>
        <v> Высокоустойчив к ложной мучнистой росе</v>
      </c>
    </row>
    <row r="140">
      <c r="A140" s="14" t="s">
        <v>711</v>
      </c>
      <c r="I140" s="55" t="str">
        <f>IFERROR(__xludf.DUMMYFUNCTION("SPLIT(A140,""."")"),"Надежда F1")</f>
        <v>Надежда F1</v>
      </c>
      <c r="J140" s="6" t="str">
        <f>IFERROR(__xludf.DUMMYFUNCTION("""COMPUTED_VALUE"""),"Новый ультраранний пчелоопыляемый гибрид с преимущественно женским типом цветения")</f>
        <v>Новый ультраранний пчелоопыляемый гибрид с преимущественно женским типом цветения</v>
      </c>
      <c r="K140" s="6" t="str">
        <f>IFERROR(__xludf.DUMMYFUNCTION("""COMPUTED_VALUE""")," Урожайность
очень высокая")</f>
        <v> Урожайность
очень высокая</v>
      </c>
      <c r="L140" s="6" t="str">
        <f>IFERROR(__xludf.DUMMYFUNCTION("""COMPUTED_VALUE""")," Плоды однородные, цилиндрической формы, зеленого цвета, без горечи")</f>
        <v> Плоды однородные, цилиндрической формы, зеленого цвета, без горечи</v>
      </c>
      <c r="M140" s="6" t="str">
        <f>IFERROR(__xludf.DUMMYFUNCTION("""COMPUTED_VALUE""")," Вкусовые качества высокие")</f>
        <v> Вкусовые качества высокие</v>
      </c>
      <c r="N140" s="6" t="str">
        <f>IFERROR(__xludf.DUMMYFUNCTION("""COMPUTED_VALUE""")," Соотношение длины к ширине 3:2")</f>
        <v> Соотношение длины к ширине 3:2</v>
      </c>
    </row>
    <row r="141">
      <c r="A141" s="11" t="s">
        <v>714</v>
      </c>
      <c r="I141" s="55" t="str">
        <f>IFERROR(__xludf.DUMMYFUNCTION("SPLIT(A141,""."")"),"ПаркерF1")</f>
        <v>ПаркерF1</v>
      </c>
      <c r="J141" s="6" t="str">
        <f>IFERROR(__xludf.DUMMYFUNCTION("""COMPUTED_VALUE"""),"Известный гибрид голландской селекции  женского типа цветения – лидер по урожайности")</f>
        <v>Известный гибрид голландской селекции  женского типа цветения – лидер по урожайности</v>
      </c>
      <c r="K141" s="6" t="str">
        <f>IFERROR(__xludf.DUMMYFUNCTION("""COMPUTED_VALUE"""),"Раннеспелый, предназначен для открытого грунта и пленочных тоннелей")</f>
        <v>Раннеспелый, предназначен для открытого грунта и пленочных тоннелей</v>
      </c>
      <c r="L141" s="6" t="str">
        <f>IFERROR(__xludf.DUMMYFUNCTION("""COMPUTED_VALUE""")," Плод среднебугорчатый, длиной 10см, массой 100 г, прекрасно транспортируется")</f>
        <v> Плод среднебугорчатый, длиной 10см, массой 100 г, прекрасно транспортируется</v>
      </c>
      <c r="M141" s="6" t="str">
        <f>IFERROR(__xludf.DUMMYFUNCTION("""COMPUTED_VALUE""")," Засолочный, консервный")</f>
        <v> Засолочный, консервный</v>
      </c>
    </row>
    <row r="142">
      <c r="A142" s="11" t="s">
        <v>718</v>
      </c>
      <c r="I142" s="55" t="str">
        <f>IFERROR(__xludf.DUMMYFUNCTION("SPLIT(A142,""."")"),"Агресор F1")</f>
        <v>Агресор F1</v>
      </c>
      <c r="J142" s="6" t="str">
        <f>IFERROR(__xludf.DUMMYFUNCTION("""COMPUTED_VALUE"""),"Суперпопулярный в мире позднеспелый гибрид, с округло-плоским кочаном, короткой кочерыгой и хорошей внутренней структурой")</f>
        <v>Суперпопулярный в мире позднеспелый гибрид, с округло-плоским кочаном, короткой кочерыгой и хорошей внутренней структурой</v>
      </c>
      <c r="K142" s="6" t="str">
        <f>IFERROR(__xludf.DUMMYFUNCTION("""COMPUTED_VALUE"""),"  Масса кочанов 3-4 кг")</f>
        <v>  Масса кочанов 3-4 кг</v>
      </c>
      <c r="L142" s="6" t="str">
        <f>IFERROR(__xludf.DUMMYFUNCTION("""COMPUTED_VALUE""")," Созревание через 115-120 дней после высадки рассады")</f>
        <v> Созревание через 115-120 дней после высадки рассады</v>
      </c>
      <c r="M142" s="6" t="str">
        <f>IFERROR(__xludf.DUMMYFUNCTION("""COMPUTED_VALUE""")," Рекомендуется для потребления в свежем виде, переработки")</f>
        <v> Рекомендуется для потребления в свежем виде, переработки</v>
      </c>
    </row>
    <row r="143">
      <c r="A143" s="11" t="s">
        <v>721</v>
      </c>
      <c r="I143" s="55" t="str">
        <f>IFERROR(__xludf.DUMMYFUNCTION("SPLIT(A143,""."")"),"Амагер 611")</f>
        <v>Амагер 611</v>
      </c>
      <c r="J143" s="6" t="str">
        <f>IFERROR(__xludf.DUMMYFUNCTION("""COMPUTED_VALUE"""),"Сорт позднеспелый, влаголюбивый")</f>
        <v>Сорт позднеспелый, влаголюбивый</v>
      </c>
      <c r="K143" s="6" t="str">
        <f>IFERROR(__xludf.DUMMYFUNCTION("""COMPUTED_VALUE""")," Спелость наступает через 120-125 дней после высадки рассады")</f>
        <v> Спелость наступает через 120-125 дней после высадки рассады</v>
      </c>
      <c r="L143" s="6" t="str">
        <f>IFERROR(__xludf.DUMMYFUNCTION("""COMPUTED_VALUE""")," Кочаны округло-плоские, очень плотные, не растрескиваются")</f>
        <v> Кочаны округло-плоские, очень плотные, не растрескиваются</v>
      </c>
      <c r="M143" s="6" t="str">
        <f>IFERROR(__xludf.DUMMYFUNCTION("""COMPUTED_VALUE""")," Масса 2,6-3,6 кг")</f>
        <v> Масса 2,6-3,6 кг</v>
      </c>
      <c r="N143" s="6" t="str">
        <f>IFERROR(__xludf.DUMMYFUNCTION("""COMPUTED_VALUE""")," Посев семян на рассаду проводят с 10 апреля, за 40-45 дней до высадки в открытый грунт")</f>
        <v> Посев семян на рассаду проводят с 10 апреля, за 40-45 дней до высадки в открытый грунт</v>
      </c>
    </row>
    <row r="144">
      <c r="A144" s="11" t="s">
        <v>723</v>
      </c>
      <c r="I144" s="55" t="str">
        <f>IFERROR(__xludf.DUMMYFUNCTION("SPLIT(A144,""."")"),"Амагер 611")</f>
        <v>Амагер 611</v>
      </c>
      <c r="J144" s="6" t="str">
        <f>IFERROR(__xludf.DUMMYFUNCTION("""COMPUTED_VALUE""")," Сорт позднеспелый, влаголюбивый")</f>
        <v> Сорт позднеспелый, влаголюбивый</v>
      </c>
      <c r="K144" s="6" t="str">
        <f>IFERROR(__xludf.DUMMYFUNCTION("""COMPUTED_VALUE""")," Спелость наступает через 120-125 дней после высадки рассады")</f>
        <v> Спелость наступает через 120-125 дней после высадки рассады</v>
      </c>
      <c r="L144" s="6" t="str">
        <f>IFERROR(__xludf.DUMMYFUNCTION("""COMPUTED_VALUE""")," Кочаны округло-плоские, очень плотные, не растрескиваются")</f>
        <v> Кочаны округло-плоские, очень плотные, не растрескиваются</v>
      </c>
      <c r="M144" s="6" t="str">
        <f>IFERROR(__xludf.DUMMYFUNCTION("""COMPUTED_VALUE""")," Масса 2,6-3,6 кг")</f>
        <v> Масса 2,6-3,6 кг</v>
      </c>
      <c r="N144" s="6" t="str">
        <f>IFERROR(__xludf.DUMMYFUNCTION("""COMPUTED_VALUE""")," Посев семян на рассаду проводят с 10 апреля, за 40-45 дней до высадки в открытый грунт")</f>
        <v> Посев семян на рассаду проводят с 10 апреля, за 40-45 дней до высадки в открытый грунт</v>
      </c>
    </row>
    <row r="145">
      <c r="A145" s="11" t="s">
        <v>727</v>
      </c>
      <c r="I145" s="55" t="str">
        <f>IFERROR(__xludf.DUMMYFUNCTION("SPLIT(A145,""."")"),"Дитмаршер фрюер")</f>
        <v>Дитмаршер фрюер</v>
      </c>
      <c r="J145" s="6" t="str">
        <f>IFERROR(__xludf.DUMMYFUNCTION("""COMPUTED_VALUE"""),"Раннеспелая, кочаны созревают через 60-65 дней после посадки рассады")</f>
        <v>Раннеспелая, кочаны созревают через 60-65 дней после посадки рассады</v>
      </c>
      <c r="K145" s="6" t="str">
        <f>IFERROR(__xludf.DUMMYFUNCTION("""COMPUTED_VALUE""")," Растение невысокое, кочан округлый, массой от 0,9 до 2, 4 кг, розетка листьев мелкая, светло-зеленого цвета, восковый налет слабый")</f>
        <v> Растение невысокое, кочан округлый, массой от 0,9 до 2, 4 кг, розетка листьев мелкая, светло-зеленого цвета, восковый налет слабый</v>
      </c>
      <c r="L145" s="6" t="str">
        <f>IFERROR(__xludf.DUMMYFUNCTION("""COMPUTED_VALUE""")," Высевают на рассаду с середины марта")</f>
        <v> Высевают на рассаду с середины марта</v>
      </c>
    </row>
    <row r="146">
      <c r="A146" s="11" t="s">
        <v>731</v>
      </c>
      <c r="I146" s="55" t="str">
        <f>IFERROR(__xludf.DUMMYFUNCTION("SPLIT(A146,""."")"),"Зимовка 1474")</f>
        <v>Зимовка 1474</v>
      </c>
      <c r="J146" s="6" t="str">
        <f>IFERROR(__xludf.DUMMYFUNCTION("""COMPUTED_VALUE"""),"Сорт позднеспелый (от всходов до технической спелости 130-150 дней)")</f>
        <v>Сорт позднеспелый (от всходов до технической спелости 130-150 дней)</v>
      </c>
      <c r="K146" s="6" t="str">
        <f>IFERROR(__xludf.DUMMYFUNCTION("""COMPUTED_VALUE""")," Кочаны округло-плоские, очень плотные, массой 2,0-3,6 кг")</f>
        <v> Кочаны округло-плоские, очень плотные, массой 2,0-3,6 кг</v>
      </c>
      <c r="L146" s="6" t="str">
        <f>IFERROR(__xludf.DUMMYFUNCTION("""COMPUTED_VALUE""")," Транспортабельность высокая")</f>
        <v> Транспортабельность высокая</v>
      </c>
      <c r="M146" s="6" t="str">
        <f>IFERROR(__xludf.DUMMYFUNCTION("""COMPUTED_VALUE""")," Урожайность 5,0-6,0 кг/м2")</f>
        <v> Урожайность 5,0-6,0 кг/м2</v>
      </c>
      <c r="N146" s="6" t="str">
        <f>IFERROR(__xludf.DUMMYFUNCTION("""COMPUTED_VALUE""")," Отличается высокой лежкостю")</f>
        <v> Отличается высокой лежкостю</v>
      </c>
    </row>
    <row r="147">
      <c r="A147" s="11" t="s">
        <v>735</v>
      </c>
      <c r="I147" s="55" t="str">
        <f>IFERROR(__xludf.DUMMYFUNCTION("SPLIT(A147,""."")"),"Золотой гектар")</f>
        <v>Золотой гектар</v>
      </c>
      <c r="J147" s="6" t="str">
        <f>IFERROR(__xludf.DUMMYFUNCTION("""COMPUTED_VALUE"""),"Сорт скороспелый, от полных всходов до начала технической спелости кочанов 90 дней")</f>
        <v>Сорт скороспелый, от полных всходов до начала технической спелости кочанов 90 дней</v>
      </c>
      <c r="K147" s="6" t="str">
        <f>IFERROR(__xludf.DUMMYFUNCTION("""COMPUTED_VALUE""")," Предназначен для потребления в свежем виде")</f>
        <v> Предназначен для потребления в свежем виде</v>
      </c>
      <c r="L147" s="6" t="str">
        <f>IFERROR(__xludf.DUMMYFUNCTION("""COMPUTED_VALUE""")," Кочан округлый, с выпуклостью кверху, диаметром 19-24 см, массой 1,5-3,5 кг, среднеплотный, на разрезе белый")</f>
        <v> Кочан округлый, с выпуклостью кверху, диаметром 19-24 см, массой 1,5-3,5 кг, среднеплотный, на разрезе белый</v>
      </c>
    </row>
    <row r="148">
      <c r="A148" s="11" t="s">
        <v>737</v>
      </c>
      <c r="I148" s="55" t="str">
        <f>IFERROR(__xludf.DUMMYFUNCTION("SPLIT(A148,""."")"),"Золотой гектар")</f>
        <v>Золотой гектар</v>
      </c>
      <c r="J148" s="6" t="str">
        <f>IFERROR(__xludf.DUMMYFUNCTION("""COMPUTED_VALUE"""),"Сорт скороспелый, от полных всходов до начала технической спелости кочанов 90 дней")</f>
        <v>Сорт скороспелый, от полных всходов до начала технической спелости кочанов 90 дней</v>
      </c>
      <c r="K148" s="6" t="str">
        <f>IFERROR(__xludf.DUMMYFUNCTION("""COMPUTED_VALUE""")," Предназначен для потребления в свежем виде")</f>
        <v> Предназначен для потребления в свежем виде</v>
      </c>
      <c r="L148" s="6" t="str">
        <f>IFERROR(__xludf.DUMMYFUNCTION("""COMPUTED_VALUE""")," Кочан округлый, с выпуклостью кверху, диаметром 19-24 см, массой 1,5-3,5 кг, среднеплотный, на разрезе белый")</f>
        <v> Кочан округлый, с выпуклостью кверху, диаметром 19-24 см, массой 1,5-3,5 кг, среднеплотный, на разрезе белый</v>
      </c>
    </row>
    <row r="149">
      <c r="A149" s="11" t="s">
        <v>741</v>
      </c>
      <c r="I149" s="55" t="str">
        <f>IFERROR(__xludf.DUMMYFUNCTION("SPLIT(A149,""."")"),"Июньская")</f>
        <v>Июньская</v>
      </c>
      <c r="J149" s="6" t="str">
        <f>IFERROR(__xludf.DUMMYFUNCTION("""COMPUTED_VALUE"""),"Сорт ранний")</f>
        <v>Сорт ранний</v>
      </c>
      <c r="K149" s="6" t="str">
        <f>IFERROR(__xludf.DUMMYFUNCTION("""COMPUTED_VALUE""")," Дружно формирует кочаны, которые можно убирать через 62-67 дней после высадки рассады")</f>
        <v> Дружно формирует кочаны, которые можно убирать через 62-67 дней после высадки рассады</v>
      </c>
      <c r="L149" s="6" t="str">
        <f>IFERROR(__xludf.DUMMYFUNCTION("""COMPUTED_VALUE""")," Основной урожай отдает за первые два сбора")</f>
        <v> Основной урожай отдает за первые два сбора</v>
      </c>
      <c r="M149" s="6" t="str">
        <f>IFERROR(__xludf.DUMMYFUNCTION("""COMPUTED_VALUE""")," Растение небольшое, компактное")</f>
        <v> Растение небольшое, компактное</v>
      </c>
    </row>
    <row r="150">
      <c r="A150" s="11" t="s">
        <v>745</v>
      </c>
      <c r="I150" s="55" t="str">
        <f>IFERROR(__xludf.DUMMYFUNCTION("SPLIT(A150,""."")"),"Каменная голова")</f>
        <v>Каменная голова</v>
      </c>
      <c r="J150" s="6" t="str">
        <f>IFERROR(__xludf.DUMMYFUNCTION("""COMPUTED_VALUE"""),"Сорт позднеспелый, вегетационный период 130-160 дней")</f>
        <v>Сорт позднеспелый, вегетационный период 130-160 дней</v>
      </c>
      <c r="K150" s="6" t="str">
        <f>IFERROR(__xludf.DUMMYFUNCTION("""COMPUTED_VALUE""")," Кочаны большие, массой 3-4 кг, твердые, круглые, исключительно вкусные")</f>
        <v> Кочаны большие, массой 3-4 кг, твердые, круглые, исключительно вкусные</v>
      </c>
      <c r="L150" s="6" t="str">
        <f>IFERROR(__xludf.DUMMYFUNCTION("""COMPUTED_VALUE""")," Один из лучших сортов для квашения")</f>
        <v> Один из лучших сортов для квашения</v>
      </c>
      <c r="M150" s="6" t="str">
        <f>IFERROR(__xludf.DUMMYFUNCTION("""COMPUTED_VALUE""")," Лежкость во время зимнего хранения хорошая")</f>
        <v> Лежкость во время зимнего хранения хорошая</v>
      </c>
    </row>
    <row r="151">
      <c r="A151" s="11" t="s">
        <v>745</v>
      </c>
      <c r="I151" s="55" t="str">
        <f>IFERROR(__xludf.DUMMYFUNCTION("SPLIT(A151,""."")"),"Каменная голова")</f>
        <v>Каменная голова</v>
      </c>
      <c r="J151" s="6" t="str">
        <f>IFERROR(__xludf.DUMMYFUNCTION("""COMPUTED_VALUE"""),"Сорт позднеспелый, вегетационный период 130-160 дней")</f>
        <v>Сорт позднеспелый, вегетационный период 130-160 дней</v>
      </c>
      <c r="K151" s="6" t="str">
        <f>IFERROR(__xludf.DUMMYFUNCTION("""COMPUTED_VALUE""")," Кочаны большие, массой 3-4 кг, твердые, круглые, исключительно вкусные")</f>
        <v> Кочаны большие, массой 3-4 кг, твердые, круглые, исключительно вкусные</v>
      </c>
      <c r="L151" s="6" t="str">
        <f>IFERROR(__xludf.DUMMYFUNCTION("""COMPUTED_VALUE""")," Один из лучших сортов для квашения")</f>
        <v> Один из лучших сортов для квашения</v>
      </c>
      <c r="M151" s="6" t="str">
        <f>IFERROR(__xludf.DUMMYFUNCTION("""COMPUTED_VALUE""")," Лежкость во время зимнего хранения хорошая")</f>
        <v> Лежкость во время зимнего хранения хорошая</v>
      </c>
    </row>
    <row r="152">
      <c r="A152" s="11" t="s">
        <v>750</v>
      </c>
      <c r="I152" s="55" t="str">
        <f>IFERROR(__xludf.DUMMYFUNCTION("SPLIT(A152,""."")"),"Казачок F1")</f>
        <v>Казачок F1</v>
      </c>
      <c r="J152" s="6" t="str">
        <f>IFERROR(__xludf.DUMMYFUNCTION("""COMPUTED_VALUE"""),"Скороспелый гибрид, от высадки рассады до сбора – 52-57 дней")</f>
        <v>Скороспелый гибрид, от высадки рассады до сбора – 52-57 дней</v>
      </c>
      <c r="K152" s="6" t="str">
        <f>IFERROR(__xludf.DUMMYFUNCTION("""COMPUTED_VALUE""")," Кочан округлый, бледно-зеленый, в разрезе – белый, высотой 15,5-17,5см, массой 1,2-1,7кг")</f>
        <v> Кочан округлый, бледно-зеленый, в разрезе – белый, высотой 15,5-17,5см, массой 1,2-1,7кг</v>
      </c>
      <c r="L152" s="6" t="str">
        <f>IFERROR(__xludf.DUMMYFUNCTION("""COMPUTED_VALUE""")," Ценность гибрида в значительной выравненности кочанов")</f>
        <v> Ценность гибрида в значительной выравненности кочанов</v>
      </c>
    </row>
    <row r="153">
      <c r="A153" s="11" t="s">
        <v>753</v>
      </c>
      <c r="I153" s="55" t="str">
        <f>IFERROR(__xludf.DUMMYFUNCTION("SPLIT(A153,""."")"),"КолобокF1")</f>
        <v>КолобокF1</v>
      </c>
      <c r="J153" s="6" t="str">
        <f>IFERROR(__xludf.DUMMYFUNCTION("""COMPUTED_VALUE"""),"Позднеспелый гибрид, техническая спелость наступает на 150 день после полных всходов")</f>
        <v>Позднеспелый гибрид, техническая спелость наступает на 150 день после полных всходов</v>
      </c>
      <c r="K153" s="6" t="str">
        <f>IFERROR(__xludf.DUMMYFUNCTION("""COMPUTED_VALUE""")," Предназначен для потребления в свежем виде, тушения, квашения и длительного хранения")</f>
        <v> Предназначен для потребления в свежем виде, тушения, квашения и длительного хранения</v>
      </c>
    </row>
    <row r="154">
      <c r="A154" s="11" t="s">
        <v>757</v>
      </c>
      <c r="I154" s="55" t="str">
        <f>IFERROR(__xludf.DUMMYFUNCTION("SPLIT(A154,""."")")," F1")</f>
        <v> F1</v>
      </c>
      <c r="J154" s="6" t="str">
        <f>IFERROR(__xludf.DUMMYFUNCTION("""COMPUTED_VALUE""")," Позднеспелый гибрид, техническая спелость наступает на 150 день после полных всходов")</f>
        <v> Позднеспелый гибрид, техническая спелость наступает на 150 день после полных всходов</v>
      </c>
      <c r="K154" s="6" t="str">
        <f>IFERROR(__xludf.DUMMYFUNCTION("""COMPUTED_VALUE""")," Предназначен для потребления в свежем виде, тушения, квашения и длительного хранения")</f>
        <v> Предназначен для потребления в свежем виде, тушения, квашения и длительного хранения</v>
      </c>
    </row>
    <row r="155">
      <c r="A155" s="11" t="s">
        <v>761</v>
      </c>
      <c r="I155" s="55" t="str">
        <f>IFERROR(__xludf.DUMMYFUNCTION("SPLIT(A155,""."")"),"Княгиня")</f>
        <v>Княгиня</v>
      </c>
      <c r="J155" s="6" t="str">
        <f>IFERROR(__xludf.DUMMYFUNCTION("""COMPUTED_VALUE"""),"Позднеспелый, лежкий (до лета следующего года) сорт с высоким выходом товарных корнеплодов")</f>
        <v>Позднеспелый, лежкий (до лета следующего года) сорт с высоким выходом товарных корнеплодов</v>
      </c>
      <c r="K155" s="6" t="str">
        <f>IFERROR(__xludf.DUMMYFUNCTION("""COMPUTED_VALUE""")," Вегетационный период 165-170 дней")</f>
        <v> Вегетационный период 165-170 дней</v>
      </c>
      <c r="L155" s="6" t="str">
        <f>IFERROR(__xludf.DUMMYFUNCTION("""COMPUTED_VALUE""")," Дружно формирует очень плотные кочаны массой 2,5 кг")</f>
        <v> Дружно формирует очень плотные кочаны массой 2,5 кг</v>
      </c>
    </row>
    <row r="156">
      <c r="A156" s="11" t="s">
        <v>764</v>
      </c>
      <c r="I156" s="55" t="str">
        <f>IFERROR(__xludf.DUMMYFUNCTION("SPLIT(A156,""."")"),"Лангедейкер")</f>
        <v>Лангедейкер</v>
      </c>
      <c r="J156" s="6" t="str">
        <f>IFERROR(__xludf.DUMMYFUNCTION("""COMPUTED_VALUE"""),"Сорт позднеспелый, вегетационный период 115-125 дней")</f>
        <v>Сорт позднеспелый, вегетационный период 115-125 дней</v>
      </c>
      <c r="K156" s="6" t="str">
        <f>IFERROR(__xludf.DUMMYFUNCTION("""COMPUTED_VALUE""")," Кочаны округлые и короткоовальные, зеленовато-белой окраски, плотные, не растрескиваются")</f>
        <v> Кочаны округлые и короткоовальные, зеленовато-белой окраски, плотные, не растрескиваются</v>
      </c>
      <c r="L156" s="6" t="str">
        <f>IFERROR(__xludf.DUMMYFUNCTION("""COMPUTED_VALUE""")," Масса 1,9-4 кг")</f>
        <v> Масса 1,9-4 кг</v>
      </c>
      <c r="M156" s="6" t="str">
        <f>IFERROR(__xludf.DUMMYFUNCTION("""COMPUTED_VALUE""")," Урожайность 12 кг/кв")</f>
        <v> Урожайность 12 кг/кв</v>
      </c>
      <c r="N156" s="6" t="str">
        <f>IFERROR(__xludf.DUMMYFUNCTION("""COMPUTED_VALUE"""),"м")</f>
        <v>м</v>
      </c>
      <c r="O156" s="6" t="str">
        <f>IFERROR(__xludf.DUMMYFUNCTION("""COMPUTED_VALUE""")," Используют в свежем виде и для квашения")</f>
        <v> Используют в свежем виде и для квашения</v>
      </c>
    </row>
    <row r="157">
      <c r="A157" s="11" t="s">
        <v>764</v>
      </c>
      <c r="I157" s="55" t="str">
        <f>IFERROR(__xludf.DUMMYFUNCTION("SPLIT(A157,""."")"),"Лангедейкер")</f>
        <v>Лангедейкер</v>
      </c>
      <c r="J157" s="6" t="str">
        <f>IFERROR(__xludf.DUMMYFUNCTION("""COMPUTED_VALUE"""),"Сорт позднеспелый, вегетационный период 115-125 дней")</f>
        <v>Сорт позднеспелый, вегетационный период 115-125 дней</v>
      </c>
      <c r="K157" s="6" t="str">
        <f>IFERROR(__xludf.DUMMYFUNCTION("""COMPUTED_VALUE""")," Кочаны округлые и короткоовальные, зеленовато-белой окраски, плотные, не растрескиваются")</f>
        <v> Кочаны округлые и короткоовальные, зеленовато-белой окраски, плотные, не растрескиваются</v>
      </c>
      <c r="L157" s="6" t="str">
        <f>IFERROR(__xludf.DUMMYFUNCTION("""COMPUTED_VALUE""")," Масса 1,9-4 кг")</f>
        <v> Масса 1,9-4 кг</v>
      </c>
      <c r="M157" s="6" t="str">
        <f>IFERROR(__xludf.DUMMYFUNCTION("""COMPUTED_VALUE""")," Урожайность 12 кг/кв")</f>
        <v> Урожайность 12 кг/кв</v>
      </c>
      <c r="N157" s="6" t="str">
        <f>IFERROR(__xludf.DUMMYFUNCTION("""COMPUTED_VALUE"""),"м")</f>
        <v>м</v>
      </c>
      <c r="O157" s="6" t="str">
        <f>IFERROR(__xludf.DUMMYFUNCTION("""COMPUTED_VALUE""")," Используют в свежем виде и для квашения")</f>
        <v> Используют в свежем виде и для квашения</v>
      </c>
    </row>
    <row r="158">
      <c r="A158" s="11" t="s">
        <v>768</v>
      </c>
      <c r="I158" s="55" t="str">
        <f>IFERROR(__xludf.DUMMYFUNCTION("SPLIT(A158,""."")"),"Слава1305")</f>
        <v>Слава1305</v>
      </c>
      <c r="J158" s="6" t="str">
        <f>IFERROR(__xludf.DUMMYFUNCTION("""COMPUTED_VALUE"""),"Среднеспелая")</f>
        <v>Среднеспелая</v>
      </c>
      <c r="K158" s="6" t="str">
        <f>IFERROR(__xludf.DUMMYFUNCTION("""COMPUTED_VALUE""")," Созревает через 80-90 дней после высадки рассады")</f>
        <v> Созревает через 80-90 дней после высадки рассады</v>
      </c>
      <c r="L158" s="6" t="str">
        <f>IFERROR(__xludf.DUMMYFUNCTION("""COMPUTED_VALUE""")," Кочаны округлые, крупные, массой 2,4-4,5кг, плотные")</f>
        <v> Кочаны округлые, крупные, массой 2,4-4,5кг, плотные</v>
      </c>
      <c r="M158" s="6" t="str">
        <f>IFERROR(__xludf.DUMMYFUNCTION("""COMPUTED_VALUE""")," Один из наиболее урожайных сортов")</f>
        <v> Один из наиболее урожайных сортов</v>
      </c>
      <c r="N158" s="6" t="str">
        <f>IFERROR(__xludf.DUMMYFUNCTION("""COMPUTED_VALUE""")," Кочаны сохраняются до начала января, рекомендуются для квашения и использования в свежем виде")</f>
        <v> Кочаны сохраняются до начала января, рекомендуются для квашения и использования в свежем виде</v>
      </c>
    </row>
    <row r="159">
      <c r="A159" s="11" t="s">
        <v>771</v>
      </c>
      <c r="I159" s="55" t="str">
        <f>IFERROR(__xludf.DUMMYFUNCTION("SPLIT(A159,""."")"),"ПарелF1")</f>
        <v>ПарелF1</v>
      </c>
      <c r="J159" s="6" t="str">
        <f>IFERROR(__xludf.DUMMYFUNCTION("""COMPUTED_VALUE"""),"Сверхранний гибрид для использования в свежем виде")</f>
        <v>Сверхранний гибрид для использования в свежем виде</v>
      </c>
      <c r="K159" s="6" t="str">
        <f>IFERROR(__xludf.DUMMYFUNCTION("""COMPUTED_VALUE""")," Головка плотная, округлая с коротким кочаном, весом 1 кг")</f>
        <v> Головка плотная, округлая с коротким кочаном, весом 1 кг</v>
      </c>
      <c r="L159" s="6" t="str">
        <f>IFERROR(__xludf.DUMMYFUNCTION("""COMPUTED_VALUE""")," Высокие товарные свойства, рекомендуется для раннего выращивания под пленкой и в открытом грунте")</f>
        <v> Высокие товарные свойства, рекомендуется для раннего выращивания под пленкой и в открытом грунте</v>
      </c>
    </row>
    <row r="160">
      <c r="A160" s="11" t="s">
        <v>775</v>
      </c>
      <c r="I160" s="55" t="str">
        <f>IFERROR(__xludf.DUMMYFUNCTION("SPLIT(A160,""."")"),"Первый урожай")</f>
        <v>Первый урожай</v>
      </c>
      <c r="J160" s="6" t="str">
        <f>IFERROR(__xludf.DUMMYFUNCTION("""COMPUTED_VALUE"""),"Сверхранняя, период вегетации 60 дней")</f>
        <v>Сверхранняя, период вегетации 60 дней</v>
      </c>
      <c r="K160" s="6" t="str">
        <f>IFERROR(__xludf.DUMMYFUNCTION("""COMPUTED_VALUE""")," Кочан округлый, плотный, массой 2,0-2,2 кг, сочный, вкус нежный")</f>
        <v> Кочан округлый, плотный, массой 2,0-2,2 кг, сочный, вкус нежный</v>
      </c>
      <c r="L160" s="6" t="str">
        <f>IFERROR(__xludf.DUMMYFUNCTION("""COMPUTED_VALUE""")," Сорт устойчив против растрескивания и болезней")</f>
        <v> Сорт устойчив против растрескивания и болезней</v>
      </c>
      <c r="M160" s="6" t="str">
        <f>IFERROR(__xludf.DUMMYFUNCTION("""COMPUTED_VALUE""")," Хорошо хранится, не гниет")</f>
        <v> Хорошо хранится, не гниет</v>
      </c>
      <c r="N160" s="6" t="str">
        <f>IFERROR(__xludf.DUMMYFUNCTION("""COMPUTED_VALUE""")," Высевают на рассаду с середины марта")</f>
        <v> Высевают на рассаду с середины марта</v>
      </c>
    </row>
    <row r="161">
      <c r="A161" s="11" t="s">
        <v>779</v>
      </c>
      <c r="I161" s="55" t="str">
        <f>IFERROR(__xludf.DUMMYFUNCTION("SPLIT(A161,""."")"),"Тюркиз")</f>
        <v>Тюркиз</v>
      </c>
      <c r="J161" s="6" t="str">
        <f>IFERROR(__xludf.DUMMYFUNCTION("""COMPUTED_VALUE"""),"Сорт позднеспелый, спелость наступает на 115-125 дней после высадки рассады")</f>
        <v>Сорт позднеспелый, спелость наступает на 115-125 дней после высадки рассады</v>
      </c>
      <c r="K161" s="6" t="str">
        <f>IFERROR(__xludf.DUMMYFUNCTION("""COMPUTED_VALUE""")," Кочаны округлые и округло-плоские, средней величины, массой 1,5 кг-2,5 кг, очень плотные, склонности к растрескиванию нет")</f>
        <v> Кочаны округлые и округло-плоские, средней величины, массой 1,5 кг-2,5 кг, очень плотные, склонности к растрескиванию нет</v>
      </c>
    </row>
    <row r="162">
      <c r="A162" s="11" t="s">
        <v>783</v>
      </c>
      <c r="I162" s="55" t="str">
        <f>IFERROR(__xludf.DUMMYFUNCTION("SPLIT(A162,""."")"),"Украинская осень")</f>
        <v>Украинская осень</v>
      </c>
      <c r="J162" s="6" t="str">
        <f>IFERROR(__xludf.DUMMYFUNCTION("""COMPUTED_VALUE"""),"Сорт поздний")</f>
        <v>Сорт поздний</v>
      </c>
      <c r="K162" s="6" t="str">
        <f>IFERROR(__xludf.DUMMYFUNCTION("""COMPUTED_VALUE""")," От посадки в грунт до хозяйственной спелости проходит 118-125 дней")</f>
        <v> От посадки в грунт до хозяйственной спелости проходит 118-125 дней</v>
      </c>
      <c r="L162" s="6" t="str">
        <f>IFERROR(__xludf.DUMMYFUNCTION("""COMPUTED_VALUE""")," Головка тугая, плоскоокруглая, светло-зеленая, весом 1,9-4,2 кг")</f>
        <v> Головка тугая, плоскоокруглая, светло-зеленая, весом 1,9-4,2 кг</v>
      </c>
      <c r="M162" s="6" t="str">
        <f>IFERROR(__xludf.DUMMYFUNCTION("""COMPUTED_VALUE""")," Урожайность высокая до 12 кг/м кв")</f>
        <v> Урожайность высокая до 12 кг/м кв</v>
      </c>
      <c r="N162" s="6" t="str">
        <f>IFERROR(__xludf.DUMMYFUNCTION("""COMPUTED_VALUE""")," Используется для потребления в свежем виде и квашения")</f>
        <v> Используется для потребления в свежем виде и квашения</v>
      </c>
    </row>
    <row r="163">
      <c r="A163" s="11" t="s">
        <v>785</v>
      </c>
      <c r="I163" s="55" t="str">
        <f>IFERROR(__xludf.DUMMYFUNCTION("SPLIT(A163,""."")"),"Украинская осень")</f>
        <v>Украинская осень</v>
      </c>
      <c r="J163" s="6" t="str">
        <f>IFERROR(__xludf.DUMMYFUNCTION("""COMPUTED_VALUE"""),"Сорт поздний")</f>
        <v>Сорт поздний</v>
      </c>
      <c r="K163" s="6" t="str">
        <f>IFERROR(__xludf.DUMMYFUNCTION("""COMPUTED_VALUE""")," От посадки в грунт до хозяйственной спелости проходит 118-125 дней")</f>
        <v> От посадки в грунт до хозяйственной спелости проходит 118-125 дней</v>
      </c>
      <c r="L163" s="6" t="str">
        <f>IFERROR(__xludf.DUMMYFUNCTION("""COMPUTED_VALUE""")," Головка тугая, плоскоокруглая, светло-зеленая, весом 1,9-4,2 кг")</f>
        <v> Головка тугая, плоскоокруглая, светло-зеленая, весом 1,9-4,2 кг</v>
      </c>
      <c r="M163" s="6" t="str">
        <f>IFERROR(__xludf.DUMMYFUNCTION("""COMPUTED_VALUE""")," Урожайность высокая до 12 кг/м кв")</f>
        <v> Урожайность высокая до 12 кг/м кв</v>
      </c>
      <c r="N163" s="6" t="str">
        <f>IFERROR(__xludf.DUMMYFUNCTION("""COMPUTED_VALUE""")," Используется для потребления в свежем виде и квашения")</f>
        <v> Используется для потребления в свежем виде и квашения</v>
      </c>
    </row>
    <row r="164">
      <c r="A164" s="11" t="s">
        <v>789</v>
      </c>
      <c r="I164" s="55" t="str">
        <f>IFERROR(__xludf.DUMMYFUNCTION("SPLIT(A164,""."")"),"Харьковская зимняя")</f>
        <v>Харьковская зимняя</v>
      </c>
      <c r="J164" s="6" t="str">
        <f>IFERROR(__xludf.DUMMYFUNCTION("""COMPUTED_VALUE"""),"Сорт позднеспелый")</f>
        <v>Сорт позднеспелый</v>
      </c>
      <c r="K164" s="6" t="str">
        <f>IFERROR(__xludf.DUMMYFUNCTION("""COMPUTED_VALUE""")," Созревание кочанов наступает через 122-135 дней после высадки рассады")</f>
        <v> Созревание кочанов наступает через 122-135 дней после высадки рассады</v>
      </c>
      <c r="L164" s="6" t="str">
        <f>IFERROR(__xludf.DUMMYFUNCTION("""COMPUTED_VALUE""")," Кочаны округло-плоские и плосковыпуклые, зеленовато-белые, плотные не растрескиваются, масса 1,9-3,5 кг")</f>
        <v> Кочаны округло-плоские и плосковыпуклые, зеленовато-белые, плотные не растрескиваются, масса 1,9-3,5 кг</v>
      </c>
    </row>
    <row r="165">
      <c r="A165" s="11" t="s">
        <v>793</v>
      </c>
      <c r="I165" s="55" t="str">
        <f>IFERROR(__xludf.DUMMYFUNCTION("SPLIT(A165,""."")"),"Летняя Альфа")</f>
        <v>Летняя Альфа</v>
      </c>
      <c r="J165" s="6" t="str">
        <f>IFERROR(__xludf.DUMMYFUNCTION("""COMPUTED_VALUE"""),"Очень скороспелый сорт, від сходів до збору 85-95 днів")</f>
        <v>Очень скороспелый сорт, від сходів до збору 85-95 днів</v>
      </c>
      <c r="K165" s="6" t="str">
        <f>IFERROR(__xludf.DUMMYFUNCTION("""COMPUTED_VALUE"""),"  Головка округло-плоская, белая, с округло-бугристой поверхностью")</f>
        <v>  Головка округло-плоская, белая, с округло-бугристой поверхностью</v>
      </c>
      <c r="L165" s="6" t="str">
        <f>IFERROR(__xludf.DUMMYFUNCTION("""COMPUTED_VALUE""")," Вкусовые качества прекрасные")</f>
        <v> Вкусовые качества прекрасные</v>
      </c>
      <c r="M165" s="6" t="str">
        <f>IFERROR(__xludf.DUMMYFUNCTION("""COMPUTED_VALUE""")," Для получения ранних урожаев семена высевают на рассаду в марте")</f>
        <v> Для получения ранних урожаев семена высевают на рассаду в марте</v>
      </c>
    </row>
    <row r="166">
      <c r="A166" s="11" t="s">
        <v>797</v>
      </c>
      <c r="I166" s="55" t="str">
        <f>IFERROR(__xludf.DUMMYFUNCTION("SPLIT(A166,""."")"),"Пионер")</f>
        <v>Пионер</v>
      </c>
      <c r="J166" s="6" t="str">
        <f>IFERROR(__xludf.DUMMYFUNCTION("""COMPUTED_VALUE""")," Среднеранняя, от высадки рассады до формирования товарного урожая – 65-72 дня")</f>
        <v> Среднеранняя, от высадки рассады до формирования товарного урожая – 65-72 дня</v>
      </c>
      <c r="K166" s="6" t="str">
        <f>IFERROR(__xludf.DUMMYFUNCTION("""COMPUTED_VALUE""")," Растения формируют  плотные головки кремово-белого цвета, диаметром 18-22 см, средней массой 1 кг")</f>
        <v> Растения формируют  плотные головки кремово-белого цвета, диаметром 18-22 см, средней массой 1 кг</v>
      </c>
      <c r="L166" s="6" t="str">
        <f>IFERROR(__xludf.DUMMYFUNCTION("""COMPUTED_VALUE""")," Сорт предназначен для выращивания в открытом грунте в весенне-летний и осенний периоды")</f>
        <v> Сорт предназначен для выращивания в открытом грунте в весенне-летний и осенний периоды</v>
      </c>
    </row>
    <row r="167">
      <c r="A167" s="11" t="s">
        <v>801</v>
      </c>
      <c r="I167" s="55" t="str">
        <f>IFERROR(__xludf.DUMMYFUNCTION("SPLIT(A167,""."")"),"Мовир 74")</f>
        <v>Мовир 74</v>
      </c>
      <c r="J167" s="6" t="str">
        <f>IFERROR(__xludf.DUMMYFUNCTION("""COMPUTED_VALUE"""),"Скороспелый сорт, созревает через 70-96 дней после появления всходов")</f>
        <v>Скороспелый сорт, созревает через 70-96 дней после появления всходов</v>
      </c>
      <c r="K167" s="6" t="str">
        <f>IFERROR(__xludf.DUMMYFUNCTION("""COMPUTED_VALUE""")," Головка округло-плоская, массой 0,4-1,5 кг, отличных вкусовых качеств")</f>
        <v> Головка округло-плоская, массой 0,4-1,5 кг, отличных вкусовых качеств</v>
      </c>
      <c r="L167" s="6" t="str">
        <f>IFERROR(__xludf.DUMMYFUNCTION("""COMPUTED_VALUE""")," Рекомендуется для потребления в свежем виде и для консервирования")</f>
        <v> Рекомендуется для потребления в свежем виде и для консервирования</v>
      </c>
    </row>
    <row r="168">
      <c r="A168" s="11" t="s">
        <v>805</v>
      </c>
      <c r="I168" s="55" t="str">
        <f>IFERROR(__xludf.DUMMYFUNCTION("SPLIT(A168,""."")"),"Снежный шар")</f>
        <v>Снежный шар</v>
      </c>
      <c r="J168" s="6" t="str">
        <f>IFERROR(__xludf.DUMMYFUNCTION("""COMPUTED_VALUE"""),"Очень скороспелый сорт, техническая спелость головок наступает на 85-118 день после всходов")</f>
        <v>Очень скороспелый сорт, техническая спелость головок наступает на 85-118 день после всходов</v>
      </c>
      <c r="K168" s="6" t="str">
        <f>IFERROR(__xludf.DUMMYFUNCTION("""COMPUTED_VALUE""")," Головка округло-плоская, чисто-белая, с округло-бугристой поверхностью")</f>
        <v> Головка округло-плоская, чисто-белая, с округло-бугристой поверхностью</v>
      </c>
      <c r="L168" s="6" t="str">
        <f>IFERROR(__xludf.DUMMYFUNCTION("""COMPUTED_VALUE""")," Вкусовые качества прекрасные")</f>
        <v> Вкусовые качества прекрасные</v>
      </c>
    </row>
    <row r="169">
      <c r="A169" s="11" t="s">
        <v>808</v>
      </c>
      <c r="I169" s="55" t="str">
        <f>IFERROR(__xludf.DUMMYFUNCTION("SPLIT(A169,""."")"),"Сноу болл")</f>
        <v>Сноу болл</v>
      </c>
      <c r="J169" s="6" t="str">
        <f>IFERROR(__xludf.DUMMYFUNCTION("""COMPUTED_VALUE"""),"Среднепоздний сорт")</f>
        <v>Среднепоздний сорт</v>
      </c>
      <c r="K169" s="6" t="str">
        <f>IFERROR(__xludf.DUMMYFUNCTION("""COMPUTED_VALUE""")," От высадки рассады до технической спелости 95-100 дней")</f>
        <v> От высадки рассады до технической спелости 95-100 дней</v>
      </c>
      <c r="L169" s="6" t="str">
        <f>IFERROR(__xludf.DUMMYFUNCTION("""COMPUTED_VALUE""")," Сорт хорошо подходит для получения урожая в течение длительного периода")</f>
        <v> Сорт хорошо подходит для получения урожая в течение длительного периода</v>
      </c>
      <c r="M169" s="6" t="str">
        <f>IFERROR(__xludf.DUMMYFUNCTION("""COMPUTED_VALUE""")," Головки белые, плотные массой 1-1,5 кг")</f>
        <v> Головки белые, плотные массой 1-1,5 кг</v>
      </c>
      <c r="N169" s="6" t="str">
        <f>IFERROR(__xludf.DUMMYFUNCTION("""COMPUTED_VALUE""")," Имеет отличные вкусовые качества")</f>
        <v> Имеет отличные вкусовые качества</v>
      </c>
    </row>
    <row r="170">
      <c r="A170" s="11" t="s">
        <v>811</v>
      </c>
      <c r="I170" s="55" t="str">
        <f>IFERROR(__xludf.DUMMYFUNCTION("SPLIT(A170,""."")"),"Робер")</f>
        <v>Робер</v>
      </c>
      <c r="J170" s="6" t="str">
        <f>IFERROR(__xludf.DUMMYFUNCTION("""COMPUTED_VALUE"""),"Среднеранний, высокопродуктивный, универсальный сорт")</f>
        <v>Среднеранний, высокопродуктивный, универсальный сорт</v>
      </c>
      <c r="K170" s="6" t="str">
        <f>IFERROR(__xludf.DUMMYFUNCTION("""COMPUTED_VALUE""")," Вегетационный период от высадки рассады – 65-70 дней")</f>
        <v> Вегетационный период от высадки рассады – 65-70 дней</v>
      </c>
      <c r="L170" s="6" t="str">
        <f>IFERROR(__xludf.DUMMYFUNCTION("""COMPUTED_VALUE""")," Предназначен для выращивания с ранней весны до осени, а также в неотапливаемых теплицах")</f>
        <v> Предназначен для выращивания с ранней весны до осени, а также в неотапливаемых теплицах</v>
      </c>
      <c r="M170" s="6" t="str">
        <f>IFERROR(__xludf.DUMMYFUNCTION("""COMPUTED_VALUE""")," Головка полувыпуклая, большая, массой 800-1200 г, плотная, белоснежная")</f>
        <v> Головка полувыпуклая, большая, массой 800-1200 г, плотная, белоснежная</v>
      </c>
    </row>
    <row r="171">
      <c r="A171" s="11" t="s">
        <v>814</v>
      </c>
      <c r="I171" s="55" t="str">
        <f>IFERROR(__xludf.DUMMYFUNCTION("SPLIT(A171,""."")"),"Топаз")</f>
        <v>Топаз</v>
      </c>
      <c r="J171" s="6" t="str">
        <f>IFERROR(__xludf.DUMMYFUNCTION("""COMPUTED_VALUE"""),"Краснкочанная")</f>
        <v>Краснкочанная</v>
      </c>
      <c r="K171" s="6" t="str">
        <f>IFERROR(__xludf.DUMMYFUNCTION("""COMPUTED_VALUE"""),"Раннеспелая, холодостойкая")</f>
        <v>Раннеспелая, холодостойкая</v>
      </c>
      <c r="L171" s="6" t="str">
        <f>IFERROR(__xludf.DUMMYFUNCTION("""COMPUTED_VALUE""")," Период вегетации 95-100 дней")</f>
        <v> Период вегетации 95-100 дней</v>
      </c>
      <c r="M171" s="6" t="str">
        <f>IFERROR(__xludf.DUMMYFUNCTION("""COMPUTED_VALUE""")," Кочаны округлые, плотные, средней массой 1-1,5 кг, фиолетового цвета")</f>
        <v> Кочаны округлые, плотные, средней массой 1-1,5 кг, фиолетового цвета</v>
      </c>
      <c r="N171" s="6" t="str">
        <f>IFERROR(__xludf.DUMMYFUNCTION("""COMPUTED_VALUE""")," Используют для потребления в свежем виде и переработки")</f>
        <v> Используют для потребления в свежем виде и переработки</v>
      </c>
    </row>
    <row r="172">
      <c r="A172" s="11" t="s">
        <v>816</v>
      </c>
      <c r="I172" s="55" t="str">
        <f>IFERROR(__xludf.DUMMYFUNCTION("SPLIT(A172,""."")"),"Лангедейкер")</f>
        <v>Лангедейкер</v>
      </c>
      <c r="J172" s="6" t="str">
        <f>IFERROR(__xludf.DUMMYFUNCTION("""COMPUTED_VALUE""")," Краснокочанная")</f>
        <v> Краснокочанная</v>
      </c>
      <c r="K172" s="6" t="str">
        <f>IFERROR(__xludf.DUMMYFUNCTION("""COMPUTED_VALUE"""),"Сорт урожайный, позднеспелый, хорошо хранится")</f>
        <v>Сорт урожайный, позднеспелый, хорошо хранится</v>
      </c>
      <c r="L172" s="6" t="str">
        <f>IFERROR(__xludf.DUMMYFUNCTION("""COMPUTED_VALUE""")," Предназначен для потребления в свежем виде в салатах")</f>
        <v> Предназначен для потребления в свежем виде в салатах</v>
      </c>
      <c r="M172" s="6" t="str">
        <f>IFERROR(__xludf.DUMMYFUNCTION("""COMPUTED_VALUE""")," Розетка листьев среднего размера")</f>
        <v> Розетка листьев среднего размера</v>
      </c>
      <c r="N172" s="6" t="str">
        <f>IFERROR(__xludf.DUMMYFUNCTION("""COMPUTED_VALUE""")," Кочан овальный, крупный, массой 2-3 кг, очень плотный, фиолетовый")</f>
        <v> Кочан овальный, крупный, массой 2-3 кг, очень плотный, фиолетовый</v>
      </c>
    </row>
    <row r="173">
      <c r="A173" s="11" t="s">
        <v>820</v>
      </c>
      <c r="I173" s="55" t="str">
        <f>IFERROR(__xludf.DUMMYFUNCTION("SPLIT(A173,""."")"),"Краснокочанная")</f>
        <v>Краснокочанная</v>
      </c>
      <c r="J173" s="6" t="str">
        <f>IFERROR(__xludf.DUMMYFUNCTION("""COMPUTED_VALUE"""),"Разновидность кочанной капусты с интенсивной синевато-фиолетовой окраской листьев")</f>
        <v>Разновидность кочанной капусты с интенсивной синевато-фиолетовой окраской листьев</v>
      </c>
      <c r="K173" s="6" t="str">
        <f>IFERROR(__xludf.DUMMYFUNCTION("""COMPUTED_VALUE""")," Кочаны небольшие, очень плотные и лежкие")</f>
        <v> Кочаны небольшие, очень плотные и лежкие</v>
      </c>
      <c r="L173" s="6" t="str">
        <f>IFERROR(__xludf.DUMMYFUNCTION("""COMPUTED_VALUE""")," Посев семян производят с 15 февраля по 15 апреля на рассаду")</f>
        <v> Посев семян производят с 15 февраля по 15 апреля на рассаду</v>
      </c>
    </row>
    <row r="174">
      <c r="A174" s="11" t="s">
        <v>824</v>
      </c>
      <c r="I174" s="55" t="str">
        <f>IFERROR(__xludf.DUMMYFUNCTION("SPLIT(A174,""."")"),"Брюссельская")</f>
        <v>Брюссельская</v>
      </c>
      <c r="J174" s="6" t="str">
        <f>IFERROR(__xludf.DUMMYFUNCTION("""COMPUTED_VALUE"""),"Двулетнее растение")</f>
        <v>Двулетнее растение</v>
      </c>
      <c r="K174" s="6" t="str">
        <f>IFERROR(__xludf.DUMMYFUNCTION("""COMPUTED_VALUE""")," В первый год образует стебель высотой 40-60 см")</f>
        <v> В первый год образует стебель высотой 40-60 см</v>
      </c>
      <c r="L174" s="6" t="str">
        <f>IFERROR(__xludf.DUMMYFUNCTION("""COMPUTED_VALUE""")," В пазухах листьев развиваются небольшие кочанчики величиной от грецкого ореха до куриного яйца")</f>
        <v> В пазухах листьев развиваются небольшие кочанчики величиной от грецкого ореха до куриного яйца</v>
      </c>
      <c r="M174" s="6" t="str">
        <f>IFERROR(__xludf.DUMMYFUNCTION("""COMPUTED_VALUE"""),"  Используют в отваренном, жаренном и тушенном видах, как гарнир для вторых блюд, для супа")</f>
        <v>  Используют в отваренном, жаренном и тушенном видах, как гарнир для вторых блюд, для супа</v>
      </c>
    </row>
    <row r="175">
      <c r="A175" s="11" t="s">
        <v>828</v>
      </c>
      <c r="I175" s="55" t="str">
        <f>IFERROR(__xludf.DUMMYFUNCTION("SPLIT(A175,""."")"),"Брюссельская красная")</f>
        <v>Брюссельская красная</v>
      </c>
      <c r="J175" s="6" t="str">
        <f>IFERROR(__xludf.DUMMYFUNCTION("""COMPUTED_VALUE"""),"Период от всходов до начала созревания 150-160 дней")</f>
        <v>Период от всходов до начала созревания 150-160 дней</v>
      </c>
      <c r="K175" s="6" t="str">
        <f>IFERROR(__xludf.DUMMYFUNCTION("""COMPUTED_VALUE""")," Растения мощные, средней высоты, формируют 30-45 округлых кочанчиков массой 15-17 г")</f>
        <v> Растения мощные, средней высоты, формируют 30-45 округлых кочанчиков массой 15-17 г</v>
      </c>
      <c r="L175" s="6" t="str">
        <f>IFERROR(__xludf.DUMMYFUNCTION("""COMPUTED_VALUE""")," Общая масса кочанчиков с одного растения 650-750 г")</f>
        <v> Общая масса кочанчиков с одного растения 650-750 г</v>
      </c>
      <c r="M175" s="6" t="str">
        <f>IFERROR(__xludf.DUMMYFUNCTION("""COMPUTED_VALUE""")," Вкус, нежный и пикантный")</f>
        <v> Вкус, нежный и пикантный</v>
      </c>
      <c r="N175" s="6" t="str">
        <f>IFERROR(__xludf.DUMMYFUNCTION("""COMPUTED_VALUE""")," Отлично подходят для домашней кулинарии и замораживания")</f>
        <v> Отлично подходят для домашней кулинарии и замораживания</v>
      </c>
    </row>
    <row r="176">
      <c r="A176" s="11" t="s">
        <v>832</v>
      </c>
      <c r="I176" s="55" t="str">
        <f>IFERROR(__xludf.DUMMYFUNCTION("SPLIT(A176,""."")"),"Брокколи")</f>
        <v>Брокколи</v>
      </c>
      <c r="J176" s="6" t="str">
        <f>IFERROR(__xludf.DUMMYFUNCTION("""COMPUTED_VALUE"""),"Разновидность спаржевой капусты")</f>
        <v>Разновидность спаржевой капусты</v>
      </c>
      <c r="K176" s="6" t="str">
        <f>IFERROR(__xludf.DUMMYFUNCTION("""COMPUTED_VALUE""")," Образует рыхлую головку темно-зеленого цвета")</f>
        <v> Образует рыхлую головку темно-зеленого цвета</v>
      </c>
      <c r="L176" s="6" t="str">
        <f>IFERROR(__xludf.DUMMYFUNCTION("""COMPUTED_VALUE""")," Отличается высокой питательной ценностью")</f>
        <v> Отличается высокой питательной ценностью</v>
      </c>
      <c r="M176" s="6" t="str">
        <f>IFERROR(__xludf.DUMMYFUNCTION("""COMPUTED_VALUE""")," Используют для приготовления первых и вторых блюд, замораживают, консервируют")</f>
        <v> Используют для приготовления первых и вторых блюд, замораживают, консервируют</v>
      </c>
    </row>
    <row r="177">
      <c r="A177" s="11" t="s">
        <v>836</v>
      </c>
      <c r="I177" s="55" t="str">
        <f>IFERROR(__xludf.DUMMYFUNCTION("SPLIT(A177,""."")"),"Кольраби белая")</f>
        <v>Кольраби белая</v>
      </c>
      <c r="J177" s="6" t="str">
        <f>IFERROR(__xludf.DUMMYFUNCTION("""COMPUTED_VALUE"""),"Ценной особенностью кольраби является скороспелость, период вегетации около 60 дней, это наиболее ранний овощ из капустных растений")</f>
        <v>Ценной особенностью кольраби является скороспелость, период вегетации около 60 дней, это наиболее ранний овощ из капустных растений</v>
      </c>
      <c r="K177" s="6" t="str">
        <f>IFERROR(__xludf.DUMMYFUNCTION("""COMPUTED_VALUE""")," В пищу употребляется мясистое шарообразное основание стебля, очень нежное и вкусное, содержащее большое количество сахарозы и витаминов")</f>
        <v> В пищу употребляется мясистое шарообразное основание стебля, очень нежное и вкусное, содержащее большое количество сахарозы и витаминов</v>
      </c>
    </row>
    <row r="178">
      <c r="A178" s="11" t="s">
        <v>840</v>
      </c>
      <c r="I178" s="55" t="str">
        <f>IFERROR(__xludf.DUMMYFUNCTION("SPLIT(A178,""."")"),"Кольраби Голубая")</f>
        <v>Кольраби Голубая</v>
      </c>
      <c r="J178" s="6" t="str">
        <f>IFERROR(__xludf.DUMMYFUNCTION("""COMPUTED_VALUE""")," Растение холодостойкое, переносит кратковременные заморозки до –4 градусов")</f>
        <v> Растение холодостойкое, переносит кратковременные заморозки до –4 градусов</v>
      </c>
      <c r="K178" s="6" t="str">
        <f>IFERROR(__xludf.DUMMYFUNCTION("""COMPUTED_VALUE""")," Для получения раннего урожая семена на рассаду высевают с 15 марта")</f>
        <v> Для получения раннего урожая семена на рассаду высевают с 15 марта</v>
      </c>
      <c r="L178" s="6" t="str">
        <f>IFERROR(__xludf.DUMMYFUNCTION("""COMPUTED_VALUE""")," В грунт высаживают в конце апреля, не глубоко")</f>
        <v> В грунт высаживают в конце апреля, не глубоко</v>
      </c>
    </row>
    <row r="179">
      <c r="A179" s="11" t="s">
        <v>844</v>
      </c>
      <c r="I179" s="55" t="str">
        <f>IFERROR(__xludf.DUMMYFUNCTION("SPLIT(A179,""."")"),"Кольраби Гигант")</f>
        <v>Кольраби Гигант</v>
      </c>
      <c r="J179" s="6" t="str">
        <f>IFERROR(__xludf.DUMMYFUNCTION("""COMPUTED_VALUE"""),"Позднеспелый сорт")</f>
        <v>Позднеспелый сорт</v>
      </c>
      <c r="K179" s="6" t="str">
        <f>IFERROR(__xludf.DUMMYFUNCTION("""COMPUTED_VALUE""")," Период от всходов до технической спелости 100-120 дней")</f>
        <v> Период от всходов до технической спелости 100-120 дней</v>
      </c>
      <c r="L179" s="6" t="str">
        <f>IFERROR(__xludf.DUMMYFUNCTION("""COMPUTED_VALUE""")," Плод крупный, округлый, диаметром 15-20см, белесо-зеленой окраски")</f>
        <v> Плод крупный, округлый, диаметром 15-20см, белесо-зеленой окраски</v>
      </c>
      <c r="M179" s="6" t="str">
        <f>IFERROR(__xludf.DUMMYFUNCTION("""COMPUTED_VALUE""")," Мякоть белого цвета, нежная и сочная, хороших вкусовых качеств")</f>
        <v> Мякоть белого цвета, нежная и сочная, хороших вкусовых качеств</v>
      </c>
      <c r="N179" s="6" t="str">
        <f>IFERROR(__xludf.DUMMYFUNCTION("""COMPUTED_VALUE""")," Масса продуктивной части 1,5-3кг")</f>
        <v> Масса продуктивной части 1,5-3кг</v>
      </c>
      <c r="O179" s="6" t="str">
        <f>IFERROR(__xludf.DUMMYFUNCTION("""COMPUTED_VALUE""")," Сорт характеризуется высоко урожайностью")</f>
        <v> Сорт характеризуется высоко урожайностью</v>
      </c>
    </row>
    <row r="180">
      <c r="A180" s="11" t="s">
        <v>848</v>
      </c>
      <c r="I180" s="55" t="str">
        <f>IFERROR(__xludf.DUMMYFUNCTION("SPLIT(A180,""."")"),"Китайская Пак-Чой")</f>
        <v>Китайская Пак-Чой</v>
      </c>
      <c r="J180" s="6" t="str">
        <f>IFERROR(__xludf.DUMMYFUNCTION("""COMPUTED_VALUE""")," холодостойкий, высокоурожайный, супер ранний (45-50 дней), неприхотливый, очень популярный сорт")</f>
        <v> холодостойкий, высокоурожайный, супер ранний (45-50 дней), неприхотливый, очень популярный сорт</v>
      </c>
      <c r="K180" s="6" t="str">
        <f>IFERROR(__xludf.DUMMYFUNCTION("""COMPUTED_VALUE""")," Кочан рыхлый- листья нежные, светло-зеленые, черешки белые, упругие, отличного пикантного вкуса")</f>
        <v> Кочан рыхлый- листья нежные, светло-зеленые, черешки белые, упругие, отличного пикантного вкуса</v>
      </c>
      <c r="L180" s="6" t="str">
        <f>IFERROR(__xludf.DUMMYFUNCTION("""COMPUTED_VALUE""")," Используется в свежем виде для приготовления витаминных салатов")</f>
        <v> Используется в свежем виде для приготовления витаминных салатов</v>
      </c>
    </row>
    <row r="181">
      <c r="A181" s="11" t="s">
        <v>852</v>
      </c>
      <c r="I181" s="55" t="str">
        <f>IFERROR(__xludf.DUMMYFUNCTION("SPLIT(A181,""."")"),"Пекинская")</f>
        <v>Пекинская</v>
      </c>
      <c r="J181" s="6" t="str">
        <f>IFERROR(__xludf.DUMMYFUNCTION("""COMPUTED_VALUE"""),"Скороспелое, витаминное растение")</f>
        <v>Скороспелое, витаминное растение</v>
      </c>
      <c r="K181" s="6" t="str">
        <f>IFERROR(__xludf.DUMMYFUNCTION("""COMPUTED_VALUE""")," От массовых всходов до технической спелости 30-50 дней")</f>
        <v> От массовых всходов до технической спелости 30-50 дней</v>
      </c>
      <c r="L181" s="6" t="str">
        <f>IFERROR(__xludf.DUMMYFUNCTION("""COMPUTED_VALUE""")," Кочаны удлиненно-цилиндрические")</f>
        <v> Кочаны удлиненно-цилиндрические</v>
      </c>
      <c r="M181" s="6" t="str">
        <f>IFERROR(__xludf.DUMMYFUNCTION("""COMPUTED_VALUE""")," Пластинки листа по консистенции нежные, жилки сочные, вкус хороший")</f>
        <v> Пластинки листа по консистенции нежные, жилки сочные, вкус хороший</v>
      </c>
    </row>
    <row r="182">
      <c r="A182" s="11" t="s">
        <v>852</v>
      </c>
      <c r="I182" s="55" t="str">
        <f>IFERROR(__xludf.DUMMYFUNCTION("SPLIT(A182,""."")"),"Пекинская")</f>
        <v>Пекинская</v>
      </c>
      <c r="J182" s="6" t="str">
        <f>IFERROR(__xludf.DUMMYFUNCTION("""COMPUTED_VALUE"""),"Скороспелое, витаминное растение")</f>
        <v>Скороспелое, витаминное растение</v>
      </c>
      <c r="K182" s="6" t="str">
        <f>IFERROR(__xludf.DUMMYFUNCTION("""COMPUTED_VALUE""")," От массовых всходов до технической спелости 30-50 дней")</f>
        <v> От массовых всходов до технической спелости 30-50 дней</v>
      </c>
      <c r="L182" s="6" t="str">
        <f>IFERROR(__xludf.DUMMYFUNCTION("""COMPUTED_VALUE""")," Кочаны удлиненно-цилиндрические")</f>
        <v> Кочаны удлиненно-цилиндрические</v>
      </c>
      <c r="M182" s="6" t="str">
        <f>IFERROR(__xludf.DUMMYFUNCTION("""COMPUTED_VALUE""")," Пластинки листа по консистенции нежные, жилки сочные, вкус хороший")</f>
        <v> Пластинки листа по консистенции нежные, жилки сочные, вкус хороший</v>
      </c>
    </row>
    <row r="183">
      <c r="A183" s="11" t="s">
        <v>857</v>
      </c>
      <c r="I183" s="55" t="str">
        <f>IFERROR(__xludf.DUMMYFUNCTION("SPLIT(A183,""."")"),"Савойская")</f>
        <v>Савойская</v>
      </c>
      <c r="J183" s="6" t="str">
        <f>IFERROR(__xludf.DUMMYFUNCTION("""COMPUTED_VALUE"""),"Разновидность кочанной капусты с сильнопузырчатыми листьями")</f>
        <v>Разновидность кочанной капусты с сильнопузырчатыми листьями</v>
      </c>
      <c r="K183" s="6" t="str">
        <f>IFERROR(__xludf.DUMMYFUNCTION("""COMPUTED_VALUE""")," Холодостойкое и морозоустойчивое растение")</f>
        <v> Холодостойкое и морозоустойчивое растение</v>
      </c>
      <c r="L183" s="6" t="str">
        <f>IFERROR(__xludf.DUMMYFUNCTION("""COMPUTED_VALUE""")," Хорошо хранится")</f>
        <v> Хорошо хранится</v>
      </c>
      <c r="M183" s="6" t="str">
        <f>IFERROR(__xludf.DUMMYFUNCTION("""COMPUTED_VALUE""")," Используют в свежем виде, для квашения, в домашней кулинарии")</f>
        <v> Используют в свежем виде, для квашения, в домашней кулинарии</v>
      </c>
      <c r="N183" s="6" t="str">
        <f>IFERROR(__xludf.DUMMYFUNCTION("""COMPUTED_VALUE""")," Блюда из савойской капусты отличаются нежным вкусом")</f>
        <v> Блюда из савойской капусты отличаются нежным вкусом</v>
      </c>
    </row>
    <row r="184">
      <c r="A184" s="11" t="s">
        <v>861</v>
      </c>
      <c r="I184" s="55" t="str">
        <f>IFERROR(__xludf.DUMMYFUNCTION("SPLIT(A184,""."")"),"Романеско")</f>
        <v>Романеско</v>
      </c>
      <c r="J184" s="6" t="str">
        <f>IFERROR(__xludf.DUMMYFUNCTION("""COMPUTED_VALUE"""),"Формирует привлекательную головку, состоящую из маленьких конусов нежно-салатового цвета, весом 1,5-1,7 кг")</f>
        <v>Формирует привлекательную головку, состоящую из маленьких конусов нежно-салатового цвета, весом 1,5-1,7 кг</v>
      </c>
      <c r="K184" s="6" t="str">
        <f>IFERROR(__xludf.DUMMYFUNCTION("""COMPUTED_VALUE""")," Для осеннего употребления выращивают посевом в грунт, для раннего - рассадой")</f>
        <v> Для осеннего употребления выращивают посевом в грунт, для раннего - рассадой</v>
      </c>
      <c r="L184" s="6" t="str">
        <f>IFERROR(__xludf.DUMMYFUNCTION("""COMPUTED_VALUE""")," После уборки центральной головки хорошо растут боковые")</f>
        <v> После уборки центральной головки хорошо растут боковые</v>
      </c>
    </row>
    <row r="185">
      <c r="A185" s="11" t="s">
        <v>865</v>
      </c>
      <c r="I185" s="55" t="str">
        <f>IFERROR(__xludf.DUMMYFUNCTION("SPLIT(A185,""."")"),"Дайкон Миноваси")</f>
        <v>Дайкон Миноваси</v>
      </c>
      <c r="J185" s="6" t="str">
        <f>IFERROR(__xludf.DUMMYFUNCTION("""COMPUTED_VALUE"""),"Среднеспелый сорт (период от полных всходов до начала технической спелости 65-70 дней)")</f>
        <v>Среднеспелый сорт (период от полных всходов до начала технической спелости 65-70 дней)</v>
      </c>
      <c r="K185" s="6" t="str">
        <f>IFERROR(__xludf.DUMMYFUNCTION("""COMPUTED_VALUE"""),"Корнеплоды длинные – 45-50 цилиндрические с белой кожурой и белой мякотью")</f>
        <v>Корнеплоды длинные – 45-50 цилиндрические с белой кожурой и белой мякотью</v>
      </c>
      <c r="L185" s="6" t="str">
        <f>IFERROR(__xludf.DUMMYFUNCTION("""COMPUTED_VALUE""")," Масса корнеплода 1,2-1,5 кг")</f>
        <v> Масса корнеплода 1,2-1,5 кг</v>
      </c>
    </row>
    <row r="186">
      <c r="A186" s="14" t="s">
        <v>869</v>
      </c>
      <c r="I186" s="55" t="str">
        <f>IFERROR(__xludf.DUMMYFUNCTION("SPLIT(A186,""."")"),"Дайкон Саша")</f>
        <v>Дайкон Саша</v>
      </c>
      <c r="J186" s="6" t="str">
        <f>IFERROR(__xludf.DUMMYFUNCTION("""COMPUTED_VALUE"""),"Дайкон (сладкая редька) создан в Японии, где и занимает первое место по посевной площад  среди овощей")</f>
        <v>Дайкон (сладкая редька) создан в Японии, где и занимает первое место по посевной площад  среди овощей</v>
      </c>
      <c r="K186" s="6" t="str">
        <f>IFERROR(__xludf.DUMMYFUNCTION("""COMPUTED_VALUE""")," Раннеспелый сорт, вегетационный период - 35-45 дней")</f>
        <v> Раннеспелый сорт, вегетационный период - 35-45 дней</v>
      </c>
      <c r="L186" s="6" t="str">
        <f>IFERROR(__xludf.DUMMYFUNCTION("""COMPUTED_VALUE""")," Используется в свежем
виде")</f>
        <v> Используется в свежем
виде</v>
      </c>
      <c r="M186" s="6" t="str">
        <f>IFERROR(__xludf.DUMMYFUNCTION("""COMPUTED_VALUE"""),"Дайкон (сладкая редька) создан в Японии, где и занимает первое место по посевной площади")</f>
        <v>Дайкон (сладкая редька) создан в Японии, где и занимает первое место по посевной площади</v>
      </c>
    </row>
    <row r="187">
      <c r="A187" s="11" t="s">
        <v>873</v>
      </c>
      <c r="I187" s="55" t="str">
        <f>IFERROR(__xludf.DUMMYFUNCTION("SPLIT(A187,""."")"),"Белий клык")</f>
        <v>Белий клык</v>
      </c>
      <c r="J187" s="6" t="str">
        <f>IFERROR(__xludf.DUMMYFUNCTION("""COMPUTED_VALUE"""),"Позднеспелый, период от посева до уборки составляет от 34 до 50 дней")</f>
        <v>Позднеспелый, период от посева до уборки составляет от 34 до 50 дней</v>
      </c>
      <c r="K187" s="6" t="str">
        <f>IFERROR(__xludf.DUMMYFUNCTION("""COMPUTED_VALUE""")," Корнеплод крупныйдлиной 18-20 см, весом до 200 г")</f>
        <v> Корнеплод крупныйдлиной 18-20 см, весом до 200 г</v>
      </c>
      <c r="L187" s="6" t="str">
        <f>IFERROR(__xludf.DUMMYFUNCTION("""COMPUTED_VALUE""")," Мякоть белая, сочная, слабоострого вкуса, не становится дряблой")</f>
        <v> Мякоть белая, сочная, слабоострого вкуса, не становится дряблой</v>
      </c>
      <c r="M187" s="6" t="str">
        <f>IFERROR(__xludf.DUMMYFUNCTION("""COMPUTED_VALUE""")," Долго не теряет товарный вид")</f>
        <v> Долго не теряет товарный вид</v>
      </c>
    </row>
    <row r="188">
      <c r="A188" s="11" t="s">
        <v>877</v>
      </c>
      <c r="I188" s="55" t="str">
        <f>IFERROR(__xludf.DUMMYFUNCTION("SPLIT(A188,""."")"),"Красное сердце")</f>
        <v>Красное сердце</v>
      </c>
      <c r="J188" s="6" t="str">
        <f>IFERROR(__xludf.DUMMYFUNCTION("""COMPUTED_VALUE""")," Один из самых оригинальных сортов дайкона")</f>
        <v> Один из самых оригинальных сортов дайкона</v>
      </c>
      <c r="K188" s="6" t="str">
        <f>IFERROR(__xludf.DUMMYFUNCTION("""COMPUTED_VALUE""")," Выведен в Китае")</f>
        <v> Выведен в Китае</v>
      </c>
      <c r="L188" s="6" t="str">
        <f>IFERROR(__xludf.DUMMYFUNCTION("""COMPUTED_VALUE""")," Плоды зеленовато-белые снаружи и красные внутри")</f>
        <v> Плоды зеленовато-белые снаружи и красные внутри</v>
      </c>
      <c r="M188" s="6" t="str">
        <f>IFERROR(__xludf.DUMMYFUNCTION("""COMPUTED_VALUE""")," Мякоть сочная, отличного полуострого вкуса")</f>
        <v> Мякоть сочная, отличного полуострого вкуса</v>
      </c>
      <c r="N188" s="6" t="str">
        <f>IFERROR(__xludf.DUMMYFUNCTION("""COMPUTED_VALUE""")," Широко используется какжелчегонное средство")</f>
        <v> Широко используется какжелчегонное средство</v>
      </c>
    </row>
    <row r="189">
      <c r="A189" s="11" t="s">
        <v>881</v>
      </c>
      <c r="I189" s="55" t="str">
        <f>IFERROR(__xludf.DUMMYFUNCTION("SPLIT(A189,""."")"),"Редька Черная зимняя Среднеспелый, от посева до уборки 75-100 дней")</f>
        <v>Редька Черная зимняя Среднеспелый, от посева до уборки 75-100 дней</v>
      </c>
      <c r="J189" s="6" t="str">
        <f>IFERROR(__xludf.DUMMYFUNCTION("""COMPUTED_VALUE""")," Корнеплод черный, округлый, длиной 9-11 см,массой 240-550 г, с гладкой поверхностью")</f>
        <v> Корнеплод черный, округлый, длиной 9-11 см,массой 240-550 г, с гладкой поверхностью</v>
      </c>
      <c r="K189" s="6" t="str">
        <f>IFERROR(__xludf.DUMMYFUNCTION("""COMPUTED_VALUE""")," Мякоть белая, плотная, сочная, остро -сладкого вкуса")</f>
        <v> Мякоть белая, плотная, сочная, остро -сладкого вкуса</v>
      </c>
    </row>
    <row r="190">
      <c r="A190" s="14" t="s">
        <v>885</v>
      </c>
      <c r="I190" s="55" t="str">
        <f>IFERROR(__xludf.DUMMYFUNCTION("SPLIT(A190,""."")"),"Сквирская  белая")</f>
        <v>Сквирская  белая</v>
      </c>
      <c r="J190" s="6" t="str">
        <f>IFERROR(__xludf.DUMMYFUNCTION("""COMPUTED_VALUE"""),"Среднеспелый лежкий сорт")</f>
        <v>Среднеспелый лежкий сорт</v>
      </c>
      <c r="K190" s="6" t="str">
        <f>IFERROR(__xludf.DUMMYFUNCTION("""COMPUTED_VALUE""")," К уборке урожая - 90-94 дней")</f>
        <v> К уборке урожая - 90-94 дней</v>
      </c>
      <c r="L190" s="6" t="str">
        <f>IFERROR(__xludf.DUMMYFUNCTION("""COMPUTED_VALUE""")," Корнеплод массой до 250 г, мало
погружен в почву")</f>
        <v> Корнеплод массой до 250 г, мало
погружен в почву</v>
      </c>
      <c r="M190" s="6" t="str">
        <f>IFERROR(__xludf.DUMMYFUNCTION("""COMPUTED_VALUE""")," Мякоть белая, плотная, сочная, с умеренно острым вкусом")</f>
        <v> Мякоть белая, плотная, сочная, с умеренно острым вкусом</v>
      </c>
    </row>
    <row r="191">
      <c r="A191" s="11" t="s">
        <v>889</v>
      </c>
      <c r="I191" s="55" t="str">
        <f>IFERROR(__xludf.DUMMYFUNCTION("SPLIT(A191,""."")"),"Красная зимняя")</f>
        <v>Красная зимняя</v>
      </c>
      <c r="J191" s="6" t="str">
        <f>IFERROR(__xludf.DUMMYFUNCTION("""COMPUTED_VALUE"""),"Среднеспелый сорт")</f>
        <v>Среднеспелый сорт</v>
      </c>
      <c r="K191" s="6" t="str">
        <f>IFERROR(__xludf.DUMMYFUNCTION("""COMPUTED_VALUE"""),"Период вегетации60-80 дней корнеплоды крупные 200-300 гр, Окрас     кожици красный,мякоть белая плотная,сочная")</f>
        <v>Период вегетации60-80 дней корнеплоды крупные 200-300 гр, Окрас     кожици красный,мякоть белая плотная,сочная</v>
      </c>
    </row>
    <row r="192">
      <c r="A192" s="11" t="s">
        <v>893</v>
      </c>
      <c r="I192" s="55" t="str">
        <f>IFERROR(__xludf.DUMMYFUNCTION("SPLIT(A192,""."")"),"Лобо Лебедка")</f>
        <v>Лобо Лебедка</v>
      </c>
      <c r="J192" s="6" t="str">
        <f>IFERROR(__xludf.DUMMYFUNCTION("""COMPUTED_VALUE"""),"Сорт ранний, культивируемый в Китае,зелено,белого окраса кожици, масса плода 200-400гр")</f>
        <v>Сорт ранний, культивируемый в Китае,зелено,белого окраса кожици, масса плода 200-400гр</v>
      </c>
      <c r="K192" s="6" t="str">
        <f>IFERROR(__xludf.DUMMYFUNCTION("""COMPUTED_VALUE""")," Мякоть плотная сочная вкусная")</f>
        <v> Мякоть плотная сочная вкусная</v>
      </c>
    </row>
    <row r="193">
      <c r="A193" s="11" t="s">
        <v>897</v>
      </c>
      <c r="I193" s="55" t="str">
        <f>IFERROR(__xludf.DUMMYFUNCTION("SPLIT(A193,""."")"),"Одесская")</f>
        <v>Одесская</v>
      </c>
      <c r="J193" s="6" t="str">
        <f>IFERROR(__xludf.DUMMYFUNCTION("""COMPUTED_VALUE"""),"Раннеспелый")</f>
        <v>Раннеспелый</v>
      </c>
      <c r="K193" s="6" t="str">
        <f>IFERROR(__xludf.DUMMYFUNCTION("""COMPUTED_VALUE""")," Период от посева до уборки 35-45 дней")</f>
        <v> Период от посева до уборки 35-45 дней</v>
      </c>
      <c r="L193" s="6" t="str">
        <f>IFERROR(__xludf.DUMMYFUNCTION("""COMPUTED_VALUE""")," Корнеплод белый, округлый, длиной 8-см, массой 39-70 г")</f>
        <v> Корнеплод белый, округлый, длиной 8-см, массой 39-70 г</v>
      </c>
      <c r="M193" s="6" t="str">
        <f>IFERROR(__xludf.DUMMYFUNCTION("""COMPUTED_VALUE""")," Поверхность гладкая, мякоть белая, сочная, сладкая, слабоострого вкуса")</f>
        <v> Поверхность гладкая, мякоть белая, сочная, сладкая, слабоострого вкуса</v>
      </c>
    </row>
    <row r="194">
      <c r="A194" s="11" t="s">
        <v>901</v>
      </c>
      <c r="I194" s="55" t="str">
        <f>IFERROR(__xludf.DUMMYFUNCTION("SPLIT(A194,""."")"),"Маргеланская")</f>
        <v>Маргеланская</v>
      </c>
      <c r="J194" s="6" t="str">
        <f>IFERROR(__xludf.DUMMYFUNCTION("""COMPUTED_VALUE"""),"Сорт раннеспелый, предназначен для летних посевов (июль)")</f>
        <v>Сорт раннеспелый, предназначен для летних посевов (июль)</v>
      </c>
      <c r="K194" s="6" t="str">
        <f>IFERROR(__xludf.DUMMYFUNCTION("""COMPUTED_VALUE""")," Корнеплод с гладкой поверхностью,цилиндр короткий (9-16 см) темно-зеленого цвета с белым кончиком")</f>
        <v> Корнеплод с гладкой поверхностью,цилиндр короткий (9-16 см) темно-зеленого цвета с белым кончиком</v>
      </c>
      <c r="L194" s="6" t="str">
        <f>IFERROR(__xludf.DUMMYFUNCTION("""COMPUTED_VALUE""")," Лежкость хорошая")</f>
        <v> Лежкость хорошая</v>
      </c>
    </row>
    <row r="195">
      <c r="A195" s="11" t="s">
        <v>904</v>
      </c>
      <c r="I195" s="55" t="str">
        <f>IFERROR(__xludf.DUMMYFUNCTION("SPLIT(A195,""."")"),"Сударушка")</f>
        <v>Сударушка</v>
      </c>
      <c r="J195" s="6" t="str">
        <f>IFERROR(__xludf.DUMMYFUNCTION("""COMPUTED_VALUE"""),"Раннеспелый сорт, до технической спелости 37 дней")</f>
        <v>Раннеспелый сорт, до технической спелости 37 дней</v>
      </c>
      <c r="K195" s="6" t="str">
        <f>IFERROR(__xludf.DUMMYFUNCTION("""COMPUTED_VALUE""")," Предназначен для выращивания весной и осенью")</f>
        <v> Предназначен для выращивания весной и осенью</v>
      </c>
      <c r="L195" s="6" t="str">
        <f>IFERROR(__xludf.DUMMYFUNCTION("""COMPUTED_VALUE""")," Устойчив против стеблевания, долго не дрябнет")</f>
        <v> Устойчив против стеблевания, долго не дрябнет</v>
      </c>
      <c r="M195" s="6" t="str">
        <f>IFERROR(__xludf.DUMMYFUNCTION("""COMPUTED_VALUE""")," Корнеплод белый, округло-овальный,массой 56г, на ½ углублен в грунт")</f>
        <v> Корнеплод белый, округло-овальный,массой 56г, на ½ углублен в грунт</v>
      </c>
      <c r="N195" s="6" t="str">
        <f>IFERROR(__xludf.DUMMYFUNCTION("""COMPUTED_VALUE""")," Мякоть нежная, сочная, плотная")</f>
        <v> Мякоть нежная, сочная, плотная</v>
      </c>
    </row>
    <row r="196">
      <c r="A196" s="11" t="s">
        <v>908</v>
      </c>
      <c r="I196" s="55" t="str">
        <f>IFERROR(__xludf.DUMMYFUNCTION("SPLIT(A196,""."")"),"Ледяная сосулька")</f>
        <v>Ледяная сосулька</v>
      </c>
      <c r="J196" s="6" t="str">
        <f>IFERROR(__xludf.DUMMYFUNCTION("""COMPUTED_VALUE"""),"Среднеспелый сорт, период от всходов до уборки 35-40 дней")</f>
        <v>Среднеспелый сорт, период от всходов до уборки 35-40 дней</v>
      </c>
      <c r="K196" s="6" t="str">
        <f>IFERROR(__xludf.DUMMYFUNCTION("""COMPUTED_VALUE""")," Корнеплод белый,длинный,веретеновидный, массой 16-32 г, приподнят над поверхностью почвы")</f>
        <v> Корнеплод белый,длинный,веретеновидный, массой 16-32 г, приподнят над поверхностью почвы</v>
      </c>
      <c r="L196" s="6" t="str">
        <f>IFERROR(__xludf.DUMMYFUNCTION("""COMPUTED_VALUE""")," Мякоть белая, сочная,среднеострого вкуса")</f>
        <v> Мякоть белая, сочная,среднеострого вкуса</v>
      </c>
    </row>
    <row r="197">
      <c r="A197" s="11" t="s">
        <v>912</v>
      </c>
      <c r="I197" s="55" t="str">
        <f>IFERROR(__xludf.DUMMYFUNCTION("SPLIT(A197,""."")"),"Подснежник")</f>
        <v>Подснежник</v>
      </c>
      <c r="J197" s="6" t="str">
        <f>IFERROR(__xludf.DUMMYFUNCTION("""COMPUTED_VALUE"""),"Раннеспелый сорт")</f>
        <v>Раннеспелый сорт</v>
      </c>
      <c r="K197" s="6" t="str">
        <f>IFERROR(__xludf.DUMMYFUNCTION("""COMPUTED_VALUE""")," Вегетационный период от всходов до технической спелости 23-28днейКорнеплоды округлой формы, малиново-красной окраски, диаметром 2,5-3см, массой 15-25г,хороших товарных качеств")</f>
        <v> Вегетационный период от всходов до технической спелости 23-28днейКорнеплоды округлой формы, малиново-красной окраски, диаметром 2,5-3см, массой 15-25г,хороших товарных качеств</v>
      </c>
    </row>
    <row r="198">
      <c r="A198" s="14" t="s">
        <v>915</v>
      </c>
      <c r="I198" s="55" t="str">
        <f>IFERROR(__xludf.DUMMYFUNCTION("SPLIT(A198,""."")"),"Сора")</f>
        <v>Сора</v>
      </c>
      <c r="J198" s="6" t="str">
        <f>IFERROR(__xludf.DUMMYFUNCTION("""COMPUTED_VALUE""")," Герм")</f>
        <v> Герм</v>
      </c>
      <c r="K198" s="6" t="str">
        <f>IFERROR(__xludf.DUMMYFUNCTION("""COMPUTED_VALUE"""),"Раннеспелый сорт, устойчивый к высоким температурам и растрескиванию")</f>
        <v>Раннеспелый сорт, устойчивый к высоким температурам и растрескиванию</v>
      </c>
      <c r="L198" s="6" t="str">
        <f>IFERROR(__xludf.DUMMYFUNCTION("""COMPUTED_VALUE""")," От всходов до
технической спелости – 16-20 дней")</f>
        <v> От всходов до
технической спелости – 16-20 дней</v>
      </c>
      <c r="M198" s="6" t="str">
        <f>IFERROR(__xludf.DUMMYFUNCTION("""COMPUTED_VALUE""")," Пригодна для весеннего, летнего и осеннего выращивания")</f>
        <v> Пригодна для весеннего, летнего и осеннего выращивания</v>
      </c>
      <c r="N198" s="6" t="str">
        <f>IFERROR(__xludf.DUMMYFUNCTION("""COMPUTED_VALUE"""),"Корнеплоды круглые, диаметром 3-4 см, карминно-красного цвета с белой, нежной мякотью")</f>
        <v>Корнеплоды круглые, диаметром 3-4 см, карминно-красного цвета с белой, нежной мякотью</v>
      </c>
    </row>
    <row r="199">
      <c r="A199" s="11" t="s">
        <v>918</v>
      </c>
      <c r="I199" s="55" t="str">
        <f>IFERROR(__xludf.DUMMYFUNCTION("SPLIT(A199,""."")"),"Сора ")</f>
        <v>Сора </v>
      </c>
      <c r="J199" s="6" t="str">
        <f>IFERROR(__xludf.DUMMYFUNCTION("""COMPUTED_VALUE"""),"Украина")</f>
        <v>Украина</v>
      </c>
      <c r="K199" s="6" t="str">
        <f>IFERROR(__xludf.DUMMYFUNCTION("""COMPUTED_VALUE"""),"Раннеспелый сорт,устойчивый к высоким температурам и растрескиванию")</f>
        <v>Раннеспелый сорт,устойчивый к высоким температурам и растрескиванию</v>
      </c>
      <c r="L199" s="6" t="str">
        <f>IFERROR(__xludf.DUMMYFUNCTION("""COMPUTED_VALUE""")," От всходов до технической спелости – 16-20 дней")</f>
        <v> От всходов до технической спелости – 16-20 дней</v>
      </c>
      <c r="M199" s="6" t="str">
        <f>IFERROR(__xludf.DUMMYFUNCTION("""COMPUTED_VALUE""")," Пригодна для весеннего, летнего и осеннего выращивания")</f>
        <v> Пригодна для весеннего, летнего и осеннего выращивания</v>
      </c>
      <c r="N199" s="6" t="str">
        <f>IFERROR(__xludf.DUMMYFUNCTION("""COMPUTED_VALUE"""),"Корнеплоды круглые, диаметром 3-4 см, карминно-красного цвета")</f>
        <v>Корнеплоды круглые, диаметром 3-4 см, карминно-красного цвета</v>
      </c>
    </row>
    <row r="200">
      <c r="A200" s="11" t="s">
        <v>922</v>
      </c>
      <c r="I200" s="55" t="str">
        <f>IFERROR(__xludf.DUMMYFUNCTION("SPLIT(A200,""."")"),"Французский завтрак Высокоурожайный, ранний сорт для всесезонного выращивания")</f>
        <v>Французский завтрак Высокоурожайный, ранний сорт для всесезонного выращивания</v>
      </c>
      <c r="J200" s="6" t="str">
        <f>IFERROR(__xludf.DUMMYFUNCTION("""COMPUTED_VALUE""")," Вегетационный период: в закрытом грунте - 20-23 дня, в открытом – 23-25 дней")</f>
        <v> Вегетационный период: в закрытом грунте - 20-23 дня, в открытом – 23-25 дней</v>
      </c>
      <c r="K200" s="6" t="str">
        <f>IFERROR(__xludf.DUMMYFUNCTION("""COMPUTED_VALUE""")," Превосходное качество мякоти, не дрябнет")</f>
        <v> Превосходное качество мякоти, не дрябнет</v>
      </c>
      <c r="L200" s="6" t="str">
        <f>IFERROR(__xludf.DUMMYFUNCTION("""COMPUTED_VALUE"""),"Высокая товарность")</f>
        <v>Высокая товарность</v>
      </c>
      <c r="M200" s="6" t="str">
        <f>IFERROR(__xludf.DUMMYFUNCTION("""COMPUTED_VALUE""")," Корнеплод длиной 6-8см, ярко-красного цвета с белым основанием")</f>
        <v> Корнеплод длиной 6-8см, ярко-красного цвета с белым основанием</v>
      </c>
    </row>
    <row r="201">
      <c r="A201" s="14" t="s">
        <v>926</v>
      </c>
      <c r="I201" s="55" t="str">
        <f>IFERROR(__xludf.DUMMYFUNCTION("SPLIT(A201,""."")"),"Красный с белым кончиком")</f>
        <v>Красный с белым кончиком</v>
      </c>
      <c r="J201" s="6" t="str">
        <f>IFERROR(__xludf.DUMMYFUNCTION("""COMPUTED_VALUE""")," ")</f>
        <v> </v>
      </c>
      <c r="K201" s="6" t="str">
        <f>IFERROR(__xludf.DUMMYFUNCTION("""COMPUTED_VALUE"""),"Раннеспелый сорт, от посева до уборки около 25 дней")</f>
        <v>Раннеспелый сорт, от посева до уборки около 25 дней</v>
      </c>
      <c r="L201" s="6" t="str">
        <f>IFERROR(__xludf.DUMMYFUNCTION("""COMPUTED_VALUE""")," Окраска корнеплода красная с белым
кончиком, форма плоскоокруглая или округлая, длинна 3-4 см")</f>
        <v> Окраска корнеплода красная с белым
кончиком, форма плоскоокруглая или округлая, длинна 3-4 см</v>
      </c>
      <c r="M201" s="6" t="str">
        <f>IFERROR(__xludf.DUMMYFUNCTION("""COMPUTED_VALUE""")," Поверхность гладкая")</f>
        <v> Поверхность гладкая</v>
      </c>
      <c r="N201" s="6" t="str">
        <f>IFERROR(__xludf.DUMMYFUNCTION("""COMPUTED_VALUE""")," Мякоть бело-розовая, сочная, плотная, почти без горечи")</f>
        <v> Мякоть бело-розовая, сочная, плотная, почти без горечи</v>
      </c>
    </row>
    <row r="202">
      <c r="A202" s="11" t="s">
        <v>928</v>
      </c>
      <c r="I202" s="55" t="str">
        <f>IFERROR(__xludf.DUMMYFUNCTION("SPLIT(A202,""."")"),"Красный с белым кончиком")</f>
        <v>Красный с белым кончиком</v>
      </c>
      <c r="J202" s="6" t="str">
        <f>IFERROR(__xludf.DUMMYFUNCTION("""COMPUTED_VALUE"""),"Раннеспелый сорт, от посева до уборки около 25 дней")</f>
        <v>Раннеспелый сорт, от посева до уборки около 25 дней</v>
      </c>
      <c r="K202" s="6" t="str">
        <f>IFERROR(__xludf.DUMMYFUNCTION("""COMPUTED_VALUE""")," Окраска корнеплода красная с белым кончиком, форма плоскоокруглая или округлая, длинна 3-4 см")</f>
        <v> Окраска корнеплода красная с белым кончиком, форма плоскоокруглая или округлая, длинна 3-4 см</v>
      </c>
      <c r="L202" s="6" t="str">
        <f>IFERROR(__xludf.DUMMYFUNCTION("""COMPUTED_VALUE""")," Поверхность гладкая")</f>
        <v> Поверхность гладкая</v>
      </c>
      <c r="M202" s="6" t="str">
        <f>IFERROR(__xludf.DUMMYFUNCTION("""COMPUTED_VALUE""")," Мякоть бело-розовая, сочная, плотная, почти без горечи")</f>
        <v> Мякоть бело-розовая, сочная, плотная, почти без горечи</v>
      </c>
    </row>
    <row r="203">
      <c r="A203" s="11" t="s">
        <v>932</v>
      </c>
      <c r="I203" s="55" t="str">
        <f>IFERROR(__xludf.DUMMYFUNCTION("SPLIT(A203,""."")"),"Ранний красный")</f>
        <v>Ранний красный</v>
      </c>
      <c r="J203" s="6" t="str">
        <f>IFERROR(__xludf.DUMMYFUNCTION("""COMPUTED_VALUE"""),"Раннеспелый, от полных всходов до первого сбора 24-28 дней")</f>
        <v>Раннеспелый, от полных всходов до первого сбора 24-28 дней</v>
      </c>
      <c r="K203" s="6" t="str">
        <f>IFERROR(__xludf.DUMMYFUNCTION("""COMPUTED_VALUE""")," Корнеплод красный, округлый массой 8-14 г, погружен в почву на 2/3, вкусовые качества высокие")</f>
        <v> Корнеплод красный, округлый массой 8-14 г, погружен в почву на 2/3, вкусовые качества высокие</v>
      </c>
      <c r="L203" s="6" t="str">
        <f>IFERROR(__xludf.DUMMYFUNCTION("""COMPUTED_VALUE"""),"   При не продолжительном хранении корнеплоды не теряют товарность")</f>
        <v>   При не продолжительном хранении корнеплоды не теряют товарность</v>
      </c>
    </row>
    <row r="204">
      <c r="A204" s="11" t="s">
        <v>936</v>
      </c>
      <c r="I204" s="55" t="str">
        <f>IFERROR(__xludf.DUMMYFUNCTION("SPLIT(A204,""."")"),"18 дней")</f>
        <v>18 дней</v>
      </c>
      <c r="J204" s="6" t="str">
        <f>IFERROR(__xludf.DUMMYFUNCTION("""COMPUTED_VALUE"""),"Самый известный и широко используемый из всех полудлинных редисов")</f>
        <v>Самый известный и широко используемый из всех полудлинных редисов</v>
      </c>
      <c r="K204" s="6" t="str">
        <f>IFERROR(__xludf.DUMMYFUNCTION("""COMPUTED_VALUE""")," Очень скороспелый,созревает за 18 дней")</f>
        <v> Очень скороспелый,созревает за 18 дней</v>
      </c>
      <c r="L204" s="6" t="str">
        <f>IFERROR(__xludf.DUMMYFUNCTION("""COMPUTED_VALUE""")," Красивые корнеплоды имеют неострую, сочную мякоть")</f>
        <v> Красивые корнеплоды имеют неострую, сочную мякоть</v>
      </c>
      <c r="M204" s="6" t="str">
        <f>IFERROR(__xludf.DUMMYFUNCTION("""COMPUTED_VALUE""")," Предназна- чен для выращивания в открытом грунте и под плёночными укрытиями")</f>
        <v> Предназна- чен для выращивания в открытом грунте и под плёночными укрытиями</v>
      </c>
    </row>
    <row r="205">
      <c r="A205" s="14" t="s">
        <v>940</v>
      </c>
      <c r="I205" s="55" t="str">
        <f>IFERROR(__xludf.DUMMYFUNCTION("SPLIT(A205,""."")"),"Рубин")</f>
        <v>Рубин</v>
      </c>
      <c r="J205" s="6" t="str">
        <f>IFERROR(__xludf.DUMMYFUNCTION("""COMPUTED_VALUE"""),"Сорт раннеспелый, период от посева до уборки 29-31 день")</f>
        <v>Сорт раннеспелый, период от посева до уборки 29-31 день</v>
      </c>
      <c r="K205" s="6" t="str">
        <f>IFERROR(__xludf.DUMMYFUNCTION("""COMPUTED_VALUE""")," Окраска корнеплода красно-
малиновая, форма округлая или эллиптическая, длиной около 4 см, поверхность гладкая")</f>
        <v> Окраска корнеплода красно-
малиновая, форма округлая или эллиптическая, длиной около 4 см, поверхность гладкая</v>
      </c>
      <c r="L205" s="6" t="str">
        <f>IFERROR(__xludf.DUMMYFUNCTION("""COMPUTED_VALUE""")," Мякоть белая или бело-розовая, плотная, сочная, сладкая")</f>
        <v> Мякоть белая или бело-розовая, плотная, сочная, сладкая</v>
      </c>
    </row>
    <row r="206">
      <c r="A206" s="11" t="s">
        <v>944</v>
      </c>
      <c r="I206" s="55" t="str">
        <f>IFERROR(__xludf.DUMMYFUNCTION("SPLIT(A206,""."")"),"Семена из Голландии")</f>
        <v>Семена из Голландии</v>
      </c>
      <c r="J206" s="6" t="str">
        <f>IFERROR(__xludf.DUMMYFUNCTION("""COMPUTED_VALUE"""),"Редис высевают ранней весной, начиная с середины апреля, в несколько сроков через 10-12 дней,летний посев проводят в конце июля - начале августа для осеннего использования")</f>
        <v>Редис высевают ранней весной, начиная с середины апреля, в несколько сроков через 10-12 дней,летний посев проводят в конце июля - начале августа для осеннего использования</v>
      </c>
      <c r="K206" s="6" t="str">
        <f>IFERROR(__xludf.DUMMYFUNCTION("""COMPUTED_VALUE""")," Посев проводят в бороздки глубиной 2-2,5 см на расстоянии 10-12 см друг от друга")</f>
        <v> Посев проводят в бороздки глубиной 2-2,5 см на расстоянии 10-12 см друг от друга</v>
      </c>
      <c r="L206" s="6" t="str">
        <f>IFERROR(__xludf.DUMMYFUNCTION("""COMPUTED_VALUE""")," Холодостойкая культура")</f>
        <v> Холодостойкая культура</v>
      </c>
    </row>
    <row r="207">
      <c r="A207" s="11" t="s">
        <v>948</v>
      </c>
      <c r="I207" s="55" t="str">
        <f>IFERROR(__xludf.DUMMYFUNCTION("SPLIT(A207,""."")"),"Смесь сортов")</f>
        <v>Смесь сортов</v>
      </c>
      <c r="J207" s="6" t="str">
        <f>IFERROR(__xludf.DUMMYFUNCTION("""COMPUTED_VALUE""")," В наборе ,5сортов наипопулярнейших сортов редиса ,дающих возможность попробовать  каждый сорт в отдельности или смешать все сорта в одном блюде")</f>
        <v> В наборе ,5сортов наипопулярнейших сортов редиса ,дающих возможность попробовать  каждый сорт в отдельности или смешать все сорта в одном блюде</v>
      </c>
      <c r="K207" s="6" t="str">
        <f>IFERROR(__xludf.DUMMYFUNCTION("""COMPUTED_VALUE""")," Пикантность гарантирована")</f>
        <v> Пикантность гарантирована</v>
      </c>
    </row>
    <row r="208">
      <c r="A208" s="14" t="s">
        <v>952</v>
      </c>
      <c r="I208" s="55" t="str">
        <f>IFERROR(__xludf.DUMMYFUNCTION("SPLIT(A208,""."")"),"Редис Злата")</f>
        <v>Редис Злата</v>
      </c>
      <c r="J208" s="6" t="str">
        <f>IFERROR(__xludf.DUMMYFUNCTION("""COMPUTED_VALUE"""),"Раннеспелый сорт")</f>
        <v>Раннеспелый сорт</v>
      </c>
      <c r="K208" s="6" t="str">
        <f>IFERROR(__xludf.DUMMYFUNCTION("""COMPUTED_VALUE""")," Вегетационный период от всходов до технической спелости 23-28 дней")</f>
        <v> Вегетационный период от всходов до технической спелости 23-28 дней</v>
      </c>
      <c r="L208" s="6" t="str">
        <f>IFERROR(__xludf.DUMMYFUNCTION("""COMPUTED_VALUE"""),"
Корнеплоды округлые, золотистой окраски, шероховатые, массой 22-24г, хороших вкусовых качеств")</f>
        <v>
Корнеплоды округлые, золотистой окраски, шероховатые, массой 22-24г, хороших вкусовых качеств</v>
      </c>
      <c r="M208" s="6" t="str">
        <f>IFERROR(__xludf.DUMMYFUNCTION("""COMPUTED_VALUE""")," Мякоть белая, нежная, сочная, слабо острого вкуса")</f>
        <v> Мякоть белая, нежная, сочная, слабо острого вкуса</v>
      </c>
      <c r="N208" s="6" t="str">
        <f>IFERROR(__xludf.DUMMYFUNCTION("""COMPUTED_VALUE""")," Сорт ценится за высокую урожайность")</f>
        <v> Сорт ценится за высокую урожайность</v>
      </c>
    </row>
    <row r="209">
      <c r="A209" s="14" t="s">
        <v>955</v>
      </c>
      <c r="I209" s="55" t="str">
        <f>IFERROR(__xludf.DUMMYFUNCTION("SPLIT(A209,""."")"),"Краковянка")</f>
        <v>Краковянка</v>
      </c>
      <c r="J209" s="6" t="str">
        <f>IFERROR(__xludf.DUMMYFUNCTION("""COMPUTED_VALUE"""),"Сорт раннеспелый, высокоурожайный, пригоден для выращивания в открытом и защищенном грунте")</f>
        <v>Сорт раннеспелый, высокоурожайный, пригоден для выращивания в открытом и защищенном грунте</v>
      </c>
      <c r="K209" s="6" t="str">
        <f>IFERROR(__xludf.DUMMYFUNCTION("""COMPUTED_VALUE""")," Вегетационный период от посева до сбора – 25-30 дней")</f>
        <v> Вегетационный период от посева до сбора – 25-30 дней</v>
      </c>
      <c r="L209" s="6" t="str">
        <f>IFERROR(__xludf.DUMMYFUNCTION("""COMPUTED_VALUE""")," Корнеплод красный, округлый с
белым кончиком, массой 5,5-6г")</f>
        <v> Корнеплод красный, округлый с
белым кончиком, массой 5,5-6г</v>
      </c>
      <c r="M209" s="6" t="str">
        <f>IFERROR(__xludf.DUMMYFUNCTION("""COMPUTED_VALUE""")," Мякоть белая, иногда слабо-розовая, сочная, сладкая")</f>
        <v> Мякоть белая, иногда слабо-розовая, сочная, сладкая</v>
      </c>
    </row>
    <row r="210">
      <c r="A210" s="14" t="s">
        <v>959</v>
      </c>
      <c r="I210" s="55" t="str">
        <f>IFERROR(__xludf.DUMMYFUNCTION("SPLIT(A210,""."")"),"Турнепс")</f>
        <v>Турнепс</v>
      </c>
      <c r="J210" s="6" t="str">
        <f>IFERROR(__xludf.DUMMYFUNCTION("""COMPUTED_VALUE"""),"Холодостойкая кормовая культура, ценная витамином С и углеводами")</f>
        <v>Холодостойкая кормовая культура, ценная витамином С и углеводами</v>
      </c>
      <c r="K210" s="6" t="str">
        <f>IFERROR(__xludf.DUMMYFUNCTION("""COMPUTED_VALUE""")," Дает высокий урожай, хорошо сохраняется в течение осенне-зимнего периода")</f>
        <v> Дает высокий урожай, хорошо сохраняется в течение осенне-зимнего периода</v>
      </c>
      <c r="L210" s="6" t="str">
        <f>IFERROR(__xludf.DUMMYFUNCTION("""COMPUTED_VALUE""")," За короткий период (40-45 дней) формирует урожай,
поэтому можно использовать как после жнивную культуру")</f>
        <v> За короткий период (40-45 дней) формирует урожай,
поэтому можно использовать как после жнивную культуру</v>
      </c>
    </row>
    <row r="211">
      <c r="A211" s="14" t="s">
        <v>963</v>
      </c>
      <c r="I211" s="55" t="str">
        <f>IFERROR(__xludf.DUMMYFUNCTION("SPLIT(A211,""."")"),"Репа пурпурная")</f>
        <v>Репа пурпурная</v>
      </c>
      <c r="J211" s="6" t="str">
        <f>IFERROR(__xludf.DUMMYFUNCTION("""COMPUTED_VALUE"""),"Ранний (от всходов до уборки 55-65 дней) сорт для выращивания в открытом и защищенном грунте")</f>
        <v>Ранний (от всходов до уборки 55-65 дней) сорт для выращивания в открытом и защищенном грунте</v>
      </c>
      <c r="K211" s="6" t="str">
        <f>IFERROR(__xludf.DUMMYFUNCTION("""COMPUTED_VALUE""")," Корнеплоды округлые, малиново-розовые с белым кончиком, массой 100-120 г, с белой,
плотной, сочной, нежной мякотью, пикантного вкуса и высоким содержанием минеральных
веществ")</f>
        <v> Корнеплоды округлые, малиново-розовые с белым кончиком, массой 100-120 г, с белой,
плотной, сочной, нежной мякотью, пикантного вкуса и высоким содержанием минеральных
веществ</v>
      </c>
    </row>
    <row r="212">
      <c r="A212" s="11" t="s">
        <v>967</v>
      </c>
      <c r="I212" s="55" t="str">
        <f>IFERROR(__xludf.DUMMYFUNCTION("SPLIT(A212,""."")"),"Брюква")</f>
        <v>Брюква</v>
      </c>
      <c r="J212" s="6" t="str">
        <f>IFERROR(__xludf.DUMMYFUNCTION("""COMPUTED_VALUE"""),"Период от всходов до технической спелости 90-110 дней")</f>
        <v>Период от всходов до технической спелости 90-110 дней</v>
      </c>
      <c r="K212" s="6" t="str">
        <f>IFERROR(__xludf.DUMMYFUNCTION("""COMPUTED_VALUE""")," Корнеплоды овальные, массой 350-600г,на треть погружены в почву")</f>
        <v> Корнеплоды овальные, массой 350-600г,на треть погружены в почву</v>
      </c>
      <c r="L212" s="6" t="str">
        <f>IFERROR(__xludf.DUMMYFUNCTION("""COMPUTED_VALUE""")," Окраска кожицы корнеплодов в верхней части светло-зеленая, в нижней желтая")</f>
        <v> Окраска кожицы корнеплодов в верхней части светло-зеленая, в нижней желтая</v>
      </c>
      <c r="M212" s="6" t="str">
        <f>IFERROR(__xludf.DUMMYFUNCTION("""COMPUTED_VALUE""")," Мякоть кремово-желтая, нежная и сладкая на вкус")</f>
        <v> Мякоть кремово-желтая, нежная и сладкая на вкус</v>
      </c>
    </row>
    <row r="213">
      <c r="A213" s="11" t="s">
        <v>970</v>
      </c>
      <c r="I213" s="55" t="str">
        <f>IFERROR(__xludf.DUMMYFUNCTION("SPLIT(A213,""."")"),"Айвенго")</f>
        <v>Айвенго</v>
      </c>
      <c r="J213" s="6" t="str">
        <f>IFERROR(__xludf.DUMMYFUNCTION("""COMPUTED_VALUE"""),"Сорт ранний")</f>
        <v>Сорт ранний</v>
      </c>
      <c r="K213" s="6" t="str">
        <f>IFERROR(__xludf.DUMMYFUNCTION("""COMPUTED_VALUE""")," От всходов до технической спелости – 105-115 дней, до биологической – 125-135 дней")</f>
        <v> От всходов до технической спелости – 105-115 дней, до биологической – 125-135 дней</v>
      </c>
      <c r="L213" s="6" t="str">
        <f>IFERROR(__xludf.DUMMYFUNCTION("""COMPUTED_VALUE""")," Растение среднерослое, компактное, полуштамбовое")</f>
        <v> Растение среднерослое, компактное, полуштамбовое</v>
      </c>
      <c r="M213" s="6" t="str">
        <f>IFERROR(__xludf.DUMMYFUNCTION("""COMPUTED_VALUE""")," На одном квадратном метре можно расположить 6-8 растений")</f>
        <v> На одном квадратном метре можно расположить 6-8 растений</v>
      </c>
      <c r="N213" s="6" t="str">
        <f>IFERROR(__xludf.DUMMYFUNCTION("""COMPUTED_VALUE""")," Плоды конусовидные, 2-3 кам ерные, гладкие, массой 95-140 г")</f>
        <v> Плоды конусовидные, 2-3 кам ерные, гладкие, массой 95-140 г</v>
      </c>
    </row>
    <row r="214">
      <c r="A214" s="11" t="s">
        <v>974</v>
      </c>
      <c r="I214" s="55" t="str">
        <f>IFERROR(__xludf.DUMMYFUNCTION("SPLIT(A214,""."")"),"Анастасия")</f>
        <v>Анастасия</v>
      </c>
      <c r="J214" s="6" t="str">
        <f>IFERROR(__xludf.DUMMYFUNCTION("""COMPUTED_VALUE"""),"Раннеспелый")</f>
        <v>Раннеспелый</v>
      </c>
      <c r="K214" s="6" t="str">
        <f>IFERROR(__xludf.DUMMYFUNCTION("""COMPUTED_VALUE""")," Растение компактное")</f>
        <v> Растение компактное</v>
      </c>
      <c r="L214" s="6" t="str">
        <f>IFERROR(__xludf.DUMMYFUNCTION("""COMPUTED_VALUE""")," Плоды крупные, массой 180-200г, в биологической спелости - красные")</f>
        <v> Плоды крупные, массой 180-200г, в биологической спелости - красные</v>
      </c>
      <c r="M214" s="6" t="str">
        <f>IFERROR(__xludf.DUMMYFUNCTION("""COMPUTED_VALUE""")," Сорт очень урожайный, по 3-5 кг крупных плодов с куста")</f>
        <v> Сорт очень урожайный, по 3-5 кг крупных плодов с куста</v>
      </c>
      <c r="N214" s="6" t="str">
        <f>IFERROR(__xludf.DUMMYFUNCTION("""COMPUTED_VALUE""")," Устойчив к стрессам,неблагоприятным условиям, имеет долгосрочное плодоношения")</f>
        <v> Устойчив к стрессам,неблагоприятным условиям, имеет долгосрочное плодоношения</v>
      </c>
    </row>
    <row r="215">
      <c r="A215" s="11" t="s">
        <v>977</v>
      </c>
      <c r="I215" s="55" t="str">
        <f>IFERROR(__xludf.DUMMYFUNCTION("SPLIT(A215,""."")"),"Антей")</f>
        <v>Антей</v>
      </c>
      <c r="J215" s="6" t="str">
        <f>IFERROR(__xludf.DUMMYFUNCTION("""COMPUTED_VALUE"""),"Сорт среднеспелый")</f>
        <v>Сорт среднеспелый</v>
      </c>
      <c r="K215" s="6" t="str">
        <f>IFERROR(__xludf.DUMMYFUNCTION("""COMPUTED_VALUE""")," От массовых всходов до технической спелости 125-135 дней, до биологической 145-160 дней")</f>
        <v> От массовых всходов до технической спелости 125-135 дней, до биологической 145-160 дней</v>
      </c>
      <c r="L215" s="6" t="str">
        <f>IFERROR(__xludf.DUMMYFUNCTION("""COMPUTED_VALUE""")," Растение высокорослое, мощное, раскидистое")</f>
        <v> Растение высокорослое, мощное, раскидистое</v>
      </c>
      <c r="M215" s="6" t="str">
        <f>IFERROR(__xludf.DUMMYFUNCTION("""COMPUTED_VALUE""")," Плоды очень крупные, конусо-призмоподобные, светло-зеленые в технической спелости и красные в -  биологической, массой 200-300 г")</f>
        <v> Плоды очень крупные, конусо-призмоподобные, светло-зеленые в технической спелости и красные в -  биологической, массой 200-300 г</v>
      </c>
    </row>
    <row r="216">
      <c r="A216" s="11" t="s">
        <v>980</v>
      </c>
      <c r="I216" s="55" t="str">
        <f>IFERROR(__xludf.DUMMYFUNCTION("SPLIT(A216,""."")"),"Аджика")</f>
        <v>Аджика</v>
      </c>
      <c r="J216" s="6" t="str">
        <f>IFERROR(__xludf.DUMMYFUNCTION("""COMPUTED_VALUE"""),"Среднеранний сорт, сорт в большинстве случаев выращивают в открытом грунте")</f>
        <v>Среднеранний сорт, сорт в большинстве случаев выращивают в открытом грунте</v>
      </c>
      <c r="K216" s="6" t="str">
        <f>IFERROR(__xludf.DUMMYFUNCTION("""COMPUTED_VALUE""")," Растения этого сорта довольно высокие и мощные, благодаря этому не требуют подвязки к опорам")</f>
        <v> Растения этого сорта довольно высокие и мощные, благодаря этому не требуют подвязки к опорам</v>
      </c>
      <c r="L216" s="6" t="str">
        <f>IFERROR(__xludf.DUMMYFUNCTION("""COMPUTED_VALUE""")," Плоды конические удлиненные в спелом виде достигают веса 90гр")</f>
        <v> Плоды конические удлиненные в спелом виде достигают веса 90гр</v>
      </c>
    </row>
    <row r="217">
      <c r="A217" s="11" t="s">
        <v>984</v>
      </c>
      <c r="I217" s="55" t="str">
        <f>IFERROR(__xludf.DUMMYFUNCTION("SPLIT(A217,""."")"),"Богатырь ")</f>
        <v>Богатырь </v>
      </c>
      <c r="J217" s="6" t="str">
        <f>IFERROR(__xludf.DUMMYFUNCTION("""COMPUTED_VALUE"""),"Среднеранний сорт для открытого грунта и пленочных теплиц")</f>
        <v>Среднеранний сорт для открытого грунта и пленочных теплиц</v>
      </c>
      <c r="K217" s="6" t="str">
        <f>IFERROR(__xludf.DUMMYFUNCTION("""COMPUTED_VALUE""")," Растение мощное, раскидистое, высокое")</f>
        <v> Растение мощное, раскидистое, высокое</v>
      </c>
      <c r="L217" s="6" t="str">
        <f>IFERROR(__xludf.DUMMYFUNCTION("""COMPUTED_VALUE""")," Плоды очень крупные, массой 150-180 г, призмовидной формы, в биологической спелости красного цвета")</f>
        <v> Плоды очень крупные, массой 150-180 г, призмовидной формы, в биологической спелости красного цвета</v>
      </c>
      <c r="M217" s="6" t="str">
        <f>IFERROR(__xludf.DUMMYFUNCTION("""COMPUTED_VALUE""")," Толщина стенки 5-5,5 мм")</f>
        <v> Толщина стенки 5-5,5 мм</v>
      </c>
      <c r="N217" s="6" t="str">
        <f>IFERROR(__xludf.DUMMYFUNCTION("""COMPUTED_VALUE""")," Вкусовые качества хорошие")</f>
        <v> Вкусовые качества хорошие</v>
      </c>
    </row>
    <row r="218">
      <c r="A218" s="11" t="s">
        <v>988</v>
      </c>
      <c r="I218" s="55" t="str">
        <f>IFERROR(__xludf.DUMMYFUNCTION("SPLIT(A218,""."")"),"Бараний рог")</f>
        <v>Бараний рог</v>
      </c>
      <c r="J218" s="6" t="str">
        <f>IFERROR(__xludf.DUMMYFUNCTION("""COMPUTED_VALUE"""),"Среднеспелый сорт")</f>
        <v>Среднеспелый сорт</v>
      </c>
      <c r="K218" s="6" t="str">
        <f>IFERROR(__xludf.DUMMYFUNCTION("""COMPUTED_VALUE""")," Вегетационный период от всходов до биологической спелости 135-150 дней")</f>
        <v> Вегетационный период от всходов до биологической спелости 135-150 дней</v>
      </c>
      <c r="L218" s="6" t="str">
        <f>IFERROR(__xludf.DUMMYFUNCTION("""COMPUTED_VALUE""")," Куст штамбовый, высотой 40-50см")</f>
        <v> Куст штамбовый, высотой 40-50см</v>
      </c>
      <c r="M218" s="6" t="str">
        <f>IFERROR(__xludf.DUMMYFUNCTION("""COMPUTED_VALUE""")," Плоды удлиненные, длиной 16-20см, диаметром 2,5-3см, массой 30-40г, среднеострого вкуса")</f>
        <v> Плоды удлиненные, длиной 16-20см, диаметром 2,5-3см, массой 30-40г, среднеострого вкуса</v>
      </c>
    </row>
    <row r="219">
      <c r="A219" s="11" t="s">
        <v>991</v>
      </c>
      <c r="I219" s="55" t="str">
        <f>IFERROR(__xludf.DUMMYFUNCTION("SPLIT(A219,""."")"),"Богдан")</f>
        <v>Богдан</v>
      </c>
      <c r="J219" s="6" t="str">
        <f>IFERROR(__xludf.DUMMYFUNCTION("""COMPUTED_VALUE"""),"Раннеспелый")</f>
        <v>Раннеспелый</v>
      </c>
      <c r="K219" s="6" t="str">
        <f>IFERROR(__xludf.DUMMYFUNCTION("""COMPUTED_VALUE""")," Растение компактное")</f>
        <v> Растение компактное</v>
      </c>
      <c r="L219" s="6" t="str">
        <f>IFERROR(__xludf.DUMMYFUNCTION("""COMPUTED_VALUE""")," Плоды крупные, массой 180-200г, в биологической спелости - желтые, отличного вкуса")</f>
        <v> Плоды крупные, массой 180-200г, в биологической спелости - желтые, отличного вкуса</v>
      </c>
      <c r="M219" s="6" t="str">
        <f>IFERROR(__xludf.DUMMYFUNCTION("""COMPUTED_VALUE""")," Сорт очень урожайный, по 3-5 кг крупных плодов с куста")</f>
        <v> Сорт очень урожайный, по 3-5 кг крупных плодов с куста</v>
      </c>
      <c r="N219" s="6" t="str">
        <f>IFERROR(__xludf.DUMMYFUNCTION("""COMPUTED_VALUE""")," Устойчив к стрессам, неблагоприятным условиям, имеет долгосрочное плодоношения")</f>
        <v> Устойчив к стрессам, неблагоприятным условиям, имеет долгосрочное плодоношения</v>
      </c>
    </row>
    <row r="220">
      <c r="A220" s="11" t="s">
        <v>995</v>
      </c>
      <c r="I220" s="55" t="str">
        <f>IFERROR(__xludf.DUMMYFUNCTION("SPLIT(A220,""."")"),"Викинг")</f>
        <v>Викинг</v>
      </c>
      <c r="J220" s="6" t="str">
        <f>IFERROR(__xludf.DUMMYFUNCTION("""COMPUTED_VALUE"""),"Раннеспелый сорт для выращивания в открытом грунте и под пленочными укрытиями")</f>
        <v>Раннеспелый сорт для выращивания в открытом грунте и под пленочными укрытиями</v>
      </c>
      <c r="K220" s="6" t="str">
        <f>IFERROR(__xludf.DUMMYFUNCTION("""COMPUTED_VALUE""")," Растение средней высоты")</f>
        <v> Растение средней высоты</v>
      </c>
      <c r="L220" s="6" t="str">
        <f>IFERROR(__xludf.DUMMYFUNCTION("""COMPUTED_VALUE""")," Плод  цилиндрический, гладкий, глянцевый, в технической спелости зеленый, в биологической - красный")</f>
        <v> Плод  цилиндрический, гладкий, глянцевый, в технической спелости зеленый, в биологической - красный</v>
      </c>
      <c r="M220" s="6" t="str">
        <f>IFERROR(__xludf.DUMMYFUNCTION("""COMPUTED_VALUE""")," Число гнезд 3-4")</f>
        <v> Число гнезд 3-4</v>
      </c>
      <c r="N220" s="6" t="str">
        <f>IFERROR(__xludf.DUMMYFUNCTION("""COMPUTED_VALUE""")," Масса плода 86-105 г")</f>
        <v> Масса плода 86-105 г</v>
      </c>
    </row>
    <row r="221">
      <c r="A221" s="11" t="s">
        <v>999</v>
      </c>
      <c r="I221" s="55" t="str">
        <f>IFERROR(__xludf.DUMMYFUNCTION("SPLIT(A221,""."")"),"Калифорнийское чудо")</f>
        <v>Калифорнийское чудо</v>
      </c>
      <c r="J221" s="6" t="str">
        <f>IFERROR(__xludf.DUMMYFUNCTION("""COMPUTED_VALUE""")," Среднеспелый, высокоурожайный сорт")</f>
        <v> Среднеспелый, высокоурожайный сорт</v>
      </c>
      <c r="K221" s="6" t="str">
        <f>IFERROR(__xludf.DUMMYFUNCTION("""COMPUTED_VALUE""")," Для выращивания в пленочных теплицах и открытом грунте")</f>
        <v> Для выращивания в пленочных теплицах и открытом грунте</v>
      </c>
      <c r="L221" s="6" t="str">
        <f>IFERROR(__xludf.DUMMYFUNCTION("""COMPUTED_VALUE""")," Растения высотой 60-75 см")</f>
        <v> Растения высотой 60-75 см</v>
      </c>
      <c r="M221" s="6" t="str">
        <f>IFERROR(__xludf.DUMMYFUNCTION("""COMPUTED_VALUE""")," Плоды мясистые, кубовидной формы с ребристой поверхностью, ярко-красного цвета")</f>
        <v> Плоды мясистые, кубовидной формы с ребристой поверхностью, ярко-красного цвета</v>
      </c>
    </row>
    <row r="222">
      <c r="A222" s="11" t="s">
        <v>1003</v>
      </c>
      <c r="I222" s="55" t="str">
        <f>IFERROR(__xludf.DUMMYFUNCTION("SPLIT(A222,""."")"),"Ласточка")</f>
        <v>Ласточка</v>
      </c>
      <c r="J222" s="6" t="str">
        <f>IFERROR(__xludf.DUMMYFUNCTION("""COMPUTED_VALUE"""),"Раннеспелый")</f>
        <v>Раннеспелый</v>
      </c>
      <c r="K222" s="6" t="str">
        <f>IFERROR(__xludf.DUMMYFUNCTION("""COMPUTED_VALUE""")," Техническая спелость наступает через 120-122 дня после всходов")</f>
        <v> Техническая спелость наступает через 120-122 дня после всходов</v>
      </c>
      <c r="L222" s="6" t="str">
        <f>IFERROR(__xludf.DUMMYFUNCTION("""COMPUTED_VALUE""")," Растение полураскидистое, штамбовое, среднерослое (45-50 см)")</f>
        <v> Растение полураскидистое, штамбовое, среднерослое (45-50 см)</v>
      </c>
      <c r="M222" s="6" t="str">
        <f>IFERROR(__xludf.DUMMYFUNCTION("""COMPUTED_VALUE""")," Плоды пониклые, конусовидные, длиной 8-10 см, в технической спелости – светло-зеленые, в биологической – красные")</f>
        <v> Плоды пониклые, конусовидные, длиной 8-10 см, в технической спелости – светло-зеленые, в биологической – красные</v>
      </c>
    </row>
    <row r="223">
      <c r="A223" s="11" t="s">
        <v>1006</v>
      </c>
      <c r="I223" s="55" t="str">
        <f>IFERROR(__xludf.DUMMYFUNCTION("SPLIT(A223,""."")"),"Лумина")</f>
        <v>Лумина</v>
      </c>
      <c r="J223" s="6" t="str">
        <f>IFERROR(__xludf.DUMMYFUNCTION("""COMPUTED_VALUE"""),"Сорт среднеранний")</f>
        <v>Сорт среднеранний</v>
      </c>
      <c r="K223" s="6" t="str">
        <f>IFERROR(__xludf.DUMMYFUNCTION("""COMPUTED_VALUE""")," От массовых всходов до технической спелости плодов 118-120, до биологической – 140-143 дня")</f>
        <v> От массовых всходов до технической спелости плодов 118-120, до биологической – 140-143 дня</v>
      </c>
      <c r="L223" s="6" t="str">
        <f>IFERROR(__xludf.DUMMYFUNCTION("""COMPUTED_VALUE""")," Растение высотой 40-50 см, компактное")</f>
        <v> Растение высотой 40-50 см, компактное</v>
      </c>
      <c r="M223" s="6" t="str">
        <f>IFERROR(__xludf.DUMMYFUNCTION("""COMPUTED_VALUE""")," Плоды конусовидные, бело-кремовые в технической спелости, красные в биологической, ароматные")</f>
        <v> Плоды конусовидные, бело-кремовые в технической спелости, красные в биологической, ароматные</v>
      </c>
      <c r="N223" s="6" t="str">
        <f>IFERROR(__xludf.DUMMYFUNCTION("""COMPUTED_VALUE""")," Масса плода 95-140 г")</f>
        <v> Масса плода 95-140 г</v>
      </c>
    </row>
    <row r="224">
      <c r="A224" s="11" t="s">
        <v>1010</v>
      </c>
      <c r="I224" s="55" t="str">
        <f>IFERROR(__xludf.DUMMYFUNCTION("SPLIT(A224,""."")"),"Обрий")</f>
        <v>Обрий</v>
      </c>
      <c r="J224" s="6" t="str">
        <f>IFERROR(__xludf.DUMMYFUNCTION("""COMPUTED_VALUE"""),"Раннеспелый сорт")</f>
        <v>Раннеспелый сорт</v>
      </c>
      <c r="K224" s="6" t="str">
        <f>IFERROR(__xludf.DUMMYFUNCTION("""COMPUTED_VALUE""")," Вегетационный период до биологической спелости 100-120 дней")</f>
        <v> Вегетационный период до биологической спелости 100-120 дней</v>
      </c>
      <c r="L224" s="6" t="str">
        <f>IFERROR(__xludf.DUMMYFUNCTION("""COMPUTED_VALUE""")," Куст штамбовый, высотой 40-65см")</f>
        <v> Куст штамбовый, высотой 40-65см</v>
      </c>
      <c r="M224" s="6" t="str">
        <f>IFERROR(__xludf.DUMMYFUNCTION("""COMPUTED_VALUE""")," Плоды округлой формы, ребристые, массой 100-150г, в биологической спелости красного цвета")</f>
        <v> Плоды округлой формы, ребристые, массой 100-150г, в биологической спелости красного цвета</v>
      </c>
      <c r="N224" s="6" t="str">
        <f>IFERROR(__xludf.DUMMYFUNCTION("""COMPUTED_VALUE""")," Толщина стенки плода 6-10мм")</f>
        <v> Толщина стенки плода 6-10мм</v>
      </c>
      <c r="O224" s="6" t="str">
        <f>IFERROR(__xludf.DUMMYFUNCTION("""COMPUTED_VALUE""")," Мякоть нежная")</f>
        <v> Мякоть нежная</v>
      </c>
    </row>
    <row r="225">
      <c r="A225" s="11" t="s">
        <v>1014</v>
      </c>
      <c r="I225" s="55" t="str">
        <f>IFERROR(__xludf.DUMMYFUNCTION("SPLIT(A225,""."")"),"Ода ")</f>
        <v>Ода </v>
      </c>
      <c r="J225" s="6" t="str">
        <f>IFERROR(__xludf.DUMMYFUNCTION("""COMPUTED_VALUE"""),"Раннеспелый сорт  открытого  и закрытого грунта,темно фиолетового цвета Толстостенный,сладкий,с длинным периодом плодонношения ,масса плода 160-190гр Красив и вкусен")</f>
        <v>Раннеспелый сорт  открытого  и закрытого грунта,темно фиолетового цвета Толстостенный,сладкий,с длинным периодом плодонношения ,масса плода 160-190гр Красив и вкусен</v>
      </c>
    </row>
    <row r="226">
      <c r="A226" s="11" t="s">
        <v>1018</v>
      </c>
      <c r="I226" s="55" t="str">
        <f>IFERROR(__xludf.DUMMYFUNCTION("SPLIT(A226,""."")"),"Паланская бабура")</f>
        <v>Паланская бабура</v>
      </c>
      <c r="J226" s="6" t="str">
        <f>IFERROR(__xludf.DUMMYFUNCTION("""COMPUTED_VALUE"""),"Новый раннеспелый сорт")</f>
        <v>Новый раннеспелый сорт</v>
      </c>
      <c r="K226" s="6" t="str">
        <f>IFERROR(__xludf.DUMMYFUNCTION("""COMPUTED_VALUE""")," Один из лучших высокоурожайных сортов сладкого перца")</f>
        <v> Один из лучших высокоурожайных сортов сладкого перца</v>
      </c>
      <c r="L226" s="6" t="str">
        <f>IFERROR(__xludf.DUMMYFUNCTION("""COMPUTED_VALUE""")," Растение раскидистое, штамбовое, среднеоблиственное, высотой до 50 см")</f>
        <v> Растение раскидистое, штамбовое, среднеоблиственное, высотой до 50 см</v>
      </c>
      <c r="M226" s="6" t="str">
        <f>IFERROR(__xludf.DUMMYFUNCTION("""COMPUTED_VALUE""")," Плоды крупные, толстостенные (6-8 мм), призматической формы, в технической спелости - ярко-желтые, в биологической - красные")</f>
        <v> Плоды крупные, толстостенные (6-8 мм), призматической формы, в технической спелости - ярко-желтые, в биологической - красные</v>
      </c>
    </row>
    <row r="227">
      <c r="A227" s="11" t="s">
        <v>1022</v>
      </c>
      <c r="I227" s="55" t="str">
        <f>IFERROR(__xludf.DUMMYFUNCTION("SPLIT(A227,""."")"),"Грыль стручок")</f>
        <v>Грыль стручок</v>
      </c>
      <c r="J227" s="6" t="str">
        <f>IFERROR(__xludf.DUMMYFUNCTION("""COMPUTED_VALUE""")," Перец для гриля")</f>
        <v> Перец для гриля</v>
      </c>
      <c r="K227" s="6" t="str">
        <f>IFERROR(__xludf.DUMMYFUNCTION("""COMPUTED_VALUE"""),"Ранньостиглий сорт для вирощування у відкритому ґрунті, до технічної стиглості 105-108 днів")</f>
        <v>Ранньостиглий сорт для вирощування у відкритому ґрунті, до технічної стиглості 105-108 днів</v>
      </c>
      <c r="L227" s="6" t="str">
        <f>IFERROR(__xludf.DUMMYFUNCTION("""COMPUTED_VALUE""")," Кущ висотою 40-60 сантиметрів")</f>
        <v> Кущ висотою 40-60 сантиметрів</v>
      </c>
      <c r="M227" s="6" t="str">
        <f>IFERROR(__xludf.DUMMYFUNCTION("""COMPUTED_VALUE""")," Плід конусоподібний, вузький, масою 80-90 грам, у фазі б��ологічної стиглості - багряно-червоного кольору, з товщиною стінок 5-6 міліметрів")</f>
        <v> Плід конусоподібний, вузький, масою 80-90 грам, у фазі б��ологічної стиглості - багряно-червоного кольору, з товщиною стінок 5-6 міліметрів</v>
      </c>
      <c r="N227" s="6" t="str">
        <f>IFERROR(__xludf.DUMMYFUNCTION("""COMPUTED_VALUE""")," М'якоть соковита, солодка, без гіркоти, дуже духмяний,")</f>
        <v> М'якоть соковита, солодка, без гіркоти, дуже духмяний,</v>
      </c>
    </row>
    <row r="228">
      <c r="A228" s="11" t="s">
        <v>1026</v>
      </c>
      <c r="I228" s="55" t="str">
        <f>IFERROR(__xludf.DUMMYFUNCTION("SPLIT(A228,""."")"),"Перец для гриля Гриль -Стручок")</f>
        <v>Перец для гриля Гриль -Стручок</v>
      </c>
      <c r="J228" s="6" t="str">
        <f>IFERROR(__xludf.DUMMYFUNCTION("""COMPUTED_VALUE"""),"Раннеспелый сорт для выращивания в открытом грунте, до технической спелости 105-108 дней")</f>
        <v>Раннеспелый сорт для выращивания в открытом грунте, до технической спелости 105-108 дней</v>
      </c>
      <c r="K228" s="6" t="str">
        <f>IFERROR(__xludf.DUMMYFUNCTION("""COMPUTED_VALUE""")," Куст высотой 40-60 сантиметров")</f>
        <v> Куст высотой 40-60 сантиметров</v>
      </c>
      <c r="L228" s="6" t="str">
        <f>IFERROR(__xludf.DUMMYFUNCTION("""COMPUTED_VALUE""")," Плод конусовидный, узкий, массой 80-90 грамм, в фазе биологической спелости - багрово-красного цвета, с толщиной стенок 5-6 миллиметров")</f>
        <v> Плод конусовидный, узкий, массой 80-90 грамм, в фазе биологической спелости - багрово-красного цвета, с толщиной стенок 5-6 миллиметров</v>
      </c>
      <c r="M228" s="6" t="str">
        <f>IFERROR(__xludf.DUMMYFUNCTION("""COMPUTED_VALUE""")," Мякоть сочная, сладкая, без горечи, очень душистый,")</f>
        <v> Мякоть сочная, сладкая, без горечи, очень душистый,</v>
      </c>
    </row>
    <row r="229">
      <c r="A229" s="11" t="s">
        <v>1029</v>
      </c>
      <c r="I229" s="55" t="str">
        <f>IFERROR(__xludf.DUMMYFUNCTION("SPLIT(A229,""."")"),"Подарок Молдовы")</f>
        <v>Подарок Молдовы</v>
      </c>
      <c r="J229" s="6" t="str">
        <f>IFERROR(__xludf.DUMMYFUNCTION("""COMPUTED_VALUE"""),"Растение полураскидистое, низкорослое, высотой 35-45 см")</f>
        <v>Растение полураскидистое, низкорослое, высотой 35-45 см</v>
      </c>
      <c r="K229" s="6" t="str">
        <f>IFERROR(__xludf.DUMMYFUNCTION("""COMPUTED_VALUE""")," Плоды пониклые, конуовидные, длиной 9-10 см, массой 50-80 г, толщина стенок 4-5 мм")</f>
        <v> Плоды пониклые, конуовидные, длиной 9-10 см, массой 50-80 г, толщина стенок 4-5 мм</v>
      </c>
      <c r="L229" s="6" t="str">
        <f>IFERROR(__xludf.DUMMYFUNCTION("""COMPUTED_VALUE""")," Вкусовые качества хорошие")</f>
        <v> Вкусовые качества хорошие</v>
      </c>
      <c r="M229" s="6" t="str">
        <f>IFERROR(__xludf.DUMMYFUNCTION("""COMPUTED_VALUE""")," В биологической спелости темно-красного цвета")</f>
        <v> В биологической спелости темно-красного цвета</v>
      </c>
      <c r="N229" s="6" t="str">
        <f>IFERROR(__xludf.DUMMYFUNCTION("""COMPUTED_VALUE""")," Устойчив к болезням")</f>
        <v> Устойчив к болезням</v>
      </c>
      <c r="O229" s="6" t="str">
        <f>IFERROR(__xludf.DUMMYFUNCTION("""COMPUTED_VALUE""")," Универсального использования")</f>
        <v> Универсального использования</v>
      </c>
    </row>
    <row r="230">
      <c r="A230" s="11" t="s">
        <v>1032</v>
      </c>
      <c r="I230" s="55" t="str">
        <f>IFERROR(__xludf.DUMMYFUNCTION("SPLIT(A230,""."")"),"Ратунда")</f>
        <v>Ратунда</v>
      </c>
      <c r="J230" s="6" t="str">
        <f>IFERROR(__xludf.DUMMYFUNCTION("""COMPUTED_VALUE"""),"Раннеспелый")</f>
        <v>Раннеспелый</v>
      </c>
      <c r="K230" s="6" t="str">
        <f>IFERROR(__xludf.DUMMYFUNCTION("""COMPUTED_VALUE""")," Растение компактное, низкорослое высотой 25-30 см")</f>
        <v> Растение компактное, низкорослое высотой 25-30 см</v>
      </c>
      <c r="L230" s="6" t="str">
        <f>IFERROR(__xludf.DUMMYFUNCTION("""COMPUTED_VALUE""")," Светолюбив, засухоустойчив")</f>
        <v> Светолюбив, засухоустойчив</v>
      </c>
      <c r="M230" s="6" t="str">
        <f>IFERROR(__xludf.DUMMYFUNCTION("""COMPUTED_VALUE""")," Плоды округлые, в биологической спелости темно-красные, длиной около 6 см, толстостенные (толщина стенок 7-10 мм), массой 102-167 г")</f>
        <v> Плоды округлые, в биологической спелости темно-красные, длиной около 6 см, толстостенные (толщина стенок 7-10 мм), массой 102-167 г</v>
      </c>
      <c r="N230" s="6" t="str">
        <f>IFERROR(__xludf.DUMMYFUNCTION("""COMPUTED_VALUE""")," Вкусовые качества отличные")</f>
        <v> Вкусовые качества отличные</v>
      </c>
    </row>
    <row r="231">
      <c r="A231" s="11" t="s">
        <v>1036</v>
      </c>
      <c r="I231" s="55" t="str">
        <f>IFERROR(__xludf.DUMMYFUNCTION("SPLIT(A231,""."")"),"Ожаровский")</f>
        <v>Ожаровский</v>
      </c>
      <c r="J231" s="6" t="str">
        <f>IFERROR(__xludf.DUMMYFUNCTION("""COMPUTED_VALUE"""),"Один из наилучших польских среднеранних сортов")</f>
        <v>Один из наилучших польских среднеранних сортов</v>
      </c>
      <c r="K231" s="6" t="str">
        <f>IFERROR(__xludf.DUMMYFUNCTION("""COMPUTED_VALUE""")," Пригоден для выращивания в теплицах")</f>
        <v> Пригоден для выращивания в теплицах</v>
      </c>
      <c r="L231" s="6" t="str">
        <f>IFERROR(__xludf.DUMMYFUNCTION("""COMPUTED_VALUE"""),"  Растения имеют буйный рост, требуют пасынкования и подвязывании")</f>
        <v>  Растения имеют буйный рост, требуют пасынкования и подвязывании</v>
      </c>
      <c r="M231" s="6" t="str">
        <f>IFERROR(__xludf.DUMMYFUNCTION("""COMPUTED_VALUE""")," Завязывает плоды даже при недостаточном освещении и пониженной температуре")</f>
        <v> Завязывает плоды даже при недостаточном освещении и пониженной температуре</v>
      </c>
      <c r="N231" s="6" t="str">
        <f>IFERROR(__xludf.DUMMYFUNCTION("""COMPUTED_VALUE""")," Плоды крупные по мере созревания меняют окраску с темнозеленого на темно красный")</f>
        <v> Плоды крупные по мере созревания меняют окраску с темнозеленого на темно красный</v>
      </c>
    </row>
    <row r="232">
      <c r="A232" s="11" t="s">
        <v>1040</v>
      </c>
      <c r="I232" s="55" t="str">
        <f>IFERROR(__xludf.DUMMYFUNCTION("SPLIT(A232,""."")"),"Украинский горький")</f>
        <v>Украинский горький</v>
      </c>
      <c r="J232" s="6" t="str">
        <f>IFERROR(__xludf.DUMMYFUNCTION("""COMPUTED_VALUE""")," Среднеспелый, плоды конусовидные, гладкие, красные, глянцевые")</f>
        <v> Среднеспелый, плоды конусовидные, гладкие, красные, глянцевые</v>
      </c>
      <c r="K232" s="6" t="str">
        <f>IFERROR(__xludf.DUMMYFUNCTION("""COMPUTED_VALUE""")," Мякоть тонкая, на вкус острая")</f>
        <v> Мякоть тонкая, на вкус острая</v>
      </c>
      <c r="L232" s="6" t="str">
        <f>IFERROR(__xludf.DUMMYFUNCTION("""COMPUTED_VALUE""")," Используют в домашней кулинарии, для изготовления настоек, масел")</f>
        <v> Используют в домашней кулинарии, для изготовления настоек, масел</v>
      </c>
      <c r="M232" s="6" t="str">
        <f>IFERROR(__xludf.DUMMYFUNCTION("""COMPUTED_VALUE""")," Теплолюбивая культура")</f>
        <v> Теплолюбивая культура</v>
      </c>
      <c r="N232" s="6" t="str">
        <f>IFERROR(__xludf.DUMMYFUNCTION("""COMPUTED_VALUE""")," Выращивают с использованием рассады")</f>
        <v> Выращивают с использованием рассады</v>
      </c>
    </row>
    <row r="233">
      <c r="A233" s="11" t="s">
        <v>1042</v>
      </c>
      <c r="I233" s="55" t="str">
        <f>IFERROR(__xludf.DUMMYFUNCTION("SPLIT(A233,""."")"),"Комнатный")</f>
        <v>Комнатный</v>
      </c>
      <c r="J233" s="6" t="str">
        <f>IFERROR(__xludf.DUMMYFUNCTION("""COMPUTED_VALUE"""),"В горшечной культуре перец можно выращивать 2-3 года до истощения растения и получать свежие плоды круглый год")</f>
        <v>В горшечной культуре перец можно выращивать 2-3 года до истощения растения и получать свежие плоды круглый год</v>
      </c>
      <c r="K233" s="6" t="str">
        <f>IFERROR(__xludf.DUMMYFUNCTION("""COMPUTED_VALUE""")," Посев семян для комнатной культуры можно проводить в любое время года, но лучше всего весной")</f>
        <v> Посев семян для комнатной культуры можно проводить в любое время года, но лучше всего весной</v>
      </c>
      <c r="L233" s="6" t="str">
        <f>IFERROR(__xludf.DUMMYFUNCTION("""COMPUTED_VALUE""")," В зимнее время растение следует размещать ближе к свету и беречь от холода")</f>
        <v> В зимнее время растение следует размещать ближе к свету и беречь от холода</v>
      </c>
    </row>
    <row r="234">
      <c r="A234" s="11" t="s">
        <v>1046</v>
      </c>
      <c r="I234" s="55" t="str">
        <f>IFERROR(__xludf.DUMMYFUNCTION("SPLIT(A234,""."")"),"Алмаз")</f>
        <v>Алмаз</v>
      </c>
      <c r="J234" s="6" t="str">
        <f>IFERROR(__xludf.DUMMYFUNCTION("""COMPUTED_VALUE"""),"Один из лучших среднеспелых сортов")</f>
        <v>Один из лучших среднеспелых сортов</v>
      </c>
      <c r="K234" s="6" t="str">
        <f>IFERROR(__xludf.DUMMYFUNCTION("""COMPUTED_VALUE""")," Растение с компактным расположением плодов в нижней части")</f>
        <v> Растение с компактным расположением плодов в нижней части</v>
      </c>
      <c r="L234" s="6" t="str">
        <f>IFERROR(__xludf.DUMMYFUNCTION("""COMPUTED_VALUE""")," Плоды цилиндрические, темно-фиолетовые")</f>
        <v> Плоды цилиндрические, темно-фиолетовые</v>
      </c>
      <c r="M234" s="6" t="str">
        <f>IFERROR(__xludf.DUMMYFUNCTION("""COMPUTED_VALUE""")," Мякоть зеленоватая, плотная, без горечи, отличного вкуса")</f>
        <v> Мякоть зеленоватая, плотная, без горечи, отличного вкуса</v>
      </c>
      <c r="N234" s="6" t="str">
        <f>IFERROR(__xludf.DUMMYFUNCTION("""COMPUTED_VALUE""")," Выращивают с использованием рассады, которую подготавливают в течение 50-60 дней")</f>
        <v> Выращивают с использованием рассады, которую подготавливают в течение 50-60 дней</v>
      </c>
    </row>
    <row r="235">
      <c r="A235" s="11" t="s">
        <v>1050</v>
      </c>
      <c r="I235" s="55" t="str">
        <f>IFERROR(__xludf.DUMMYFUNCTION("SPLIT(A235,""."")"),"Баклажан 02")</f>
        <v>Баклажан 02</v>
      </c>
      <c r="J235" s="6" t="str">
        <f>IFERROR(__xludf.DUMMYFUNCTION("""COMPUTED_VALUE"""),"Выращивают с использованием рассады, которую подготавливают в течение 50-60 дней")</f>
        <v>Выращивают с использованием рассады, которую подготавливают в течение 50-60 дней</v>
      </c>
      <c r="K235" s="6" t="str">
        <f>IFERROR(__xludf.DUMMYFUNCTION("""COMPUTED_VALUE""")," Посев проводят в феврале-марте в ящики, затем сеянцы пикируют (4х4 см), а через три недели пересаживают в горшочки или в парник")</f>
        <v> Посев проводят в феврале-марте в ящики, затем сеянцы пикируют (4х4 см), а через три недели пересаживают в горшочки или в парник</v>
      </c>
    </row>
    <row r="236">
      <c r="A236" s="11" t="s">
        <v>1054</v>
      </c>
      <c r="I236" s="55" t="str">
        <f>IFERROR(__xludf.DUMMYFUNCTION("SPLIT(A236,""."")"),"Гелиос")</f>
        <v>Гелиос</v>
      </c>
      <c r="J236" s="6" t="str">
        <f>IFERROR(__xludf.DUMMYFUNCTION("""COMPUTED_VALUE"""),"Среднеранний сорт")</f>
        <v>Среднеранний сорт</v>
      </c>
      <c r="K236" s="6" t="str">
        <f>IFERROR(__xludf.DUMMYFUNCTION("""COMPUTED_VALUE""")," Техническая спелость плодов наступает через 100-116 дней после всходов")</f>
        <v> Техническая спелость плодов наступает через 100-116 дней после всходов</v>
      </c>
      <c r="L236" s="6" t="str">
        <f>IFERROR(__xludf.DUMMYFUNCTION("""COMPUTED_VALUE""")," Растение компактное, высотой 40-58 см")</f>
        <v> Растение компактное, высотой 40-58 см</v>
      </c>
      <c r="M236" s="6" t="str">
        <f>IFERROR(__xludf.DUMMYFUNCTION("""COMPUTED_VALUE""")," Плоды округлой формы, фиолетовые, массой 150-200 г")</f>
        <v> Плоды округлой формы, фиолетовые, массой 150-200 г</v>
      </c>
      <c r="N236" s="6" t="str">
        <f>IFERROR(__xludf.DUMMYFUNCTION("""COMPUTED_VALUE""")," Мякоть белая, плотная, без горечи")</f>
        <v> Мякоть белая, плотная, без горечи</v>
      </c>
      <c r="O236" s="6" t="str">
        <f>IFERROR(__xludf.DUMMYFUNCTION("""COMPUTED_VALUE""")," Урожайность высокая")</f>
        <v> Урожайность высокая</v>
      </c>
    </row>
    <row r="237">
      <c r="A237" s="11" t="s">
        <v>1058</v>
      </c>
      <c r="I237" s="55" t="str">
        <f>IFERROR(__xludf.DUMMYFUNCTION("SPLIT(A237,""."")"),"Донецкий Урожайный")</f>
        <v>Донецкий Урожайный</v>
      </c>
      <c r="J237" s="6" t="str">
        <f>IFERROR(__xludf.DUMMYFUNCTION("""COMPUTED_VALUE"""),"Раннеспе-лый сорт, вегетационный период от массовых всходов до первого сбора 120 дней")</f>
        <v>Раннеспе-лый сорт, вегетационный период от массовых всходов до первого сбора 120 дней</v>
      </c>
      <c r="K237" s="6" t="str">
        <f>IFERROR(__xludf.DUMMYFUNCTION("""COMPUTED_VALUE""")," Куст компактный,плоды темно фиолетовые ,удлиненные 280-350гр,сорт ,устой к жаре")</f>
        <v> Куст компактный,плоды темно фиолетовые ,удлиненные 280-350гр,сорт ,устой к жаре</v>
      </c>
      <c r="L237" s="6" t="str">
        <f>IFERROR(__xludf.DUMMYFUNCTION("""COMPUTED_VALUE"""),"Без горечи")</f>
        <v>Без горечи</v>
      </c>
    </row>
    <row r="238">
      <c r="A238" s="14" t="s">
        <v>1062</v>
      </c>
      <c r="I238" s="55" t="str">
        <f>IFERROR(__xludf.DUMMYFUNCTION("SPLIT(A238,""."")"),"Черный красавец")</f>
        <v>Черный красавец</v>
      </c>
      <c r="J238" s="6" t="str">
        <f>IFERROR(__xludf.DUMMYFUNCTION("""COMPUTED_VALUE"""),"Сорт среднеранний, в плодоношение вступает на 120-140 день")</f>
        <v>Сорт среднеранний, в плодоношение вступает на 120-140 день</v>
      </c>
      <c r="K238" s="6" t="str">
        <f>IFERROR(__xludf.DUMMYFUNCTION("""COMPUTED_VALUE""")," Высота растения 60-75
см")</f>
        <v> Высота растения 60-75
см</v>
      </c>
      <c r="L238" s="6" t="str">
        <f>IFERROR(__xludf.DUMMYFUNCTION("""COMPUTED_VALUE""")," Плод цилиндрический, длиной 10-12 см, фиолетово-черный, массой 100-150 г")</f>
        <v> Плод цилиндрический, длиной 10-12 см, фиолетово-черный, массой 100-150 г</v>
      </c>
      <c r="M238" s="6" t="str">
        <f>IFERROR(__xludf.DUMMYFUNCTION("""COMPUTED_VALUE""")," Мякоть без горечи беловато зеленого цвета")</f>
        <v> Мякоть без горечи беловато зеленого цвета</v>
      </c>
    </row>
    <row r="239">
      <c r="A239" s="14" t="s">
        <v>1066</v>
      </c>
      <c r="I239" s="55" t="str">
        <f>IFERROR(__xludf.DUMMYFUNCTION("SPLIT(A239,""."")"),"Ультраранний")</f>
        <v>Ультраранний</v>
      </c>
      <c r="J239" s="6" t="str">
        <f>IFERROR(__xludf.DUMMYFUNCTION("""COMPUTED_VALUE"""),"Сверхранний")</f>
        <v>Сверхранний</v>
      </c>
      <c r="K239" s="6" t="str">
        <f>IFERROR(__xludf.DUMMYFUNCTION("""COMPUTED_VALUE""")," Вегетационный период 80-100 дней")</f>
        <v> Вегетационный период 80-100 дней</v>
      </c>
      <c r="L239" s="6" t="str">
        <f>IFERROR(__xludf.DUMMYFUNCTION("""COMPUTED_VALUE""")," Универсальный")</f>
        <v> Универсальный</v>
      </c>
      <c r="M239" s="6" t="str">
        <f>IFERROR(__xludf.DUMMYFUNCTION("""COMPUTED_VALUE""")," Устойчив против основных болезней")</f>
        <v> Устойчив против основных болезней</v>
      </c>
      <c r="N239" s="6" t="str">
        <f>IFERROR(__xludf.DUMMYFUNCTION("""COMPUTED_VALUE"""),"
Лежкий")</f>
        <v>
Лежкий</v>
      </c>
      <c r="O239" s="6" t="str">
        <f>IFERROR(__xludf.DUMMYFUNCTION("""COMPUTED_VALUE""")," Транспортабельный")</f>
        <v> Транспортабельный</v>
      </c>
      <c r="P239" s="6" t="str">
        <f>IFERROR(__xludf.DUMMYFUNCTION("""COMPUTED_VALUE""")," Плод грушевидный, массой 120-140 г")</f>
        <v> Плод грушевидный, массой 120-140 г</v>
      </c>
      <c r="Q239" s="6" t="str">
        <f>IFERROR(__xludf.DUMMYFUNCTION("""COMPUTED_VALUE""")," Урожайность 25-30 т/га")</f>
        <v> Урожайность 25-30 т/га</v>
      </c>
      <c r="R239" s="6" t="str">
        <f>IFERROR(__xludf.DUMMYFUNCTION("""COMPUTED_VALUE""")," Вкусовые
качества высокие")</f>
        <v> Вкусовые
качества высокие</v>
      </c>
    </row>
    <row r="240">
      <c r="A240" s="11" t="s">
        <v>1070</v>
      </c>
      <c r="I240" s="55" t="str">
        <f>IFERROR(__xludf.DUMMYFUNCTION("SPLIT(A240,""."")"),"Бегемот F1")</f>
        <v>Бегемот F1</v>
      </c>
      <c r="J240" s="6" t="str">
        <f>IFERROR(__xludf.DUMMYFUNCTION("""COMPUTED_VALUE"""),"Среднеспелый (100-110 дней от всходов до плодоношения) высокорослый (0,7-1,5 м в пленочных теплицах, до 2,5 м в остекленных теплицах) гибрид для пленочных и остекленных теплиц и открытого грунта")</f>
        <v>Среднеспелый (100-110 дней от всходов до плодоношения) высокорослый (0,7-1,5 м в пленочных теплицах, до 2,5 м в остекленных теплицах) гибрид для пленочных и остекленных теплиц и открытого грунта</v>
      </c>
    </row>
    <row r="241">
      <c r="A241" s="11" t="s">
        <v>1074</v>
      </c>
      <c r="I241" s="55" t="str">
        <f>IFERROR(__xludf.DUMMYFUNCTION("SPLIT(A241,""."")"),"Лук")</f>
        <v>Лук</v>
      </c>
      <c r="J241" s="6" t="str">
        <f>IFERROR(__xludf.DUMMYFUNCTION("""COMPUTED_VALUE""")," Белая   королева")</f>
        <v> Белая   королева</v>
      </c>
      <c r="K241" s="6" t="str">
        <f>IFERROR(__xludf.DUMMYFUNCTION("""COMPUTED_VALUE""")," Великолепный среднеспелый сорт лука итальянской селекции")</f>
        <v> Великолепный среднеспелый сорт лука итальянской селекции</v>
      </c>
      <c r="L241" s="6" t="str">
        <f>IFERROR(__xludf.DUMMYFUNCTION("""COMPUTED_VALUE""")," Формирует красивые, крупные луковицы, весом 120-150 г, полуострого вкуса")</f>
        <v> Формирует красивые, крупные луковицы, весом 120-150 г, полуострого вкуса</v>
      </c>
      <c r="M241" s="6" t="str">
        <f>IFERROR(__xludf.DUMMYFUNCTION("""COMPUTED_VALUE""")," Наружные и внутренние чешуйки белоснежные, луковицы плотные, выровненные, сочные")</f>
        <v> Наружные и внутренние чешуйки белоснежные, луковицы плотные, выровненные, сочные</v>
      </c>
      <c r="N241" s="6" t="str">
        <f>IFERROR(__xludf.DUMMYFUNCTION("""COMPUTED_VALUE""")," Прекрасные вкусовые качества")</f>
        <v> Прекрасные вкусовые качества</v>
      </c>
    </row>
    <row r="242">
      <c r="A242" s="11" t="s">
        <v>1078</v>
      </c>
      <c r="I242" s="55" t="str">
        <f>IFERROR(__xludf.DUMMYFUNCTION("SPLIT(A242,""."")"),"Лук Стерлинг ")</f>
        <v>Лук Стерлинг </v>
      </c>
      <c r="J242" s="6" t="str">
        <f>IFERROR(__xludf.DUMMYFUNCTION("""COMPUTED_VALUE""")," Италия")</f>
        <v> Италия</v>
      </c>
      <c r="K242" s="6" t="str">
        <f>IFERROR(__xludf.DUMMYFUNCTION("""COMPUTED_VALUE""")," Среднеспелый сорт , масса 100-120гр, полу-острый, салатного типа, лежкий траспортабельный, предназначен для открытого грунта")</f>
        <v> Среднеспелый сорт , масса 100-120гр, полу-острый, салатного типа, лежкий траспортабельный, предназначен для открытого грунта</v>
      </c>
    </row>
    <row r="243">
      <c r="A243" s="11" t="s">
        <v>1081</v>
      </c>
      <c r="I243" s="55" t="str">
        <f>IFERROR(__xludf.DUMMYFUNCTION("SPLIT(A243,""."")"),"Веселка")</f>
        <v>Веселка</v>
      </c>
      <c r="J243" s="6" t="str">
        <f>IFERROR(__xludf.DUMMYFUNCTION("""COMPUTED_VALUE"""),"Раннеспелый полуострый сорт")</f>
        <v>Раннеспелый полуострый сорт</v>
      </c>
      <c r="K243" s="6" t="str">
        <f>IFERROR(__xludf.DUMMYFUNCTION("""COMPUTED_VALUE""")," Выращивается из семян в однолетней культуре")</f>
        <v> Выращивается из семян в однолетней культуре</v>
      </c>
      <c r="L243" s="6" t="str">
        <f>IFERROR(__xludf.DUMMYFUNCTION("""COMPUTED_VALUE""")," Луковица округлая или овально-округлая, массой 100 – 150 г")</f>
        <v> Луковица округлая или овально-округлая, массой 100 – 150 г</v>
      </c>
      <c r="M243" s="6" t="str">
        <f>IFERROR(__xludf.DUMMYFUNCTION("""COMPUTED_VALUE""")," Внешние чешуйки фиолетово-красного цвета")</f>
        <v> Внешние чешуйки фиолетово-красного цвета</v>
      </c>
      <c r="N243" s="6" t="str">
        <f>IFERROR(__xludf.DUMMYFUNCTION("""COMPUTED_VALUE""")," Сорт относительно устойчив к пероноспорозу")</f>
        <v> Сорт относительно устойчив к пероноспорозу</v>
      </c>
    </row>
    <row r="244">
      <c r="A244" s="11" t="s">
        <v>1085</v>
      </c>
      <c r="I244" s="55" t="str">
        <f>IFERROR(__xludf.DUMMYFUNCTION("SPLIT(A244,""."")"),"Вольский")</f>
        <v>Вольский</v>
      </c>
      <c r="J244" s="6" t="str">
        <f>IFERROR(__xludf.DUMMYFUNCTION("""COMPUTED_VALUE""")," Польша")</f>
        <v> Польша</v>
      </c>
      <c r="K244" s="6" t="str">
        <f>IFERROR(__xludf.DUMMYFUNCTION("""COMPUTED_VALUE"""),"Позднеспелый, полуострый, универсального использования, пригоден для длительного хранения")</f>
        <v>Позднеспелый, полуострый, универсального использования, пригоден для длительного хранения</v>
      </c>
      <c r="L244" s="6" t="str">
        <f>IFERROR(__xludf.DUMMYFUNCTION("""COMPUTED_VALUE""")," От всходов до технической зрелости – 125-140 дней")</f>
        <v> От всходов до технической зрелости – 125-140 дней</v>
      </c>
      <c r="M244" s="6" t="str">
        <f>IFERROR(__xludf.DUMMYFUNCTION("""COMPUTED_VALUE""")," Луковицы шаровидные, с тонкой шейкой, массой 90-160г")</f>
        <v> Луковицы шаровидные, с тонкой шейкой, массой 90-160г</v>
      </c>
      <c r="N244" s="6" t="str">
        <f>IFERROR(__xludf.DUMMYFUNCTION("""COMPUTED_VALUE""")," Сорт относительно устойчив к ложной мучнистой росе")</f>
        <v> Сорт относительно устойчив к ложной мучнистой росе</v>
      </c>
    </row>
    <row r="245">
      <c r="A245" s="11" t="s">
        <v>1088</v>
      </c>
      <c r="I245" s="55" t="str">
        <f>IFERROR(__xludf.DUMMYFUNCTION("SPLIT(A245,""."")"),"Глобус")</f>
        <v>Глобус</v>
      </c>
      <c r="J245" s="6" t="str">
        <f>IFERROR(__xludf.DUMMYFUNCTION("""COMPUTED_VALUE"""),"Острый универсальный среднеспелый сорт")</f>
        <v>Острый универсальный среднеспелый сорт</v>
      </c>
      <c r="K245" s="6" t="str">
        <f>IFERROR(__xludf.DUMMYFUNCTION("""COMPUTED_VALUE""")," Вегетационный период 92-94 дня")</f>
        <v> Вегетационный период 92-94 дня</v>
      </c>
      <c r="L245" s="6" t="str">
        <f>IFERROR(__xludf.DUMMYFUNCTION("""COMPUTED_VALUE""")," Внешние чешуи коричневого или светло-коричневого цвета")</f>
        <v> Внешние чешуи коричневого или светло-коричневого цвета</v>
      </c>
      <c r="M245" s="6" t="str">
        <f>IFERROR(__xludf.DUMMYFUNCTION("""COMPUTED_VALUE""")," Внутри чешуи сочные, белые")</f>
        <v> Внутри чешуи сочные, белые</v>
      </c>
      <c r="N245" s="6" t="str">
        <f>IFERROR(__xludf.DUMMYFUNCTION("""COMPUTED_VALUE""")," Луковица округлая или удлиненно-округлая весом 75-90г")</f>
        <v> Луковица округлая или удлиненно-округлая весом 75-90г</v>
      </c>
      <c r="O245" s="6" t="str">
        <f>IFERROR(__xludf.DUMMYFUNCTION("""COMPUTED_VALUE""")," Может выращиваться из семян в однолетней культуре, а также из севка")</f>
        <v> Может выращиваться из семян в однолетней культуре, а также из севка</v>
      </c>
    </row>
    <row r="246">
      <c r="A246" s="11" t="s">
        <v>1092</v>
      </c>
      <c r="I246" s="55" t="str">
        <f>IFERROR(__xludf.DUMMYFUNCTION("SPLIT(A246,""."")"),"Донецкая золотистая")</f>
        <v>Донецкая золотистая</v>
      </c>
      <c r="J246" s="6" t="str">
        <f>IFERROR(__xludf.DUMMYFUNCTION("""COMPUTED_VALUE"""),"Среднеспелый сорт")</f>
        <v>Среднеспелый сорт</v>
      </c>
      <c r="K246" s="6" t="str">
        <f>IFERROR(__xludf.DUMMYFUNCTION("""COMPUTED_VALUE""")," Выращивают в однолетней культуре из семян")</f>
        <v> Выращивают в однолетней культуре из семян</v>
      </c>
      <c r="L246" s="6" t="str">
        <f>IFERROR(__xludf.DUMMYFUNCTION("""COMPUTED_VALUE""")," Малогнездный, луковица округло-плоская, плотная, массой 60-80 г, Сухие чешуи желтые и золотисто-желтые, сочные - белые")</f>
        <v> Малогнездный, луковица округло-плоская, плотная, массой 60-80 г, Сухие чешуи желтые и золотисто-желтые, сочные - белые</v>
      </c>
      <c r="M246" s="6" t="str">
        <f>IFERROR(__xludf.DUMMYFUNCTION("""COMPUTED_VALUE""")," Урожайность 2,3-3,9 кг\кв")</f>
        <v> Урожайность 2,3-3,9 кг\кв</v>
      </c>
      <c r="N246" s="6" t="str">
        <f>IFERROR(__xludf.DUMMYFUNCTION("""COMPUTED_VALUE"""),"м")</f>
        <v>м</v>
      </c>
      <c r="O246" s="6" t="str">
        <f>IFERROR(__xludf.DUMMYFUNCTION("""COMPUTED_VALUE""")," Лежкость хорошая")</f>
        <v> Лежкость хорошая</v>
      </c>
    </row>
    <row r="247">
      <c r="A247" s="11" t="s">
        <v>1096</v>
      </c>
      <c r="I247" s="55" t="str">
        <f>IFERROR(__xludf.DUMMYFUNCTION("SPLIT(A247,""."")"),"Каратальский")</f>
        <v>Каратальский</v>
      </c>
      <c r="J247" s="6" t="str">
        <f>IFERROR(__xludf.DUMMYFUNCTION("""COMPUTED_VALUE"""),"Раннеспелый, урожайный")</f>
        <v>Раннеспелый, урожайный</v>
      </c>
      <c r="K247" s="6" t="str">
        <f>IFERROR(__xludf.DUMMYFUNCTION("""COMPUTED_VALUE""")," Выращивают в однолетней культуре из семян")</f>
        <v> Выращивают в однолетней культуре из семян</v>
      </c>
      <c r="L247" s="6" t="str">
        <f>IFERROR(__xludf.DUMMYFUNCTION("""COMPUTED_VALUE""")," Луковица плотная, округлая")</f>
        <v> Луковица плотная, округлая</v>
      </c>
      <c r="M247" s="6" t="str">
        <f>IFERROR(__xludf.DUMMYFUNCTION("""COMPUTED_VALUE""")," Сухие чешуи золотисто-желтые, сочные – белые")</f>
        <v> Сухие чешуи золотисто-желтые, сочные – белые</v>
      </c>
      <c r="N247" s="6" t="str">
        <f>IFERROR(__xludf.DUMMYFUNCTION("""COMPUTED_VALUE""")," Масса луковицы 50-120 г")</f>
        <v> Масса луковицы 50-120 г</v>
      </c>
      <c r="O247" s="6" t="str">
        <f>IFERROR(__xludf.DUMMYFUNCTION("""COMPUTED_VALUE""")," Вкус полуострый")</f>
        <v> Вкус полуострый</v>
      </c>
      <c r="P247" s="6" t="str">
        <f>IFERROR(__xludf.DUMMYFUNCTION("""COMPUTED_VALUE""")," Вызреваемость перед уборкой 97%")</f>
        <v> Вызреваемость перед уборкой 97%</v>
      </c>
      <c r="Q247" s="6" t="str">
        <f>IFERROR(__xludf.DUMMYFUNCTION("""COMPUTED_VALUE""")," Лежкость 80 %")</f>
        <v> Лежкость 80 %</v>
      </c>
    </row>
    <row r="248">
      <c r="A248" s="11" t="s">
        <v>1100</v>
      </c>
      <c r="I248" s="55" t="str">
        <f>IFERROR(__xludf.DUMMYFUNCTION("SPLIT(A248,""."")"),"Луганский")</f>
        <v>Луганский</v>
      </c>
      <c r="J248" s="6" t="str">
        <f>IFERROR(__xludf.DUMMYFUNCTION("""COMPUTED_VALUE"""),"Сорт позднеспелый, урожайный")</f>
        <v>Сорт позднеспелый, урожайный</v>
      </c>
      <c r="K248" s="6" t="str">
        <f>IFERROR(__xludf.DUMMYFUNCTION("""COMPUTED_VALUE""")," Выращивают в однолетней культуре из семян")</f>
        <v> Выращивают в однолетней культуре из семян</v>
      </c>
      <c r="L248" s="6" t="str">
        <f>IFERROR(__xludf.DUMMYFUNCTION("""COMPUTED_VALUE""")," Вкус промежуточный между острым и полуострым")</f>
        <v> Вкус промежуточный между острым и полуострым</v>
      </c>
      <c r="M248" s="6" t="str">
        <f>IFERROR(__xludf.DUMMYFUNCTION("""COMPUTED_VALUE""")," Луковица округлая, округло-плоская и овальная")</f>
        <v> Луковица округлая, округло-плоская и овальная</v>
      </c>
      <c r="N248" s="6" t="str">
        <f>IFERROR(__xludf.DUMMYFUNCTION("""COMPUTED_VALUE""")," Сухие чешуи желтые с коричневым оттенком, сочные – белые")</f>
        <v> Сухие чешуи желтые с коричневым оттенком, сочные – белые</v>
      </c>
      <c r="O248" s="6" t="str">
        <f>IFERROR(__xludf.DUMMYFUNCTION("""COMPUTED_VALUE""")," Масса луковицы 71-146 г")</f>
        <v> Масса луковицы 71-146 г</v>
      </c>
    </row>
    <row r="249">
      <c r="A249" s="11" t="s">
        <v>1103</v>
      </c>
      <c r="I249" s="55" t="str">
        <f>IFERROR(__xludf.DUMMYFUNCTION("SPLIT(A249,""."")"),"Любчик")</f>
        <v>Любчик</v>
      </c>
      <c r="J249" s="6" t="str">
        <f>IFERROR(__xludf.DUMMYFUNCTION("""COMPUTED_VALUE"""),"Одни из лучших общепризнанных сортов в мире")</f>
        <v>Одни из лучших общепризнанных сортов в мире</v>
      </c>
      <c r="K249" s="6" t="str">
        <f>IFERROR(__xludf.DUMMYFUNCTION("""COMPUTED_VALUE""")," Раннеспелый, от посева до созревания – 120 дней")</f>
        <v> Раннеспелый, от посева до созревания – 120 дней</v>
      </c>
      <c r="L249" s="6" t="str">
        <f>IFERROR(__xludf.DUMMYFUNCTION("""COMPUTED_VALUE""")," Луковицы крупные, плотные, плоскоокруглые")</f>
        <v> Луковицы крупные, плотные, плоскоокруглые</v>
      </c>
      <c r="M249" s="6" t="str">
        <f>IFERROR(__xludf.DUMMYFUNCTION("""COMPUTED_VALUE""")," Масса луковицы 50,0-94 г")</f>
        <v> Масса луковицы 50,0-94 г</v>
      </c>
      <c r="N249" s="6" t="str">
        <f>IFERROR(__xludf.DUMMYFUNCTION("""COMPUTED_VALUE""")," Окраска сухих чешуй желто-коричневого цвета")</f>
        <v> Окраска сухих чешуй желто-коричневого цвета</v>
      </c>
      <c r="O249" s="6" t="str">
        <f>IFERROR(__xludf.DUMMYFUNCTION("""COMPUTED_VALUE""")," Вкус пикантный")</f>
        <v> Вкус пикантный</v>
      </c>
    </row>
    <row r="250">
      <c r="A250" s="11" t="s">
        <v>1107</v>
      </c>
      <c r="I250" s="55" t="str">
        <f>IFERROR(__xludf.DUMMYFUNCTION("SPLIT(A250,""."")"),"Марковский")</f>
        <v>Марковский</v>
      </c>
      <c r="J250" s="6" t="str">
        <f>IFERROR(__xludf.DUMMYFUNCTION("""COMPUTED_VALUE"""),"Сорт среднеспелый, полуострый, урожайный, отлично хранится")</f>
        <v>Сорт среднеспелый, полуострый, урожайный, отлично хранится</v>
      </c>
      <c r="K250" s="6" t="str">
        <f>IFERROR(__xludf.DUMMYFUNCTION("""COMPUTED_VALUE""")," Может выращиваться из семян в однолетней культуре, а также из севка")</f>
        <v> Может выращиваться из семян в однолетней культуре, а также из севка</v>
      </c>
      <c r="L250" s="6" t="str">
        <f>IFERROR(__xludf.DUMMYFUNCTION("""COMPUTED_VALUE""")," Лук следует выращивать на плодородных, хорошо обработанных, легких, имеющих нейтральную реакцию почвах,полуострый ,масса120-130гр  лежкий")</f>
        <v> Лук следует выращивать на плодородных, хорошо обработанных, легких, имеющих нейтральную реакцию почвах,полуострый ,масса120-130гр  лежкий</v>
      </c>
    </row>
    <row r="251">
      <c r="A251" s="11" t="s">
        <v>1111</v>
      </c>
      <c r="I251" s="55" t="str">
        <f>IFERROR(__xludf.DUMMYFUNCTION("SPLIT(A251,""."")"),"Ред барон")</f>
        <v>Ред барон</v>
      </c>
      <c r="J251" s="6" t="str">
        <f>IFERROR(__xludf.DUMMYFUNCTION("""COMPUTED_VALUE"""),"Несмотря на относительную раннеспелость, прекрасно сохраняется")</f>
        <v>Несмотря на относительную раннеспелость, прекрасно сохраняется</v>
      </c>
      <c r="K251" s="6" t="str">
        <f>IFERROR(__xludf.DUMMYFUNCTION("""COMPUTED_VALUE""")," Луковицы среднего размера, массой 50-120 г, плотные, привлекательного красного цвета, который остается на луковице и не «окрашивает» ни нож, ни компоненты салата")</f>
        <v> Луковицы среднего размера, массой 50-120 г, плотные, привлекательного красного цвета, который остается на луковице и не «окрашивает» ни нож, ни компоненты салата</v>
      </c>
      <c r="L251" s="6" t="str">
        <f>IFERROR(__xludf.DUMMYFUNCTION("""COMPUTED_VALUE""")," Обладает прекрасными вкусовыми качествами")</f>
        <v> Обладает прекрасными вкусовыми качествами</v>
      </c>
    </row>
    <row r="252">
      <c r="A252" s="11" t="s">
        <v>1113</v>
      </c>
      <c r="I252" s="55" t="str">
        <f>IFERROR(__xludf.DUMMYFUNCTION("SPLIT(A252,""."")"),"Рубин")</f>
        <v>Рубин</v>
      </c>
      <c r="J252" s="6" t="str">
        <f>IFERROR(__xludf.DUMMYFUNCTION("""COMPUTED_VALUE"""),"Деликатесный, скороспелый, урожайный сорт")</f>
        <v>Деликатесный, скороспелый, урожайный сорт</v>
      </c>
      <c r="K252" s="6" t="str">
        <f>IFERROR(__xludf.DUMMYFUNCTION("""COMPUTED_VALUE""")," До технической спелости - 72-85 дней")</f>
        <v> До технической спелости - 72-85 дней</v>
      </c>
      <c r="L252" s="6" t="str">
        <f>IFERROR(__xludf.DUMMYFUNCTION("""COMPUTED_VALUE""")," Луковица полуострая, округлая, одногнездная, массой 60-80 г")</f>
        <v> Луковица полуострая, округлая, одногнездная, массой 60-80 г</v>
      </c>
      <c r="M252" s="6" t="str">
        <f>IFERROR(__xludf.DUMMYFUNCTION("""COMPUTED_VALUE""")," Сухие чешуи розово-фиолетовые, сочные, белые с розовым эпидермисом")</f>
        <v> Сухие чешуи розово-фиолетовые, сочные, белые с розовым эпидермисом</v>
      </c>
      <c r="N252" s="6" t="str">
        <f>IFERROR(__xludf.DUMMYFUNCTION("""COMPUTED_VALUE""")," Хорошо вызревает во всех зонах Украины")</f>
        <v> Хорошо вызревает во всех зонах Украины</v>
      </c>
    </row>
    <row r="253">
      <c r="A253" s="11" t="s">
        <v>1116</v>
      </c>
      <c r="I253" s="55" t="str">
        <f>IFERROR(__xludf.DUMMYFUNCTION("SPLIT(A253,""."")"),"Стригуновский")</f>
        <v>Стригуновский</v>
      </c>
      <c r="J253" s="6" t="str">
        <f>IFERROR(__xludf.DUMMYFUNCTION("""COMPUTED_VALUE"""),"Раннеспелый, урожайный")</f>
        <v>Раннеспелый, урожайный</v>
      </c>
      <c r="K253" s="6" t="str">
        <f>IFERROR(__xludf.DUMMYFUNCTION("""COMPUTED_VALUE""")," Выращивают в однолетней культуре из семян")</f>
        <v> Выращивают в однолетней культуре из семян</v>
      </c>
      <c r="L253" s="6" t="str">
        <f>IFERROR(__xludf.DUMMYFUNCTION("""COMPUTED_VALUE""")," Луковица плотная, округлая с небольшим сбегом вверх и вниз")</f>
        <v> Луковица плотная, округлая с небольшим сбегом вверх и вниз</v>
      </c>
      <c r="M253" s="6" t="str">
        <f>IFERROR(__xludf.DUMMYFUNCTION("""COMPUTED_VALUE""")," Сухие чешуи желтые, сочные – белые")</f>
        <v> Сухие чешуи желтые, сочные – белые</v>
      </c>
      <c r="N253" s="6" t="str">
        <f>IFERROR(__xludf.DUMMYFUNCTION("""COMPUTED_VALUE""")," Масса луковицы 45-80 г")</f>
        <v> Масса луковицы 45-80 г</v>
      </c>
      <c r="O253" s="6" t="str">
        <f>IFERROR(__xludf.DUMMYFUNCTION("""COMPUTED_VALUE""")," Вызреваемость перед уборкой 97%")</f>
        <v> Вызреваемость перед уборкой 97%</v>
      </c>
      <c r="P253" s="6" t="str">
        <f>IFERROR(__xludf.DUMMYFUNCTION("""COMPUTED_VALUE""")," Лежкость хорошая")</f>
        <v> Лежкость хорошая</v>
      </c>
      <c r="Q253" s="6" t="str">
        <f>IFERROR(__xludf.DUMMYFUNCTION("""COMPUTED_VALUE""")," Вкус острый")</f>
        <v> Вкус острый</v>
      </c>
    </row>
    <row r="254">
      <c r="A254" s="11" t="s">
        <v>1120</v>
      </c>
      <c r="I254" s="55" t="str">
        <f>IFERROR(__xludf.DUMMYFUNCTION("SPLIT(A254,""."")"),"Халцедон")</f>
        <v>Халцедон</v>
      </c>
      <c r="J254" s="6" t="str">
        <f>IFERROR(__xludf.DUMMYFUNCTION("""COMPUTED_VALUE"""),"Луковица крупная, круглая, золотистого цвета, имеет чудесный товарный вид")</f>
        <v>Луковица крупная, круглая, золотистого цвета, имеет чудесный товарный вид</v>
      </c>
      <c r="K254" s="6" t="str">
        <f>IFERROR(__xludf.DUMMYFUNCTION("""COMPUTED_VALUE""")," Урожайность 700 ц/га")</f>
        <v> Урожайность 700 ц/га</v>
      </c>
      <c r="L254" s="6" t="str">
        <f>IFERROR(__xludf.DUMMYFUNCTION("""COMPUTED_VALUE""")," Хранится 12 месяцев, вкусовые качества высокие")</f>
        <v> Хранится 12 месяцев, вкусовые качества высокие</v>
      </c>
    </row>
    <row r="255">
      <c r="A255" s="11" t="s">
        <v>1124</v>
      </c>
      <c r="I255" s="55" t="str">
        <f>IFERROR(__xludf.DUMMYFUNCTION("SPLIT(A255,""."")"),"Чернушка")</f>
        <v>Чернушка</v>
      </c>
      <c r="J255" s="6" t="str">
        <f>IFERROR(__xludf.DUMMYFUNCTION("""COMPUTED_VALUE"""),"Выращивание репчатого лука через севок")</f>
        <v>Выращивание репчатого лука через севок</v>
      </c>
      <c r="K255" s="6" t="str">
        <f>IFERROR(__xludf.DUMMYFUNCTION("""COMPUTED_VALUE""")," При этом способе репку получают на второй год, а в первый год выращивают севок — мелкий однолетний лук, высевают в апреле после оттаивания почвы на грядах шириной 1 м, в бороздки, сделанные на расстоянии 10-12 см")</f>
        <v> При этом способе репку получают на второй год, а в первый год выращивают севок — мелкий однолетний лук, высевают в апреле после оттаивания почвы на грядах шириной 1 м, в бороздки, сделанные на расстоянии 10-12 см</v>
      </c>
      <c r="L255" s="6" t="str">
        <f>IFERROR(__xludf.DUMMYFUNCTION("""COMPUTED_VALUE""")," Норма высева 9-10 г на 1 м кв")</f>
        <v> Норма высева 9-10 г на 1 м кв</v>
      </c>
    </row>
    <row r="256">
      <c r="A256" s="11" t="s">
        <v>1128</v>
      </c>
      <c r="I256" s="55" t="str">
        <f>IFERROR(__xludf.DUMMYFUNCTION("SPLIT(A256,""."")"),"Ялтинский")</f>
        <v>Ялтинский</v>
      </c>
      <c r="J256" s="6" t="str">
        <f>IFERROR(__xludf.DUMMYFUNCTION("""COMPUTED_VALUE"""),"Сорт позднеспелый, вегетационный период 138-150 дней, период хранения 120 дней")</f>
        <v>Сорт позднеспелый, вегетационный период 138-150 дней, период хранения 120 дней</v>
      </c>
      <c r="K256" s="6" t="str">
        <f>IFERROR(__xludf.DUMMYFUNCTION("""COMPUTED_VALUE""")," Луковицы крупные, фиолетовые, средней массой 154г")</f>
        <v> Луковицы крупные, фиолетовые, средней массой 154г</v>
      </c>
      <c r="L256" s="6" t="str">
        <f>IFERROR(__xludf.DUMMYFUNCTION("""COMPUTED_VALUE""")," Вкус сладкий со слабоострым привкусом")</f>
        <v> Вкус сладкий со слабоострым привкусом</v>
      </c>
      <c r="M256" s="6" t="str">
        <f>IFERROR(__xludf.DUMMYFUNCTION("""COMPUTED_VALUE""")," Лук следует выращивать на плодородных, хорошо обработанных, легких, имеющих нейтральную реакцию почвах")</f>
        <v> Лук следует выращивать на плодородных, хорошо обработанных, легких, имеющих нейтральную реакцию почвах</v>
      </c>
    </row>
    <row r="257">
      <c r="A257" s="11" t="s">
        <v>1132</v>
      </c>
      <c r="I257" s="55" t="str">
        <f>IFERROR(__xludf.DUMMYFUNCTION("SPLIT(A257,""."")"),"Лук на зелень Эльвира")</f>
        <v>Лук на зелень Эльвира</v>
      </c>
      <c r="J257" s="6" t="str">
        <f>IFERROR(__xludf.DUMMYFUNCTION("""COMPUTED_VALUE""")," Очень ранняя первая весенняя зелень при посадке под зиму,нежные ,полуострие перья содержат кладезь витаминов")</f>
        <v> Очень ранняя первая весенняя зелень при посадке под зиму,нежные ,полуострие перья содержат кладезь витаминов</v>
      </c>
      <c r="K257" s="6" t="str">
        <f>IFERROR(__xludf.DUMMYFUNCTION("""COMPUTED_VALUE""")," При посадке весной нуждается в усиленном поливе")</f>
        <v> При посадке весной нуждается в усиленном поливе</v>
      </c>
    </row>
    <row r="258">
      <c r="A258" s="11" t="s">
        <v>1136</v>
      </c>
      <c r="I258" s="55" t="str">
        <f>IFERROR(__xludf.DUMMYFUNCTION("SPLIT(A258,""."")"),"Лук на зелень озимый")</f>
        <v>Лук на зелень озимый</v>
      </c>
      <c r="J258" s="6" t="str">
        <f>IFERROR(__xludf.DUMMYFUNCTION("""COMPUTED_VALUE""")," Больше всего оправдывают затраты подзимние посадки ,но возможна посадка весенняя")</f>
        <v> Больше всего оправдывают затраты подзимние посадки ,но возможна посадка весенняя</v>
      </c>
    </row>
    <row r="259">
      <c r="A259" s="11" t="s">
        <v>1140</v>
      </c>
      <c r="I259" s="55" t="str">
        <f>IFERROR(__xludf.DUMMYFUNCTION("SPLIT(A259,""."")"),"Шнит")</f>
        <v>Шнит</v>
      </c>
      <c r="J259" s="6" t="str">
        <f>IFERROR(__xludf.DUMMYFUNCTION("""COMPUTED_VALUE"""),"Ценится, как растение, дающее витаминную зелень круглый год")</f>
        <v>Ценится, как растение, дающее витаминную зелень круглый год</v>
      </c>
      <c r="K259" s="6" t="str">
        <f>IFERROR(__xludf.DUMMYFUNCTION("""COMPUTED_VALUE""")," Его листья нежные, слабоострые и ароматные")</f>
        <v> Его листья нежные, слабоострые и ароматные</v>
      </c>
      <c r="L259" s="6" t="str">
        <f>IFERROR(__xludf.DUMMYFUNCTION("""COMPUTED_VALUE""")," Многолетнее растение, дающее хороший урожай на одном участке в течении 5 лет, быстро отрастает ранней весной и дает большую зеленую массу")</f>
        <v> Многолетнее растение, дающее хороший урожай на одном участке в течении 5 лет, быстро отрастает ранней весной и дает большую зеленую массу</v>
      </c>
    </row>
    <row r="260">
      <c r="A260" s="11" t="s">
        <v>1144</v>
      </c>
      <c r="I260" s="55" t="str">
        <f>IFERROR(__xludf.DUMMYFUNCTION("SPLIT(A260,""."")"),"Порей")</f>
        <v>Порей</v>
      </c>
      <c r="J260" s="6" t="str">
        <f>IFERROR(__xludf.DUMMYFUNCTION("""COMPUTED_VALUE"""),"Двулетнее растение")</f>
        <v>Двулетнее растение</v>
      </c>
      <c r="K260" s="6" t="str">
        <f>IFERROR(__xludf.DUMMYFUNCTION("""COMPUTED_VALUE""")," В первый год у него образуется зеленый листья и утолщенный белый стебель (длиной 15-60 см и диаметром 5-7 см), который и является основной съедобной частью растения")</f>
        <v> В первый год у него образуется зеленый листья и утолщенный белый стебель (длиной 15-60 см и диаметром 5-7 см), который и является основной съедобной частью растения</v>
      </c>
    </row>
    <row r="261">
      <c r="A261" s="11" t="s">
        <v>1148</v>
      </c>
      <c r="I261" s="55" t="str">
        <f>IFERROR(__xludf.DUMMYFUNCTION("SPLIT(A261,""."")"),"Батун")</f>
        <v>Батун</v>
      </c>
      <c r="J261" s="6" t="str">
        <f>IFERROR(__xludf.DUMMYFUNCTION("""COMPUTED_VALUE"""),"Многолетнее, зимостойкое растение, которую используют на зелень")</f>
        <v>Многолетнее, зимостойкое растение, которую используют на зелень</v>
      </c>
      <c r="K261" s="6" t="str">
        <f>IFERROR(__xludf.DUMMYFUNCTION("""COMPUTED_VALUE""")," На одном месте растет 5-7 лет")</f>
        <v> На одном месте растет 5-7 лет</v>
      </c>
      <c r="L261" s="6" t="str">
        <f>IFERROR(__xludf.DUMMYFUNCTION("""COMPUTED_VALUE""")," Листья нежные, острые на вкус")</f>
        <v> Листья нежные, острые на вкус</v>
      </c>
      <c r="M261" s="6" t="str">
        <f>IFERROR(__xludf.DUMMYFUNCTION("""COMPUTED_VALUE""")," В период вегетации, по мере отрастания, можно срезать листья несколько раз")</f>
        <v> В период вегетации, по мере отрастания, можно срезать листья несколько раз</v>
      </c>
      <c r="N261" s="6" t="str">
        <f>IFERROR(__xludf.DUMMYFUNCTION("""COMPUTED_VALUE""")," Светолюбивое растение, не выносит затенения")</f>
        <v> Светолюбивое растение, не выносит затенения</v>
      </c>
    </row>
    <row r="262">
      <c r="A262" s="11" t="s">
        <v>1152</v>
      </c>
      <c r="I262" s="55" t="str">
        <f>IFERROR(__xludf.DUMMYFUNCTION("SPLIT(A262,""."")"),"Амстердамская")</f>
        <v>Амстердамская</v>
      </c>
      <c r="J262" s="6" t="str">
        <f>IFERROR(__xludf.DUMMYFUNCTION("""COMPUTED_VALUE"""),"Раннеспелая, пригодна для выращивания под пленкой и на пучковую продукцию")</f>
        <v>Раннеспелая, пригодна для выращивания под пленкой и на пучковую продукцию</v>
      </c>
      <c r="K262" s="6" t="str">
        <f>IFERROR(__xludf.DUMMYFUNCTION("""COMPUTED_VALUE""")," От массовых всходов до технической спелости – 70-90 дней")</f>
        <v> От массовых всходов до технической спелости – 70-90 дней</v>
      </c>
      <c r="L262" s="6" t="str">
        <f>IFERROR(__xludf.DUMMYFUNCTION("""COMPUTED_VALUE""")," Корнеплод длиной 17-19 см, цилиндрический, оранжевого цвета с высоким содержанием каротина")</f>
        <v> Корнеплод длиной 17-19 см, цилиндрический, оранжевого цвета с высоким содержанием каротина</v>
      </c>
    </row>
    <row r="263">
      <c r="A263" s="11" t="s">
        <v>1155</v>
      </c>
      <c r="I263" s="55" t="str">
        <f>IFERROR(__xludf.DUMMYFUNCTION("SPLIT(A263,""."")"),"Артек")</f>
        <v>Артек</v>
      </c>
      <c r="J263" s="6" t="str">
        <f>IFERROR(__xludf.DUMMYFUNCTION("""COMPUTED_VALUE"""),"Раннеспелый")</f>
        <v>Раннеспелый</v>
      </c>
      <c r="K263" s="6" t="str">
        <f>IFERROR(__xludf.DUMMYFUNCTION("""COMPUTED_VALUE""")," Период от посева до уборки 80-100 дней, а при выращивании на пучковый товар спелость наступает на 67-75 день")</f>
        <v> Период от посева до уборки 80-100 дней, а при выращивании на пучковый товар спелость наступает на 67-75 день</v>
      </c>
      <c r="L263" s="6" t="str">
        <f>IFERROR(__xludf.DUMMYFUNCTION("""COMPUTED_VALUE""")," Поверхность корнеплода и мякоти оранжево-красная, форма утолщенно-цилиндрическая")</f>
        <v> Поверхность корнеплода и мякоти оранжево-красная, форма утолщенно-цилиндрическая</v>
      </c>
    </row>
    <row r="264">
      <c r="A264" s="11" t="s">
        <v>1159</v>
      </c>
      <c r="I264" s="55" t="str">
        <f>IFERROR(__xludf.DUMMYFUNCTION("SPLIT(A264,""."")"),"Аленка")</f>
        <v>Аленка</v>
      </c>
      <c r="J264" s="6" t="str">
        <f>IFERROR(__xludf.DUMMYFUNCTION("""COMPUTED_VALUE"""),"Сорт раннеспелый")</f>
        <v>Сорт раннеспелый</v>
      </c>
      <c r="K264" s="6" t="str">
        <f>IFERROR(__xludf.DUMMYFUNCTION("""COMPUTED_VALUE""")," Пучковая спелость наступает на 47-49-й, техническая - на 85-100-й день после появления всходов")</f>
        <v> Пучковая спелость наступает на 47-49-й, техническая - на 85-100-й день после появления всходов</v>
      </c>
      <c r="L264" s="6" t="str">
        <f>IFERROR(__xludf.DUMMYFUNCTION("""COMPUTED_VALUE""")," Урожайность 40-75 кг/м2")</f>
        <v> Урожайность 40-75 кг/м2</v>
      </c>
      <c r="M264" s="6" t="str">
        <f>IFERROR(__xludf.DUMMYFUNCTION("""COMPUTED_VALUE""")," Корнеплод оранжевый, по форме срезано-конический, тупоконечный, длиной 10-12см")</f>
        <v> Корнеплод оранжевый, по форме срезано-конический, тупоконечный, длиной 10-12см</v>
      </c>
    </row>
    <row r="265">
      <c r="A265" s="11" t="s">
        <v>1162</v>
      </c>
      <c r="I265" s="55" t="str">
        <f>IFERROR(__xludf.DUMMYFUNCTION("SPLIT(A265,""."")"),"Болтекс")</f>
        <v>Болтекс</v>
      </c>
      <c r="J265" s="6" t="str">
        <f>IFERROR(__xludf.DUMMYFUNCTION("""COMPUTED_VALUE""")," Усовершенствованный сорт типа Шантане среднепозднего срока созревания")</f>
        <v> Усовершенствованный сорт типа Шантане среднепозднего срока созревания</v>
      </c>
      <c r="K265" s="6" t="str">
        <f>IFERROR(__xludf.DUMMYFUNCTION("""COMPUTED_VALUE""")," Вегетационный период от всходов до сбора урожая - 120-125 дней")</f>
        <v> Вегетационный период от всходов до сбора урожая - 120-125 дней</v>
      </c>
      <c r="L265" s="6" t="str">
        <f>IFERROR(__xludf.DUMMYFUNCTION("""COMPUTED_VALUE""")," Корнеплоды конической формы, гладкие, насыщенного оранжевого цвета, длиной 10-15 см, весом 200-350 г")</f>
        <v> Корнеплоды конической формы, гладкие, насыщенного оранжевого цвета, длиной 10-15 см, весом 200-350 г</v>
      </c>
    </row>
    <row r="266">
      <c r="A266" s="11" t="s">
        <v>1166</v>
      </c>
      <c r="I266" s="55" t="str">
        <f>IFERROR(__xludf.DUMMYFUNCTION("SPLIT(A266,""."")"),"Вита Лонга")</f>
        <v>Вита Лонга</v>
      </c>
      <c r="J266" s="6" t="str">
        <f>IFERROR(__xludf.DUMMYFUNCTION("""COMPUTED_VALUE""")," Германия")</f>
        <v> Германия</v>
      </c>
      <c r="K266" s="6" t="str">
        <f>IFERROR(__xludf.DUMMYFUNCTION("""COMPUTED_VALUE"""),"Среднепоздняя, вегетационный период 115-130 дней")</f>
        <v>Среднепоздняя, вегетационный период 115-130 дней</v>
      </c>
      <c r="L266" s="6" t="str">
        <f>IFERROR(__xludf.DUMMYFUNCTION("""COMPUTED_VALUE""")," Корнеплоды конической формы, гладкие, ровные, темно-оранжевые, обладают высокой товарностью, длина 20-30 см, масса до 350 г")</f>
        <v> Корнеплоды конической формы, гладкие, ровные, темно-оранжевые, обладают высокой товарностью, длина 20-30 см, масса до 350 г</v>
      </c>
      <c r="M266" s="6" t="str">
        <f>IFERROR(__xludf.DUMMYFUNCTION("""COMPUTED_VALUE""")," Отличные вкусовые качества")</f>
        <v> Отличные вкусовые качества</v>
      </c>
    </row>
    <row r="267">
      <c r="A267" s="11" t="s">
        <v>1170</v>
      </c>
      <c r="I267" s="55" t="str">
        <f>IFERROR(__xludf.DUMMYFUNCTION("SPLIT(A267,""."")"),"Витаминная 6")</f>
        <v>Витаминная 6</v>
      </c>
      <c r="J267" s="6" t="str">
        <f>IFERROR(__xludf.DUMMYFUNCTION("""COMPUTED_VALUE"""),"Сорт среднеспелый")</f>
        <v>Сорт среднеспелый</v>
      </c>
      <c r="K267" s="6" t="str">
        <f>IFERROR(__xludf.DUMMYFUNCTION("""COMPUTED_VALUE""")," Период от посева до уборки 80-100 дней, а при выращивании на пучковый товар спелость наступает на 67-75 день")</f>
        <v> Период от посева до уборки 80-100 дней, а при выращивании на пучковый товар спелость наступает на 67-75 день</v>
      </c>
      <c r="L267" s="6" t="str">
        <f>IFERROR(__xludf.DUMMYFUNCTION("""COMPUTED_VALUE""")," Корнеплод утолщено-цилиндрический, со слабым сбегом к основанию, длиной 15 см,  массой 72-132 г, оранжево-красный")</f>
        <v> Корнеплод утолщено-цилиндрический, со слабым сбегом к основанию, длиной 15 см,  массой 72-132 г, оранжево-красный</v>
      </c>
    </row>
    <row r="268">
      <c r="A268" s="11" t="s">
        <v>1174</v>
      </c>
      <c r="I268" s="55" t="str">
        <f>IFERROR(__xludf.DUMMYFUNCTION("SPLIT(A268,""."")"),"Каротель")</f>
        <v>Каротель</v>
      </c>
      <c r="J268" s="6" t="str">
        <f>IFERROR(__xludf.DUMMYFUNCTION("""COMPUTED_VALUE"""),"Сорт среднеспелый")</f>
        <v>Сорт среднеспелый</v>
      </c>
      <c r="K268" s="6" t="str">
        <f>IFERROR(__xludf.DUMMYFUNCTION("""COMPUTED_VALUE""")," Вегетационный период 100-110 дней от всходов до технической спелости")</f>
        <v> Вегетационный период 100-110 дней от всходов до технической спелости</v>
      </c>
      <c r="L268" s="6" t="str">
        <f>IFERROR(__xludf.DUMMYFUNCTION("""COMPUTED_VALUE""")," Пригоден для ранневесеннего и подзимнего посева")</f>
        <v> Пригоден для ранневесеннего и подзимнего посева</v>
      </c>
      <c r="M268" s="6" t="str">
        <f>IFERROR(__xludf.DUMMYFUNCTION("""COMPUTED_VALUE""")," Корнеплод интенсивно-оранжевый, мякоть сочная, вкусная")</f>
        <v> Корнеплод интенсивно-оранжевый, мякоть сочная, вкусная</v>
      </c>
      <c r="N268" s="6" t="str">
        <f>IFERROR(__xludf.DUMMYFUNCTION("""COMPUTED_VALUE""")," Используют для прямого потребления, переработки, хранения")</f>
        <v> Используют для прямого потребления, переработки, хранения</v>
      </c>
    </row>
    <row r="269">
      <c r="A269" s="11" t="s">
        <v>1177</v>
      </c>
      <c r="I269" s="55" t="str">
        <f>IFERROR(__xludf.DUMMYFUNCTION("SPLIT(A269,""."")"),"Корал")</f>
        <v>Корал</v>
      </c>
      <c r="J269" s="6" t="str">
        <f>IFERROR(__xludf.DUMMYFUNCTION("""COMPUTED_VALUE""")," Польша")</f>
        <v> Польша</v>
      </c>
      <c r="K269" s="6" t="str">
        <f>IFERROR(__xludf.DUMMYFUNCTION("""COMPUTED_VALUE"""),"Позднеспелая, предназначена для длительного хранения")</f>
        <v>Позднеспелая, предназначена для длительного хранения</v>
      </c>
      <c r="L269" s="6" t="str">
        <f>IFERROR(__xludf.DUMMYFUNCTION("""COMPUTED_VALUE""")," Вегетационный период от посева до технической спелости – 140-150 дней")</f>
        <v> Вегетационный период от посева до технической спелости – 140-150 дней</v>
      </c>
      <c r="M269" s="6" t="str">
        <f>IFERROR(__xludf.DUMMYFUNCTION("""COMPUTED_VALUE""")," Корнеплоды темно-оранжевые, цилиндрической или слабо конической формы, длиной 18-20 см, массой 140-160 г, ровные")</f>
        <v> Корнеплоды темно-оранжевые, цилиндрической или слабо конической формы, длиной 18-20 см, массой 140-160 г, ровные</v>
      </c>
    </row>
    <row r="270">
      <c r="A270" s="11" t="s">
        <v>1181</v>
      </c>
      <c r="I270" s="55" t="str">
        <f>IFERROR(__xludf.DUMMYFUNCTION("SPLIT(A270,""."")"),"Королева осени")</f>
        <v>Королева осени</v>
      </c>
      <c r="J270" s="6" t="str">
        <f>IFERROR(__xludf.DUMMYFUNCTION("""COMPUTED_VALUE"""),"Позднеспелый, высокоурожайный сорт")</f>
        <v>Позднеспелый, высокоурожайный сорт</v>
      </c>
      <c r="K270" s="6" t="str">
        <f>IFERROR(__xludf.DUMMYFUNCTION("""COMPUTED_VALUE""")," Вегетационный период 120-130 дней")</f>
        <v> Вегетационный период 120-130 дней</v>
      </c>
      <c r="L270" s="6" t="str">
        <f>IFERROR(__xludf.DUMMYFUNCTION("""COMPUTED_VALUE""")," Корнеплод цилиндрический, тупоконечный, оранжево-красный, диаметром 5 см и длиной 20-25см")</f>
        <v> Корнеплод цилиндрический, тупоконечный, оранжево-красный, диаметром 5 см и длиной 20-25см</v>
      </c>
      <c r="M270" s="6" t="str">
        <f>IFERROR(__xludf.DUMMYFUNCTION("""COMPUTED_VALUE""")," Масса корнеплода до 220 г")</f>
        <v> Масса корнеплода до 220 г</v>
      </c>
      <c r="N270" s="6" t="str">
        <f>IFERROR(__xludf.DUMMYFUNCTION("""COMPUTED_VALUE""")," Мякоть и сердцевина корнеплода нежная, сочная")</f>
        <v> Мякоть и сердцевина корнеплода нежная, сочная</v>
      </c>
    </row>
    <row r="271">
      <c r="A271" s="11" t="s">
        <v>1185</v>
      </c>
      <c r="I271" s="55" t="str">
        <f>IFERROR(__xludf.DUMMYFUNCTION("SPLIT(A271,""."")"),"Красавка")</f>
        <v>Красавка</v>
      </c>
      <c r="J271" s="6" t="str">
        <f>IFERROR(__xludf.DUMMYFUNCTION("""COMPUTED_VALUE"""),"Новый сверхранний высокопродуктивный сорт")</f>
        <v>Новый сверхранний высокопродуктивный сорт</v>
      </c>
      <c r="K271" s="6" t="str">
        <f>IFERROR(__xludf.DUMMYFUNCTION("""COMPUTED_VALUE""")," Вегетационный период 70-85 дней после появления всходов")</f>
        <v> Вегетационный период 70-85 дней после появления всходов</v>
      </c>
      <c r="L271" s="6" t="str">
        <f>IFERROR(__xludf.DUMMYFUNCTION("""COMPUTED_VALUE""")," Корнеплоды имеют коническую форму, почти одинакового диаметра по всей длине")</f>
        <v> Корнеплоды имеют коническую форму, почти одинакового диаметра по всей длине</v>
      </c>
      <c r="M271" s="6" t="str">
        <f>IFERROR(__xludf.DUMMYFUNCTION("""COMPUTED_VALUE""")," Длина корнеплода 17-19см")</f>
        <v> Длина корнеплода 17-19см</v>
      </c>
      <c r="N271" s="6" t="str">
        <f>IFERROR(__xludf.DUMMYFUNCTION("""COMPUTED_VALUE""")," Окраска мякоти и сердцевины интенсивно-оранжевая, что создаёт видимость отсутствия сердцевины")</f>
        <v> Окраска мякоти и сердцевины интенсивно-оранжевая, что создаёт видимость отсутствия сердцевины</v>
      </c>
    </row>
    <row r="272">
      <c r="A272" s="11" t="s">
        <v>1189</v>
      </c>
      <c r="I272" s="55" t="str">
        <f>IFERROR(__xludf.DUMMYFUNCTION("SPLIT(A272,""."")"),"Московская зимняя")</f>
        <v>Московская зимняя</v>
      </c>
      <c r="J272" s="6" t="str">
        <f>IFERROR(__xludf.DUMMYFUNCTION("""COMPUTED_VALUE""")," Высокоурожайный среднепоздний сорт")</f>
        <v> Высокоурожайный среднепоздний сорт</v>
      </c>
      <c r="K272" s="6" t="str">
        <f>IFERROR(__xludf.DUMMYFUNCTION("""COMPUTED_VALUE""")," Один из лучших сортов для зимнего хранения")</f>
        <v> Один из лучших сортов для зимнего хранения</v>
      </c>
      <c r="L272" s="6" t="str">
        <f>IFERROR(__xludf.DUMMYFUNCTION("""COMPUTED_VALUE""")," Корнеплоды гладкие, удлиненно-конической формы, длинной 15-18см, с  тупым концом, оранжево-красные, практически без сердцевины")</f>
        <v> Корнеплоды гладкие, удлиненно-конической формы, длинной 15-18см, с  тупым концом, оранжево-красные, практически без сердцевины</v>
      </c>
      <c r="M272" s="6" t="str">
        <f>IFERROR(__xludf.DUMMYFUNCTION("""COMPUTED_VALUE""")," Масса корнеплодов 130-150г")</f>
        <v> Масса корнеплодов 130-150г</v>
      </c>
    </row>
    <row r="273">
      <c r="A273" s="11" t="s">
        <v>1192</v>
      </c>
      <c r="I273" s="55" t="str">
        <f>IFERROR(__xludf.DUMMYFUNCTION("SPLIT(A273,""."")"),"Нантская")</f>
        <v>Нантская</v>
      </c>
      <c r="J273" s="6" t="str">
        <f>IFERROR(__xludf.DUMMYFUNCTION("""COMPUTED_VALUE"""),"Сорт среднеспелый")</f>
        <v>Сорт среднеспелый</v>
      </c>
      <c r="K273" s="6" t="str">
        <f>IFERROR(__xludf.DUMMYFUNCTION("""COMPUTED_VALUE""")," Период от посева до уборки 83-112 дней")</f>
        <v> Период от посева до уборки 83-112 дней</v>
      </c>
      <c r="L273" s="6" t="str">
        <f>IFERROR(__xludf.DUMMYFUNCTION("""COMPUTED_VALUE""")," Корнеплод цилиндрической формы, тупоконечный, длиной 16 см, диаметром 4,4 см, массой 92-161г, приподнят над поверхностью почвы, выдергивается легко")</f>
        <v> Корнеплод цилиндрической формы, тупоконечный, длиной 16 см, диаметром 4,4 см, массой 92-161г, приподнят над поверхностью почвы, выдергивается легко</v>
      </c>
      <c r="M273" s="6" t="str">
        <f>IFERROR(__xludf.DUMMYFUNCTION("""COMPUTED_VALUE""")," Мякоть и сердцевина оранжевые")</f>
        <v> Мякоть и сердцевина оранжевые</v>
      </c>
      <c r="N273" s="6" t="str">
        <f>IFERROR(__xludf.DUMMYFUNCTION("""COMPUTED_VALUE""")," Вкусовые качества хорошие")</f>
        <v> Вкусовые качества хорошие</v>
      </c>
    </row>
    <row r="274">
      <c r="A274" s="11" t="s">
        <v>1196</v>
      </c>
      <c r="I274" s="55" t="str">
        <f>IFERROR(__xludf.DUMMYFUNCTION("SPLIT(A274,""."")"),"Красная без сердцевины")</f>
        <v>Красная без сердцевины</v>
      </c>
      <c r="J274" s="6" t="str">
        <f>IFERROR(__xludf.DUMMYFUNCTION("""COMPUTED_VALUE"""),"Сорт среднеранний")</f>
        <v>Сорт среднеранний</v>
      </c>
      <c r="K274" s="6" t="str">
        <f>IFERROR(__xludf.DUMMYFUNCTION("""COMPUTED_VALUE""")," Корнеплоды цилиндрические, тупоконечные, массой 130-210г, длиной 19-21см")</f>
        <v> Корнеплоды цилиндрические, тупоконечные, массой 130-210г, длиной 19-21см</v>
      </c>
      <c r="L274" s="6" t="str">
        <f>IFERROR(__xludf.DUMMYFUNCTION("""COMPUTED_VALUE""")," Мякоть красно-оранжевая, сочная, нежная, сладкая")</f>
        <v> Мякоть красно-оранжевая, сочная, нежная, сладкая</v>
      </c>
      <c r="M274" s="6" t="str">
        <f>IFERROR(__xludf.DUMMYFUNCTION("""COMPUTED_VALUE""")," Сорт отличается превосходной лежкостю корнеплодов")</f>
        <v> Сорт отличается превосходной лежкостю корнеплодов</v>
      </c>
    </row>
    <row r="275">
      <c r="A275" s="11" t="s">
        <v>1200</v>
      </c>
      <c r="I275" s="55" t="str">
        <f>IFERROR(__xludf.DUMMYFUNCTION("SPLIT(A275,""."")"),"Ням-ням")</f>
        <v>Ням-ням</v>
      </c>
      <c r="J275" s="6" t="str">
        <f>IFERROR(__xludf.DUMMYFUNCTION("""COMPUTED_VALUE"""),"Ранний отличный сорт")</f>
        <v>Ранний отличный сорт</v>
      </c>
      <c r="K275" s="6" t="str">
        <f>IFERROR(__xludf.DUMMYFUNCTION("""COMPUTED_VALUE""")," Пригоден для использования в свежем виде и для консервирования")</f>
        <v> Пригоден для использования в свежем виде и для консервирования</v>
      </c>
      <c r="L275" s="6" t="str">
        <f>IFERROR(__xludf.DUMMYFUNCTION("""COMPUTED_VALUE""")," Корнеплоды крупные, без сердцевины, цилиндрической формы, ярко-красной окраски, длинной 15см")</f>
        <v> Корнеплоды крупные, без сердцевины, цилиндрической формы, ярко-красной окраски, длинной 15см</v>
      </c>
      <c r="M275" s="6" t="str">
        <f>IFERROR(__xludf.DUMMYFUNCTION("""COMPUTED_VALUE"""),"  Сорт очень сладкий, с большим содержанием каротина, лежкий")</f>
        <v>  Сорт очень сладкий, с большим содержанием каротина, лежкий</v>
      </c>
    </row>
    <row r="276">
      <c r="A276" s="11" t="s">
        <v>1203</v>
      </c>
      <c r="I276" s="55" t="str">
        <f>IFERROR(__xludf.DUMMYFUNCTION("SPLIT(A276,""."")"),"Шантане")</f>
        <v>Шантане</v>
      </c>
      <c r="J276" s="6" t="str">
        <f>IFERROR(__xludf.DUMMYFUNCTION("""COMPUTED_VALUE"""),"Сорт среднеранний")</f>
        <v>Сорт среднеранний</v>
      </c>
      <c r="K276" s="6" t="str">
        <f>IFERROR(__xludf.DUMMYFUNCTION("""COMPUTED_VALUE""")," Период от посева до уборки 69-121 день")</f>
        <v> Период от посева до уборки 69-121 день</v>
      </c>
      <c r="L276" s="6" t="str">
        <f>IFERROR(__xludf.DUMMYFUNCTION("""COMPUTED_VALUE""")," Форма – коническая, тупо конечная, длина 15 см, диаметр 5,8 см")</f>
        <v> Форма – коническая, тупо конечная, длина 15 см, диаметр 5,8 см</v>
      </c>
      <c r="M276" s="6" t="str">
        <f>IFERROR(__xludf.DUMMYFUNCTION("""COMPUTED_VALUE""")," Погружен в почву полностью, хорошо выдергивается")</f>
        <v> Погружен в почву полностью, хорошо выдергивается</v>
      </c>
      <c r="N276" s="6" t="str">
        <f>IFERROR(__xludf.DUMMYFUNCTION("""COMPUTED_VALUE""")," Корнеплоды крупные, массой 74-252 г")</f>
        <v> Корнеплоды крупные, массой 74-252 г</v>
      </c>
      <c r="O276" s="6" t="str">
        <f>IFERROR(__xludf.DUMMYFUNCTION("""COMPUTED_VALUE""")," Вкусовые качества высокие")</f>
        <v> Вкусовые качества высокие</v>
      </c>
    </row>
    <row r="277">
      <c r="A277" s="11" t="s">
        <v>1207</v>
      </c>
      <c r="I277" s="55" t="str">
        <f>IFERROR(__xludf.DUMMYFUNCTION("SPLIT(A277,""."")"),"Царица полей")</f>
        <v>Царица полей</v>
      </c>
      <c r="J277" s="6" t="str">
        <f>IFERROR(__xludf.DUMMYFUNCTION("""COMPUTED_VALUE"""),"Позднеспелый сорт")</f>
        <v>Позднеспелый сорт</v>
      </c>
      <c r="K277" s="6" t="str">
        <f>IFERROR(__xludf.DUMMYFUNCTION("""COMPUTED_VALUE""")," Пригодна для использования в свежем виде и для консервирования")</f>
        <v> Пригодна для использования в свежем виде и для консервирования</v>
      </c>
      <c r="L277" s="6" t="str">
        <f>IFERROR(__xludf.DUMMYFUNCTION("""COMPUTED_VALUE""")," Корнеплоды крупные, цилиндрической формы, ярко-оранжевой окраски, длиной 18-20см, лежкие")</f>
        <v> Корнеплоды крупные, цилиндрической формы, ярко-оранжевой окраски, длиной 18-20см, лежкие</v>
      </c>
      <c r="M277" s="6" t="str">
        <f>IFERROR(__xludf.DUMMYFUNCTION("""COMPUTED_VALUE""")," Пригодны для зимнего хранения")</f>
        <v> Пригодны для зимнего хранения</v>
      </c>
      <c r="N277" s="6" t="str">
        <f>IFERROR(__xludf.DUMMYFUNCTION("""COMPUTED_VALUE""")," Не требователен к почве, не растрескивается")</f>
        <v> Не требователен к почве, не растрескивается</v>
      </c>
    </row>
    <row r="278">
      <c r="A278" s="11" t="s">
        <v>1211</v>
      </c>
      <c r="I278" s="55" t="str">
        <f>IFERROR(__xludf.DUMMYFUNCTION("SPLIT(A278,""."")"),"Красная бояриня")</f>
        <v>Красная бояриня</v>
      </c>
      <c r="J278" s="6" t="str">
        <f>IFERROR(__xludf.DUMMYFUNCTION("""COMPUTED_VALUE"""),"Новый, среднепоздний сорт моркови немецкой селекции")</f>
        <v>Новый, среднепоздний сорт моркови немецкой селекции</v>
      </c>
      <c r="K278" s="6" t="str">
        <f>IFERROR(__xludf.DUMMYFUNCTION("""COMPUTED_VALUE""")," Период вегетации 125-140 дней")</f>
        <v> Период вегетации 125-140 дней</v>
      </c>
      <c r="L278" s="6" t="str">
        <f>IFERROR(__xludf.DUMMYFUNCTION("""COMPUTED_VALUE""")," Корнеплоды цилиндрические, длиной 19-22 см, оранжевого  цвета, отличаются сочностью и отменным вкусом")</f>
        <v> Корнеплоды цилиндрические, длиной 19-22 см, оранжевого  цвета, отличаются сочностью и отменным вкусом</v>
      </c>
      <c r="M278" s="6" t="str">
        <f>IFERROR(__xludf.DUMMYFUNCTION("""COMPUTED_VALUE""")," Замечательный сорт для потребления в свежем виде, переработки и хранения")</f>
        <v> Замечательный сорт для потребления в свежем виде, переработки и хранения</v>
      </c>
    </row>
    <row r="279">
      <c r="A279" s="11" t="s">
        <v>1214</v>
      </c>
      <c r="I279" s="55" t="str">
        <f>IFERROR(__xludf.DUMMYFUNCTION("SPLIT(A279,""."")"),"Лакомка")</f>
        <v>Лакомка</v>
      </c>
      <c r="J279" s="6" t="str">
        <f>IFERROR(__xludf.DUMMYFUNCTION("""COMPUTED_VALUE"""),"Новый, ультраскороспелый сорт (период  от полных всходов до технической спелости 65-75 дней)")</f>
        <v>Новый, ультраскороспелый сорт (период  от полных всходов до технической спелости 65-75 дней)</v>
      </c>
      <c r="K279" s="6" t="str">
        <f>IFERROR(__xludf.DUMMYFUNCTION("""COMPUTED_VALUE""")," Корнеплоды цилиндрические, выравненные, длиной 16-18 см, ярко-оранжевые, с маленькой сердцевиной, очень нежной и сочной мякотью, отменного вкуса")</f>
        <v> Корнеплоды цилиндрические, выравненные, длиной 16-18 см, ярко-оранжевые, с маленькой сердцевиной, очень нежной и сочной мякотью, отменного вкуса</v>
      </c>
    </row>
    <row r="280">
      <c r="A280" s="11" t="s">
        <v>1218</v>
      </c>
      <c r="I280" s="55" t="str">
        <f>IFERROR(__xludf.DUMMYFUNCTION("SPLIT(A280,""."")"),"Красный великан Высокоурожайный среднепоздний сорт для длительного хранения")</f>
        <v>Красный великан Высокоурожайный среднепоздний сорт для длительного хранения</v>
      </c>
      <c r="J280" s="6" t="str">
        <f>IFERROR(__xludf.DUMMYFUNCTION("""COMPUTED_VALUE""")," Вегетационный период 115-130 дней")</f>
        <v> Вегетационный период 115-130 дней</v>
      </c>
      <c r="K280" s="6" t="str">
        <f>IFERROR(__xludf.DUMMYFUNCTION("""COMPUTED_VALUE""")," Корнеплоды гладкие, ровные, темно-красные, длиной 20-30 см и массой до 350 г")</f>
        <v> Корнеплоды гладкие, ровные, темно-красные, длиной 20-30 см и массой до 350 г</v>
      </c>
      <c r="L280" s="6" t="str">
        <f>IFERROR(__xludf.DUMMYFUNCTION("""COMPUTED_VALUE""")," Сорт ценится за высокое содержание каротина и витаминов")</f>
        <v> Сорт ценится за высокое содержание каротина и витаминов</v>
      </c>
    </row>
    <row r="281">
      <c r="A281" s="11" t="s">
        <v>1221</v>
      </c>
      <c r="I281" s="55" t="str">
        <f>IFERROR(__xludf.DUMMYFUNCTION("SPLIT(A281,""."")"),"Бордо 237")</f>
        <v>Бордо 237</v>
      </c>
      <c r="J281" s="6" t="str">
        <f>IFERROR(__xludf.DUMMYFUNCTION("""COMPUTED_VALUE"""),"Сорт среднеспелый")</f>
        <v>Сорт среднеспелый</v>
      </c>
      <c r="K281" s="6" t="str">
        <f>IFERROR(__xludf.DUMMYFUNCTION("""COMPUTED_VALUE""")," Период от посева до уборки 69-123 дня")</f>
        <v> Период от посева до уборки 69-123 дня</v>
      </c>
      <c r="L281" s="6" t="str">
        <f>IFERROR(__xludf.DUMMYFUNCTION("""COMPUTED_VALUE""")," Корнеплоды округлые, мякоть интенсивно темно-красная")</f>
        <v> Корнеплоды округлые, мякоть интенсивно темно-красная</v>
      </c>
      <c r="M281" s="6" t="str">
        <f>IFERROR(__xludf.DUMMYFUNCTION("""COMPUTED_VALUE""")," В почву погружен на ½-1/3 высоты")</f>
        <v> В почву погружен на ½-1/3 высоты</v>
      </c>
      <c r="N281" s="6" t="str">
        <f>IFERROR(__xludf.DUMMYFUNCTION("""COMPUTED_VALUE""")," Масса товарного корнеплода 232-450 г")</f>
        <v> Масса товарного корнеплода 232-450 г</v>
      </c>
      <c r="O281" s="6" t="str">
        <f>IFERROR(__xludf.DUMMYFUNCTION("""COMPUTED_VALUE""")," Вкусовые качества высокие")</f>
        <v> Вкусовые качества высокие</v>
      </c>
      <c r="P281" s="6" t="str">
        <f>IFERROR(__xludf.DUMMYFUNCTION("""COMPUTED_VALUE""")," Сорт жаростойкий, устойчив к цветению")</f>
        <v> Сорт жаростойкий, устойчив к цветению</v>
      </c>
    </row>
    <row r="282">
      <c r="A282" s="11" t="s">
        <v>1225</v>
      </c>
      <c r="I282" s="55" t="str">
        <f>IFERROR(__xludf.DUMMYFUNCTION("SPLIT(A282,""."")"),"Бордо Харьковская")</f>
        <v>Бордо Харьковская</v>
      </c>
      <c r="J282" s="6" t="str">
        <f>IFERROR(__xludf.DUMMYFUNCTION("""COMPUTED_VALUE"""),"Урожайный среднеспелый сорт, созревание корнеплодов 105-115 дней")</f>
        <v>Урожайный среднеспелый сорт, созревание корнеплодов 105-115 дней</v>
      </c>
      <c r="K282" s="6" t="str">
        <f>IFERROR(__xludf.DUMMYFUNCTION("""COMPUTED_VALUE""")," Корнеплод шаровидный, наполовину углубленный в почву, легко вырывается")</f>
        <v> Корнеплод шаровидный, наполовину углубленный в почву, легко вырывается</v>
      </c>
      <c r="L282" s="6" t="str">
        <f>IFERROR(__xludf.DUMMYFUNCTION("""COMPUTED_VALUE""")," Мякоть фиолетово-бордовая, не имеет белых прожилок, нежная, сочная, сладкая")</f>
        <v> Мякоть фиолетово-бордовая, не имеет белых прожилок, нежная, сочная, сладкая</v>
      </c>
      <c r="M282" s="6" t="str">
        <f>IFERROR(__xludf.DUMMYFUNCTION("""COMPUTED_VALUE""")," Масса корнеплода 230-350 г")</f>
        <v> Масса корнеплода 230-350 г</v>
      </c>
    </row>
    <row r="283">
      <c r="A283" s="11" t="s">
        <v>1228</v>
      </c>
      <c r="I283" s="55" t="str">
        <f>IFERROR(__xludf.DUMMYFUNCTION("SPLIT(A283,""."")"),"Кубанскаяборщевая43")</f>
        <v>Кубанскаяборщевая43</v>
      </c>
      <c r="J283" s="6" t="str">
        <f>IFERROR(__xludf.DUMMYFUNCTION("""COMPUTED_VALUE""")," Познеспелый, темно красный без прожилок масса до 500гр , хранится отлично")</f>
        <v> Познеспелый, темно красный без прожилок масса до 500гр , хранится отлично</v>
      </c>
    </row>
    <row r="284">
      <c r="A284" s="11" t="s">
        <v>1232</v>
      </c>
      <c r="I284" s="55" t="str">
        <f>IFERROR(__xludf.DUMMYFUNCTION("SPLIT(A284,""."")"),"Борщевая")</f>
        <v>Борщевая</v>
      </c>
      <c r="J284" s="6" t="str">
        <f>IFERROR(__xludf.DUMMYFUNCTION("""COMPUTED_VALUE"""),"Ранне-спелый сорт, транспортабелен ")</f>
        <v>Ранне-спелый сорт, транспортабелен </v>
      </c>
      <c r="K284" s="6" t="str">
        <f>IFERROR(__xludf.DUMMYFUNCTION("""COMPUTED_VALUE"""),"Сеют в апреле-мае, на глубину 2-4 см, рядовым способом, с расстоянием между рядами 30 см")</f>
        <v>Сеют в апреле-мае, на глубину 2-4 см, рядовым способом, с расстоянием между рядами 30 см</v>
      </c>
      <c r="L284" s="6" t="str">
        <f>IFERROR(__xludf.DUMMYFUNCTION("""COMPUTED_VALUE""")," Уборку для хранения проводят в середине сентября")</f>
        <v> Уборку для хранения проводят в середине сентября</v>
      </c>
    </row>
    <row r="285">
      <c r="A285" s="11" t="s">
        <v>1236</v>
      </c>
      <c r="I285" s="55" t="str">
        <f>IFERROR(__xludf.DUMMYFUNCTION("SPLIT(A285,""."")"),"Боливар")</f>
        <v>Боливар</v>
      </c>
      <c r="J285" s="6" t="str">
        <f>IFERROR(__xludf.DUMMYFUNCTION("""COMPUTED_VALUE"""),"Вегетационный период 90 дней")</f>
        <v>Вегетационный период 90 дней</v>
      </c>
      <c r="K285" s="6" t="str">
        <f>IFERROR(__xludf.DUMMYFUNCTION("""COMPUTED_VALUE""")," Крупные корнеплоды округлой формы")</f>
        <v> Крупные корнеплоды округлой формы</v>
      </c>
      <c r="L285" s="6" t="str">
        <f>IFERROR(__xludf.DUMMYFUNCTION("""COMPUTED_VALUE""")," Мякоть равномерного темно-красного цвета, без концентрических колец")</f>
        <v> Мякоть равномерного темно-красного цвета, без концентрических колец</v>
      </c>
      <c r="M285" s="6" t="str">
        <f>IFERROR(__xludf.DUMMYFUNCTION("""COMPUTED_VALUE""")," Малая ботва")</f>
        <v> Малая ботва</v>
      </c>
      <c r="N285" s="6" t="str">
        <f>IFERROR(__xludf.DUMMYFUNCTION("""COMPUTED_VALUE""")," Вертикальное расположение листьев облегчает сбор урожая")</f>
        <v> Вертикальное расположение листьев облегчает сбор урожая</v>
      </c>
      <c r="O285" s="6" t="str">
        <f>IFERROR(__xludf.DUMMYFUNCTION("""COMPUTED_VALUE""")," Пригоден для использования в свежем виде, хранения и переработки")</f>
        <v> Пригоден для использования в свежем виде, хранения и переработки</v>
      </c>
    </row>
    <row r="286">
      <c r="A286" s="12" t="s">
        <v>1240</v>
      </c>
      <c r="I286" s="55" t="str">
        <f>IFERROR(__xludf.DUMMYFUNCTION("SPLIT(A286,""."")"),"350 Винегретный")</f>
        <v>350 Винегретный</v>
      </c>
      <c r="J286" s="6" t="str">
        <f>IFERROR(__xludf.DUMMYFUNCTION("""COMPUTED_VALUE"""),"Раннеспелый сорт столовой свеклы (период от всходов до технической спелости 94-120 дней), засухоустойчивый")</f>
        <v>Раннеспелый сорт столовой свеклы (период от всходов до технической спелости 94-120 дней), засухоустойчивый</v>
      </c>
      <c r="K286" s="6" t="str">
        <f>IFERROR(__xludf.DUMMYFUNCTION("""COMPUTED_VALUE""")," Корнеплоды округлые и округло-плоские, массой 232—513 г, хорошего вкуса и хорошей лёжкости, мякоть интенсивного тёмно-красного цвета")</f>
        <v> Корнеплоды округлые и округло-плоские, массой 232—513 г, хорошего вкуса и хорошей лёжкости, мякоть интенсивного тёмно-красного цвета</v>
      </c>
    </row>
    <row r="287">
      <c r="A287" s="11" t="s">
        <v>1244</v>
      </c>
      <c r="I287" s="55" t="str">
        <f>IFERROR(__xludf.DUMMYFUNCTION("SPLIT(A287,""."")"),"Винегретная мармеладка")</f>
        <v>Винегретная мармеладка</v>
      </c>
      <c r="J287" s="6" t="str">
        <f>IFERROR(__xludf.DUMMYFUNCTION("""COMPUTED_VALUE"""),"Среднепоздний сорт столовой свеклы (период от всходов до технической спелости 94-120 дней), засухоустойчивый")</f>
        <v>Среднепоздний сорт столовой свеклы (период от всходов до технической спелости 94-120 дней), засухоустойчивый</v>
      </c>
      <c r="K287" s="6" t="str">
        <f>IFERROR(__xludf.DUMMYFUNCTION("""COMPUTED_VALUE""")," Корнеплоды округлые и округло-плоские, массой 232—513 г, хорошего вкуса, сладкие и хорошей лёжкости")</f>
        <v> Корнеплоды округлые и округло-плоские, массой 232—513 г, хорошего вкуса, сладкие и хорошей лёжкости</v>
      </c>
    </row>
    <row r="288">
      <c r="A288" s="11" t="s">
        <v>1248</v>
      </c>
      <c r="I288" s="55" t="str">
        <f>IFERROR(__xludf.DUMMYFUNCTION("SPLIT(A288,""."")"),"Деликатесная")</f>
        <v>Деликатесная</v>
      </c>
      <c r="J288" s="6" t="str">
        <f>IFERROR(__xludf.DUMMYFUNCTION("""COMPUTED_VALUE"""),"Среднеспелый сорт с отличными вкусовыми качествами")</f>
        <v>Среднеспелый сорт с отличными вкусовыми качествами</v>
      </c>
      <c r="K288" s="6" t="str">
        <f>IFERROR(__xludf.DUMMYFUNCTION("""COMPUTED_VALUE""")," От массовых всходов до технической спелости 110-115 дней")</f>
        <v> От массовых всходов до технической спелости 110-115 дней</v>
      </c>
      <c r="L288" s="6" t="str">
        <f>IFERROR(__xludf.DUMMYFUNCTION("""COMPUTED_VALUE""")," Корнеплод округлый с гладкой поверхностью")</f>
        <v> Корнеплод округлый с гладкой поверхностью</v>
      </c>
      <c r="M288" s="6" t="str">
        <f>IFERROR(__xludf.DUMMYFUNCTION("""COMPUTED_VALUE""")," Мякоть темно-красная, нежная, сочная, сладкая")</f>
        <v> Мякоть темно-красная, нежная, сочная, сладкая</v>
      </c>
      <c r="N288" s="6" t="str">
        <f>IFERROR(__xludf.DUMMYFUNCTION("""COMPUTED_VALUE""")," Сорт устойчив к  и цветению")</f>
        <v> Сорт устойчив к  и цветению</v>
      </c>
    </row>
    <row r="289">
      <c r="A289" s="11" t="s">
        <v>1251</v>
      </c>
      <c r="I289" s="55" t="str">
        <f>IFERROR(__xludf.DUMMYFUNCTION("SPLIT(A289,""."")"),"Дейтройт")</f>
        <v>Дейтройт</v>
      </c>
      <c r="J289" s="6" t="str">
        <f>IFERROR(__xludf.DUMMYFUNCTION("""COMPUTED_VALUE""")," Америк")</f>
        <v> Америк</v>
      </c>
      <c r="K289" s="6" t="str">
        <f>IFERROR(__xludf.DUMMYFUNCTION("""COMPUTED_VALUE""")," Самый распространенный сорт столовой свеклы")</f>
        <v> Самый распространенный сорт столовой свеклы</v>
      </c>
      <c r="L289" s="6" t="str">
        <f>IFERROR(__xludf.DUMMYFUNCTION("""COMPUTED_VALUE""")," Среднепоздний, от всходов до уборки – 100-110 дней")</f>
        <v> Среднепоздний, от всходов до уборки – 100-110 дней</v>
      </c>
      <c r="M289" s="6" t="str">
        <f>IFERROR(__xludf.DUMMYFUNCTION("""COMPUTED_VALUE""")," Формирует круглые, очень красивые корнеплоды с гладкой кожицей и небольшой розеткой листьев, массой  176-187 г")</f>
        <v> Формирует круглые, очень красивые корнеплоды с гладкой кожицей и небольшой розеткой листьев, массой  176-187 г</v>
      </c>
      <c r="N289" s="6" t="str">
        <f>IFERROR(__xludf.DUMMYFUNCTION("""COMPUTED_VALUE""")," Мякоть без колец, темно-красного цвета")</f>
        <v> Мякоть без колец, темно-красного цвета</v>
      </c>
    </row>
    <row r="290">
      <c r="A290" s="11" t="s">
        <v>1255</v>
      </c>
      <c r="I290" s="55" t="str">
        <f>IFERROR(__xludf.DUMMYFUNCTION("SPLIT(A290,""."")"),"Египетская плоская")</f>
        <v>Египетская плоская</v>
      </c>
      <c r="J290" s="6" t="str">
        <f>IFERROR(__xludf.DUMMYFUNCTION("""COMPUTED_VALUE"""),"Скороспелый, засухоустойчивый сорт, обладающий хорошими вкусовыми качествами")</f>
        <v>Скороспелый, засухоустойчивый сорт, обладающий хорошими вкусовыми качествами</v>
      </c>
      <c r="K290" s="6" t="str">
        <f>IFERROR(__xludf.DUMMYFUNCTION("""COMPUTED_VALUE""")," Высокоурожайный")</f>
        <v> Высокоурожайный</v>
      </c>
      <c r="L290" s="6" t="str">
        <f>IFERROR(__xludf.DUMMYFUNCTION("""COMPUTED_VALUE""")," Корнеплоды плоские, мякоть тёмно-красная с фиолетовым оттенком, сочные и вкусные, массой до 350г, формируются на поверхности грунта")</f>
        <v> Корнеплоды плоские, мякоть тёмно-красная с фиолетовым оттенком, сочные и вкусные, массой до 350г, формируются на поверхности грунта</v>
      </c>
    </row>
    <row r="291">
      <c r="A291" s="11" t="s">
        <v>1259</v>
      </c>
      <c r="I291" s="55" t="str">
        <f>IFERROR(__xludf.DUMMYFUNCTION("SPLIT(A291,""."")"),"Кардинал")</f>
        <v>Кардинал</v>
      </c>
      <c r="J291" s="6" t="str">
        <f>IFERROR(__xludf.DUMMYFUNCTION("""COMPUTED_VALUE"""),"Среднеспелый, высокоурожайный сорт свеклы столовой")</f>
        <v>Среднеспелый, высокоурожайный сорт свеклы столовой</v>
      </c>
      <c r="K291" s="6" t="str">
        <f>IFERROR(__xludf.DUMMYFUNCTION("""COMPUTED_VALUE""")," Вегетационный период от посева семян до сбора урожая – 80-120 дней")</f>
        <v> Вегетационный период от посева семян до сбора урожая – 80-120 дней</v>
      </c>
      <c r="L291" s="6" t="str">
        <f>IFERROR(__xludf.DUMMYFUNCTION("""COMPUTED_VALUE""")," Корнеплод красного цвета с бордовым оттенком, круглой формы, без ярко выраженных концентрических колец")</f>
        <v> Корнеплод красного цвета с бордовым оттенком, круглой формы, без ярко выраженных концентрических колец</v>
      </c>
      <c r="M291" s="6" t="str">
        <f>IFERROR(__xludf.DUMMYFUNCTION("""COMPUTED_VALUE""")," Вкусовые качества высокие")</f>
        <v> Вкусовые качества высокие</v>
      </c>
    </row>
    <row r="292">
      <c r="A292" s="11" t="s">
        <v>1263</v>
      </c>
      <c r="I292" s="55" t="str">
        <f>IFERROR(__xludf.DUMMYFUNCTION("SPLIT(A292,""."")"),"Кедри")</f>
        <v>Кедри</v>
      </c>
      <c r="J292" s="6" t="str">
        <f>IFERROR(__xludf.DUMMYFUNCTION("""COMPUTED_VALUE"""),"Среднеспелый высокоурожайный сорт, который является усовершенствованием известного сорта Цилиндра")</f>
        <v>Среднеспелый высокоурожайный сорт, который является усовершенствованием известного сорта Цилиндра</v>
      </c>
      <c r="K292" s="6" t="str">
        <f>IFERROR(__xludf.DUMMYFUNCTION("""COMPUTED_VALUE""")," Вегетационный период составляет 95-120 дней")</f>
        <v> Вегетационный период составляет 95-120 дней</v>
      </c>
      <c r="L292" s="6" t="str">
        <f>IFERROR(__xludf.DUMMYFUNCTION("""COMPUTED_VALUE""")," Корнеплоды цилиндрической формы, темно-красного цвета с бордовым оттенком")</f>
        <v> Корнеплоды цилиндрической формы, темно-красного цвета с бордовым оттенком</v>
      </c>
    </row>
    <row r="293">
      <c r="A293" s="11" t="s">
        <v>1267</v>
      </c>
      <c r="I293" s="55" t="str">
        <f>IFERROR(__xludf.DUMMYFUNCTION("SPLIT(A293,""."")"),"Кросби")</f>
        <v>Кросби</v>
      </c>
      <c r="J293" s="6" t="str">
        <f>IFERROR(__xludf.DUMMYFUNCTION("""COMPUTED_VALUE"""),"Сорт раннеспелый, высокоурожайный")</f>
        <v>Сорт раннеспелый, высокоурожайный</v>
      </c>
      <c r="K293" s="6" t="str">
        <f>IFERROR(__xludf.DUMMYFUNCTION("""COMPUTED_VALUE""")," Великолепные шаровидные, гладкие, сочные и вкусные корнеплоды имеют красивый темный цвет мякоти, быстро варятся")</f>
        <v> Великолепные шаровидные, гладкие, сочные и вкусные корнеплоды имеют красивый темный цвет мякоти, быстро варятся</v>
      </c>
      <c r="L293" s="6" t="str">
        <f>IFERROR(__xludf.DUMMYFUNCTION("""COMPUTED_VALUE""")," Используют для ранней пучковой продукции и на хранение")</f>
        <v> Используют для ранней пучковой продукции и на хранение</v>
      </c>
    </row>
    <row r="294">
      <c r="A294" s="11" t="s">
        <v>1271</v>
      </c>
      <c r="I294" s="55" t="str">
        <f>IFERROR(__xludf.DUMMYFUNCTION("SPLIT(A294,""."")"),"Негритянка")</f>
        <v>Негритянка</v>
      </c>
      <c r="J294" s="6" t="str">
        <f>IFERROR(__xludf.DUMMYFUNCTION("""COMPUTED_VALUE"""),"Позднеспелая")</f>
        <v>Позднеспелая</v>
      </c>
      <c r="K294" s="6" t="str">
        <f>IFERROR(__xludf.DUMMYFUNCTION("""COMPUTED_VALUE"""),"  Вегетационный период  от восхода до технической спелости 100-120 дней")</f>
        <v>  Вегетационный период  от восхода до технической спелости 100-120 дней</v>
      </c>
      <c r="L294" s="6" t="str">
        <f>IFERROR(__xludf.DUMMYFUNCTION("""COMPUTED_VALUE""")," Корнеплод выровненный округлый, гладкий массой  450-700 г")</f>
        <v> Корнеплод выровненный округлый, гладкий массой  450-700 г</v>
      </c>
      <c r="M294" s="6" t="str">
        <f>IFERROR(__xludf.DUMMYFUNCTION("""COMPUTED_VALUE""")," Мякоть темно-красная,  без видимых колец")</f>
        <v> Мякоть темно-красная,  без видимых колец</v>
      </c>
      <c r="N294" s="6" t="str">
        <f>IFERROR(__xludf.DUMMYFUNCTION("""COMPUTED_VALUE""")," Этот сорт ценится за стабильную урожайность,")</f>
        <v> Этот сорт ценится за стабильную урожайность,</v>
      </c>
    </row>
    <row r="295">
      <c r="A295" s="11" t="s">
        <v>1275</v>
      </c>
      <c r="I295" s="55" t="str">
        <f>IFERROR(__xludf.DUMMYFUNCTION("SPLIT(A295,""."")"),"Носовская плоская")</f>
        <v>Носовская плоская</v>
      </c>
      <c r="J295" s="6" t="str">
        <f>IFERROR(__xludf.DUMMYFUNCTION("""COMPUTED_VALUE"""),"Сорт скороспелый")</f>
        <v>Сорт скороспелый</v>
      </c>
      <c r="K295" s="6" t="str">
        <f>IFERROR(__xludf.DUMMYFUNCTION("""COMPUTED_VALUE""")," Период от посева до уборки 87-123 дня")</f>
        <v> Период от посева до уборки 87-123 дня</v>
      </c>
      <c r="L295" s="6" t="str">
        <f>IFERROR(__xludf.DUMMYFUNCTION("""COMPUTED_VALUE""")," Корнеплоды плоские")</f>
        <v> Корнеплоды плоские</v>
      </c>
      <c r="M295" s="6" t="str">
        <f>IFERROR(__xludf.DUMMYFUNCTION("""COMPUTED_VALUE""")," Массой 206-450 г")</f>
        <v> Массой 206-450 г</v>
      </c>
      <c r="N295" s="6" t="str">
        <f>IFERROR(__xludf.DUMMYFUNCTION("""COMPUTED_VALUE""")," Кожица темно-красная, мякоть темно-фиолетовая, сочная, отличного вкуса")</f>
        <v> Кожица темно-красная, мякоть темно-фиолетовая, сочная, отличного вкуса</v>
      </c>
      <c r="O295" s="6" t="str">
        <f>IFERROR(__xludf.DUMMYFUNCTION("""COMPUTED_VALUE""")," Лежкость при хранении хорошая")</f>
        <v> Лежкость при хранении хорошая</v>
      </c>
      <c r="P295" s="6" t="str">
        <f>IFERROR(__xludf.DUMMYFUNCTION("""COMPUTED_VALUE""")," Сорт устойчив к болезням")</f>
        <v> Сорт устойчив к болезням</v>
      </c>
    </row>
    <row r="296">
      <c r="A296" s="11" t="s">
        <v>1279</v>
      </c>
      <c r="I296" s="55" t="str">
        <f>IFERROR(__xludf.DUMMYFUNCTION("SPLIT(A296,""."")"),"Опольская")</f>
        <v>Опольская</v>
      </c>
      <c r="J296" s="6" t="str">
        <f>IFERROR(__xludf.DUMMYFUNCTION("""COMPUTED_VALUE"""),"Среднеспелый сорт, вегетационный период 110-120 дней")</f>
        <v>Среднеспелый сорт, вегетационный период 110-120 дней</v>
      </c>
      <c r="K296" s="6" t="str">
        <f>IFERROR(__xludf.DUMMYFUNCTION("""COMPUTED_VALUE""")," Корнеплоды цилиндрической формы")</f>
        <v> Корнеплоды цилиндрической формы</v>
      </c>
      <c r="L296" s="6" t="str">
        <f>IFERROR(__xludf.DUMMYFUNCTION("""COMPUTED_VALUE""")," Мякоть интенсивно темно-красная с высокими вкусовыми качествами")</f>
        <v> Мякоть интенсивно темно-красная с высокими вкусовыми качествами</v>
      </c>
      <c r="M296" s="6" t="str">
        <f>IFERROR(__xludf.DUMMYFUNCTION("""COMPUTED_VALUE""")," Высокоурожайная")</f>
        <v> Высокоурожайная</v>
      </c>
      <c r="N296" s="6" t="str">
        <f>IFERROR(__xludf.DUMMYFUNCTION("""COMPUTED_VALUE""")," Лежкость хорошая")</f>
        <v> Лежкость хорошая</v>
      </c>
      <c r="O296" s="6" t="str">
        <f>IFERROR(__xludf.DUMMYFUNCTION("""COMPUTED_VALUE""")," Предназначен для переработки, консервирования порезанным на ломтики, квашения")</f>
        <v> Предназначен для переработки, консервирования порезанным на ломтики, квашения</v>
      </c>
    </row>
    <row r="297">
      <c r="A297" s="11" t="s">
        <v>1283</v>
      </c>
      <c r="I297" s="55" t="str">
        <f>IFERROR(__xludf.DUMMYFUNCTION("SPLIT(A297,""."")"),"Красний шар")</f>
        <v>Красний шар</v>
      </c>
      <c r="J297" s="6" t="str">
        <f>IFERROR(__xludf.DUMMYFUNCTION("""COMPUTED_VALUE"""),"Сорт среднеспелый, период от посева до уборки – 95-105 дней")</f>
        <v>Сорт среднеспелый, период от посева до уборки – 95-105 дней</v>
      </c>
      <c r="K297" s="6" t="str">
        <f>IFERROR(__xludf.DUMMYFUNCTION("""COMPUTED_VALUE""")," Корнеплоды округлые, массой 250-400 г")</f>
        <v> Корнеплоды округлые, массой 250-400 г</v>
      </c>
      <c r="L297" s="6" t="str">
        <f>IFERROR(__xludf.DUMMYFUNCTION("""COMPUTED_VALUE""")," Мякоть темно-красная, сочная")</f>
        <v> Мякоть темно-красная, сочная</v>
      </c>
      <c r="M297" s="6" t="str">
        <f>IFERROR(__xludf.DUMMYFUNCTION("""COMPUTED_VALUE""")," Используют для хранения, консервирования, квашения")</f>
        <v> Используют для хранения, консервирования, квашения</v>
      </c>
    </row>
    <row r="298">
      <c r="A298" s="11" t="s">
        <v>1287</v>
      </c>
      <c r="I298" s="55" t="str">
        <f>IFERROR(__xludf.DUMMYFUNCTION("SPLIT(A298,""."")"),"Ривал")</f>
        <v>Ривал</v>
      </c>
      <c r="J298" s="6" t="str">
        <f>IFERROR(__xludf.DUMMYFUNCTION("""COMPUTED_VALUE"""),"Сорт среднеранний")</f>
        <v>Сорт среднеранний</v>
      </c>
      <c r="K298" s="6" t="str">
        <f>IFERROR(__xludf.DUMMYFUNCTION("""COMPUTED_VALUE""")," Корнеплод цилиндрический, мякоть темно-красная, с оттенком бордо, без колец, нежная, сочная")</f>
        <v> Корнеплод цилиндрический, мякоть темно-красная, с оттенком бордо, без колец, нежная, сочная</v>
      </c>
      <c r="L298" s="6" t="str">
        <f>IFERROR(__xludf.DUMMYFUNCTION("""COMPUTED_VALUE""")," Вкусовые качества высокие")</f>
        <v> Вкусовые качества высокие</v>
      </c>
      <c r="M298" s="6" t="str">
        <f>IFERROR(__xludf.DUMMYFUNCTION("""COMPUTED_VALUE""")," Урожайный, с высоким выходом товарных корнеплодов")</f>
        <v> Урожайный, с высоким выходом товарных корнеплодов</v>
      </c>
      <c r="N298" s="6" t="str">
        <f>IFERROR(__xludf.DUMMYFUNCTION("""COMPUTED_VALUE""")," Лежкость хорошая")</f>
        <v> Лежкость хорошая</v>
      </c>
    </row>
    <row r="299">
      <c r="A299" s="11" t="s">
        <v>1291</v>
      </c>
      <c r="I299" s="55" t="str">
        <f>IFERROR(__xludf.DUMMYFUNCTION("SPLIT(A299,""."")"),"Мулатка")</f>
        <v>Мулатка</v>
      </c>
      <c r="J299" s="6" t="str">
        <f>IFERROR(__xludf.DUMMYFUNCTION("""COMPUTED_VALUE"""),"Новый среднеспелый сорт столовой свеклы (от всходов до уборки урожая 120-130 дней) рекомендованный для зимнего хранения и использования в кулинарии")</f>
        <v>Новый среднеспелый сорт столовой свеклы (от всходов до уборки урожая 120-130 дней) рекомендованный для зимнего хранения и использования в кулинарии</v>
      </c>
      <c r="K299" s="6" t="str">
        <f>IFERROR(__xludf.DUMMYFUNCTION("""COMPUTED_VALUE""")," Корнеплоды округлой формы, выравненные, гладкие, темно-бордового цвета, массой 160-360 г")</f>
        <v> Корнеплоды округлой формы, выравненные, гладкие, темно-бордового цвета, массой 160-360 г</v>
      </c>
    </row>
    <row r="300">
      <c r="A300" s="11" t="s">
        <v>1294</v>
      </c>
      <c r="I300" s="55" t="str">
        <f>IFERROR(__xludf.DUMMYFUNCTION("SPLIT(A300,""."")"),"Пабло F1")</f>
        <v>Пабло F1</v>
      </c>
      <c r="J300" s="6" t="str">
        <f>IFERROR(__xludf.DUMMYFUNCTION("""COMPUTED_VALUE""")," Голландия")</f>
        <v> Голландия</v>
      </c>
      <c r="K300" s="6" t="str">
        <f>IFERROR(__xludf.DUMMYFUNCTION("""COMPUTED_VALUE"""),"Современный, среднеранний гибрид (78 дней от полных всходов до технической спелости) с отличными показателями на любых типах почв")</f>
        <v>Современный, среднеранний гибрид (78 дней от полных всходов до технической спелости) с отличными показателями на любых типах почв</v>
      </c>
      <c r="L300" s="6" t="str">
        <f>IFERROR(__xludf.DUMMYFUNCTION("""COMPUTED_VALUE""")," Отличается идеальным сочетанием формы корнеплода и окраски в разрезе")</f>
        <v> Отличается идеальным сочетанием формы корнеплода и окраски в разрезе</v>
      </c>
      <c r="M300" s="6" t="str">
        <f>IFERROR(__xludf.DUMMYFUNCTION("""COMPUTED_VALUE""")," Мякоть нежная, сочная, темно-бордового цвета, без колец")</f>
        <v> Мякоть нежная, сочная, темно-бордового цвета, без колец</v>
      </c>
      <c r="N300" s="6" t="str">
        <f>IFERROR(__xludf.DUMMYFUNCTION("""COMPUTED_VALUE""")," Масса корнеплода 110-180 г")</f>
        <v> Масса корнеплода 110-180 г</v>
      </c>
    </row>
    <row r="301">
      <c r="A301" s="11" t="s">
        <v>1298</v>
      </c>
      <c r="I301" s="55" t="str">
        <f>IFERROR(__xludf.DUMMYFUNCTION("SPLIT(A301,""."")"),"Цилиндра")</f>
        <v>Цилиндра</v>
      </c>
      <c r="J301" s="6" t="str">
        <f>IFERROR(__xludf.DUMMYFUNCTION("""COMPUTED_VALUE"""),"Среднеспелый сорт, период вегетации 110-120 дней")</f>
        <v>Среднеспелый сорт, период вегетации 110-120 дней</v>
      </c>
      <c r="K301" s="6" t="str">
        <f>IFERROR(__xludf.DUMMYFUNCTION("""COMPUTED_VALUE""")," Плод цилиндрический, массой 180-350 г")</f>
        <v> Плод цилиндрический, массой 180-350 г</v>
      </c>
      <c r="L301" s="6" t="str">
        <f>IFERROR(__xludf.DUMMYFUNCTION("""COMPUTED_VALUE""")," Мякоть интенсивно-красная, сочная, нежная, отличного вкуса, особенно для винегретов Используют для потребления в свежем виде, переработки и хранения")</f>
        <v> Мякоть интенсивно-красная, сочная, нежная, отличного вкуса, особенно для винегретов Используют для потребления в свежем виде, переработки и хранения</v>
      </c>
    </row>
    <row r="302">
      <c r="A302" s="11" t="s">
        <v>1298</v>
      </c>
      <c r="I302" s="55" t="str">
        <f>IFERROR(__xludf.DUMMYFUNCTION("SPLIT(A302,""."")"),"Цилиндра")</f>
        <v>Цилиндра</v>
      </c>
      <c r="J302" s="6" t="str">
        <f>IFERROR(__xludf.DUMMYFUNCTION("""COMPUTED_VALUE"""),"Среднеспелый сорт, период вегетации 110-120 дней")</f>
        <v>Среднеспелый сорт, период вегетации 110-120 дней</v>
      </c>
      <c r="K302" s="6" t="str">
        <f>IFERROR(__xludf.DUMMYFUNCTION("""COMPUTED_VALUE""")," Плод цилиндрический, массой 180-350 г")</f>
        <v> Плод цилиндрический, массой 180-350 г</v>
      </c>
      <c r="L302" s="6" t="str">
        <f>IFERROR(__xludf.DUMMYFUNCTION("""COMPUTED_VALUE""")," Мякоть интенсивно-красная, сочная, нежная, отличного вкуса, особенно для винегретов Используют для потребления в свежем виде, переработки и хранения")</f>
        <v> Мякоть интенсивно-красная, сочная, нежная, отличного вкуса, особенно для винегретов Используют для потребления в свежем виде, переработки и хранения</v>
      </c>
    </row>
    <row r="303">
      <c r="A303" s="11" t="s">
        <v>1303</v>
      </c>
      <c r="I303" s="55" t="str">
        <f>IFERROR(__xludf.DUMMYFUNCTION("SPLIT(A303,""."")"),"Киевская розовая")</f>
        <v>Киевская розовая</v>
      </c>
      <c r="J303" s="6" t="str">
        <f>IFERROR(__xludf.DUMMYFUNCTION("""COMPUTED_VALUE"""),"Популярный среднеспелый сорт кормовой свеклы польской селекции , Высоко урожайна  и засухоустойчива, многоростковый куст формирует овально-цилиндрической формы корнеплод без боковых отростков, который погружен в почву на 40 %")</f>
        <v>Популярный среднеспелый сорт кормовой свеклы польской селекции , Высоко урожайна  и засухоустойчива, многоростковый куст формирует овально-цилиндрической формы корнеплод без боковых отростков, который погружен в почву на 40 %</v>
      </c>
    </row>
    <row r="304">
      <c r="A304" s="11" t="s">
        <v>1307</v>
      </c>
      <c r="I304" s="55" t="str">
        <f>IFERROR(__xludf.DUMMYFUNCTION("SPLIT(A304,""."")"),"Урсус Поли")</f>
        <v>Урсус Поли</v>
      </c>
      <c r="J304" s="6" t="str">
        <f>IFERROR(__xludf.DUMMYFUNCTION("""COMPUTED_VALUE""")," Польша")</f>
        <v> Польша</v>
      </c>
      <c r="K304" s="6" t="str">
        <f>IFERROR(__xludf.DUMMYFUNCTION("""COMPUTED_VALUE"""),"Сорт кормовой свеклы польской селекции, корнеплод цилиндрической формы, желтого цвета, незначительно загрязнены землей, погружен в почву на 40 %, легко собираются вручную")</f>
        <v>Сорт кормовой свеклы польской селекции, корнеплод цилиндрической формы, желтого цвета, незначительно загрязнены землей, погружен в почву на 40 %, легко собираются вручную</v>
      </c>
      <c r="L304" s="6" t="str">
        <f>IFERROR(__xludf.DUMMYFUNCTION("""COMPUTED_VALUE""")," Поверхность корнеплода гладкая, мякоть - белая, слегка кремовая, сочная")</f>
        <v> Поверхность корнеплода гладкая, мякоть - белая, слегка кремовая, сочная</v>
      </c>
      <c r="M304" s="6" t="str">
        <f>IFERROR(__xludf.DUMMYFUNCTION("""COMPUTED_VALUE""")," Хорошо хранится")</f>
        <v> Хорошо хранится</v>
      </c>
    </row>
    <row r="305">
      <c r="A305" s="11" t="s">
        <v>1311</v>
      </c>
      <c r="I305" s="55" t="str">
        <f>IFERROR(__xludf.DUMMYFUNCTION("SPLIT(A305,""."")"),"Экендорфская желтая")</f>
        <v>Экендорфская желтая</v>
      </c>
      <c r="J305" s="6" t="str">
        <f>IFERROR(__xludf.DUMMYFUNCTION("""COMPUTED_VALUE"""),"Кормовой ,сорт достаточно урожайный длительного хранения,популярный,среднеспелый Устойчивый  к болезням")</f>
        <v>Кормовой ,сорт достаточно урожайный длительного хранения,популярный,среднеспелый Устойчивый  к болезням</v>
      </c>
    </row>
    <row r="306">
      <c r="A306" s="11" t="s">
        <v>1315</v>
      </c>
      <c r="I306" s="55" t="str">
        <f>IFERROR(__xludf.DUMMYFUNCTION("SPLIT(A306,""."")"),"Сахарная")</f>
        <v>Сахарная</v>
      </c>
      <c r="J306" s="6" t="str">
        <f>IFERROR(__xludf.DUMMYFUNCTION("""COMPUTED_VALUE""")," Корнеплодное растение, возделывается в основном для получения сахара, но может также возделываться для корма животным")</f>
        <v> Корнеплодное растение, возделывается в основном для получения сахара, но может также возделываться для корма животным</v>
      </c>
      <c r="K306" s="6" t="str">
        <f>IFERROR(__xludf.DUMMYFUNCTION("""COMPUTED_VALUE""")," В первый год растение формирует розетку прикорневых листьев и утолщённый мясистый корнеплод, в котором содержание сахарозы обычно от 8 до 20 %")</f>
        <v> В первый год растение формирует розетку прикорневых листьев и утолщённый мясистый корнеплод, в котором содержание сахарозы обычно от 8 до 20 %</v>
      </c>
    </row>
    <row r="307">
      <c r="A307" s="14" t="s">
        <v>1319</v>
      </c>
      <c r="I307" s="55" t="str">
        <f>IFERROR(__xludf.DUMMYFUNCTION("SPLIT(A307,""."")"),"Астраханский")</f>
        <v>Астраханский</v>
      </c>
      <c r="J307" s="6" t="str">
        <f>IFERROR(__xludf.DUMMYFUNCTION("""COMPUTED_VALUE"""),"Среднеспелый, вегетационный период 85-90 дней")</f>
        <v>Среднеспелый, вегетационный период 85-90 дней</v>
      </c>
      <c r="K307" s="6" t="str">
        <f>IFERROR(__xludf.DUMMYFUNCTION("""COMPUTED_VALUE""")," Относительно устойчив к фузариозу")</f>
        <v> Относительно устойчив к фузариозу</v>
      </c>
      <c r="L307" s="6" t="str">
        <f>IFERROR(__xludf.DUMMYFUNCTION("""COMPUTED_VALUE"""),"
Плод гладкий, рисунок – широкие темно-зеленые полосы, фон светло-зеленый")</f>
        <v>
Плод гладкий, рисунок – широкие темно-зеленые полосы, фон светло-зеленый</v>
      </c>
      <c r="M307" s="6" t="str">
        <f>IFERROR(__xludf.DUMMYFUNCTION("""COMPUTED_VALUE""")," Мякоть
карминно-красная, зернистая, высокой сладости и сочности")</f>
        <v> Мякоть
карминно-красная, зернистая, высокой сладости и сочности</v>
      </c>
    </row>
    <row r="308">
      <c r="A308" s="14" t="s">
        <v>1323</v>
      </c>
      <c r="I308" s="55" t="str">
        <f>IFERROR(__xludf.DUMMYFUNCTION("SPLIT(A308,""."")"),"Бинго")</f>
        <v>Бинго</v>
      </c>
      <c r="J308" s="6" t="str">
        <f>IFERROR(__xludf.DUMMYFUNCTION("""COMPUTED_VALUE"""),"Крупноплодный и очень вкусный высокоурожайный сорт")</f>
        <v>Крупноплодный и очень вкусный высокоурожайный сорт</v>
      </c>
      <c r="K308" s="6" t="str">
        <f>IFERROR(__xludf.DUMMYFUNCTION("""COMPUTED_VALUE"""),"
Плод, округлый, массой 8 — 12 кг")</f>
        <v>
Плод, округлый, массой 8 — 12 кг</v>
      </c>
      <c r="L308" s="6" t="str">
        <f>IFERROR(__xludf.DUMMYFUNCTION("""COMPUTED_VALUE"""),"
Поверхность гладкая, светло-зеленая, с едва заметными зелёными пятнами")</f>
        <v>
Поверхность гладкая, светло-зеленая, с едва заметными зелёными пятнами</v>
      </c>
      <c r="M308" s="6" t="str">
        <f>IFERROR(__xludf.DUMMYFUNCTION("""COMPUTED_VALUE"""),"
Мякоть тёмно-красная, нежная, зернистая, очень сочная и сладкая")</f>
        <v>
Мякоть тёмно-красная, нежная, зернистая, очень сочная и сладкая</v>
      </c>
    </row>
    <row r="309">
      <c r="A309" s="14" t="s">
        <v>1327</v>
      </c>
      <c r="I309" s="55" t="str">
        <f>IFERROR(__xludf.DUMMYFUNCTION("SPLIT(A309,""."")"),"Борчанский")</f>
        <v>Борчанский</v>
      </c>
      <c r="J309" s="6" t="str">
        <f>IFERROR(__xludf.DUMMYFUNCTION("""COMPUTED_VALUE""")," Раннеспелый сорт")</f>
        <v> Раннеспелый сорт</v>
      </c>
      <c r="K309" s="6" t="str">
        <f>IFERROR(__xludf.DUMMYFUNCTION("""COMPUTED_VALUE""")," Предназначен для возделывания в открытом и защищенном грунте")</f>
        <v> Предназначен для возделывания в открытом и защищенном грунте</v>
      </c>
      <c r="L309" s="6" t="str">
        <f>IFERROR(__xludf.DUMMYFUNCTION("""COMPUTED_VALUE"""),"
Плоды среднего размера, массой 2,5-3кг, округлые, зеленые, с темно-зелеными шиповатыми полосками")</f>
        <v>
Плоды среднего размера, массой 2,5-3кг, округлые, зеленые, с темно-зелеными шиповатыми полосками</v>
      </c>
      <c r="M309" s="6" t="str">
        <f>IFERROR(__xludf.DUMMYFUNCTION("""COMPUTED_VALUE""")," Мякоть нежная зернистая, сочная, карминно-красная, сладкая")</f>
        <v> Мякоть нежная зернистая, сочная, карминно-красная, сладкая</v>
      </c>
    </row>
    <row r="310">
      <c r="A310" s="14" t="s">
        <v>1331</v>
      </c>
      <c r="I310" s="55" t="str">
        <f>IFERROR(__xludf.DUMMYFUNCTION("SPLIT(A310,""."")"),"Княжич")</f>
        <v>Княжич</v>
      </c>
      <c r="J310" s="6" t="str">
        <f>IFERROR(__xludf.DUMMYFUNCTION("""COMPUTED_VALUE"""),"Раннеспелый сорт")</f>
        <v>Раннеспелый сорт</v>
      </c>
      <c r="K310" s="6" t="str">
        <f>IFERROR(__xludf.DUMMYFUNCTION("""COMPUTED_VALUE""")," Плод округлый или овальный, светло-зеленый с темно-зелеными
шиповатыми полосками, массой 5,9 кг")</f>
        <v> Плод округлый или овальный, светло-зеленый с темно-зелеными
шиповатыми полосками, массой 5,9 кг</v>
      </c>
      <c r="L310" s="6" t="str">
        <f>IFERROR(__xludf.DUMMYFUNCTION("""COMPUTED_VALUE""")," Мякоть нежная, малиновая, зернистая, сочная,очень сладкая")</f>
        <v> Мякоть нежная, малиновая, зернистая, сочная,очень сладкая</v>
      </c>
      <c r="M310" s="6" t="str">
        <f>IFERROR(__xludf.DUMMYFUNCTION("""COMPUTED_VALUE""")," Семена мелкие, коричневые с черными точками")</f>
        <v> Семена мелкие, коричневые с черными точками</v>
      </c>
    </row>
    <row r="311">
      <c r="A311" s="14" t="s">
        <v>1333</v>
      </c>
      <c r="I311" s="55" t="str">
        <f>IFERROR(__xludf.DUMMYFUNCTION("SPLIT(A311,""."")"),"Княжич")</f>
        <v>Княжич</v>
      </c>
      <c r="J311" s="6" t="str">
        <f>IFERROR(__xludf.DUMMYFUNCTION("""COMPUTED_VALUE""")," Раннеспелый сорт")</f>
        <v> Раннеспелый сорт</v>
      </c>
      <c r="K311" s="6" t="str">
        <f>IFERROR(__xludf.DUMMYFUNCTION("""COMPUTED_VALUE""")," Плод округлый или овальный, светло-зеленый с темно-зелеными
шиповатыми полосками, массой 5,9 кг")</f>
        <v> Плод округлый или овальный, светло-зеленый с темно-зелеными
шиповатыми полосками, массой 5,9 кг</v>
      </c>
      <c r="L311" s="6" t="str">
        <f>IFERROR(__xludf.DUMMYFUNCTION("""COMPUTED_VALUE""")," Мякоть нежная, малиновая, зернистая, сочная,очень сладкая")</f>
        <v> Мякоть нежная, малиновая, зернистая, сочная,очень сладкая</v>
      </c>
      <c r="M311" s="6" t="str">
        <f>IFERROR(__xludf.DUMMYFUNCTION("""COMPUTED_VALUE""")," Семена мелкие, коричневые с черными точками")</f>
        <v> Семена мелкие, коричневые с черными точками</v>
      </c>
    </row>
    <row r="312">
      <c r="A312" s="14" t="s">
        <v>1337</v>
      </c>
      <c r="I312" s="55" t="str">
        <f>IFERROR(__xludf.DUMMYFUNCTION("SPLIT(A312,""."")"),"Каховский")</f>
        <v>Каховский</v>
      </c>
      <c r="J312" s="6" t="str">
        <f>IFERROR(__xludf.DUMMYFUNCTION("""COMPUTED_VALUE""")," Сорт раннеспелый, от всходов до начала созревания плодов 67-70 дней")</f>
        <v> Сорт раннеспелый, от всходов до начала созревания плодов 67-70 дней</v>
      </c>
      <c r="K312" s="6" t="str">
        <f>IFERROR(__xludf.DUMMYFUNCTION("""COMPUTED_VALUE"""),"  Плоды
шарообразной формы, гладенькие, цвет плодов зеленый, рисунок - темно-зеленые полосы")</f>
        <v>  Плоды
шарообразной формы, гладенькие, цвет плодов зеленый, рисунок - темно-зеленые полосы</v>
      </c>
      <c r="L312" s="6" t="str">
        <f>IFERROR(__xludf.DUMMYFUNCTION("""COMPUTED_VALUE"""),"Кора средней толщины (9,0-12,0 мм) редко до 15,0 мм")</f>
        <v>Кора средней толщины (9,0-12,0 мм) редко до 15,0 мм</v>
      </c>
      <c r="M312" s="6" t="str">
        <f>IFERROR(__xludf.DUMMYFUNCTION("""COMPUTED_VALUE""")," Мякоть красного цвета, зернистая,")</f>
        <v> Мякоть красного цвета, зернистая,</v>
      </c>
    </row>
    <row r="313">
      <c r="A313" s="11" t="s">
        <v>1341</v>
      </c>
      <c r="I313" s="55" t="str">
        <f>IFERROR(__xludf.DUMMYFUNCTION("SPLIT(A313,""."")"),"Крымсон свит")</f>
        <v>Крымсон свит</v>
      </c>
      <c r="J313" s="6" t="str">
        <f>IFERROR(__xludf.DUMMYFUNCTION("""COMPUTED_VALUE"""),"Лидер рынка по раннеспелости (60-65 дней)")</f>
        <v>Лидер рынка по раннеспелости (60-65 дней)</v>
      </c>
      <c r="K313" s="6" t="str">
        <f>IFERROR(__xludf.DUMMYFUNCTION("""COMPUTED_VALUE""")," Высокопродуктивный")</f>
        <v> Высокопродуктивный</v>
      </c>
      <c r="L313" s="6" t="str">
        <f>IFERROR(__xludf.DUMMYFUNCTION("""COMPUTED_VALUE""")," Пригоден для выращивания в открытом грунте и под пленкой")</f>
        <v> Пригоден для выращивания в открытом грунте и под пленкой</v>
      </c>
      <c r="M313" s="6" t="str">
        <f>IFERROR(__xludf.DUMMYFUNCTION("""COMPUTED_VALUE""")," Дает стабильный урожай даже в засушливых условиях")</f>
        <v> Дает стабильный урожай даже в засушливых условиях</v>
      </c>
      <c r="N313" s="6" t="str">
        <f>IFERROR(__xludf.DUMMYFUNCTION("""COMPUTED_VALUE""")," Плоды округлой формы, полосатые, средней массой 7-9 кг,")</f>
        <v> Плоды округлой формы, полосатые, средней массой 7-9 кг,</v>
      </c>
    </row>
    <row r="314">
      <c r="A314" s="14" t="s">
        <v>1345</v>
      </c>
      <c r="I314" s="55" t="str">
        <f>IFERROR(__xludf.DUMMYFUNCTION("SPLIT(A314,""."")"),"Мелитопольский")</f>
        <v>Мелитопольский</v>
      </c>
      <c r="J314" s="6" t="str">
        <f>IFERROR(__xludf.DUMMYFUNCTION("""COMPUTED_VALUE"""),"Сорт среднеспелый - 80-105 дней")</f>
        <v>Сорт среднеспелый - 80-105 дней</v>
      </c>
      <c r="K314" s="6" t="str">
        <f>IFERROR(__xludf.DUMMYFUNCTION("""COMPUTED_VALUE""")," Плод тупо-элипсовидный, зеленый с темно-зелеными
шиповатыми полосами, мякоть интенсивно-розовая или малиновая, сочная, сладкая")</f>
        <v> Плод тупо-элипсовидный, зеленый с темно-зелеными
шиповатыми полосами, мякоть интенсивно-розовая или малиновая, сочная, сладкая</v>
      </c>
      <c r="L314" s="6" t="str">
        <f>IFERROR(__xludf.DUMMYFUNCTION("""COMPUTED_VALUE"""),"Урожайность 2,2-3,2 кг/ кв")</f>
        <v>Урожайность 2,2-3,2 кг/ кв</v>
      </c>
      <c r="M314" s="6" t="str">
        <f>IFERROR(__xludf.DUMMYFUNCTION("""COMPUTED_VALUE"""),"м, средняя масса плода 4-12 кг")</f>
        <v>м, средняя масса плода 4-12 кг</v>
      </c>
    </row>
    <row r="315">
      <c r="A315" s="14" t="s">
        <v>1349</v>
      </c>
      <c r="I315" s="55" t="str">
        <f>IFERROR(__xludf.DUMMYFUNCTION("SPLIT(A315,""."")"),"Огонек")</f>
        <v>Огонек</v>
      </c>
      <c r="J315" s="6" t="str">
        <f>IFERROR(__xludf.DUMMYFUNCTION("""COMPUTED_VALUE"""),"Скороспелый, вегетационный период 65-75 дней")</f>
        <v>Скороспелый, вегетационный период 65-75 дней</v>
      </c>
      <c r="K315" s="6" t="str">
        <f>IFERROR(__xludf.DUMMYFUNCTION("""COMPUTED_VALUE""")," Плоды шаровидные с гладкой
поверхностью, черно-зеленого цвета")</f>
        <v> Плоды шаровидные с гладкой
поверхностью, черно-зеленого цвета</v>
      </c>
      <c r="L315" s="6" t="str">
        <f>IFERROR(__xludf.DUMMYFUNCTION("""COMPUTED_VALUE""")," Кора тонкая")</f>
        <v> Кора тонкая</v>
      </c>
      <c r="M315" s="6" t="str">
        <f>IFERROR(__xludf.DUMMYFUNCTION("""COMPUTED_VALUE""")," Мякоть ярко-красная, зернистая,сочная, сладкая")</f>
        <v> Мякоть ярко-красная, зернистая,сочная, сладкая</v>
      </c>
      <c r="N315" s="6" t="str">
        <f>IFERROR(__xludf.DUMMYFUNCTION("""COMPUTED_VALUE""")," Семена мелкие, коричневые")</f>
        <v> Семена мелкие, коричневые</v>
      </c>
    </row>
    <row r="316">
      <c r="A316" s="11" t="s">
        <v>1353</v>
      </c>
      <c r="I316" s="55" t="str">
        <f>IFERROR(__xludf.DUMMYFUNCTION("SPLIT(A316,""."")")," Северное   сияние")</f>
        <v> Северное   сияние</v>
      </c>
      <c r="J316" s="6" t="str">
        <f>IFERROR(__xludf.DUMMYFUNCTION("""COMPUTED_VALUE""")," Ультраскороспелый, предназначен для выращивания рассадным и безрассадным способом, удается получить высокий урожай даже в северных и западнях областях Украины")</f>
        <v> Ультраскороспелый, предназначен для выращивания рассадным и безрассадным способом, удается получить высокий урожай даже в северных и западнях областях Украины</v>
      </c>
    </row>
    <row r="317">
      <c r="A317" s="14" t="s">
        <v>1357</v>
      </c>
      <c r="I317" s="55" t="str">
        <f>IFERROR(__xludf.DUMMYFUNCTION("SPLIT(A317,""."")"),"Роза юго-востока")</f>
        <v>Роза юго-востока</v>
      </c>
      <c r="J317" s="6" t="str">
        <f>IFERROR(__xludf.DUMMYFUNCTION("""COMPUTED_VALUE"""),"Сорт среднеспелый - 76-90 дней")</f>
        <v>Сорт среднеспелый - 76-90 дней</v>
      </c>
      <c r="K317" s="6" t="str">
        <f>IFERROR(__xludf.DUMMYFUNCTION("""COMPUTED_VALUE""")," Плод шаровидный, светло-зеленый с широкими темно-зелеными размытыми полосами, мякоть карминно-красная, зернистая")</f>
        <v> Плод шаровидный, светло-зеленый с широкими темно-зелеными размытыми полосами, мякоть карминно-красная, зернистая</v>
      </c>
      <c r="L317" s="6" t="str">
        <f>IFERROR(__xludf.DUMMYFUNCTION("""COMPUTED_VALUE""")," Урожайность 2,0-
2,8 кг/ кв")</f>
        <v> Урожайность 2,0-
2,8 кг/ кв</v>
      </c>
      <c r="M317" s="6" t="str">
        <f>IFERROR(__xludf.DUMMYFUNCTION("""COMPUTED_VALUE"""),"м")</f>
        <v>м</v>
      </c>
      <c r="N317" s="6" t="str">
        <f>IFERROR(__xludf.DUMMYFUNCTION("""COMPUTED_VALUE""")," Средняя масса плода 1,5-3,0 кг")</f>
        <v> Средняя масса плода 1,5-3,0 кг</v>
      </c>
      <c r="O317" s="6" t="str">
        <f>IFERROR(__xludf.DUMMYFUNCTION("""COMPUTED_VALUE""")," Вкусовые качества хорошие,")</f>
        <v> Вкусовые качества хорошие,</v>
      </c>
    </row>
    <row r="318">
      <c r="A318" s="11" t="s">
        <v>1361</v>
      </c>
      <c r="I318" s="55" t="str">
        <f>IFERROR(__xludf.DUMMYFUNCTION("SPLIT(A318,""."")"),"Сахарный малыш")</f>
        <v>Сахарный малыш</v>
      </c>
      <c r="J318" s="6" t="str">
        <f>IFERROR(__xludf.DUMMYFUNCTION("""COMPUTED_VALUE"""),"Сверхранний, высокопродуктивный, имеет отличные вкусовые и товарные качества")</f>
        <v>Сверхранний, высокопродуктивный, имеет отличные вкусовые и товарные качества</v>
      </c>
      <c r="K318" s="6" t="str">
        <f>IFERROR(__xludf.DUMMYFUNCTION("""COMPUTED_VALUE"""),"Подходит для открытого грунта и пленочных укрытий")</f>
        <v>Подходит для открытого грунта и пленочных укрытий</v>
      </c>
      <c r="L318" s="6" t="str">
        <f>IFERROR(__xludf.DUMMYFUNCTION("""COMPUTED_VALUE""")," Растение мощное, характеризуется быстрым созреванием плодов")</f>
        <v> Растение мощное, характеризуется быстрым созреванием плодов</v>
      </c>
      <c r="M318" s="6" t="str">
        <f>IFERROR(__xludf.DUMMYFUNCTION("""COMPUTED_VALUE""")," Плоды округлой формы, весом 4-6кг, однородные, темно-зеленые")</f>
        <v> Плоды округлой формы, весом 4-6кг, однородные, темно-зеленые</v>
      </c>
      <c r="N318" s="6" t="str">
        <f>IFERROR(__xludf.DUMMYFUNCTION("""COMPUTED_VALUE""")," Мякоть ярко-красная")</f>
        <v> Мякоть ярко-красная</v>
      </c>
    </row>
    <row r="319">
      <c r="A319" s="11" t="s">
        <v>1365</v>
      </c>
      <c r="I319" s="55" t="str">
        <f>IFERROR(__xludf.DUMMYFUNCTION("SPLIT(A319,""."")"),"Таврийский")</f>
        <v>Таврийский</v>
      </c>
      <c r="J319" s="6" t="str">
        <f>IFERROR(__xludf.DUMMYFUNCTION("""COMPUTED_VALUE"""),"Среднеспелый крупноплодный сорт, является национальным стандартом Украины")</f>
        <v>Среднеспелый крупноплодный сорт, является национальным стандартом Украины</v>
      </c>
      <c r="K319" s="6" t="str">
        <f>IFERROR(__xludf.DUMMYFUNCTION("""COMPUTED_VALUE""")," Плоды массой 10-15 кг, тупоэллептические")</f>
        <v> Плоды массой 10-15 кг, тупоэллептические</v>
      </c>
      <c r="L319" s="6" t="str">
        <f>IFERROR(__xludf.DUMMYFUNCTION("""COMPUTED_VALUE""")," Мякоть малиновая, зернистая, не ослизняется, а усыхает, очень сладкая")</f>
        <v> Мякоть малиновая, зернистая, не ослизняется, а усыхает, очень сладкая</v>
      </c>
      <c r="M319" s="6" t="str">
        <f>IFERROR(__xludf.DUMMYFUNCTION("""COMPUTED_VALUE""")," Семена белые, среднего размера")</f>
        <v> Семена белые, среднего размера</v>
      </c>
      <c r="N319" s="6" t="str">
        <f>IFERROR(__xludf.DUMMYFUNCTION("""COMPUTED_VALUE""")," Сорт отличается очень хорошими вкусовыми качествами плодов ")</f>
        <v> Сорт отличается очень хорошими вкусовыми качествами плодов </v>
      </c>
    </row>
    <row r="320">
      <c r="A320" s="14" t="s">
        <v>1368</v>
      </c>
      <c r="I320" s="55" t="str">
        <f>IFERROR(__xludf.DUMMYFUNCTION("SPLIT(A320,""."")"),"Чарльстон грей")</f>
        <v>Чарльстон грей</v>
      </c>
      <c r="J320" s="6" t="str">
        <f>IFERROR(__xludf.DUMMYFUNCTION("""COMPUTED_VALUE"""),"Среднеспелый сорт")</f>
        <v>Среднеспелый сорт</v>
      </c>
      <c r="K320" s="6" t="str">
        <f>IFERROR(__xludf.DUMMYFUNCTION("""COMPUTED_VALUE""")," Вегетационный период от всходов до технической спелости 75-95дней")</f>
        <v> Вегетационный период от всходов до технической спелости 75-95дней</v>
      </c>
      <c r="L320" s="6" t="str">
        <f>IFERROR(__xludf.DUMMYFUNCTION("""COMPUTED_VALUE""")," Мякоть хрустящая, темно-красная, без прожилок, очень сладкая, сочная и
ароматная")</f>
        <v> Мякоть хрустящая, темно-красная, без прожилок, очень сладкая, сочная и
ароматная</v>
      </c>
      <c r="M320" s="6" t="str">
        <f>IFERROR(__xludf.DUMMYFUNCTION("""COMPUTED_VALUE""")," Плоды крупные, светло-зеленого цвета с темно-зелеными прожилками,овальной формы, массой 10-12 кг")</f>
        <v> Плоды крупные, светло-зеленого цвета с темно-зелеными прожилками,овальной формы, массой 10-12 кг</v>
      </c>
    </row>
    <row r="321">
      <c r="A321" s="11" t="s">
        <v>1372</v>
      </c>
      <c r="I321" s="55" t="str">
        <f>IFERROR(__xludf.DUMMYFUNCTION("SPLIT(A321,""."")"),"Холодок")</f>
        <v>Холодок</v>
      </c>
      <c r="J321" s="6" t="str">
        <f>IFERROR(__xludf.DUMMYFUNCTION("""COMPUTED_VALUE"""),"Среднепоздний сорт, очень лежкий и транспортабельный")</f>
        <v>Среднепоздний сорт, очень лежкий и транспортабельный</v>
      </c>
      <c r="K321" s="6" t="str">
        <f>IFERROR(__xludf.DUMMYFUNCTION("""COMPUTED_VALUE""")," Растение мощное,длинноплетистое")</f>
        <v> Растение мощное,длинноплетистое</v>
      </c>
      <c r="L321" s="6" t="str">
        <f>IFERROR(__xludf.DUMMYFUNCTION("""COMPUTED_VALUE""")," Плод удлиненно-шаровидный, крупный")</f>
        <v> Плод удлиненно-шаровидный, крупный</v>
      </c>
      <c r="M321" s="6" t="str">
        <f>IFERROR(__xludf.DUMMYFUNCTION("""COMPUTED_VALUE""")," Мякоть интенсивно-красная, с розовым оттенком, зернистая, нежная, сладкая, сочная")</f>
        <v> Мякоть интенсивно-красная, с розовым оттенком, зернистая, нежная, сладкая, сочная</v>
      </c>
      <c r="N321" s="6" t="str">
        <f>IFERROR(__xludf.DUMMYFUNCTION("""COMPUTED_VALUE""")," Хранится до Нового года")</f>
        <v> Хранится до Нового года</v>
      </c>
    </row>
    <row r="322">
      <c r="A322" s="14" t="s">
        <v>1376</v>
      </c>
      <c r="I322" s="55" t="str">
        <f>IFERROR(__xludf.DUMMYFUNCTION("SPLIT(A322,""."")"),"Широненский")</f>
        <v>Широненский</v>
      </c>
      <c r="J322" s="6" t="str">
        <f>IFERROR(__xludf.DUMMYFUNCTION("""COMPUTED_VALUE"""),"Раннеспелый, транспортабельный, пригоден для одноразовых сборов, лежкий")</f>
        <v>Раннеспелый, транспортабельный, пригоден для одноразовых сборов, лежкий</v>
      </c>
      <c r="K322" s="6" t="str">
        <f>IFERROR(__xludf.DUMMYFUNCTION("""COMPUTED_VALUE"""),"
Вегетационный период 84 дня")</f>
        <v>
Вегетационный период 84 дня</v>
      </c>
      <c r="L322" s="6" t="str">
        <f>IFERROR(__xludf.DUMMYFUNCTION("""COMPUTED_VALUE""")," Плод округлый, гладкий, массой 2,7-2,8 кг")</f>
        <v> Плод округлый, гладкий, массой 2,7-2,8 кг</v>
      </c>
      <c r="M322" s="6" t="str">
        <f>IFERROR(__xludf.DUMMYFUNCTION("""COMPUTED_VALUE""")," Рисунок в виде салатных полосок со слабым восковым налетом, без сетки")</f>
        <v> Рисунок в виде салатных полосок со слабым восковым налетом, без сетки</v>
      </c>
      <c r="N322" s="6" t="str">
        <f>IFERROR(__xludf.DUMMYFUNCTION("""COMPUTED_VALUE""")," Мякоть розово-малиновая,")</f>
        <v> Мякоть розово-малиновая,</v>
      </c>
    </row>
    <row r="323">
      <c r="A323" s="14" t="s">
        <v>1380</v>
      </c>
      <c r="I323" s="55" t="str">
        <f>IFERROR(__xludf.DUMMYFUNCTION("SPLIT(A323,""."")"),"Ярыло")</f>
        <v>Ярыло</v>
      </c>
      <c r="J323" s="6" t="str">
        <f>IFERROR(__xludf.DUMMYFUNCTION("""COMPUTED_VALUE"""),"Сорт раннеспелый, от всходов до первого сбора 65-75 дней")</f>
        <v>Сорт раннеспелый, от всходов до первого сбора 65-75 дней</v>
      </c>
      <c r="K323" s="6" t="str">
        <f>IFERROR(__xludf.DUMMYFUNCTION("""COMPUTED_VALUE""")," Относительно устойчив к
фузариозному увяданию, бактериозу, антракнозу")</f>
        <v> Относительно устойчив к
фузариозному увяданию, бактериозу, антракнозу</v>
      </c>
      <c r="L323" s="6" t="str">
        <f>IFERROR(__xludf.DUMMYFUNCTION("""COMPUTED_VALUE""")," Плоды шаровидные, гладкие с темно-зеленой окраской фона и еле заметными рисунками")</f>
        <v> Плоды шаровидные, гладкие с темно-зеленой окраской фона и еле заметными рисунками</v>
      </c>
      <c r="M323" s="6" t="str">
        <f>IFERROR(__xludf.DUMMYFUNCTION("""COMPUTED_VALUE""")," Мякоть карминно-красная, сочная,")</f>
        <v> Мякоть карминно-красная, сочная,</v>
      </c>
    </row>
    <row r="324">
      <c r="A324" s="11" t="s">
        <v>1383</v>
      </c>
      <c r="I324" s="55" t="str">
        <f>IFERROR(__xludf.DUMMYFUNCTION("SPLIT(A324,""."")"),"Алушта")</f>
        <v>Алушта</v>
      </c>
      <c r="J324" s="6" t="str">
        <f>IFERROR(__xludf.DUMMYFUNCTION("""COMPUTED_VALUE"""),"Сорт ранний, устойчивый к воздушной и грунтовой засухе, транспортабельный")</f>
        <v>Сорт ранний, устойчивый к воздушной и грунтовой засухе, транспортабельный</v>
      </c>
      <c r="K324" s="6" t="str">
        <f>IFERROR(__xludf.DUMMYFUNCTION("""COMPUTED_VALUE""")," До сбора 77 дней")</f>
        <v> До сбора 77 дней</v>
      </c>
      <c r="L324" s="6" t="str">
        <f>IFERROR(__xludf.DUMMYFUNCTION("""COMPUTED_VALUE""")," Плод овальный, массой 1,8-2кг, поверхность слабо бугристая, желтая")</f>
        <v> Плод овальный, массой 1,8-2кг, поверхность слабо бугристая, желтая</v>
      </c>
      <c r="M324" s="6" t="str">
        <f>IFERROR(__xludf.DUMMYFUNCTION("""COMPUTED_VALUE""")," Мякоть белая, толстая, маслянистая, нежная, сладкая, сочная, з дынным ароматом")</f>
        <v> Мякоть белая, толстая, маслянистая, нежная, сладкая, сочная, з дынным ароматом</v>
      </c>
      <c r="N324" s="6" t="str">
        <f>IFERROR(__xludf.DUMMYFUNCTION("""COMPUTED_VALUE""")," Устойчив к антракнозу, мучнистой и серой гнили")</f>
        <v> Устойчив к антракнозу, мучнистой и серой гнили</v>
      </c>
    </row>
    <row r="325">
      <c r="A325" s="11" t="s">
        <v>1387</v>
      </c>
      <c r="I325" s="55" t="str">
        <f>IFERROR(__xludf.DUMMYFUNCTION("SPLIT(A325,""."")"),"Ананас")</f>
        <v>Ананас</v>
      </c>
      <c r="J325" s="6" t="str">
        <f>IFERROR(__xludf.DUMMYFUNCTION("""COMPUTED_VALUE"""),"Среднеспелый сорт")</f>
        <v>Среднеспелый сорт</v>
      </c>
      <c r="K325" s="6" t="str">
        <f>IFERROR(__xludf.DUMMYFUNCTION("""COMPUTED_VALUE""")," Вегетационный период от всходов до технической спелости 75-95 дней")</f>
        <v> Вегетационный период от всходов до технической спелости 75-95 дней</v>
      </c>
      <c r="L325" s="6" t="str">
        <f>IFERROR(__xludf.DUMMYFUNCTION("""COMPUTED_VALUE"""),"Плоды овальной формы, оранжевого цвета с сеткой на кожуре, длиной 14-16см, массой 2-2,5кг")</f>
        <v>Плоды овальной формы, оранжевого цвета с сеткой на кожуре, длиной 14-16см, массой 2-2,5кг</v>
      </c>
      <c r="M325" s="6" t="str">
        <f>IFERROR(__xludf.DUMMYFUNCTION("""COMPUTED_VALUE"""),"Мякоть белая, сочная, маслянистая и ароматная, по вкусу напоминает ананас")</f>
        <v>Мякоть белая, сочная, маслянистая и ароматная, по вкусу напоминает ананас</v>
      </c>
    </row>
    <row r="326">
      <c r="A326" s="11" t="s">
        <v>1390</v>
      </c>
      <c r="I326" s="55" t="str">
        <f>IFERROR(__xludf.DUMMYFUNCTION("SPLIT(A326,""."")"),"Амал F1")</f>
        <v>Амал F1</v>
      </c>
      <c r="J326" s="6" t="str">
        <f>IFERROR(__xludf.DUMMYFUNCTION("""COMPUTED_VALUE"""),"Раннеспелый гибрид дыни Ананасного сортотипа")</f>
        <v>Раннеспелый гибрид дыни Ананасного сортотипа</v>
      </c>
      <c r="K326" s="6" t="str">
        <f>IFERROR(__xludf.DUMMYFUNCTION("""COMPUTED_VALUE""")," Форма плода овальная, масса 1,8-2 кг, с крупной, ярко выраженной  сеткой на кожице")</f>
        <v> Форма плода овальная, масса 1,8-2 кг, с крупной, ярко выраженной  сеткой на кожице</v>
      </c>
      <c r="L326" s="6" t="str">
        <f>IFERROR(__xludf.DUMMYFUNCTION("""COMPUTED_VALUE""")," Мякоть белоснежная")</f>
        <v> Мякоть белоснежная</v>
      </c>
      <c r="M326" s="6" t="str">
        <f>IFERROR(__xludf.DUMMYFUNCTION("""COMPUTED_VALUE""")," Традиционный для данного типа вкус и запах")</f>
        <v> Традиционный для данного типа вкус и запах</v>
      </c>
      <c r="N326" s="6" t="str">
        <f>IFERROR(__xludf.DUMMYFUNCTION("""COMPUTED_VALUE""")," Гибрид устойчив к фузариозу, сухой гнили и ложной мучнистой росе")</f>
        <v> Гибрид устойчив к фузариозу, сухой гнили и ложной мучнистой росе</v>
      </c>
    </row>
    <row r="327">
      <c r="A327" s="11" t="s">
        <v>1393</v>
      </c>
      <c r="I327" s="55" t="str">
        <f>IFERROR(__xludf.DUMMYFUNCTION("SPLIT(A327,""."")"),"Берегиня")</f>
        <v>Берегиня</v>
      </c>
      <c r="J327" s="6" t="str">
        <f>IFERROR(__xludf.DUMMYFUNCTION("""COMPUTED_VALUE"""),"Раннеспелый (74-92 дня), высокопродуктивный сорт")</f>
        <v>Раннеспелый (74-92 дня), высокопродуктивный сорт</v>
      </c>
      <c r="K327" s="6" t="str">
        <f>IFERROR(__xludf.DUMMYFUNCTION("""COMPUTED_VALUE""")," Плоды короткоовальные или шаровидные, желто-оранжевого цвета, массой 2,5-3кг, отдельные до 5кг")</f>
        <v> Плоды короткоовальные или шаровидные, желто-оранжевого цвета, массой 2,5-3кг, отдельные до 5кг</v>
      </c>
      <c r="L327" s="6" t="str">
        <f>IFERROR(__xludf.DUMMYFUNCTION("""COMPUTED_VALUE""")," Кожица сетчатая, мякоть сочная, сладкая, очень ароматная")</f>
        <v> Кожица сетчатая, мякоть сочная, сладкая, очень ароматная</v>
      </c>
    </row>
    <row r="328">
      <c r="A328" s="14" t="s">
        <v>1397</v>
      </c>
      <c r="I328" s="55" t="str">
        <f>IFERROR(__xludf.DUMMYFUNCTION("SPLIT(A328,""."")"),"Дубовка")</f>
        <v>Дубовка</v>
      </c>
      <c r="J328" s="6" t="str">
        <f>IFERROR(__xludf.DUMMYFUNCTION("""COMPUTED_VALUE"""),"Среднеспелый сорт")</f>
        <v>Среднеспелый сорт</v>
      </c>
      <c r="K328" s="6" t="str">
        <f>IFERROR(__xludf.DUMMYFUNCTION("""COMPUTED_VALUE""")," Плоды крупные, округло-овальные, светло-желтые или желтые")</f>
        <v> Плоды крупные, округло-овальные, светло-желтые или желтые</v>
      </c>
      <c r="L328" s="6" t="str">
        <f>IFERROR(__xludf.DUMMYFUNCTION("""COMPUTED_VALUE""")," При дозревании весь плод покрыт мелкой сеткой")</f>
        <v> При дозревании весь плод покрыт мелкой сеткой</v>
      </c>
      <c r="M328" s="6" t="str">
        <f>IFERROR(__xludf.DUMMYFUNCTION("""COMPUTED_VALUE""")," Мякоть твердая, очень сладкая, сочная, ароматная")</f>
        <v> Мякоть твердая, очень сладкая, сочная, ароматная</v>
      </c>
      <c r="N328" s="6" t="str">
        <f>IFERROR(__xludf.DUMMYFUNCTION("""COMPUTED_VALUE""")," Теплолюбивое,
жаростойкое и засухоустойчивое растение")</f>
        <v> Теплолюбивое,
жаростойкое и засухоустойчивое растение</v>
      </c>
    </row>
    <row r="329">
      <c r="A329" s="11" t="s">
        <v>1401</v>
      </c>
      <c r="I329" s="55" t="str">
        <f>IFERROR(__xludf.DUMMYFUNCTION("SPLIT(A329,""."")"),"Золотистая")</f>
        <v>Золотистая</v>
      </c>
      <c r="J329" s="6" t="str">
        <f>IFERROR(__xludf.DUMMYFUNCTION("""COMPUTED_VALUE"""),"Раннеспелый, высокоурожайный (2-2,5 кг с кв")</f>
        <v>Раннеспелый, высокоурожайный (2-2,5 кг с кв</v>
      </c>
      <c r="K329" s="6" t="str">
        <f>IFERROR(__xludf.DUMMYFUNCTION("""COMPUTED_VALUE"""),"м) сорт")</f>
        <v>м) сорт</v>
      </c>
      <c r="L329" s="6" t="str">
        <f>IFERROR(__xludf.DUMMYFUNCTION("""COMPUTED_VALUE""")," От массовых всходов до первого сбора 80-85 дней")</f>
        <v> От массовых всходов до первого сбора 80-85 дней</v>
      </c>
      <c r="M329" s="6" t="str">
        <f>IFERROR(__xludf.DUMMYFUNCTION("""COMPUTED_VALUE"""),"Плоды округлые, крупные и средние, желто-оранжевые в сетке")</f>
        <v>Плоды округлые, крупные и средние, желто-оранжевые в сетке</v>
      </c>
      <c r="N329" s="6" t="str">
        <f>IFERROR(__xludf.DUMMYFUNCTION("""COMPUTED_VALUE""")," Мякоть белая, толстая, нежная, сладкая,высоких вкусовых качеств")</f>
        <v> Мякоть белая, толстая, нежная, сладкая,высоких вкусовых качеств</v>
      </c>
      <c r="O329" s="6" t="str">
        <f>IFERROR(__xludf.DUMMYFUNCTION("""COMPUTED_VALUE""")," Транспортабельность хорошая")</f>
        <v> Транспортабельность хорошая</v>
      </c>
    </row>
    <row r="330">
      <c r="A330" s="11" t="s">
        <v>1401</v>
      </c>
      <c r="I330" s="55" t="str">
        <f>IFERROR(__xludf.DUMMYFUNCTION("SPLIT(A330,""."")"),"Золотистая")</f>
        <v>Золотистая</v>
      </c>
      <c r="J330" s="6" t="str">
        <f>IFERROR(__xludf.DUMMYFUNCTION("""COMPUTED_VALUE"""),"Раннеспелый, высокоурожайный (2-2,5 кг с кв")</f>
        <v>Раннеспелый, высокоурожайный (2-2,5 кг с кв</v>
      </c>
      <c r="K330" s="6" t="str">
        <f>IFERROR(__xludf.DUMMYFUNCTION("""COMPUTED_VALUE"""),"м) сорт")</f>
        <v>м) сорт</v>
      </c>
      <c r="L330" s="6" t="str">
        <f>IFERROR(__xludf.DUMMYFUNCTION("""COMPUTED_VALUE""")," От массовых всходов до первого сбора 80-85 дней")</f>
        <v> От массовых всходов до первого сбора 80-85 дней</v>
      </c>
      <c r="M330" s="6" t="str">
        <f>IFERROR(__xludf.DUMMYFUNCTION("""COMPUTED_VALUE"""),"Плоды округлые, крупные и средние, желто-оранжевые в сетке")</f>
        <v>Плоды округлые, крупные и средние, желто-оранжевые в сетке</v>
      </c>
      <c r="N330" s="6" t="str">
        <f>IFERROR(__xludf.DUMMYFUNCTION("""COMPUTED_VALUE""")," Мякоть белая, толстая, нежная, сладкая,высоких вкусовых качеств")</f>
        <v> Мякоть белая, толстая, нежная, сладкая,высоких вкусовых качеств</v>
      </c>
      <c r="O330" s="6" t="str">
        <f>IFERROR(__xludf.DUMMYFUNCTION("""COMPUTED_VALUE""")," Транспортабельность хорошая")</f>
        <v> Транспортабельность хорошая</v>
      </c>
    </row>
    <row r="331">
      <c r="A331" s="11" t="s">
        <v>1405</v>
      </c>
      <c r="I331" s="55" t="str">
        <f>IFERROR(__xludf.DUMMYFUNCTION("SPLIT(A331,""."")"),"Инея")</f>
        <v>Инея</v>
      </c>
      <c r="J331" s="6" t="str">
        <f>IFERROR(__xludf.DUMMYFUNCTION("""COMPUTED_VALUE"""),"Сорт раннеспелый, урожайный")</f>
        <v>Сорт раннеспелый, урожайный</v>
      </c>
      <c r="K331" s="6" t="str">
        <f>IFERROR(__xludf.DUMMYFUNCTION("""COMPUTED_VALUE""")," Вегетационный период 75-90 дней")</f>
        <v> Вегетационный период 75-90 дней</v>
      </c>
      <c r="L331" s="6" t="str">
        <f>IFERROR(__xludf.DUMMYFUNCTION("""COMPUTED_VALUE""")," Плоды овальные, хорошего товарного вида,крупные, желтые, в сетке")</f>
        <v> Плоды овальные, хорошего товарного вида,крупные, желтые, в сетке</v>
      </c>
      <c r="M331" s="6" t="str">
        <f>IFERROR(__xludf.DUMMYFUNCTION("""COMPUTED_VALUE""")," Мякоть толстая, белая, нежная, тающая, очень сладкая")</f>
        <v> Мякоть толстая, белая, нежная, тающая, очень сладкая</v>
      </c>
    </row>
    <row r="332">
      <c r="A332" s="11" t="s">
        <v>1409</v>
      </c>
      <c r="I332" s="55" t="str">
        <f>IFERROR(__xludf.DUMMYFUNCTION("SPLIT(A332,""."")"),"Казачка 244")</f>
        <v>Казачка 244</v>
      </c>
      <c r="J332" s="6" t="str">
        <f>IFERROR(__xludf.DUMMYFUNCTION("""COMPUTED_VALUE"""),"Среднеспелый сорт, длинноплетистый")</f>
        <v>Среднеспелый сорт, длинноплетистый</v>
      </c>
      <c r="K332" s="6" t="str">
        <f>IFERROR(__xludf.DUMMYFUNCTION("""COMPUTED_VALUE""")," Период от всходов до начала технической спелости 95 дней")</f>
        <v> Период от всходов до начала технической спелости 95 дней</v>
      </c>
      <c r="L332" s="6" t="str">
        <f>IFERROR(__xludf.DUMMYFUNCTION("""COMPUTED_VALUE"""),"Плод гладкий, массой 1,2-1,8 кг")</f>
        <v>Плод гладкий, массой 1,2-1,8 кг</v>
      </c>
      <c r="M332" s="6" t="str">
        <f>IFERROR(__xludf.DUMMYFUNCTION("""COMPUTED_VALUE""")," Мякоть белая и бледно-зеленая, плотная, сладкая, хрустящая")</f>
        <v> Мякоть белая и бледно-зеленая, плотная, сладкая, хрустящая</v>
      </c>
    </row>
    <row r="333">
      <c r="A333" s="11" t="s">
        <v>1413</v>
      </c>
      <c r="I333" s="55" t="str">
        <f>IFERROR(__xludf.DUMMYFUNCTION("SPLIT(A333,""."")"),"Колхозница")</f>
        <v>Колхозница</v>
      </c>
      <c r="J333" s="6" t="str">
        <f>IFERROR(__xludf.DUMMYFUNCTION("""COMPUTED_VALUE"""),"Раннеспелая, приносит обильный урожай и всегда хорошо плодоносит")</f>
        <v>Раннеспелая, приносит обильный урожай и всегда хорошо плодоносит</v>
      </c>
      <c r="K333" s="6" t="str">
        <f>IFERROR(__xludf.DUMMYFUNCTION("""COMPUTED_VALUE""")," Вегетационный период 80 дней")</f>
        <v> Вегетационный период 80 дней</v>
      </c>
      <c r="L333" s="6" t="str">
        <f>IFERROR(__xludf.DUMMYFUNCTION("""COMPUTED_VALUE""")," Плоды округлые, гладкие, с сеткой на кожуре")</f>
        <v> Плоды округлые, гладкие, с сеткой на кожуре</v>
      </c>
      <c r="M333" s="6" t="str">
        <f>IFERROR(__xludf.DUMMYFUNCTION("""COMPUTED_VALUE""")," Мякоть мясистая, белая, сочная, маслянистая и очень ароматная")</f>
        <v> Мякоть мясистая, белая, сочная, маслянистая и очень ароматная</v>
      </c>
    </row>
    <row r="334">
      <c r="A334" s="11" t="s">
        <v>1416</v>
      </c>
      <c r="I334" s="55" t="str">
        <f>IFERROR(__xludf.DUMMYFUNCTION("SPLIT(A334,""."")"),"Криничанка")</f>
        <v>Криничанка</v>
      </c>
      <c r="J334" s="6" t="str">
        <f>IFERROR(__xludf.DUMMYFUNCTION("""COMPUTED_VALUE"""),"Сверхранний, устойчивый к недостатку тепла и солнечного освещения")</f>
        <v>Сверхранний, устойчивый к недостатку тепла и солнечного освещения</v>
      </c>
      <c r="K334" s="6" t="str">
        <f>IFERROR(__xludf.DUMMYFUNCTION("""COMPUTED_VALUE""")," До дозревания 70 дней")</f>
        <v> До дозревания 70 дней</v>
      </c>
      <c r="L334" s="6" t="str">
        <f>IFERROR(__xludf.DUMMYFUNCTION("""COMPUTED_VALUE""")," Плод овальный, большой, массой 2-2,4кг")</f>
        <v> Плод овальный, большой, массой 2-2,4кг</v>
      </c>
    </row>
    <row r="335">
      <c r="A335" s="14" t="s">
        <v>1419</v>
      </c>
      <c r="I335" s="55" t="str">
        <f>IFERROR(__xludf.DUMMYFUNCTION("SPLIT(A335,""."")"),"Леся")</f>
        <v>Леся</v>
      </c>
      <c r="J335" s="6" t="str">
        <f>IFERROR(__xludf.DUMMYFUNCTION("""COMPUTED_VALUE"""),"Сорт раннеспелый, сетчатого типа, предназначен для выращивания в открытом грунте")</f>
        <v>Сорт раннеспелый, сетчатого типа, предназначен для выращивания в открытом грунте</v>
      </c>
      <c r="K335" s="6" t="str">
        <f>IFERROR(__xludf.DUMMYFUNCTION("""COMPUTED_VALUE""")," Плоды овальные,массой 1,3-2,3 кг, кожица сетчатая, тонкая, желто-оранжевая")</f>
        <v> Плоды овальные,массой 1,3-2,3 кг, кожица сетчатая, тонкая, желто-оранжевая</v>
      </c>
      <c r="L335" s="6" t="str">
        <f>IFERROR(__xludf.DUMMYFUNCTION("""COMPUTED_VALUE""")," Мякоть белая, сочная, очень ароматная, с
высоким содержанием сахара, высоких вкусовых качеств")</f>
        <v> Мякоть белая, сочная, очень ароматная, с
высоким содержанием сахара, высоких вкусовых качеств</v>
      </c>
    </row>
    <row r="336">
      <c r="A336" s="11" t="s">
        <v>1423</v>
      </c>
      <c r="I336" s="55" t="str">
        <f>IFERROR(__xludf.DUMMYFUNCTION("SPLIT(A336,""."")"),"Медовый аромат")</f>
        <v>Медовый аромат</v>
      </c>
      <c r="J336" s="6" t="str">
        <f>IFERROR(__xludf.DUMMYFUNCTION("""COMPUTED_VALUE"""),"Средне-ранний сорт голландской селекции")</f>
        <v>Средне-ранний сорт голландской селекции</v>
      </c>
      <c r="K336" s="6" t="str">
        <f>IFERROR(__xludf.DUMMYFUNCTION("""COMPUTED_VALUE""")," Растение средней силы роста")</f>
        <v> Растение средней силы роста</v>
      </c>
      <c r="L336" s="6" t="str">
        <f>IFERROR(__xludf.DUMMYFUNCTION("""COMPUTED_VALUE""")," Плоды округлые с сетчатой кожурой, желто-коричневой окраски привлекательного внешнего вида, массой 1-1,2 кг")</f>
        <v> Плоды округлые с сетчатой кожурой, желто-коричневой окраски привлекательного внешнего вида, массой 1-1,2 кг</v>
      </c>
      <c r="M336" s="6" t="str">
        <f>IFERROR(__xludf.DUMMYFUNCTION("""COMPUTED_VALUE""")," Мякоть сочная, нежная, оранжевого цвета, с сильным ароматом")</f>
        <v> Мякоть сочная, нежная, оранжевого цвета, с сильным ароматом</v>
      </c>
      <c r="N336" s="6" t="str">
        <f>IFERROR(__xludf.DUMMYFUNCTION("""COMPUTED_VALUE""")," Вкусовые качества отличные")</f>
        <v> Вкусовые качества отличные</v>
      </c>
    </row>
    <row r="337">
      <c r="A337" s="11" t="s">
        <v>1426</v>
      </c>
      <c r="I337" s="55" t="str">
        <f>IFERROR(__xludf.DUMMYFUNCTION("SPLIT(A337,""."")"),"Титовка")</f>
        <v>Титовка</v>
      </c>
      <c r="J337" s="6" t="str">
        <f>IFERROR(__xludf.DUMMYFUNCTION("""COMPUTED_VALUE"""),"Ультрараннеспелый, холодостойкий сорт")</f>
        <v>Ультрараннеспелый, холодостойкий сорт</v>
      </c>
      <c r="K337" s="6" t="str">
        <f>IFERROR(__xludf.DUMMYFUNCTION("""COMPUTED_VALUE""")," В южных районах Украины поспевает на 55-65 день после всходов, а в западных областях – на 75-85 день")</f>
        <v> В южных районах Украины поспевает на 55-65 день после всходов, а в западных областях – на 75-85 день</v>
      </c>
      <c r="L337" s="6" t="str">
        <f>IFERROR(__xludf.DUMMYFUNCTION("""COMPUTED_VALUE""")," Плод короткоовальный, средней массой 1,5-3 кг")</f>
        <v> Плод короткоовальный, средней массой 1,5-3 кг</v>
      </c>
      <c r="M337" s="6" t="str">
        <f>IFERROR(__xludf.DUMMYFUNCTION("""COMPUTED_VALUE""")," Кожица желто-оранжевая, тонкая")</f>
        <v> Кожица желто-оранжевая, тонкая</v>
      </c>
    </row>
    <row r="338">
      <c r="A338" s="11" t="s">
        <v>1430</v>
      </c>
      <c r="I338" s="55" t="str">
        <f>IFERROR(__xludf.DUMMYFUNCTION("SPLIT(A338,""."")"),"Ефиопка")</f>
        <v>Ефиопка</v>
      </c>
      <c r="J338" s="6" t="str">
        <f>IFERROR(__xludf.DUMMYFUNCTION("""COMPUTED_VALUE""")," Середньоранній сорт")</f>
        <v> Середньоранній сорт</v>
      </c>
      <c r="K338" s="6" t="str">
        <f>IFERROR(__xludf.DUMMYFUNCTION("""COMPUTED_VALUE""")," Дозріває через 70-80 днів після появи сходів")</f>
        <v> Дозріває через 70-80 днів після появи сходів</v>
      </c>
      <c r="L338" s="6" t="str">
        <f>IFERROR(__xludf.DUMMYFUNCTION("""COMPUTED_VALUE""")," Рослини компактні,потужні")</f>
        <v> Рослини компактні,потужні</v>
      </c>
      <c r="M338" s="6" t="str">
        <f>IFERROR(__xludf.DUMMYFUNCTION("""COMPUTED_VALUE""")," Плоди овально-округлі, середні, великі і дуже великі")</f>
        <v> Плоди овально-округлі, середні, великі і дуже великі</v>
      </c>
      <c r="N338" s="6" t="str">
        <f>IFERROR(__xludf.DUMMYFUNCTION("""COMPUTED_VALUE""")," Маса плодів від 3,0 до 7,0")</f>
        <v> Маса плодів від 3,0 до 7,0</v>
      </c>
    </row>
    <row r="339">
      <c r="A339" s="14" t="s">
        <v>1434</v>
      </c>
      <c r="I339" s="55" t="str">
        <f>IFERROR(__xludf.DUMMYFUNCTION("SPLIT(A339,""."")"),"Приднестровская")</f>
        <v>Приднестровская</v>
      </c>
      <c r="J339" s="6" t="str">
        <f>IFERROR(__xludf.DUMMYFUNCTION("""COMPUTED_VALUE"""),"Раннеспелая, от всходов до первого сбора 70-75 дней")</f>
        <v>Раннеспелая, от всходов до первого сбора 70-75 дней</v>
      </c>
      <c r="K339" s="6" t="str">
        <f>IFERROR(__xludf.DUMMYFUNCTION("""COMPUTED_VALUE""")," Плод овальный, массой 0,7-1,8кг")</f>
        <v> Плод овальный, массой 0,7-1,8кг</v>
      </c>
      <c r="L339" s="6" t="str">
        <f>IFERROR(__xludf.DUMMYFUNCTION("""COMPUTED_VALUE""")," Поверхность гладкая,
желтая, сетка густая")</f>
        <v> Поверхность гладкая,
желтая, сетка густая</v>
      </c>
      <c r="M339" s="6" t="str">
        <f>IFERROR(__xludf.DUMMYFUNCTION("""COMPUTED_VALUE""")," Мякоть белая, толстая, хрустящая, сочная, сладкая")</f>
        <v> Мякоть белая, толстая, хрустящая, сочная, сладкая</v>
      </c>
      <c r="N339" s="6" t="str">
        <f>IFERROR(__xludf.DUMMYFUNCTION("""COMPUTED_VALUE""")," Аромат густой")</f>
        <v> Аромат густой</v>
      </c>
      <c r="O339" s="6" t="str">
        <f>IFERROR(__xludf.DUMMYFUNCTION("""COMPUTED_VALUE""")," Устойчив к мучнистой росе и бактериозу")</f>
        <v> Устойчив к мучнистой росе и бактериозу</v>
      </c>
    </row>
    <row r="340">
      <c r="A340" s="14" t="s">
        <v>1438</v>
      </c>
      <c r="I340" s="55" t="str">
        <f>IFERROR(__xludf.DUMMYFUNCTION("SPLIT(A340,""."")"),"Ранняя 133")</f>
        <v>Ранняя 133</v>
      </c>
      <c r="J340" s="6" t="str">
        <f>IFERROR(__xludf.DUMMYFUNCTION("""COMPUTED_VALUE"""),"Сорт раннеспелый, урожайный (до 2кг с 1кв")</f>
        <v>Сорт раннеспелый, урожайный (до 2кг с 1кв</v>
      </c>
      <c r="K340" s="6" t="str">
        <f>IFERROR(__xludf.DUMMYFUNCTION("""COMPUTED_VALUE"""),"м)")</f>
        <v>м)</v>
      </c>
      <c r="L340" s="6" t="str">
        <f>IFERROR(__xludf.DUMMYFUNCTION("""COMPUTED_VALUE""")," Вегетационный период 75-80дней")</f>
        <v> Вегетационный период 75-80дней</v>
      </c>
      <c r="M340" s="6" t="str">
        <f>IFERROR(__xludf.DUMMYFUNCTION("""COMPUTED_VALUE""")," Плоды хорошего товарного вида, округло-овальные, крупные, желтые, в сетке")</f>
        <v> Плоды хорошего товарного вида, округло-овальные, крупные, желтые, в сетке</v>
      </c>
      <c r="N340" s="6" t="str">
        <f>IFERROR(__xludf.DUMMYFUNCTION("""COMPUTED_VALUE""")," Мякоть белая, толстая, рассыпчато-плотная, нежная,
сладкая, хорошего вкуса")</f>
        <v> Мякоть белая, толстая, рассыпчато-плотная, нежная,
сладкая, хорошего вкуса</v>
      </c>
      <c r="O340" s="6" t="str">
        <f>IFERROR(__xludf.DUMMYFUNCTION("""COMPUTED_VALUE""")," Транспортабельный")</f>
        <v> Транспортабельный</v>
      </c>
    </row>
    <row r="341">
      <c r="A341" s="11" t="s">
        <v>1442</v>
      </c>
      <c r="I341" s="55" t="str">
        <f>IFERROR(__xludf.DUMMYFUNCTION("SPLIT(A341,""."")"),"Волжская серая 92")</f>
        <v>Волжская серая 92</v>
      </c>
      <c r="J341" s="6" t="str">
        <f>IFERROR(__xludf.DUMMYFUNCTION("""COMPUTED_VALUE"""),"Среднеспелый сорт, от всходов до начала уборки 102-121 день")</f>
        <v>Среднеспелый сорт, от всходов до начала уборки 102-121 день</v>
      </c>
      <c r="K341" s="6" t="str">
        <f>IFERROR(__xludf.DUMMYFUNCTION("""COMPUTED_VALUE""")," Плод массой 6-9кг, сплюснутой формы, светло-серой окраски, мякоть кремово-желтая, приятнийя вкус Сорт засухоустойчив, отличается хорошей лежкостью")</f>
        <v> Плод массой 6-9кг, сплюснутой формы, светло-серой окраски, мякоть кремово-желтая, приятнийя вкус Сорт засухоустойчив, отличается хорошей лежкостью</v>
      </c>
    </row>
    <row r="342">
      <c r="A342" s="11" t="s">
        <v>1446</v>
      </c>
      <c r="I342" s="55" t="str">
        <f>IFERROR(__xludf.DUMMYFUNCTION("SPLIT(A342,""."")"),"Гилея")</f>
        <v>Гилея</v>
      </c>
      <c r="J342" s="6" t="str">
        <f>IFERROR(__xludf.DUMMYFUNCTION("""COMPUTED_VALUE"""),"Мускатный, скороспелый, высокоурожайный сорт, вегетационный период 110 дней")</f>
        <v>Мускатный, скороспелый, высокоурожайный сорт, вегетационный период 110 дней</v>
      </c>
      <c r="K342" s="6" t="str">
        <f>IFERROR(__xludf.DUMMYFUNCTION("""COMPUTED_VALUE""")," Плод шаровидный или овальный, массой 6-9 кг")</f>
        <v> Плод шаровидный или овальный, массой 6-9 кг</v>
      </c>
      <c r="L342" s="6" t="str">
        <f>IFERROR(__xludf.DUMMYFUNCTION("""COMPUTED_VALUE""")," Содержит большое количество каротина и пектина")</f>
        <v> Содержит большое количество каротина и пектина</v>
      </c>
      <c r="M342" s="6" t="str">
        <f>IFERROR(__xludf.DUMMYFUNCTION("""COMPUTED_VALUE""")," Мякоть очень сладкая, ярко-красного цвета")</f>
        <v> Мякоть очень сладкая, ярко-красного цвета</v>
      </c>
      <c r="N342" s="6" t="str">
        <f>IFERROR(__xludf.DUMMYFUNCTION("""COMPUTED_VALUE""")," Отсутствует темно-зеленый слой под коркой")</f>
        <v> Отсутствует темно-зеленый слой под коркой</v>
      </c>
    </row>
    <row r="343">
      <c r="A343" s="11" t="s">
        <v>1450</v>
      </c>
      <c r="I343" s="55" t="str">
        <f>IFERROR(__xludf.DUMMYFUNCTION("SPLIT(A343,""."")"),"Миндальная 35")</f>
        <v>Миндальная 35</v>
      </c>
      <c r="J343" s="6" t="str">
        <f>IFERROR(__xludf.DUMMYFUNCTION("""COMPUTED_VALUE"""),"Растения длинноплетистые, мощные")</f>
        <v>Растения длинноплетистые, мощные</v>
      </c>
      <c r="K343" s="6" t="str">
        <f>IFERROR(__xludf.DUMMYFUNCTION("""COMPUTED_VALUE""")," Урожай до 4,4 кг/кв")</f>
        <v> Урожай до 4,4 кг/кв</v>
      </c>
      <c r="L343" s="6" t="str">
        <f>IFERROR(__xludf.DUMMYFUNCTION("""COMPUTED_VALUE"""),"м")</f>
        <v>м</v>
      </c>
      <c r="M343" s="6" t="str">
        <f>IFERROR(__xludf.DUMMYFUNCTION("""COMPUTED_VALUE""")," Особенности агротехники: для открытого грунта")</f>
        <v> Особенности агротехники: для открытого грунта</v>
      </c>
      <c r="N343" s="6" t="str">
        <f>IFERROR(__xludf.DUMMYFUNCTION("""COMPUTED_VALUE""")," Сроки созревания: среднеспелый, от всходов до технической спелости проходит 110-120 дней")</f>
        <v> Сроки созревания: среднеспелый, от всходов до технической спелости проходит 110-120 дней</v>
      </c>
      <c r="O343" s="6" t="str">
        <f>IFERROR(__xludf.DUMMYFUNCTION("""COMPUTED_VALUE"""),"Плоды гладкие или слабо ребристие массой до 3,8-5 кг")</f>
        <v>Плоды гладкие или слабо ребристие массой до 3,8-5 кг</v>
      </c>
    </row>
    <row r="344">
      <c r="A344" s="11" t="s">
        <v>1453</v>
      </c>
      <c r="I344" s="55" t="str">
        <f>IFERROR(__xludf.DUMMYFUNCTION("SPLIT(A344,""."")"),"Мускат де Прованс")</f>
        <v>Мускат де Прованс</v>
      </c>
      <c r="J344" s="6" t="str">
        <f>IFERROR(__xludf.DUMMYFUNCTION("""COMPUTED_VALUE""")," ")</f>
        <v> </v>
      </c>
      <c r="K344" s="6" t="str">
        <f>IFERROR(__xludf.DUMMYFUNCTION("""COMPUTED_VALUE"""),"Высокоурожайный среднеспелый (110-115 дней) сорт тыквы")</f>
        <v>Высокоурожайный среднеспелый (110-115 дней) сорт тыквы</v>
      </c>
      <c r="L344" s="6" t="str">
        <f>IFERROR(__xludf.DUMMYFUNCTION("""COMPUTED_VALUE""")," Растение мощное, формирует большие, красно-оранжевые, округло-приплюснутые плоды с сегментированной поверхностью")</f>
        <v> Растение мощное, формирует большие, красно-оранжевые, округло-приплюснутые плоды с сегментированной поверхностью</v>
      </c>
      <c r="M344" s="6" t="str">
        <f>IFERROR(__xludf.DUMMYFUNCTION("""COMPUTED_VALUE""")," Мякоть ярко оранжевая, плотнаяс высоким содержанием сахара")</f>
        <v> Мякоть ярко оранжевая, плотнаяс высоким содержанием сахара</v>
      </c>
    </row>
    <row r="345">
      <c r="A345" s="11" t="s">
        <v>1457</v>
      </c>
      <c r="I345" s="55" t="str">
        <f>IFERROR(__xludf.DUMMYFUNCTION("SPLIT(A345,""."")")," Голосеменная")</f>
        <v> Голосеменная</v>
      </c>
      <c r="J345" s="6" t="str">
        <f>IFERROR(__xludf.DUMMYFUNCTION("""COMPUTED_VALUE"""),"Сорт среднеспелый, теплолюбивый")</f>
        <v>Сорт среднеспелый, теплолюбивый</v>
      </c>
      <c r="K345" s="6" t="str">
        <f>IFERROR(__xludf.DUMMYFUNCTION("""COMPUTED_VALUE""")," Стебель длинный, стелющийся, сильноразветвленный")</f>
        <v> Стебель длинный, стелющийся, сильноразветвленный</v>
      </c>
      <c r="L345" s="6" t="str">
        <f>IFERROR(__xludf.DUMMYFUNCTION("""COMPUTED_VALUE""")," Женского типа цветения")</f>
        <v> Женского типа цветения</v>
      </c>
      <c r="M345" s="6" t="str">
        <f>IFERROR(__xludf.DUMMYFUNCTION("""COMPUTED_VALUE""")," Плоды высоких вкусовых качеств")</f>
        <v> Плоды высоких вкусовых качеств</v>
      </c>
      <c r="N345" s="6" t="str">
        <f>IFERROR(__xludf.DUMMYFUNCTION("""COMPUTED_VALUE""")," Мякоть ярко-желтая, сладкая")</f>
        <v> Мякоть ярко-желтая, сладкая</v>
      </c>
      <c r="O345" s="6" t="str">
        <f>IFERROR(__xludf.DUMMYFUNCTION("""COMPUTED_VALUE""")," Употребляют в свежем виде,изготавливают соки, варят, тушат, пекут")</f>
        <v> Употребляют в свежем виде,изготавливают соки, варят, тушат, пекут</v>
      </c>
    </row>
    <row r="346">
      <c r="A346" s="14" t="s">
        <v>1461</v>
      </c>
      <c r="I346" s="55" t="str">
        <f>IFERROR(__xludf.DUMMYFUNCTION("SPLIT(A346,""."")"),"Украинская многоплодная")</f>
        <v>Украинская многоплодная</v>
      </c>
      <c r="J346" s="6" t="str">
        <f>IFERROR(__xludf.DUMMYFUNCTION("""COMPUTED_VALUE"""),"Сорт раннеспелый, теплолюбивый")</f>
        <v>Сорт раннеспелый, теплолюбивый</v>
      </c>
      <c r="K346" s="6" t="str">
        <f>IFERROR(__xludf.DUMMYFUNCTION("""COMPUTED_VALUE""")," От посева до сбора плодов – 88-92 дня")</f>
        <v> От посева до сбора плодов – 88-92 дня</v>
      </c>
      <c r="L346" s="6" t="str">
        <f>IFERROR(__xludf.DUMMYFUNCTION("""COMPUTED_VALUE""")," Стебель длинный, стелющийся, до
10 м длиной")</f>
        <v> Стебель длинный, стелющийся, до
10 м длиной</v>
      </c>
      <c r="M346" s="6" t="str">
        <f>IFERROR(__xludf.DUMMYFUNCTION("""COMPUTED_VALUE""")," Женского типа цветения")</f>
        <v> Женского типа цветения</v>
      </c>
      <c r="N346" s="6" t="str">
        <f>IFERROR(__xludf.DUMMYFUNCTION("""COMPUTED_VALUE""")," Плоды высоких вкусовых качеств Мякоть желтая сладкая")</f>
        <v> Плоды высоких вкусовых качеств Мякоть желтая сладкая</v>
      </c>
      <c r="O346" s="6" t="str">
        <f>IFERROR(__xludf.DUMMYFUNCTION("""COMPUTED_VALUE"""),"Употребляют в свежем виде, изготавливают соки, варят, тушат, пекут")</f>
        <v>Употребляют в свежем виде, изготавливают соки, варят, тушат, пекут</v>
      </c>
    </row>
    <row r="347">
      <c r="A347" s="11" t="s">
        <v>1464</v>
      </c>
      <c r="I347" s="55" t="str">
        <f>IFERROR(__xludf.DUMMYFUNCTION("SPLIT(A347,""."")"),"Арабатськая")</f>
        <v>Арабатськая</v>
      </c>
      <c r="J347" s="6" t="str">
        <f>IFERROR(__xludf.DUMMYFUNCTION("""COMPUTED_VALUE""")," Сорт столового назначения, мускатного типа")</f>
        <v> Сорт столового назначения, мускатного типа</v>
      </c>
      <c r="K347" s="6" t="str">
        <f>IFERROR(__xludf.DUMMYFUNCTION("""COMPUTED_VALUE"""),"  Плоды удлиненно-цилиндрические, с утолщением возле основы, средней массой 5-9 кг, длиной 56 см и диаметром 13-14 см")</f>
        <v>  Плоды удлиненно-цилиндрические, с утолщением возле основы, средней массой 5-9 кг, длиной 56 см и диаметром 13-14 см</v>
      </c>
      <c r="L347" s="6" t="str">
        <f>IFERROR(__xludf.DUMMYFUNCTION("""COMPUTED_VALUE""")," Мякоть плотная, толстая, ярко-оранжевая, сочная, сладкая")</f>
        <v> Мякоть плотная, толстая, ярко-оранжевая, сочная, сладкая</v>
      </c>
      <c r="M347" s="6" t="str">
        <f>IFERROR(__xludf.DUMMYFUNCTION("""COMPUTED_VALUE""")," Поздняя, длинноплетистая, транспортабельная, лежкая")</f>
        <v> Поздняя, длинноплетистая, транспортабельная, лежкая</v>
      </c>
    </row>
    <row r="348">
      <c r="A348" s="11" t="s">
        <v>1468</v>
      </c>
      <c r="I348" s="55" t="str">
        <f>IFERROR(__xludf.DUMMYFUNCTION("SPLIT(A348,""."")"),"Аэронавт")</f>
        <v>Аэронавт</v>
      </c>
      <c r="J348" s="6" t="str">
        <f>IFERROR(__xludf.DUMMYFUNCTION("""COMPUTED_VALUE"""),"Сорт раннеспелый, в плодоношение вступает на 46 день")</f>
        <v>Сорт раннеспелый, в плодоношение вступает на 46 день</v>
      </c>
      <c r="K348" s="6" t="str">
        <f>IFERROR(__xludf.DUMMYFUNCTION("""COMPUTED_VALUE""")," Растение кустовое, компактное, плетей мало, главный побег короткий")</f>
        <v> Растение кустовое, компактное, плетей мало, главный побег короткий</v>
      </c>
      <c r="L348" s="6" t="str">
        <f>IFERROR(__xludf.DUMMYFUNCTION("""COMPUTED_VALUE""")," Плод цилиндрический, гладкий, темно-зеленый, массой 1,3 кг")</f>
        <v> Плод цилиндрический, гладкий, темно-зеленый, массой 1,3 кг</v>
      </c>
      <c r="M348" s="6" t="str">
        <f>IFERROR(__xludf.DUMMYFUNCTION("""COMPUTED_VALUE""")," Кора тонкая")</f>
        <v> Кора тонкая</v>
      </c>
      <c r="N348" s="6" t="str">
        <f>IFERROR(__xludf.DUMMYFUNCTION("""COMPUTED_VALUE""")," Мякоть белая, плотная, нежная, сочная, вкусная")</f>
        <v> Мякоть белая, плотная, нежная, сочная, вкусная</v>
      </c>
    </row>
    <row r="349">
      <c r="A349" s="11" t="s">
        <v>1471</v>
      </c>
      <c r="I349" s="55" t="str">
        <f>IFERROR(__xludf.DUMMYFUNCTION("SPLIT(A349,""."")"),"Анаконда")</f>
        <v>Анаконда</v>
      </c>
      <c r="J349" s="6" t="str">
        <f>IFERROR(__xludf.DUMMYFUNCTION("""COMPUTED_VALUE""")," Смесь четырех самых лучших  сортов кабачка, раннеспелых,кустовых с одинаковыми сроками созревания")</f>
        <v> Смесь четырех самых лучших  сортов кабачка, раннеспелых,кустовых с одинаковыми сроками созревания</v>
      </c>
    </row>
    <row r="350">
      <c r="A350" s="11" t="s">
        <v>1475</v>
      </c>
      <c r="I350" s="55" t="str">
        <f>IFERROR(__xludf.DUMMYFUNCTION("SPLIT(A350,""."")"),"Белоплодный")</f>
        <v>Белоплодный</v>
      </c>
      <c r="J350" s="6" t="str">
        <f>IFERROR(__xludf.DUMMYFUNCTION("""COMPUTED_VALUE"""),"Раннеспелый, очень высокоурожайный сорт")</f>
        <v>Раннеспелый, очень высокоурожайный сорт</v>
      </c>
      <c r="K350" s="6" t="str">
        <f>IFERROR(__xludf.DUMMYFUNCTION("""COMPUTED_VALUE""")," Растение кустовое, с большим количеством женских цветков, что обеспечивает большую отдачу урожая")</f>
        <v> Растение кустовое, с большим количеством женских цветков, что обеспечивает большую отдачу урожая</v>
      </c>
      <c r="L350" s="6" t="str">
        <f>IFERROR(__xludf.DUMMYFUNCTION("""COMPUTED_VALUE""")," Плод цилиндрический, с небольшим сужением к плодоножке, беловатый, массой 0,6-0,9 кг")</f>
        <v> Плод цилиндрический, с небольшим сужением к плодоножке, беловатый, массой 0,6-0,9 кг</v>
      </c>
      <c r="M350" s="6" t="str">
        <f>IFERROR(__xludf.DUMMYFUNCTION("""COMPUTED_VALUE""")," Мякоть белая или светло-кремовая, средней плотности")</f>
        <v> Мякоть белая или светло-кремовая, средней плотности</v>
      </c>
    </row>
    <row r="351">
      <c r="A351" s="11" t="s">
        <v>1478</v>
      </c>
      <c r="I351" s="55" t="str">
        <f>IFERROR(__xludf.DUMMYFUNCTION("SPLIT(A351,""."")"),"Вайт-Буш F1")</f>
        <v>Вайт-Буш F1</v>
      </c>
      <c r="J351" s="6" t="str">
        <f>IFERROR(__xludf.DUMMYFUNCTION("""COMPUTED_VALUE"""),"Раннеспелый сорт зарубежной селекции")</f>
        <v>Раннеспелый сорт зарубежной селекции</v>
      </c>
      <c r="K351" s="6" t="str">
        <f>IFERROR(__xludf.DUMMYFUNCTION("""COMPUTED_VALUE""")," В плодоношение вступает на 40-45 день")</f>
        <v> В плодоношение вступает на 40-45 день</v>
      </c>
      <c r="L351" s="6" t="str">
        <f>IFERROR(__xludf.DUMMYFUNCTION("""COMPUTED_VALUE""")," Растение кустовое, плоды белые мякоть бело-кремовая, плотная, сочная, вкусная")</f>
        <v> Растение кустовое, плоды белые мякоть бело-кремовая, плотная, сочная, вкусная</v>
      </c>
      <c r="M351" s="6" t="str">
        <f>IFERROR(__xludf.DUMMYFUNCTION("""COMPUTED_VALUE""")," Урожайность более 12 кг м2")</f>
        <v> Урожайность более 12 кг м2</v>
      </c>
      <c r="N351" s="6" t="str">
        <f>IFERROR(__xludf.DUMMYFUNCTION("""COMPUTED_VALUE""")," Транспортабельность хорошая")</f>
        <v> Транспортабельность хорошая</v>
      </c>
      <c r="O351" s="6" t="str">
        <f>IFERROR(__xludf.DUMMYFUNCTION("""COMPUTED_VALUE""")," Созревшие плоды хорошо сохраняются")</f>
        <v> Созревшие плоды хорошо сохраняются</v>
      </c>
    </row>
    <row r="352">
      <c r="A352" s="11" t="s">
        <v>1482</v>
      </c>
      <c r="I352" s="55" t="str">
        <f>IFERROR(__xludf.DUMMYFUNCTION("SPLIT(A352,""."")"),"Грибовский 37")</f>
        <v>Грибовский 37</v>
      </c>
      <c r="J352" s="6" t="str">
        <f>IFERROR(__xludf.DUMMYFUNCTION("""COMPUTED_VALUE"""),"Сорт скороспелый, урожайный")</f>
        <v>Сорт скороспелый, урожайный</v>
      </c>
      <c r="K352" s="6" t="str">
        <f>IFERROR(__xludf.DUMMYFUNCTION("""COMPUTED_VALUE""")," Плод цилиндрический, гладкий, бледно-зеленый")</f>
        <v> Плод цилиндрический, гладкий, бледно-зеленый</v>
      </c>
      <c r="L352" s="6" t="str">
        <f>IFERROR(__xludf.DUMMYFUNCTION("""COMPUTED_VALUE""")," Выращивают в открытом и защищенном грунте")</f>
        <v> Выращивают в открытом и защищенном грунте</v>
      </c>
      <c r="M352" s="6" t="str">
        <f>IFERROR(__xludf.DUMMYFUNCTION("""COMPUTED_VALUE""")," Урожайная, болезнестойкая культура")</f>
        <v> Урожайная, болезнестойкая культура</v>
      </c>
      <c r="N352" s="6" t="str">
        <f>IFERROR(__xludf.DUMMYFUNCTION("""COMPUTED_VALUE""")," Для получения ранней продукции высаживают 20-25 апреля в укрытие")</f>
        <v> Для получения ранней продукции высаживают 20-25 апреля в укрытие</v>
      </c>
    </row>
    <row r="353">
      <c r="A353" s="11" t="s">
        <v>1485</v>
      </c>
      <c r="I353" s="55" t="str">
        <f>IFERROR(__xludf.DUMMYFUNCTION("SPLIT(A353,""."")"),"Зебра")</f>
        <v>Зебра</v>
      </c>
      <c r="J353" s="6" t="str">
        <f>IFERROR(__xludf.DUMMYFUNCTION("""COMPUTED_VALUE"""),"Сорт раннеспелый, в плодоношение вступает на 38-й день")</f>
        <v>Сорт раннеспелый, в плодоношение вступает на 38-й день</v>
      </c>
      <c r="K353" s="6" t="str">
        <f>IFERROR(__xludf.DUMMYFUNCTION("""COMPUTED_VALUE""")," Растение кустовое, компактное, плетей мало, главный стебель короткий")</f>
        <v> Растение кустовое, компактное, плетей мало, главный стебель короткий</v>
      </c>
      <c r="L353" s="6" t="str">
        <f>IFERROR(__xludf.DUMMYFUNCTION("""COMPUTED_VALUE""")," Плод цилиндрический, массой 0,5 кг, светло-зеленый, рисунок – широкие продольные темно-зеленые полосы")</f>
        <v> Плод цилиндрический, массой 0,5 кг, светло-зеленый, рисунок – широкие продольные темно-зеленые полосы</v>
      </c>
      <c r="M353" s="6" t="str">
        <f>IFERROR(__xludf.DUMMYFUNCTION("""COMPUTED_VALUE""")," Мякоть белая, хрустящая, плотная, нежная, сочная")</f>
        <v> Мякоть белая, хрустящая, плотная, нежная, сочная</v>
      </c>
    </row>
    <row r="354">
      <c r="A354" s="11" t="s">
        <v>1488</v>
      </c>
      <c r="I354" s="55" t="str">
        <f>IFERROR(__xludf.DUMMYFUNCTION("SPLIT(A354,""."")"),"Золотинка")</f>
        <v>Золотинка</v>
      </c>
      <c r="J354" s="6" t="str">
        <f>IFERROR(__xludf.DUMMYFUNCTION("""COMPUTED_VALUE"""),"Сорт раннеспелый, в плодоношение вступает на 46 день, от появления всходов")</f>
        <v>Сорт раннеспелый, в плодоношение вступает на 46 день, от появления всходов</v>
      </c>
      <c r="K354" s="6" t="str">
        <f>IFERROR(__xludf.DUMMYFUNCTION("""COMPUTED_VALUE""")," Растение кустовое, компактное")</f>
        <v> Растение кустовое, компактное</v>
      </c>
      <c r="L354" s="6" t="str">
        <f>IFERROR(__xludf.DUMMYFUNCTION("""COMPUTED_VALUE""")," Плоды удлинённо- цилиндрические, золотисто- желтого цвета, массой 1-1,5кг,  хорошо транспортируются и сохраняются")</f>
        <v> Плоды удлинённо- цилиндрические, золотисто- желтого цвета, массой 1-1,5кг,  хорошо транспортируются и сохраняются</v>
      </c>
    </row>
    <row r="355">
      <c r="A355" s="11" t="s">
        <v>1490</v>
      </c>
      <c r="I355" s="55" t="str">
        <f>IFERROR(__xludf.DUMMYFUNCTION("SPLIT(A355,""."")"),"Кустовой")</f>
        <v>Кустовой</v>
      </c>
      <c r="J355" s="6" t="str">
        <f>IFERROR(__xludf.DUMMYFUNCTION("""COMPUTED_VALUE"""),"Раннеспелый, урожайный сорт")</f>
        <v>Раннеспелый, урожайный сорт</v>
      </c>
      <c r="K355" s="6" t="str">
        <f>IFERROR(__xludf.DUMMYFUNCTION("""COMPUTED_VALUE""")," В плодоношение вступает на 40-45 день")</f>
        <v> В плодоношение вступает на 40-45 день</v>
      </c>
      <c r="L355" s="6" t="str">
        <f>IFERROR(__xludf.DUMMYFUNCTION("""COMPUTED_VALUE""")," Кустовой, с куста снимают до 10 плодов средней массой 0,5 кг")</f>
        <v> Кустовой, с куста снимают до 10 плодов средней массой 0,5 кг</v>
      </c>
      <c r="M355" s="6" t="str">
        <f>IFERROR(__xludf.DUMMYFUNCTION("""COMPUTED_VALUE""")," В открытый грунт высевают в конце мая на глубину 5-6 см в рыхлой почве, в плотной – на 3-4 см")</f>
        <v> В открытый грунт высевают в конце мая на глубину 5-6 см в рыхлой почве, в плотной – на 3-4 см</v>
      </c>
    </row>
    <row r="356">
      <c r="A356" s="11" t="s">
        <v>1494</v>
      </c>
      <c r="I356" s="55" t="str">
        <f>IFERROR(__xludf.DUMMYFUNCTION("SPLIT(A356,""."")"),"Одесский")</f>
        <v>Одесский</v>
      </c>
      <c r="J356" s="6" t="str">
        <f>IFERROR(__xludf.DUMMYFUNCTION("""COMPUTED_VALUE"""),"Сорт скороспелый (от всходов до технической спелости — 40-41 день)")</f>
        <v>Сорт скороспелый (от всходов до технической спелости — 40-41 день)</v>
      </c>
      <c r="K356" s="6" t="str">
        <f>IFERROR(__xludf.DUMMYFUNCTION("""COMPUTED_VALUE""")," Растение кустовое")</f>
        <v> Растение кустовое</v>
      </c>
      <c r="L356" s="6" t="str">
        <f>IFERROR(__xludf.DUMMYFUNCTION("""COMPUTED_VALUE""")," Плод цилиндрический, гладкий, молочной или бледно-зеленой окраски")</f>
        <v> Плод цилиндрический, гладкий, молочной или бледно-зеленой окраски</v>
      </c>
      <c r="M356" s="6" t="str">
        <f>IFERROR(__xludf.DUMMYFUNCTION("""COMPUTED_VALUE""")," Мякоть в технической спелости светло-желтая или розовато-желтая")</f>
        <v> Мякоть в технической спелости светло-желтая или розовато-желтая</v>
      </c>
      <c r="N356" s="6" t="str">
        <f>IFERROR(__xludf.DUMMYFUNCTION("""COMPUTED_VALUE""")," Устойчив к болезням")</f>
        <v> Устойчив к болезням</v>
      </c>
    </row>
    <row r="357">
      <c r="A357" s="11" t="s">
        <v>1496</v>
      </c>
      <c r="I357" s="55" t="str">
        <f>IFERROR(__xludf.DUMMYFUNCTION("SPLIT(A357,""."")"),"Черный красавец")</f>
        <v>Черный красавец</v>
      </c>
      <c r="J357" s="6" t="str">
        <f>IFERROR(__xludf.DUMMYFUNCTION("""COMPUTED_VALUE"""),"Раннеспелый сорт")</f>
        <v>Раннеспелый сорт</v>
      </c>
      <c r="K357" s="6" t="str">
        <f>IFERROR(__xludf.DUMMYFUNCTION("""COMPUTED_VALUE""")," Растение кустовое, компактное, плетей мало, главный побег короткий")</f>
        <v> Растение кустовое, компактное, плетей мало, главный побег короткий</v>
      </c>
      <c r="L357" s="6" t="str">
        <f>IFERROR(__xludf.DUMMYFUNCTION("""COMPUTED_VALUE""")," Плод удлиненно-цилиндрический, гладкий, темно-зеленый")</f>
        <v> Плод удлиненно-цилиндрический, гладкий, темно-зеленый</v>
      </c>
      <c r="M357" s="6" t="str">
        <f>IFERROR(__xludf.DUMMYFUNCTION("""COMPUTED_VALUE""")," Кора тонкая")</f>
        <v> Кора тонкая</v>
      </c>
      <c r="N357" s="6" t="str">
        <f>IFERROR(__xludf.DUMMYFUNCTION("""COMPUTED_VALUE""")," Мякоть белая, плотная, нежная, сочная, вкусная")</f>
        <v> Мякоть белая, плотная, нежная, сочная, вкусная</v>
      </c>
      <c r="O357" s="6" t="str">
        <f>IFERROR(__xludf.DUMMYFUNCTION("""COMPUTED_VALUE""")," Транспортабельность и лежкость хорошие")</f>
        <v> Транспортабельность и лежкость хорошие</v>
      </c>
    </row>
    <row r="358">
      <c r="A358" s="11" t="s">
        <v>1500</v>
      </c>
      <c r="I358" s="55" t="str">
        <f>IFERROR(__xludf.DUMMYFUNCTION("SPLIT(A358,""."")"),"Ролик")</f>
        <v>Ролик</v>
      </c>
      <c r="J358" s="6" t="str">
        <f>IFERROR(__xludf.DUMMYFUNCTION("""COMPUTED_VALUE"""),"Сорт ультраскороспелый")</f>
        <v>Сорт ультраскороспелый</v>
      </c>
      <c r="K358" s="6" t="str">
        <f>IFERROR(__xludf.DUMMYFUNCTION("""COMPUTED_VALUE""")," Одновременно формирует 3-5 плодов")</f>
        <v> Одновременно формирует 3-5 плодов</v>
      </c>
      <c r="L358" s="6" t="str">
        <f>IFERROR(__xludf.DUMMYFUNCTION("""COMPUTED_VALUE""")," Растение кустовое с укороченными междоузлиями")</f>
        <v> Растение кустовое с укороченными междоузлиями</v>
      </c>
      <c r="M358" s="6" t="str">
        <f>IFERROR(__xludf.DUMMYFUNCTION("""COMPUTED_VALUE""")," Плод овальный, гладкий")</f>
        <v> Плод овальный, гладкий</v>
      </c>
      <c r="N358" s="6" t="str">
        <f>IFERROR(__xludf.DUMMYFUNCTION("""COMPUTED_VALUE""")," Сетка и рисунок отсутствуют")</f>
        <v> Сетка и рисунок отсутствуют</v>
      </c>
      <c r="O358" s="6" t="str">
        <f>IFERROR(__xludf.DUMMYFUNCTION("""COMPUTED_VALUE""")," Мякоть в товарной спелости светло-зеленая, плотная")</f>
        <v> Мякоть в товарной спелости светло-зеленая, плотная</v>
      </c>
      <c r="P358" s="6" t="str">
        <f>IFERROR(__xludf.DUMMYFUNCTION("""COMPUTED_VALUE""")," Транспортабельность хорошая")</f>
        <v> Транспортабельность хорошая</v>
      </c>
      <c r="Q358" s="6" t="str">
        <f>IFERROR(__xludf.DUMMYFUNCTION("""COMPUTED_VALUE""")," Сорт устойчив к пониженным температурам")</f>
        <v> Сорт устойчив к пониженным температурам</v>
      </c>
    </row>
    <row r="359">
      <c r="A359" s="11" t="s">
        <v>1503</v>
      </c>
      <c r="I359" s="55" t="str">
        <f>IFERROR(__xludf.DUMMYFUNCTION("SPLIT(A359,""."")"),"Скворушка")</f>
        <v>Скворушка</v>
      </c>
      <c r="J359" s="6" t="str">
        <f>IFERROR(__xludf.DUMMYFUNCTION("""COMPUTED_VALUE"""),"Раннеспелый, кустовой сорт с интенсивным ростом плодов и дружным созреванием")</f>
        <v>Раннеспелый, кустовой сорт с интенсивным ростом плодов и дружным созреванием</v>
      </c>
      <c r="K359" s="6" t="str">
        <f>IFERROR(__xludf.DUMMYFUNCTION("""COMPUTED_VALUE""")," До начала плодоношения 35-40 дней")</f>
        <v> До начала плодоношения 35-40 дней</v>
      </c>
      <c r="L359" s="6" t="str">
        <f>IFERROR(__xludf.DUMMYFUNCTION("""COMPUTED_VALUE""")," Сорт насыщен женскими цветками")</f>
        <v> Сорт насыщен женскими цветками</v>
      </c>
      <c r="M359" s="6" t="str">
        <f>IFERROR(__xludf.DUMMYFUNCTION("""COMPUTED_VALUE""")," Плод зелёный, цилиндрический, длиной  около 23см, массой 300-500г")</f>
        <v> Плод зелёный, цилиндрический, длиной  около 23см, массой 300-500г</v>
      </c>
      <c r="N359" s="6" t="str">
        <f>IFERROR(__xludf.DUMMYFUNCTION("""COMPUTED_VALUE""")," Мякоть светло-салатового цвета, сочная")</f>
        <v> Мякоть светло-салатового цвета, сочная</v>
      </c>
      <c r="O359" s="6" t="str">
        <f>IFERROR(__xludf.DUMMYFUNCTION("""COMPUTED_VALUE""")," Сорт относительно стойкий против болезней")</f>
        <v> Сорт относительно стойкий против болезней</v>
      </c>
    </row>
    <row r="360">
      <c r="A360" s="11" t="s">
        <v>1506</v>
      </c>
      <c r="I360" s="55" t="str">
        <f>IFERROR(__xludf.DUMMYFUNCTION("SPLIT(A360,""."")"),"Цукеша")</f>
        <v>Цукеша</v>
      </c>
      <c r="J360" s="6" t="str">
        <f>IFERROR(__xludf.DUMMYFUNCTION("""COMPUTED_VALUE"""),"Скороспелый, высокоурожайный сорт")</f>
        <v>Скороспелый, высокоурожайный сорт</v>
      </c>
      <c r="K360" s="6" t="str">
        <f>IFERROR(__xludf.DUMMYFUNCTION("""COMPUTED_VALUE""")," Вегетационный период от всходов до начала плодоношения 40-45 дней")</f>
        <v> Вегетационный период от всходов до начала плодоношения 40-45 дней</v>
      </c>
      <c r="L360" s="6" t="str">
        <f>IFERROR(__xludf.DUMMYFUNCTION("""COMPUTED_VALUE""")," Куст компактный, без боковых побегов")</f>
        <v> Куст компактный, без боковых побегов</v>
      </c>
      <c r="M360" s="6" t="str">
        <f>IFERROR(__xludf.DUMMYFUNCTION("""COMPUTED_VALUE""")," Плоды цилиндрической формы с гладкой поверхностью, темно-зеленые с мелкими крапинками")</f>
        <v> Плоды цилиндрической формы с гладкой поверхностью, темно-зеленые с мелкими крапинками</v>
      </c>
    </row>
    <row r="361">
      <c r="A361" s="11" t="s">
        <v>1509</v>
      </c>
      <c r="I361" s="55" t="str">
        <f>IFERROR(__xludf.DUMMYFUNCTION("SPLIT(A361,""."")"),"Чаклун")</f>
        <v>Чаклун</v>
      </c>
      <c r="J361" s="6" t="str">
        <f>IFERROR(__xludf.DUMMYFUNCTION("""COMPUTED_VALUE"""),"Раннеспелый сорт, от полных всходов до первого сбора плодов проходит 45 дней")</f>
        <v>Раннеспелый сорт, от полных всходов до первого сбора плодов проходит 45 дней</v>
      </c>
      <c r="K361" s="6" t="str">
        <f>IFERROR(__xludf.DUMMYFUNCTION("""COMPUTED_VALUE""")," Растение кустовой формы, компактное")</f>
        <v> Растение кустовой формы, компактное</v>
      </c>
      <c r="L361" s="6" t="str">
        <f>IFERROR(__xludf.DUMMYFUNCTION("""COMPUTED_VALUE""")," Характеризуется дружной отдачей урожая")</f>
        <v> Характеризуется дружной отдачей урожая</v>
      </c>
      <c r="M361" s="6" t="str">
        <f>IFERROR(__xludf.DUMMYFUNCTION("""COMPUTED_VALUE""")," Плоды цилиндрические, длиной 15-20 см, диаметром 5-7 см, массой 350 г, белые, слабо глянцевые")</f>
        <v> Плоды цилиндрические, длиной 15-20 см, диаметром 5-7 см, массой 350 г, белые, слабо глянцевые</v>
      </c>
    </row>
    <row r="362">
      <c r="A362" s="11" t="s">
        <v>1513</v>
      </c>
      <c r="I362" s="55" t="str">
        <f>IFERROR(__xludf.DUMMYFUNCTION("SPLIT(A362,""."")"),"Кавили F1")</f>
        <v>Кавили F1</v>
      </c>
      <c r="J362" s="6" t="str">
        <f>IFERROR(__xludf.DUMMYFUNCTION("""COMPUTED_VALUE"""),"Кустовой гибрид кабачка, используется для получения ультраранней и массовой продукции")</f>
        <v>Кустовой гибрид кабачка, используется для получения ультраранней и массовой продукции</v>
      </c>
      <c r="K362" s="6" t="str">
        <f>IFERROR(__xludf.DUMMYFUNCTION("""COMPUTED_VALUE""")," Отличается длительным периодом плодоношения (около 2 месяцев)")</f>
        <v> Отличается длительным периодом плодоношения (около 2 месяцев)</v>
      </c>
      <c r="L362" s="6" t="str">
        <f>IFERROR(__xludf.DUMMYFUNCTION("""COMPUTED_VALUE""")," Плоды цилиндрические, очень прямые, бело-зеленые с белой мякотью, очень однородные, с нежным вкусом")</f>
        <v> Плоды цилиндрические, очень прямые, бело-зеленые с белой мякотью, очень однородные, с нежным вкусом</v>
      </c>
    </row>
    <row r="363">
      <c r="A363" s="11" t="s">
        <v>1517</v>
      </c>
      <c r="I363" s="55" t="str">
        <f>IFERROR(__xludf.DUMMYFUNCTION("SPLIT(A363,""."")"),"Свитозар")</f>
        <v>Свитозар</v>
      </c>
      <c r="J363" s="6" t="str">
        <f>IFERROR(__xludf.DUMMYFUNCTION("""COMPUTED_VALUE"""),"Раннеспелый сорт, от массовых всходов до первого сбора плодов проходит 41-50 дней")</f>
        <v>Раннеспелый сорт, от массовых всходов до первого сбора плодов проходит 41-50 дней</v>
      </c>
      <c r="K363" s="6" t="str">
        <f>IFERROR(__xludf.DUMMYFUNCTION("""COMPUTED_VALUE""")," Растение кустовой формы, без боковых побегов")</f>
        <v> Растение кустовой формы, без боковых побегов</v>
      </c>
      <c r="L363" s="6" t="str">
        <f>IFERROR(__xludf.DUMMYFUNCTION("""COMPUTED_VALUE""")," Сортотип цуккини")</f>
        <v> Сортотип цуккини</v>
      </c>
      <c r="M363" s="6" t="str">
        <f>IFERROR(__xludf.DUMMYFUNCTION("""COMPUTED_VALUE""")," Плоды цилиндрические, гладкие, желтого цвета, длиной 26-30 см, массой 500-800 г")</f>
        <v> Плоды цилиндрические, гладкие, желтого цвета, длиной 26-30 см, массой 500-800 г</v>
      </c>
    </row>
    <row r="364">
      <c r="A364" s="11" t="s">
        <v>1521</v>
      </c>
      <c r="I364" s="55" t="str">
        <f>IFERROR(__xludf.DUMMYFUNCTION("SPLIT(A364,""."")"),"Патиссон Малахит")</f>
        <v>Патиссон Малахит</v>
      </c>
      <c r="J364" s="6" t="str">
        <f>IFERROR(__xludf.DUMMYFUNCTION("""COMPUTED_VALUE"""),"Раннеспелый, в плодоношение вступает на 65 день")</f>
        <v>Раннеспелый, в плодоношение вступает на 65 день</v>
      </c>
      <c r="K364" s="6" t="str">
        <f>IFERROR(__xludf.DUMMYFUNCTION("""COMPUTED_VALUE""")," Растение кустовой формы")</f>
        <v> Растение кустовой формы</v>
      </c>
      <c r="L364" s="6" t="str">
        <f>IFERROR(__xludf.DUMMYFUNCTION("""COMPUTED_VALUE""")," Плоды мелкие, тарелочной формы с округло-зубчатыми краями, зеленого цвета")</f>
        <v> Плоды мелкие, тарелочной формы с округло-зубчатыми краями, зеленого цвета</v>
      </c>
      <c r="M364" s="6" t="str">
        <f>IFERROR(__xludf.DUMMYFUNCTION("""COMPUTED_VALUE""")," Ценный витаминный и диетический продукт")</f>
        <v> Ценный витаминный и диетический продукт</v>
      </c>
    </row>
    <row r="365">
      <c r="A365" s="11" t="s">
        <v>1525</v>
      </c>
      <c r="I365" s="55" t="str">
        <f>IFERROR(__xludf.DUMMYFUNCTION("SPLIT(A365,""."")"),"Патиссон Оранжевый")</f>
        <v>Патиссон Оранжевый</v>
      </c>
      <c r="J365" s="6" t="str">
        <f>IFERROR(__xludf.DUMMYFUNCTION("""COMPUTED_VALUE"""),"Ранний, в плодоношение вступает на 65 день")</f>
        <v>Ранний, в плодоношение вступает на 65 день</v>
      </c>
      <c r="K365" s="6" t="str">
        <f>IFERROR(__xludf.DUMMYFUNCTION("""COMPUTED_VALUE""")," Растение кустовой формы")</f>
        <v> Растение кустовой формы</v>
      </c>
      <c r="L365" s="6" t="str">
        <f>IFERROR(__xludf.DUMMYFUNCTION("""COMPUTED_VALUE""")," Плоды мелкие, тарелочной формы с округло-зубчатыми краями, в технической спелости светло-желтые в биологической – оранжевые")</f>
        <v> Плоды мелкие, тарелочной формы с округло-зубчатыми краями, в технической спелости светло-желтые в биологической – оранжевые</v>
      </c>
      <c r="M365" s="6" t="str">
        <f>IFERROR(__xludf.DUMMYFUNCTION("""COMPUTED_VALUE""")," Ценный витаминный и диетический продукт")</f>
        <v> Ценный витаминный и диетический продукт</v>
      </c>
    </row>
    <row r="366">
      <c r="A366" s="11" t="s">
        <v>1529</v>
      </c>
      <c r="I366" s="55" t="str">
        <f>IFERROR(__xludf.DUMMYFUNCTION("SPLIT(A366,""."")"),"Патиссон Сашенька")</f>
        <v>Патиссон Сашенька</v>
      </c>
      <c r="J366" s="6" t="str">
        <f>IFERROR(__xludf.DUMMYFUNCTION("""COMPUTED_VALUE""")," Новый сорт, мелкоплодный, урожайный, тарелочной формы , белый ,в консервации напоминает грибы")</f>
        <v> Новый сорт, мелкоплодный, урожайный, тарелочной формы , белый ,в консервации напоминает грибы</v>
      </c>
    </row>
    <row r="367">
      <c r="A367" s="11" t="s">
        <v>1533</v>
      </c>
      <c r="I367" s="55" t="str">
        <f>IFERROR(__xludf.DUMMYFUNCTION("SPLIT(A367,""."")"),"Салат  Верна")</f>
        <v>Салат  Верна</v>
      </c>
      <c r="J367" s="6" t="str">
        <f>IFERROR(__xludf.DUMMYFUNCTION("""COMPUTED_VALUE"""),"Среднеспелый ( 70-75 дней ) сорт")</f>
        <v>Среднеспелый ( 70-75 дней ) сорт</v>
      </c>
      <c r="K367" s="6" t="str">
        <f>IFERROR(__xludf.DUMMYFUNCTION("""COMPUTED_VALUE""")," Головки плотные, могут достигать массы около 1кг")</f>
        <v> Головки плотные, могут достигать массы около 1кг</v>
      </c>
      <c r="L367" s="6" t="str">
        <f>IFERROR(__xludf.DUMMYFUNCTION("""COMPUTED_VALUE""")," Расцветка готовой продукции — ярко- зеленая")</f>
        <v> Расцветка готовой продукции — ярко- зеленая</v>
      </c>
      <c r="M367" s="6" t="str">
        <f>IFERROR(__xludf.DUMMYFUNCTION("""COMPUTED_VALUE""")," Листья хорошо отделяются друг от друга")</f>
        <v> Листья хорошо отделяются друг от друга</v>
      </c>
      <c r="N367" s="6" t="str">
        <f>IFERROR(__xludf.DUMMYFUNCTION("""COMPUTED_VALUE""")," Салат сочный, хрустящий")</f>
        <v> Салат сочный, хрустящий</v>
      </c>
    </row>
    <row r="368">
      <c r="A368" s="11" t="s">
        <v>1537</v>
      </c>
      <c r="I368" s="55" t="str">
        <f>IFERROR(__xludf.DUMMYFUNCTION("SPLIT(A368,""."")"),"Латук")</f>
        <v>Латук</v>
      </c>
      <c r="J368" s="6" t="str">
        <f>IFERROR(__xludf.DUMMYFUNCTION("""COMPUTED_VALUE"""),"Раннеспелый салат, образует кудрявую головку с красивими блестящими листьями")</f>
        <v>Раннеспелый салат, образует кудрявую головку с красивими блестящими листьями</v>
      </c>
      <c r="K368" s="6" t="str">
        <f>IFERROR(__xludf.DUMMYFUNCTION("""COMPUTED_VALUE""")," Консистенция листа хрустящая, плотная")</f>
        <v> Консистенция листа хрустящая, плотная</v>
      </c>
      <c r="L368" s="6" t="str">
        <f>IFERROR(__xludf.DUMMYFUNCTION("""COMPUTED_VALUE""")," Вкус очень хороший")</f>
        <v> Вкус очень хороший</v>
      </c>
      <c r="M368" s="6" t="str">
        <f>IFERROR(__xludf.DUMMYFUNCTION("""COMPUTED_VALUE""")," Высоких товарных качеств, имеет длительный период хозяйственной годности")</f>
        <v> Высоких товарных качеств, имеет длительный период хозяйственной годности</v>
      </c>
    </row>
    <row r="369">
      <c r="A369" s="11" t="s">
        <v>1541</v>
      </c>
      <c r="I369" s="55" t="str">
        <f>IFERROR(__xludf.DUMMYFUNCTION("SPLIT(A369,""."")"),"Салат Лоло Бионда")</f>
        <v>Салат Лоло Бионда</v>
      </c>
      <c r="J369" s="6" t="str">
        <f>IFERROR(__xludf.DUMMYFUNCTION("""COMPUTED_VALUE"""),"Раннеспелый листовой салат предназначенный для выращивания с весны до поздней осени")</f>
        <v>Раннеспелый листовой салат предназначенный для выращивания с весны до поздней осени</v>
      </c>
      <c r="K369" s="6" t="str">
        <f>IFERROR(__xludf.DUMMYFUNCTION("""COMPUTED_VALUE""")," От полных всходов до технической спелости 40-50 дней")</f>
        <v> От полных всходов до технической спелости 40-50 дней</v>
      </c>
      <c r="L369" s="6" t="str">
        <f>IFERROR(__xludf.DUMMYFUNCTION("""COMPUTED_VALUE""")," Листья курчавые, светло-зеленой окраски, мясистые и нежные на вкус")</f>
        <v> Листья курчавые, светло-зеленой окраски, мясистые и нежные на вкус</v>
      </c>
    </row>
    <row r="370">
      <c r="A370" s="11" t="s">
        <v>1544</v>
      </c>
      <c r="I370" s="55" t="str">
        <f>IFERROR(__xludf.DUMMYFUNCTION("SPLIT(A370,""."")"),"Салат Лоло Росса")</f>
        <v>Салат Лоло Росса</v>
      </c>
      <c r="J370" s="6" t="str">
        <f>IFERROR(__xludf.DUMMYFUNCTION("""COMPUTED_VALUE""")," Раннеспелый листовой салат")</f>
        <v> Раннеспелый листовой салат</v>
      </c>
      <c r="K370" s="6" t="str">
        <f>IFERROR(__xludf.DUMMYFUNCTION("""COMPUTED_VALUE""")," От полных всходов до технической спелости 40-50 дней")</f>
        <v> От полных всходов до технической спелости 40-50 дней</v>
      </c>
      <c r="L370" s="6" t="str">
        <f>IFERROR(__xludf.DUMMYFUNCTION("""COMPUTED_VALUE""")," Листья курчавые, светло-зеленой окраски с широким розовым краем")</f>
        <v> Листья курчавые, светло-зеленой окраски с широким розовым краем</v>
      </c>
      <c r="M370" s="6" t="str">
        <f>IFERROR(__xludf.DUMMYFUNCTION("""COMPUTED_VALUE""")," Возделывается в открытом и защищенном грунте")</f>
        <v> Возделывается в открытом и защищенном грунте</v>
      </c>
    </row>
    <row r="371">
      <c r="A371" s="11" t="s">
        <v>1548</v>
      </c>
      <c r="I371" s="55" t="str">
        <f>IFERROR(__xludf.DUMMYFUNCTION("SPLIT(A371,""."")"),"Одесский кучерявец")</f>
        <v>Одесский кучерявец</v>
      </c>
      <c r="J371" s="6" t="str">
        <f>IFERROR(__xludf.DUMMYFUNCTION("""COMPUTED_VALUE"""),"Раннеспелый, высокоурожайный (до 5 кг/кв")</f>
        <v>Раннеспелый, высокоурожайный (до 5 кг/кв</v>
      </c>
      <c r="K371" s="6" t="str">
        <f>IFERROR(__xludf.DUMMYFUNCTION("""COMPUTED_VALUE"""),"м) сорт, богатый витаминами и минеральными солями")</f>
        <v>м) сорт, богатый витаминами и минеральными солями</v>
      </c>
      <c r="L371" s="6" t="str">
        <f>IFERROR(__xludf.DUMMYFUNCTION("""COMPUTED_VALUE""")," Растение формирует курчавые листья, без содержания горечи,")</f>
        <v> Растение формирует курчавые листья, без содержания горечи,</v>
      </c>
      <c r="M371" s="6" t="str">
        <f>IFERROR(__xludf.DUMMYFUNCTION("""COMPUTED_VALUE""")," культура холодостойкая")</f>
        <v> культура холодостойкая</v>
      </c>
    </row>
    <row r="372">
      <c r="A372" s="11" t="s">
        <v>1552</v>
      </c>
      <c r="I372" s="55" t="str">
        <f>IFERROR(__xludf.DUMMYFUNCTION("SPLIT(A372,""."")")," Палитра")</f>
        <v> Палитра</v>
      </c>
      <c r="J372" s="6" t="str">
        <f>IFERROR(__xludf.DUMMYFUNCTION("""COMPUTED_VALUE"""),"Смесь семи самых популярных видов салата, 1000семян")</f>
        <v>Смесь семи самых популярных видов салата, 1000семян</v>
      </c>
      <c r="K372" s="6" t="str">
        <f>IFERROR(__xludf.DUMMYFUNCTION("""COMPUTED_VALUE""")," Предназначенных для длительного срока сбора в виду разности сроков созревания сортов")</f>
        <v> Предназначенных для длительного срока сбора в виду разности сроков созревания сортов</v>
      </c>
    </row>
    <row r="373">
      <c r="A373" s="11" t="s">
        <v>1556</v>
      </c>
      <c r="I373" s="55" t="str">
        <f>IFERROR(__xludf.DUMMYFUNCTION("SPLIT(A373,""."")"),"Салат Руккола")</f>
        <v>Салат Руккола</v>
      </c>
      <c r="J373" s="6" t="str">
        <f>IFERROR(__xludf.DUMMYFUNCTION("""COMPUTED_VALUE"""),"Теплолюбивое многолетнее растение")</f>
        <v>Теплолюбивое многолетнее растение</v>
      </c>
      <c r="K373" s="6" t="str">
        <f>IFERROR(__xludf.DUMMYFUNCTION("""COMPUTED_VALUE""")," Листья собраны в густую прикорневую розетку")</f>
        <v> Листья собраны в густую прикорневую розетку</v>
      </c>
      <c r="L373" s="6" t="str">
        <f>IFERROR(__xludf.DUMMYFUNCTION("""COMPUTED_VALUE""")," В пищу используют свежие молодые листья с пряным острым вкусом и ароматом ореха, из которых готовят салаты  �� блюда с сыром")</f>
        <v> В пищу используют свежие молодые листья с пряным острым вкусом и ароматом ореха, из которых готовят салаты  �� блюда с сыром</v>
      </c>
    </row>
    <row r="374">
      <c r="A374" s="11" t="s">
        <v>1560</v>
      </c>
      <c r="I374" s="55" t="str">
        <f>IFERROR(__xludf.DUMMYFUNCTION("SPLIT(A374,""."")"),"Салат Снежинка")</f>
        <v>Салат Снежинка</v>
      </c>
      <c r="J374" s="6" t="str">
        <f>IFERROR(__xludf.DUMMYFUNCTION("""COMPUTED_VALUE"""),"Раннеспелый листовой сорт, для выращивания в открытом грунте и в пленочных укрытиях")</f>
        <v>Раннеспелый листовой сорт, для выращивания в открытом грунте и в пленочных укрытиях</v>
      </c>
      <c r="K374" s="6" t="str">
        <f>IFERROR(__xludf.DUMMYFUNCTION("""COMPUTED_VALUE""")," Вегетационный период от всходов до технической спелости 20-25 дней")</f>
        <v> Вегетационный период от всходов до технической спелости 20-25 дней</v>
      </c>
      <c r="L374" s="6" t="str">
        <f>IFERROR(__xludf.DUMMYFUNCTION("""COMPUTED_VALUE""")," Образует компактную розетку, диаметром 20-25 см")</f>
        <v> Образует компактную розетку, диаметром 20-25 см</v>
      </c>
    </row>
    <row r="375">
      <c r="A375" s="11" t="s">
        <v>1564</v>
      </c>
      <c r="I375" s="55" t="str">
        <f>IFERROR(__xludf.DUMMYFUNCTION("SPLIT(A375,""."")"),"Салат")</f>
        <v>Салат</v>
      </c>
      <c r="J375" s="6" t="str">
        <f>IFERROR(__xludf.DUMMYFUNCTION("""COMPUTED_VALUE""")," Айсберг")</f>
        <v> Айсберг</v>
      </c>
      <c r="K375" s="6" t="str">
        <f>IFERROR(__xludf.DUMMYFUNCTION("""COMPUTED_VALUE"""),"Раннеспелый, высокоурожайный сорт кочанного салата для весеннего и осеннего выращивания в открытом грунте и под пленкой")</f>
        <v>Раннеспелый, высокоурожайный сорт кочанного салата для весеннего и осеннего выращивания в открытом грунте и под пленкой</v>
      </c>
      <c r="L375" s="6" t="str">
        <f>IFERROR(__xludf.DUMMYFUNCTION("""COMPUTED_VALUE""")," Вегетационный период от всходов до сбора урожая - 58-65 дней")</f>
        <v> Вегетационный период от всходов до сбора урожая - 58-65 дней</v>
      </c>
      <c r="M375" s="6" t="str">
        <f>IFERROR(__xludf.DUMMYFUNCTION("""COMPUTED_VALUE""")," Формирует крупные кочаны")</f>
        <v> Формирует крупные кочаны</v>
      </c>
    </row>
    <row r="376">
      <c r="A376" s="11" t="s">
        <v>1568</v>
      </c>
      <c r="I376" s="55" t="str">
        <f>IFERROR(__xludf.DUMMYFUNCTION("SPLIT(A376,""."")")," Салат Тайфун")</f>
        <v> Салат Тайфун</v>
      </c>
      <c r="J376" s="6" t="str">
        <f>IFERROR(__xludf.DUMMYFUNCTION("""COMPUTED_VALUE"""),"Листовой салат с хрустящими сочными листьями")</f>
        <v>Листовой салат с хрустящими сочными листьями</v>
      </c>
      <c r="K376" s="6" t="str">
        <f>IFERROR(__xludf.DUMMYFUNCTION("""COMPUTED_VALUE""")," Розетка листьев высотой 20 см, диаметром 27 см")</f>
        <v> Розетка листьев высотой 20 см, диаметром 27 см</v>
      </c>
      <c r="L376" s="6" t="str">
        <f>IFERROR(__xludf.DUMMYFUNCTION("""COMPUTED_VALUE""")," Лист крупный, зеленый, сильноволокнистый")</f>
        <v> Лист крупный, зеленый, сильноволокнистый</v>
      </c>
      <c r="M376" s="6" t="str">
        <f>IFERROR(__xludf.DUMMYFUNCTION("""COMPUTED_VALUE""")," Масса растения 200-220 гр, урожайность 3,5 кг/м2")</f>
        <v> Масса растения 200-220 гр, урожайность 3,5 кг/м2</v>
      </c>
      <c r="N376" s="6" t="str">
        <f>IFERROR(__xludf.DUMMYFUNCTION("""COMPUTED_VALUE""")," Вкус отличный")</f>
        <v> Вкус отличный</v>
      </c>
    </row>
    <row r="377">
      <c r="A377" s="11" t="s">
        <v>1572</v>
      </c>
      <c r="I377" s="55" t="str">
        <f>IFERROR(__xludf.DUMMYFUNCTION("SPLIT(A377,""."")"),"Салат Мизуна, это японская листовая капуста,неприхотливая в выращивании, с нежными листьями широко применяемая в блюдах как украшение с особенным вкусом ")</f>
        <v>Салат Мизуна, это японская листовая капуста,неприхотливая в выращивании, с нежными листьями широко применяемая в блюдах как украшение с особенным вкусом </v>
      </c>
    </row>
    <row r="378">
      <c r="A378" s="11" t="s">
        <v>1574</v>
      </c>
      <c r="I378" s="55" t="str">
        <f>IFERROR(__xludf.DUMMYFUNCTION("SPLIT(A378,""."")"),"Салат")</f>
        <v>Салат</v>
      </c>
      <c r="J378" s="6" t="str">
        <f>IFERROR(__xludf.DUMMYFUNCTION("""COMPUTED_VALUE""")," Каталогна")</f>
        <v> Каталогна</v>
      </c>
      <c r="K378" s="6" t="str">
        <f>IFERROR(__xludf.DUMMYFUNCTION("""COMPUTED_VALUE"""),"Среднеспелый листовой салат,с приподнятой розеткой массой 90-100гр, итальянский сорт ,предназначен для бутербродов")</f>
        <v>Среднеспелый листовой салат,с приподнятой розеткой массой 90-100гр, итальянский сорт ,предназначен для бутербродов</v>
      </c>
    </row>
    <row r="379">
      <c r="A379" s="11" t="s">
        <v>1578</v>
      </c>
      <c r="I379" s="55" t="str">
        <f>IFERROR(__xludf.DUMMYFUNCTION("SPLIT(A379,""."")"),"Валерианнела салатная")</f>
        <v>Валерианнела салатная</v>
      </c>
      <c r="J379" s="6" t="str">
        <f>IFERROR(__xludf.DUMMYFUNCTION("""COMPUTED_VALUE""")," Однолетнее растение,хорошо развита прикорневая розетка, влаголюбива,листья сладкие ,используются до цветения")</f>
        <v> Однолетнее растение,хорошо развита прикорневая розетка, влаголюбива,листья сладкие ,используются до цветения</v>
      </c>
    </row>
    <row r="380">
      <c r="A380" s="14" t="s">
        <v>1582</v>
      </c>
      <c r="I380" s="55" t="str">
        <f>IFERROR(__xludf.DUMMYFUNCTION("SPLIT(A380,""."")"),"Шпинат Матадор")</f>
        <v>Шпинат Матадор</v>
      </c>
      <c r="J380" s="6" t="str">
        <f>IFERROR(__xludf.DUMMYFUNCTION("""COMPUTED_VALUE"""),"Сорт ранний (30-35 дней от полных всходов до технической спелости)")</f>
        <v>Сорт ранний (30-35 дней от полных всходов до технической спелости)</v>
      </c>
      <c r="K380" s="6" t="str">
        <f>IFERROR(__xludf.DUMMYFUNCTION("""COMPUTED_VALUE""")," Розетка
полуприподнятая, компактная")</f>
        <v> Розетка
полуприподнятая, компактная</v>
      </c>
      <c r="L380" s="6" t="str">
        <f>IFERROR(__xludf.DUMMYFUNCTION("""COMPUTED_VALUE""")," Лист серо-зеленый, глянцевый, толстый, овальный")</f>
        <v> Лист серо-зеленый, глянцевый, толстый, овальный</v>
      </c>
      <c r="M380" s="6" t="str">
        <f>IFERROR(__xludf.DUMMYFUNCTION("""COMPUTED_VALUE""")," Сорт требует обильных поливов")</f>
        <v> Сорт требует обильных поливов</v>
      </c>
    </row>
    <row r="381">
      <c r="A381" s="11" t="s">
        <v>1586</v>
      </c>
      <c r="I381" s="55" t="str">
        <f>IFERROR(__xludf.DUMMYFUNCTION("SPLIT(A381,""."")"),"Щавель широколистый")</f>
        <v>Щавель широколистый</v>
      </c>
      <c r="J381" s="6" t="str">
        <f>IFERROR(__xludf.DUMMYFUNCTION("""COMPUTED_VALUE""")," Раннеспелый, от всходов до хозяйственной годности 40-45 дней")</f>
        <v> Раннеспелый, от всходов до хозяйственной годности 40-45 дней</v>
      </c>
      <c r="K381" s="6" t="str">
        <f>IFERROR(__xludf.DUMMYFUNCTION("""COMPUTED_VALUE""")," Устойчив, зимостойкий")</f>
        <v> Устойчив, зимостойкий</v>
      </c>
      <c r="L381" s="6" t="str">
        <f>IFERROR(__xludf.DUMMYFUNCTION("""COMPUTED_VALUE""")," Лист удлиненно-яйцевидный, зеленый")</f>
        <v> Лист удлиненно-яйцевидный, зеленый</v>
      </c>
      <c r="M381" s="6" t="str">
        <f>IFERROR(__xludf.DUMMYFUNCTION("""COMPUTED_VALUE""")," Рекомендуется для выращивания в открытом грунте при весеннем, летнем и подзимнем сроках сева")</f>
        <v> Рекомендуется для выращивания в открытом грунте при весеннем, летнем и подзимнем сроках сева</v>
      </c>
    </row>
    <row r="382">
      <c r="A382" s="11" t="s">
        <v>1590</v>
      </c>
      <c r="I382" s="55" t="str">
        <f>IFERROR(__xludf.DUMMYFUNCTION("SPLIT(A382,""."")"),"Базелик фиолетовый")</f>
        <v>Базелик фиолетовый</v>
      </c>
      <c r="J382" s="6" t="str">
        <f>IFERROR(__xludf.DUMMYFUNCTION("""COMPUTED_VALUE""")," Растение, не выносит низких температур")</f>
        <v> Растение, не выносит низких температур</v>
      </c>
      <c r="K382" s="6" t="str">
        <f>IFERROR(__xludf.DUMMYFUNCTION("""COMPUTED_VALUE""")," Размножают рассадой или посевом в открытый грунт")</f>
        <v> Размножают рассадой или посевом в открытый грунт</v>
      </c>
      <c r="L382" s="6" t="str">
        <f>IFERROR(__xludf.DUMMYFUNCTION("""COMPUTED_VALUE""")," На рассаду высевают за 1,5-2 месяца до высадки в грунт, на глубину 1,5-2см")</f>
        <v> На рассаду высевают за 1,5-2 месяца до высадки в грунт, на глубину 1,5-2см</v>
      </c>
    </row>
    <row r="383">
      <c r="A383" s="11" t="s">
        <v>1594</v>
      </c>
      <c r="I383" s="55" t="str">
        <f>IFERROR(__xludf.DUMMYFUNCTION("SPLIT(A383,""."")"),"Базилик Ереванский")</f>
        <v>Базилик Ереванский</v>
      </c>
      <c r="J383" s="6" t="str">
        <f>IFERROR(__xludf.DUMMYFUNCTION("""COMPUTED_VALUE"""),"Этот скороспелый сорт с богатым содержанием эфирных масел станет изысканной приправой для блюд")</f>
        <v>Этот скороспелый сорт с богатым содержанием эфирных масел станет изысканной приправой для блюд</v>
      </c>
      <c r="K383" s="6" t="str">
        <f>IFERROR(__xludf.DUMMYFUNCTION("""COMPUTED_VALUE""")," Имеет приятный запах душистого перца и чая, в свежем виде является ценным источником каротина")</f>
        <v> Имеет приятный запах душистого перца и чая, в свежем виде является ценным источником каротина</v>
      </c>
    </row>
    <row r="384">
      <c r="A384" s="11" t="s">
        <v>1598</v>
      </c>
      <c r="I384" s="55" t="str">
        <f>IFERROR(__xludf.DUMMYFUNCTION("SPLIT(A384,""."")"),"Базилик Мамонт")</f>
        <v>Базилик Мамонт</v>
      </c>
      <c r="J384" s="6" t="str">
        <f>IFERROR(__xludf.DUMMYFUNCTION("""COMPUTED_VALUE"""),"Салатний, ранньостиглий сорт (30-40 днів) висотою 25-40 см")</f>
        <v>Салатний, ранньостиглий сорт (30-40 днів) висотою 25-40 см</v>
      </c>
      <c r="K384" s="6" t="str">
        <f>IFERROR(__xludf.DUMMYFUNCTION("""COMPUTED_VALUE""")," Рослина формує компактний кущик з великими яскраво-зеленими листками (по типу салату Латук"") і має дуже чудовий аромат")</f>
        <v> Рослина формує компактний кущик з великими яскраво-зеленими листками (по типу салату Латук") і має дуже чудовий аромат</v>
      </c>
      <c r="L384" s="6" t="str">
        <f>IFERROR(__xludf.DUMMYFUNCTION("""COMPUTED_VALUE"""),"""")</f>
        <v>"</v>
      </c>
    </row>
    <row r="385">
      <c r="A385" s="11" t="s">
        <v>1602</v>
      </c>
      <c r="I385" s="55" t="str">
        <f>IFERROR(__xludf.DUMMYFUNCTION("SPLIT(A385,""."")"),"Грибная трава")</f>
        <v>Грибная трава</v>
      </c>
      <c r="J385" s="6" t="str">
        <f>IFERROR(__xludf.DUMMYFUNCTION("""COMPUTED_VALUE""")," Однолетнее травянистое растение из семейства бобовых")</f>
        <v> Однолетнее травянистое растение из семейства бобовых</v>
      </c>
      <c r="K385" s="6" t="str">
        <f>IFERROR(__xludf.DUMMYFUNCTION("""COMPUTED_VALUE""")," Используется как пряно��ть, которая придает неповторимый вкус и аромат грибов")</f>
        <v> Используется как пряно��ть, которая придает неповторимый вкус и аромат грибов</v>
      </c>
      <c r="L385" s="6" t="str">
        <f>IFERROR(__xludf.DUMMYFUNCTION("""COMPUTED_VALUE""")," Размножается семенами, которые высевают во второй половине апреля")</f>
        <v> Размножается семенами, которые высевают во второй половине апреля</v>
      </c>
    </row>
    <row r="386">
      <c r="A386" s="11" t="s">
        <v>1606</v>
      </c>
      <c r="I386" s="55" t="str">
        <f>IFERROR(__xludf.DUMMYFUNCTION("SPLIT(A386,""."")"),"Эстрагон/ тархун/")</f>
        <v>Эстрагон/ тархун/</v>
      </c>
      <c r="J386" s="6" t="str">
        <f>IFERROR(__xludf.DUMMYFUNCTION("""COMPUTED_VALUE"""),"Многолетнее растение, выращивают на одном месте 10 лет")</f>
        <v>Многолетнее растение, выращивают на одном месте 10 лет</v>
      </c>
      <c r="K386" s="6" t="str">
        <f>IFERROR(__xludf.DUMMYFUNCTION("""COMPUTED_VALUE""")," Листья нежные, слегка горьковатые, с анисовым привкусом, имеют сильный аромат")</f>
        <v> Листья нежные, слегка горьковатые, с анисовым привкусом, имеют сильный аромат</v>
      </c>
      <c r="L386" s="6" t="str">
        <f>IFERROR(__xludf.DUMMYFUNCTION("""COMPUTED_VALUE""")," Содержат эфирные масла, витамин С, каротин, рутин")</f>
        <v> Содержат эфирные масла, витамин С, каротин, рутин</v>
      </c>
    </row>
    <row r="387">
      <c r="A387" s="11" t="s">
        <v>1610</v>
      </c>
      <c r="I387" s="55" t="str">
        <f>IFERROR(__xludf.DUMMYFUNCTION("SPLIT(A387,""."")"),"Тмин")</f>
        <v>Тмин</v>
      </c>
      <c r="J387" s="6" t="str">
        <f>IFERROR(__xludf.DUMMYFUNCTION("""COMPUTED_VALUE"""),"Пряно-вкусовое растение, образующее в первый год розетку листьев, во второй - стебель и семена")</f>
        <v>Пряно-вкусовое растение, образующее в первый год розетку листьев, во второй - стебель и семена</v>
      </c>
      <c r="K387" s="6" t="str">
        <f>IFERROR(__xludf.DUMMYFUNCTION("""COMPUTED_VALUE""")," В пищу используют молодые листья или семена, с ними варят супы и тушат мясо, добавляют для ароматизации выпечки")</f>
        <v> В пищу используют молодые листья или семена, с ними варят супы и тушат мясо, добавляют для ароматизации выпечки</v>
      </c>
    </row>
    <row r="388">
      <c r="A388" s="11" t="s">
        <v>1614</v>
      </c>
      <c r="I388" s="55" t="str">
        <f>IFERROR(__xludf.DUMMYFUNCTION("SPLIT(A388,""."")"),"Кинза")</f>
        <v>Кинза</v>
      </c>
      <c r="J388" s="6" t="str">
        <f>IFERROR(__xludf.DUMMYFUNCTION("""COMPUTED_VALUE"""),"Однолетнее растение с пряными листьями и семенами")</f>
        <v>Однолетнее растение с пряными листьями и семенами</v>
      </c>
      <c r="K388" s="6" t="str">
        <f>IFERROR(__xludf.DUMMYFUNCTION("""COMPUTED_VALUE""")," Свежую зелень используют для приготовления салатов,  мясных, рыбных, овощных блюд")</f>
        <v> Свежую зелень используют для приготовления салатов,  мясных, рыбных, овощных блюд</v>
      </c>
      <c r="L388" s="6" t="str">
        <f>IFERROR(__xludf.DUMMYFUNCTION("""COMPUTED_VALUE"""),"  Семена используют для ароматизации при хлебопечении, изготовлении колбас, тушении мяса")</f>
        <v>  Семена используют для ароматизации при хлебопечении, изготовлении колбас, тушении мяса</v>
      </c>
    </row>
    <row r="389">
      <c r="A389" s="14" t="s">
        <v>1618</v>
      </c>
      <c r="I389" s="55" t="str">
        <f>IFERROR(__xludf.DUMMYFUNCTION("SPLIT(A389,""."")"),"Укроп Аллигатор")</f>
        <v>Укроп Аллигатор</v>
      </c>
      <c r="J389" s="6" t="str">
        <f>IFERROR(__xludf.DUMMYFUNCTION("""COMPUTED_VALUE"""),"Сорт предназначен для выращивания на зелень (40-45 дней от массовых всходов до уборки)")</f>
        <v>Сорт предназначен для выращивания на зелень (40-45 дней от массовых всходов до уборки)</v>
      </c>
      <c r="K389" s="6" t="str">
        <f>IFERROR(__xludf.DUMMYFUNCTION("""COMPUTED_VALUE""")," Розетка листьев
крупная приподнятая, высотой 14-25 см")</f>
        <v> Розетка листьев
крупная приподнятая, высотой 14-25 см</v>
      </c>
      <c r="L389" s="6" t="str">
        <f>IFERROR(__xludf.DUMMYFUNCTION("""COMPUTED_VALUE""")," Листья зеленые с сизым оттенком, ароматные")</f>
        <v> Листья зеленые с сизым оттенком, ароматные</v>
      </c>
    </row>
    <row r="390">
      <c r="A390" s="14" t="s">
        <v>1622</v>
      </c>
      <c r="I390" s="55" t="str">
        <f>IFERROR(__xludf.DUMMYFUNCTION("SPLIT(A390,""."")"),"Укроп Грибовский, от полных всходов до цветения 62-67 дней")</f>
        <v>Укроп Грибовский, от полных всходов до цветения 62-67 дней</v>
      </c>
      <c r="J390" s="6" t="str">
        <f>IFERROR(__xludf.DUMMYFUNCTION("""COMPUTED_VALUE""")," Розетка полураскидистая, средней величины")</f>
        <v> Розетка полураскидистая, средней величины</v>
      </c>
      <c r="K390" s="6" t="str">
        <f>IFERROR(__xludf.DUMMYFUNCTION("""COMPUTED_VALUE""")," Лист темно-зеленый, со слабым восковым налетом, ароматичность высокая")</f>
        <v> Лист темно-зеленый, со слабым восковым налетом, ароматичность высокая</v>
      </c>
      <c r="L390" s="6" t="str">
        <f>IFERROR(__xludf.DUMMYFUNCTION("""COMPUTED_VALUE""")," С меньшей требовательностью")</f>
        <v> С меньшей требовательностью</v>
      </c>
      <c r="M390" s="6" t="str">
        <f>IFERROR(__xludf.DUMMYFUNCTION("""COMPUTED_VALUE"""),"
к температурным условиям")</f>
        <v>
к температурным условиям</v>
      </c>
    </row>
    <row r="391">
      <c r="A391" s="14" t="s">
        <v>1626</v>
      </c>
      <c r="I391" s="55" t="str">
        <f>IFERROR(__xludf.DUMMYFUNCTION("SPLIT(A391,""."")"),"Укроп кустовой")</f>
        <v>Укроп кустовой</v>
      </c>
      <c r="J391" s="6" t="str">
        <f>IFERROR(__xludf.DUMMYFUNCTION("""COMPUTED_VALUE"""),"Уникальный сорт укропа, относящийся к типу не желтеющих укропов")</f>
        <v>Уникальный сорт укропа, относящийся к типу не желтеющих укропов</v>
      </c>
      <c r="K391" s="6" t="str">
        <f>IFERROR(__xludf.DUMMYFUNCTION("""COMPUTED_VALUE""")," Формирует мощный, облиственный куст")</f>
        <v> Формирует мощный, облиственный куст</v>
      </c>
      <c r="L391" s="6" t="str">
        <f>IFERROR(__xludf.DUMMYFUNCTION("""COMPUTED_VALUE"""),"
Листья крупные, длиной 28-36 см, шириной 30-36 см, зеленые с восковым налетом")</f>
        <v>
Листья крупные, длиной 28-36 см, шириной 30-36 см, зеленые с восковым налетом</v>
      </c>
      <c r="M391" s="6" t="str">
        <f>IFERROR(__xludf.DUMMYFUNCTION("""COMPUTED_VALUE""")," Высокоурожайный, урожай
зелени – 2,8 кг с кв")</f>
        <v> Высокоурожайный, урожай
зелени – 2,8 кг с кв</v>
      </c>
      <c r="N391" s="6" t="str">
        <f>IFERROR(__xludf.DUMMYFUNCTION("""COMPUTED_VALUE"""),"м")</f>
        <v>м</v>
      </c>
    </row>
    <row r="392">
      <c r="A392" s="11" t="s">
        <v>1630</v>
      </c>
      <c r="I392" s="55" t="str">
        <f>IFERROR(__xludf.DUMMYFUNCTION("SPLIT(A392,""."")"),"Огуречная трава Бораго")</f>
        <v>Огуречная трава Бораго</v>
      </c>
      <c r="J392" s="6" t="str">
        <f>IFERROR(__xludf.DUMMYFUNCTION("""COMPUTED_VALUE"""),"Листя молодой огуречной травы, которые имеют лекарственные свойства, используют как салатное растение")</f>
        <v>Листя молодой огуречной травы, которые имеют лекарственные свойства, используют как салатное растение</v>
      </c>
      <c r="K392" s="6" t="str">
        <f>IFERROR(__xludf.DUMMYFUNCTION("""COMPUTED_VALUE"""),"  Листья собирают до появления цветочного стебля")</f>
        <v>  Листья собирают до появления цветочного стебля</v>
      </c>
    </row>
    <row r="393">
      <c r="A393" s="11" t="s">
        <v>1634</v>
      </c>
      <c r="I393" s="55" t="str">
        <f>IFERROR(__xludf.DUMMYFUNCTION("SPLIT(A393,""."")"),"Пастернак Петр")</f>
        <v>Пастернак Петр</v>
      </c>
      <c r="J393" s="6" t="str">
        <f>IFERROR(__xludf.DUMMYFUNCTION("""COMPUTED_VALUE"""),"Пряное растение")</f>
        <v>Пряное растение</v>
      </c>
      <c r="K393" s="6" t="str">
        <f>IFERROR(__xludf.DUMMYFUNCTION("""COMPUTED_VALUE""")," Вкус сладковатый")</f>
        <v> Вкус сладковатый</v>
      </c>
      <c r="L393" s="6" t="str">
        <f>IFERROR(__xludf.DUMMYFUNCTION("""COMPUTED_VALUE""")," Ароматичность высокая")</f>
        <v> Ароматичность высокая</v>
      </c>
      <c r="M393" s="6" t="str">
        <f>IFERROR(__xludf.DUMMYFUNCTION("""COMPUTED_VALUE""")," В пищу (в домашней кулинарии, при консервации) используют корнеплоды и листья в молодом возрасте")</f>
        <v> В пищу (в домашней кулинарии, при консервации) используют корнеплоды и листья в молодом возрасте</v>
      </c>
    </row>
    <row r="394">
      <c r="A394" s="11" t="s">
        <v>1638</v>
      </c>
      <c r="I394" s="55" t="str">
        <f>IFERROR(__xludf.DUMMYFUNCTION("SPLIT(A394,""."")"),"Петрушка корневая")</f>
        <v>Петрушка корневая</v>
      </c>
      <c r="J394" s="6" t="str">
        <f>IFERROR(__xludf.DUMMYFUNCTION("""COMPUTED_VALUE"""),"Корневой скороспелый сорт, вегетационный период 65-75 дней")</f>
        <v>Корневой скороспелый сорт, вегетационный период 65-75 дней</v>
      </c>
      <c r="K394" s="6" t="str">
        <f>IFERROR(__xludf.DUMMYFUNCTION("""COMPUTED_VALUE""")," Холодостойкий, хорошо зимует в открытом грунте")</f>
        <v> Холодостойкий, хорошо зимует в открытом грунте</v>
      </c>
      <c r="L394" s="6" t="str">
        <f>IFERROR(__xludf.DUMMYFUNCTION("""COMPUTED_VALUE""")," Устойчив к грибковым заболеваниям")</f>
        <v> Устойчив к грибковым заболеваниям</v>
      </c>
      <c r="M394" s="6" t="str">
        <f>IFERROR(__xludf.DUMMYFUNCTION("""COMPUTED_VALUE""")," Для получения хороших крупных корнеплодов, во время роста зелень не срезайте - этим вы ослабите растение")</f>
        <v> Для получения хороших крупных корнеплодов, во время роста зелень не срезайте - этим вы ослабите растение</v>
      </c>
    </row>
    <row r="395">
      <c r="A395" s="11" t="s">
        <v>1642</v>
      </c>
      <c r="I395" s="55" t="str">
        <f>IFERROR(__xludf.DUMMYFUNCTION("SPLIT(A395,""."")"),"Петрушка Гигантела  листовая")</f>
        <v>Петрушка Гигантела  листовая</v>
      </c>
      <c r="J395" s="6" t="str">
        <f>IFERROR(__xludf.DUMMYFUNCTION("""COMPUTED_VALUE"""),"  скороспелый сорт, вегетационный период 65-75 дней")</f>
        <v>  скороспелый сорт, вегетационный период 65-75 дней</v>
      </c>
      <c r="K395" s="6" t="str">
        <f>IFERROR(__xludf.DUMMYFUNCTION("""COMPUTED_VALUE""")," Образует крупную розетку(50-100 листьев), формирует ранний и высокий  урожай сочной зеленой массы и крупный корень")</f>
        <v> Образует крупную розетку(50-100 листьев), формирует ранний и высокий  урожай сочной зеленой массы и крупный корень</v>
      </c>
      <c r="L395" s="6" t="str">
        <f>IFERROR(__xludf.DUMMYFUNCTION("""COMPUTED_VALUE""")," Сорт холодостойкий, хорошо зимует ")</f>
        <v> Сорт холодостойкий, хорошо зимует </v>
      </c>
    </row>
    <row r="396">
      <c r="A396" s="11" t="s">
        <v>1646</v>
      </c>
      <c r="I396" s="55" t="str">
        <f>IFERROR(__xludf.DUMMYFUNCTION("SPLIT(A396,""."")"),"Петрушка Гигантела")</f>
        <v>Петрушка Гигантела</v>
      </c>
      <c r="J396" s="6" t="str">
        <f>IFERROR(__xludf.DUMMYFUNCTION("""COMPUTED_VALUE""")," Листовой скороспелый сорт, вегетационный период 65-75 дней")</f>
        <v> Листовой скороспелый сорт, вегетационный период 65-75 дней</v>
      </c>
      <c r="K396" s="6" t="str">
        <f>IFERROR(__xludf.DUMMYFUNCTION("""COMPUTED_VALUE""")," Образует крупную розетку(50-100 листьев), формирует ранний и высокий  урожай сочной зеленой массы и крупный корень")</f>
        <v> Образует крупную розетку(50-100 листьев), формирует ранний и высокий  урожай сочной зеленой массы и крупный корень</v>
      </c>
    </row>
    <row r="397">
      <c r="A397" s="6"/>
      <c r="I397" s="55" t="str">
        <f>IFERROR(__xludf.DUMMYFUNCTION("SPLIT(A397,""."")"),"#VALUE!")</f>
        <v>#VALUE!</v>
      </c>
    </row>
    <row r="398">
      <c r="A398" s="6"/>
      <c r="I398" s="55" t="str">
        <f>IFERROR(__xludf.DUMMYFUNCTION("SPLIT(A398,""."")"),"#VALUE!")</f>
        <v>#VALUE!</v>
      </c>
    </row>
    <row r="399">
      <c r="A399" s="6"/>
      <c r="I399" s="55" t="str">
        <f>IFERROR(__xludf.DUMMYFUNCTION("SPLIT(A399,""."")"),"#VALUE!")</f>
        <v>#VALUE!</v>
      </c>
    </row>
    <row r="400">
      <c r="A400" s="6"/>
      <c r="I400" s="55" t="str">
        <f>IFERROR(__xludf.DUMMYFUNCTION("SPLIT(A400,""."")"),"#VALUE!")</f>
        <v>#VALUE!</v>
      </c>
    </row>
    <row r="401">
      <c r="A401" s="6"/>
      <c r="I401" s="55" t="str">
        <f>IFERROR(__xludf.DUMMYFUNCTION("SPLIT(A401,""."")"),"#VALUE!")</f>
        <v>#VALUE!</v>
      </c>
    </row>
    <row r="402">
      <c r="A402" s="6"/>
      <c r="I402" s="55" t="str">
        <f>IFERROR(__xludf.DUMMYFUNCTION("SPLIT(A402,""."")"),"#VALUE!")</f>
        <v>#VALUE!</v>
      </c>
    </row>
    <row r="403">
      <c r="A403" s="6"/>
      <c r="I403" s="55" t="str">
        <f>IFERROR(__xludf.DUMMYFUNCTION("SPLIT(A403,""."")"),"#VALUE!")</f>
        <v>#VALUE!</v>
      </c>
    </row>
    <row r="404">
      <c r="A404" s="6"/>
      <c r="I404" s="55" t="str">
        <f>IFERROR(__xludf.DUMMYFUNCTION("SPLIT(A404,""."")"),"#VALUE!")</f>
        <v>#VALUE!</v>
      </c>
    </row>
    <row r="405">
      <c r="A405" s="6"/>
      <c r="I405" s="55" t="str">
        <f>IFERROR(__xludf.DUMMYFUNCTION("SPLIT(A405,""."")"),"#VALUE!")</f>
        <v>#VALUE!</v>
      </c>
    </row>
    <row r="406">
      <c r="A406" s="6"/>
      <c r="I406" s="55" t="str">
        <f>IFERROR(__xludf.DUMMYFUNCTION("SPLIT(A406,""."")"),"#VALUE!")</f>
        <v>#VALUE!</v>
      </c>
    </row>
    <row r="407">
      <c r="A407" s="6"/>
      <c r="I407" s="55" t="str">
        <f>IFERROR(__xludf.DUMMYFUNCTION("SPLIT(A407,""."")"),"#VALUE!")</f>
        <v>#VALUE!</v>
      </c>
    </row>
    <row r="408">
      <c r="A408" s="6"/>
      <c r="I408" s="55" t="str">
        <f>IFERROR(__xludf.DUMMYFUNCTION("SPLIT(A408,""."")"),"#VALUE!")</f>
        <v>#VALUE!</v>
      </c>
    </row>
    <row r="409">
      <c r="A409" s="6"/>
      <c r="I409" s="55" t="str">
        <f>IFERROR(__xludf.DUMMYFUNCTION("SPLIT(A409,""."")"),"#VALUE!")</f>
        <v>#VALUE!</v>
      </c>
    </row>
    <row r="410">
      <c r="A410" s="6"/>
      <c r="I410" s="55" t="str">
        <f>IFERROR(__xludf.DUMMYFUNCTION("SPLIT(A410,""."")"),"#VALUE!")</f>
        <v>#VALUE!</v>
      </c>
    </row>
    <row r="411">
      <c r="A411" s="6"/>
      <c r="I411" s="55" t="str">
        <f>IFERROR(__xludf.DUMMYFUNCTION("SPLIT(A411,""."")"),"#VALUE!")</f>
        <v>#VALUE!</v>
      </c>
    </row>
    <row r="412">
      <c r="A412" s="6"/>
      <c r="I412" s="55" t="str">
        <f>IFERROR(__xludf.DUMMYFUNCTION("SPLIT(A412,""."")"),"#VALUE!")</f>
        <v>#VALUE!</v>
      </c>
    </row>
    <row r="413">
      <c r="A413" s="6"/>
      <c r="I413" s="55" t="str">
        <f>IFERROR(__xludf.DUMMYFUNCTION("SPLIT(A413,""."")"),"#VALUE!")</f>
        <v>#VALUE!</v>
      </c>
    </row>
    <row r="414">
      <c r="A414" s="6"/>
      <c r="I414" s="55" t="str">
        <f>IFERROR(__xludf.DUMMYFUNCTION("SPLIT(A414,""."")"),"#VALUE!")</f>
        <v>#VALUE!</v>
      </c>
    </row>
    <row r="415">
      <c r="A415" s="6"/>
      <c r="I415" s="55" t="str">
        <f>IFERROR(__xludf.DUMMYFUNCTION("SPLIT(A415,""."")"),"#VALUE!")</f>
        <v>#VALUE!</v>
      </c>
    </row>
    <row r="416">
      <c r="A416" s="6"/>
      <c r="I416" s="55" t="str">
        <f>IFERROR(__xludf.DUMMYFUNCTION("SPLIT(A416,""."")"),"#VALUE!")</f>
        <v>#VALUE!</v>
      </c>
    </row>
    <row r="417">
      <c r="A417" s="6"/>
      <c r="I417" s="55" t="str">
        <f>IFERROR(__xludf.DUMMYFUNCTION("SPLIT(A417,""."")"),"#VALUE!")</f>
        <v>#VALUE!</v>
      </c>
    </row>
    <row r="418">
      <c r="A418" s="6"/>
      <c r="I418" s="55" t="str">
        <f>IFERROR(__xludf.DUMMYFUNCTION("SPLIT(A418,""."")"),"#VALUE!")</f>
        <v>#VALUE!</v>
      </c>
    </row>
    <row r="419">
      <c r="A419" s="6"/>
      <c r="I419" s="55" t="str">
        <f>IFERROR(__xludf.DUMMYFUNCTION("SPLIT(A419,""."")"),"#VALUE!")</f>
        <v>#VALUE!</v>
      </c>
    </row>
    <row r="420">
      <c r="A420" s="6"/>
      <c r="I420" s="55" t="str">
        <f>IFERROR(__xludf.DUMMYFUNCTION("SPLIT(A420,""."")"),"#VALUE!")</f>
        <v>#VALUE!</v>
      </c>
    </row>
    <row r="421">
      <c r="A421" s="6"/>
      <c r="I421" s="55" t="str">
        <f>IFERROR(__xludf.DUMMYFUNCTION("SPLIT(A421,""."")"),"#VALUE!")</f>
        <v>#VALUE!</v>
      </c>
    </row>
    <row r="422">
      <c r="A422" s="6"/>
      <c r="I422" s="55" t="str">
        <f>IFERROR(__xludf.DUMMYFUNCTION("SPLIT(A422,""."")"),"#VALUE!")</f>
        <v>#VALUE!</v>
      </c>
    </row>
    <row r="423">
      <c r="A423" s="6"/>
      <c r="I423" s="55" t="str">
        <f>IFERROR(__xludf.DUMMYFUNCTION("SPLIT(A423,""."")"),"#VALUE!")</f>
        <v>#VALUE!</v>
      </c>
    </row>
    <row r="424">
      <c r="A424" s="6"/>
      <c r="I424" s="55" t="str">
        <f>IFERROR(__xludf.DUMMYFUNCTION("SPLIT(A424,""."")"),"#VALUE!")</f>
        <v>#VALUE!</v>
      </c>
    </row>
    <row r="425">
      <c r="A425" s="6"/>
      <c r="I425" s="55" t="str">
        <f>IFERROR(__xludf.DUMMYFUNCTION("SPLIT(A425,""."")"),"#VALUE!")</f>
        <v>#VALUE!</v>
      </c>
    </row>
    <row r="426">
      <c r="A426" s="6"/>
      <c r="I426" s="55" t="str">
        <f>IFERROR(__xludf.DUMMYFUNCTION("SPLIT(A426,""."")"),"#VALUE!")</f>
        <v>#VALUE!</v>
      </c>
    </row>
    <row r="427">
      <c r="A427" s="6"/>
      <c r="I427" s="55" t="str">
        <f>IFERROR(__xludf.DUMMYFUNCTION("SPLIT(A427,""."")"),"#VALUE!")</f>
        <v>#VALUE!</v>
      </c>
    </row>
    <row r="428">
      <c r="A428" s="6"/>
      <c r="I428" s="55" t="str">
        <f>IFERROR(__xludf.DUMMYFUNCTION("SPLIT(A428,""."")"),"#VALUE!")</f>
        <v>#VALUE!</v>
      </c>
    </row>
    <row r="429">
      <c r="A429" s="6"/>
      <c r="I429" s="55" t="str">
        <f>IFERROR(__xludf.DUMMYFUNCTION("SPLIT(A429,""."")"),"#VALUE!")</f>
        <v>#VALUE!</v>
      </c>
    </row>
    <row r="430">
      <c r="A430" s="6"/>
      <c r="I430" s="55" t="str">
        <f>IFERROR(__xludf.DUMMYFUNCTION("SPLIT(A430,""."")"),"#VALUE!")</f>
        <v>#VALUE!</v>
      </c>
    </row>
    <row r="431">
      <c r="A431" s="6"/>
      <c r="I431" s="55" t="str">
        <f>IFERROR(__xludf.DUMMYFUNCTION("SPLIT(A431,""."")"),"#VALUE!")</f>
        <v>#VALUE!</v>
      </c>
    </row>
    <row r="432">
      <c r="A432" s="6"/>
      <c r="I432" s="55" t="str">
        <f>IFERROR(__xludf.DUMMYFUNCTION("SPLIT(A432,""."")"),"#VALUE!")</f>
        <v>#VALUE!</v>
      </c>
    </row>
    <row r="433">
      <c r="A433" s="6"/>
      <c r="I433" s="55" t="str">
        <f>IFERROR(__xludf.DUMMYFUNCTION("SPLIT(A433,""."")"),"#VALUE!")</f>
        <v>#VALUE!</v>
      </c>
    </row>
    <row r="434">
      <c r="A434" s="6"/>
      <c r="I434" s="55" t="str">
        <f>IFERROR(__xludf.DUMMYFUNCTION("SPLIT(A434,""."")"),"#VALUE!")</f>
        <v>#VALUE!</v>
      </c>
    </row>
    <row r="435">
      <c r="A435" s="6"/>
      <c r="I435" s="55" t="str">
        <f>IFERROR(__xludf.DUMMYFUNCTION("SPLIT(A435,""."")"),"#VALUE!")</f>
        <v>#VALUE!</v>
      </c>
    </row>
    <row r="436">
      <c r="A436" s="6"/>
      <c r="I436" s="55" t="str">
        <f>IFERROR(__xludf.DUMMYFUNCTION("SPLIT(A436,""."")"),"#VALUE!")</f>
        <v>#VALUE!</v>
      </c>
    </row>
    <row r="437">
      <c r="A437" s="6"/>
      <c r="I437" s="55" t="str">
        <f>IFERROR(__xludf.DUMMYFUNCTION("SPLIT(A437,""."")"),"#VALUE!")</f>
        <v>#VALUE!</v>
      </c>
    </row>
    <row r="438">
      <c r="A438" s="6"/>
      <c r="I438" s="55" t="str">
        <f>IFERROR(__xludf.DUMMYFUNCTION("SPLIT(A438,""."")"),"#VALUE!")</f>
        <v>#VALUE!</v>
      </c>
    </row>
    <row r="439">
      <c r="A439" s="6"/>
      <c r="I439" s="55" t="str">
        <f>IFERROR(__xludf.DUMMYFUNCTION("SPLIT(A439,""."")"),"#VALUE!")</f>
        <v>#VALUE!</v>
      </c>
    </row>
    <row r="440">
      <c r="A440" s="6"/>
      <c r="I440" s="55" t="str">
        <f>IFERROR(__xludf.DUMMYFUNCTION("SPLIT(A440,""."")"),"#VALUE!")</f>
        <v>#VALUE!</v>
      </c>
    </row>
    <row r="441">
      <c r="A441" s="6"/>
      <c r="I441" s="55" t="str">
        <f>IFERROR(__xludf.DUMMYFUNCTION("SPLIT(A441,""."")"),"#VALUE!")</f>
        <v>#VALUE!</v>
      </c>
    </row>
    <row r="442">
      <c r="A442" s="6"/>
      <c r="I442" s="55" t="str">
        <f>IFERROR(__xludf.DUMMYFUNCTION("SPLIT(A442,""."")"),"#VALUE!")</f>
        <v>#VALUE!</v>
      </c>
    </row>
    <row r="443">
      <c r="A443" s="6"/>
      <c r="I443" s="55" t="str">
        <f>IFERROR(__xludf.DUMMYFUNCTION("SPLIT(A443,""."")"),"#VALUE!")</f>
        <v>#VALUE!</v>
      </c>
    </row>
    <row r="444">
      <c r="A444" s="6"/>
      <c r="I444" s="55" t="str">
        <f>IFERROR(__xludf.DUMMYFUNCTION("SPLIT(A444,""."")"),"#VALUE!")</f>
        <v>#VALUE!</v>
      </c>
    </row>
    <row r="445">
      <c r="A445" s="6"/>
      <c r="I445" s="55" t="str">
        <f>IFERROR(__xludf.DUMMYFUNCTION("SPLIT(A445,""."")"),"#VALUE!")</f>
        <v>#VALUE!</v>
      </c>
    </row>
    <row r="446">
      <c r="A446" s="6"/>
      <c r="I446" s="55" t="str">
        <f>IFERROR(__xludf.DUMMYFUNCTION("SPLIT(A446,""."")"),"#VALUE!")</f>
        <v>#VALUE!</v>
      </c>
    </row>
    <row r="447">
      <c r="A447" s="6"/>
      <c r="I447" s="55" t="str">
        <f>IFERROR(__xludf.DUMMYFUNCTION("SPLIT(A447,""."")"),"#VALUE!")</f>
        <v>#VALUE!</v>
      </c>
    </row>
    <row r="448">
      <c r="A448" s="6"/>
      <c r="I448" s="55" t="str">
        <f>IFERROR(__xludf.DUMMYFUNCTION("SPLIT(A448,""."")"),"#VALUE!")</f>
        <v>#VALUE!</v>
      </c>
    </row>
    <row r="449">
      <c r="A449" s="6"/>
      <c r="I449" s="55" t="str">
        <f>IFERROR(__xludf.DUMMYFUNCTION("SPLIT(A449,""."")"),"#VALUE!")</f>
        <v>#VALUE!</v>
      </c>
    </row>
    <row r="450">
      <c r="A450" s="6"/>
      <c r="I450" s="55" t="str">
        <f>IFERROR(__xludf.DUMMYFUNCTION("SPLIT(A450,""."")"),"#VALUE!")</f>
        <v>#VALUE!</v>
      </c>
    </row>
    <row r="451">
      <c r="A451" s="6"/>
      <c r="I451" s="55" t="str">
        <f>IFERROR(__xludf.DUMMYFUNCTION("SPLIT(A451,""."")"),"#VALUE!")</f>
        <v>#VALUE!</v>
      </c>
    </row>
    <row r="452">
      <c r="A452" s="6"/>
      <c r="I452" s="55" t="str">
        <f>IFERROR(__xludf.DUMMYFUNCTION("SPLIT(A452,""."")"),"#VALUE!")</f>
        <v>#VALUE!</v>
      </c>
    </row>
    <row r="453">
      <c r="A453" s="6"/>
      <c r="I453" s="55" t="str">
        <f>IFERROR(__xludf.DUMMYFUNCTION("SPLIT(A453,""."")"),"#VALUE!")</f>
        <v>#VALUE!</v>
      </c>
    </row>
    <row r="454">
      <c r="A454" s="6"/>
      <c r="I454" s="55" t="str">
        <f>IFERROR(__xludf.DUMMYFUNCTION("SPLIT(A454,""."")"),"#VALUE!")</f>
        <v>#VALUE!</v>
      </c>
    </row>
    <row r="455">
      <c r="A455" s="6"/>
      <c r="I455" s="55" t="str">
        <f>IFERROR(__xludf.DUMMYFUNCTION("SPLIT(A455,""."")"),"#VALUE!")</f>
        <v>#VALUE!</v>
      </c>
    </row>
    <row r="456">
      <c r="A456" s="6"/>
      <c r="I456" s="55" t="str">
        <f>IFERROR(__xludf.DUMMYFUNCTION("SPLIT(A456,""."")"),"#VALUE!")</f>
        <v>#VALUE!</v>
      </c>
    </row>
    <row r="457">
      <c r="A457" s="6"/>
      <c r="I457" s="55" t="str">
        <f>IFERROR(__xludf.DUMMYFUNCTION("SPLIT(A457,""."")"),"#VALUE!")</f>
        <v>#VALUE!</v>
      </c>
    </row>
    <row r="458">
      <c r="A458" s="6"/>
      <c r="I458" s="55" t="str">
        <f>IFERROR(__xludf.DUMMYFUNCTION("SPLIT(A458,""."")"),"#VALUE!")</f>
        <v>#VALUE!</v>
      </c>
    </row>
    <row r="459">
      <c r="A459" s="6"/>
      <c r="I459" s="55" t="str">
        <f>IFERROR(__xludf.DUMMYFUNCTION("SPLIT(A459,""."")"),"#VALUE!")</f>
        <v>#VALUE!</v>
      </c>
    </row>
    <row r="460">
      <c r="A460" s="6"/>
      <c r="I460" s="55" t="str">
        <f>IFERROR(__xludf.DUMMYFUNCTION("SPLIT(A460,""."")"),"#VALUE!")</f>
        <v>#VALUE!</v>
      </c>
    </row>
    <row r="461">
      <c r="A461" s="6"/>
      <c r="I461" s="55" t="str">
        <f>IFERROR(__xludf.DUMMYFUNCTION("SPLIT(A461,""."")"),"#VALUE!")</f>
        <v>#VALUE!</v>
      </c>
    </row>
    <row r="462">
      <c r="A462" s="6"/>
      <c r="I462" s="55" t="str">
        <f>IFERROR(__xludf.DUMMYFUNCTION("SPLIT(A462,""."")"),"#VALUE!")</f>
        <v>#VALUE!</v>
      </c>
    </row>
    <row r="463">
      <c r="A463" s="6"/>
      <c r="I463" s="55" t="str">
        <f>IFERROR(__xludf.DUMMYFUNCTION("SPLIT(A463,""."")"),"#VALUE!")</f>
        <v>#VALUE!</v>
      </c>
    </row>
    <row r="464">
      <c r="A464" s="6"/>
      <c r="I464" s="55" t="str">
        <f>IFERROR(__xludf.DUMMYFUNCTION("SPLIT(A464,""."")"),"#VALUE!")</f>
        <v>#VALUE!</v>
      </c>
    </row>
    <row r="465">
      <c r="A465" s="6"/>
      <c r="I465" s="55" t="str">
        <f>IFERROR(__xludf.DUMMYFUNCTION("SPLIT(A465,""."")"),"#VALUE!")</f>
        <v>#VALUE!</v>
      </c>
    </row>
    <row r="466">
      <c r="A466" s="6"/>
      <c r="I466" s="55" t="str">
        <f>IFERROR(__xludf.DUMMYFUNCTION("SPLIT(A466,""."")"),"#VALUE!")</f>
        <v>#VALUE!</v>
      </c>
    </row>
    <row r="467">
      <c r="A467" s="6"/>
      <c r="I467" s="55" t="str">
        <f>IFERROR(__xludf.DUMMYFUNCTION("SPLIT(A467,""."")"),"#VALUE!")</f>
        <v>#VALUE!</v>
      </c>
    </row>
    <row r="468">
      <c r="A468" s="6"/>
      <c r="I468" s="55" t="str">
        <f>IFERROR(__xludf.DUMMYFUNCTION("SPLIT(A468,""."")"),"#VALUE!")</f>
        <v>#VALUE!</v>
      </c>
    </row>
    <row r="469">
      <c r="A469" s="6"/>
      <c r="I469" s="55" t="str">
        <f>IFERROR(__xludf.DUMMYFUNCTION("SPLIT(A469,""."")"),"#VALUE!")</f>
        <v>#VALUE!</v>
      </c>
    </row>
    <row r="470">
      <c r="A470" s="6"/>
      <c r="I470" s="55" t="str">
        <f>IFERROR(__xludf.DUMMYFUNCTION("SPLIT(A470,""."")"),"#VALUE!")</f>
        <v>#VALUE!</v>
      </c>
    </row>
    <row r="471">
      <c r="A471" s="6"/>
      <c r="I471" s="55" t="str">
        <f>IFERROR(__xludf.DUMMYFUNCTION("SPLIT(A471,""."")"),"#VALUE!")</f>
        <v>#VALUE!</v>
      </c>
    </row>
    <row r="472">
      <c r="A472" s="6"/>
      <c r="I472" s="55" t="str">
        <f>IFERROR(__xludf.DUMMYFUNCTION("SPLIT(A472,""."")"),"#VALUE!")</f>
        <v>#VALUE!</v>
      </c>
    </row>
    <row r="473">
      <c r="A473" s="6"/>
      <c r="I473" s="55" t="str">
        <f>IFERROR(__xludf.DUMMYFUNCTION("SPLIT(A473,""."")"),"#VALUE!")</f>
        <v>#VALUE!</v>
      </c>
    </row>
    <row r="474">
      <c r="A474" s="6"/>
      <c r="I474" s="55" t="str">
        <f>IFERROR(__xludf.DUMMYFUNCTION("SPLIT(A474,""."")"),"#VALUE!")</f>
        <v>#VALUE!</v>
      </c>
    </row>
    <row r="475">
      <c r="A475" s="6"/>
      <c r="I475" s="55" t="str">
        <f>IFERROR(__xludf.DUMMYFUNCTION("SPLIT(A475,""."")"),"#VALUE!")</f>
        <v>#VALUE!</v>
      </c>
    </row>
    <row r="476">
      <c r="A476" s="6"/>
      <c r="I476" s="55" t="str">
        <f>IFERROR(__xludf.DUMMYFUNCTION("SPLIT(A476,""."")"),"#VALUE!")</f>
        <v>#VALUE!</v>
      </c>
    </row>
    <row r="477">
      <c r="A477" s="6"/>
      <c r="I477" s="55" t="str">
        <f>IFERROR(__xludf.DUMMYFUNCTION("SPLIT(A477,""."")"),"#VALUE!")</f>
        <v>#VALUE!</v>
      </c>
    </row>
    <row r="478">
      <c r="A478" s="6"/>
      <c r="I478" s="55" t="str">
        <f>IFERROR(__xludf.DUMMYFUNCTION("SPLIT(A478,""."")"),"#VALUE!")</f>
        <v>#VALUE!</v>
      </c>
    </row>
    <row r="479">
      <c r="A479" s="6"/>
      <c r="I479" s="55" t="str">
        <f>IFERROR(__xludf.DUMMYFUNCTION("SPLIT(A479,""."")"),"#VALUE!")</f>
        <v>#VALUE!</v>
      </c>
    </row>
    <row r="480">
      <c r="A480" s="6"/>
      <c r="I480" s="55" t="str">
        <f>IFERROR(__xludf.DUMMYFUNCTION("SPLIT(A480,""."")"),"#VALUE!")</f>
        <v>#VALUE!</v>
      </c>
    </row>
    <row r="481">
      <c r="A481" s="6"/>
      <c r="I481" s="55" t="str">
        <f>IFERROR(__xludf.DUMMYFUNCTION("SPLIT(A481,""."")"),"#VALUE!")</f>
        <v>#VALUE!</v>
      </c>
    </row>
    <row r="482">
      <c r="A482" s="6"/>
      <c r="I482" s="55" t="str">
        <f>IFERROR(__xludf.DUMMYFUNCTION("SPLIT(A482,""."")"),"#VALUE!")</f>
        <v>#VALUE!</v>
      </c>
    </row>
    <row r="483">
      <c r="A483" s="6"/>
      <c r="I483" s="55" t="str">
        <f>IFERROR(__xludf.DUMMYFUNCTION("SPLIT(A483,""."")"),"#VALUE!")</f>
        <v>#VALUE!</v>
      </c>
    </row>
    <row r="484">
      <c r="A484" s="6"/>
      <c r="I484" s="55" t="str">
        <f>IFERROR(__xludf.DUMMYFUNCTION("SPLIT(A484,""."")"),"#VALUE!")</f>
        <v>#VALUE!</v>
      </c>
    </row>
    <row r="485">
      <c r="A485" s="6"/>
      <c r="I485" s="55" t="str">
        <f>IFERROR(__xludf.DUMMYFUNCTION("SPLIT(A485,""."")"),"#VALUE!")</f>
        <v>#VALUE!</v>
      </c>
    </row>
    <row r="486">
      <c r="A486" s="6"/>
      <c r="I486" s="55" t="str">
        <f>IFERROR(__xludf.DUMMYFUNCTION("SPLIT(A486,""."")"),"#VALUE!")</f>
        <v>#VALUE!</v>
      </c>
    </row>
    <row r="487">
      <c r="A487" s="6"/>
      <c r="I487" s="55" t="str">
        <f>IFERROR(__xludf.DUMMYFUNCTION("SPLIT(A487,""."")"),"#VALUE!")</f>
        <v>#VALUE!</v>
      </c>
    </row>
    <row r="488">
      <c r="A488" s="6"/>
      <c r="I488" s="55" t="str">
        <f>IFERROR(__xludf.DUMMYFUNCTION("SPLIT(A488,""."")"),"#VALUE!")</f>
        <v>#VALUE!</v>
      </c>
    </row>
    <row r="489">
      <c r="A489" s="6"/>
      <c r="I489" s="55" t="str">
        <f>IFERROR(__xludf.DUMMYFUNCTION("SPLIT(A489,""."")"),"#VALUE!")</f>
        <v>#VALUE!</v>
      </c>
    </row>
    <row r="490">
      <c r="A490" s="6"/>
      <c r="I490" s="55" t="str">
        <f>IFERROR(__xludf.DUMMYFUNCTION("SPLIT(A490,""."")"),"#VALUE!")</f>
        <v>#VALUE!</v>
      </c>
    </row>
    <row r="491">
      <c r="A491" s="6"/>
      <c r="I491" s="55" t="str">
        <f>IFERROR(__xludf.DUMMYFUNCTION("SPLIT(A491,""."")"),"#VALUE!")</f>
        <v>#VALUE!</v>
      </c>
    </row>
    <row r="492">
      <c r="A492" s="6"/>
      <c r="I492" s="55" t="str">
        <f>IFERROR(__xludf.DUMMYFUNCTION("SPLIT(A492,""."")"),"#VALUE!")</f>
        <v>#VALUE!</v>
      </c>
    </row>
    <row r="493">
      <c r="A493" s="6"/>
      <c r="I493" s="55" t="str">
        <f>IFERROR(__xludf.DUMMYFUNCTION("SPLIT(A493,""."")"),"#VALUE!")</f>
        <v>#VALUE!</v>
      </c>
    </row>
    <row r="494">
      <c r="A494" s="6"/>
      <c r="I494" s="55" t="str">
        <f>IFERROR(__xludf.DUMMYFUNCTION("SPLIT(A494,""."")"),"#VALUE!")</f>
        <v>#VALUE!</v>
      </c>
    </row>
    <row r="495">
      <c r="A495" s="6"/>
      <c r="I495" s="55" t="str">
        <f>IFERROR(__xludf.DUMMYFUNCTION("SPLIT(A495,""."")"),"#VALUE!")</f>
        <v>#VALUE!</v>
      </c>
    </row>
    <row r="496">
      <c r="A496" s="6"/>
      <c r="I496" s="55" t="str">
        <f>IFERROR(__xludf.DUMMYFUNCTION("SPLIT(A496,""."")"),"#VALUE!")</f>
        <v>#VALUE!</v>
      </c>
    </row>
    <row r="497">
      <c r="A497" s="6"/>
      <c r="I497" s="55" t="str">
        <f>IFERROR(__xludf.DUMMYFUNCTION("SPLIT(A497,""."")"),"#VALUE!")</f>
        <v>#VALUE!</v>
      </c>
    </row>
    <row r="498">
      <c r="A498" s="6"/>
      <c r="I498" s="55" t="str">
        <f>IFERROR(__xludf.DUMMYFUNCTION("SPLIT(A498,""."")"),"#VALUE!")</f>
        <v>#VALUE!</v>
      </c>
    </row>
    <row r="499">
      <c r="A499" s="6"/>
      <c r="I499" s="55" t="str">
        <f>IFERROR(__xludf.DUMMYFUNCTION("SPLIT(A499,""."")"),"#VALUE!")</f>
        <v>#VALUE!</v>
      </c>
    </row>
    <row r="500">
      <c r="A500" s="6"/>
      <c r="I500" s="55" t="str">
        <f>IFERROR(__xludf.DUMMYFUNCTION("SPLIT(A500,""."")"),"#VALUE!")</f>
        <v>#VALUE!</v>
      </c>
    </row>
    <row r="501">
      <c r="A501" s="6"/>
      <c r="I501" s="55" t="str">
        <f>IFERROR(__xludf.DUMMYFUNCTION("SPLIT(A501,""."")"),"#VALUE!")</f>
        <v>#VALUE!</v>
      </c>
    </row>
    <row r="502">
      <c r="A502" s="6"/>
      <c r="I502" s="55" t="str">
        <f>IFERROR(__xludf.DUMMYFUNCTION("SPLIT(A502,""."")"),"#VALUE!")</f>
        <v>#VALUE!</v>
      </c>
    </row>
    <row r="503">
      <c r="A503" s="6"/>
      <c r="I503" s="55" t="str">
        <f>IFERROR(__xludf.DUMMYFUNCTION("SPLIT(A503,""."")"),"#VALUE!")</f>
        <v>#VALUE!</v>
      </c>
    </row>
    <row r="504">
      <c r="A504" s="6"/>
      <c r="I504" s="55" t="str">
        <f>IFERROR(__xludf.DUMMYFUNCTION("SPLIT(A504,""."")"),"#VALUE!")</f>
        <v>#VALUE!</v>
      </c>
    </row>
    <row r="505">
      <c r="A505" s="6"/>
      <c r="I505" s="55" t="str">
        <f>IFERROR(__xludf.DUMMYFUNCTION("SPLIT(A505,""."")"),"#VALUE!")</f>
        <v>#VALUE!</v>
      </c>
    </row>
    <row r="506">
      <c r="A506" s="6"/>
      <c r="I506" s="55" t="str">
        <f>IFERROR(__xludf.DUMMYFUNCTION("SPLIT(A506,""."")"),"#VALUE!")</f>
        <v>#VALUE!</v>
      </c>
    </row>
    <row r="507">
      <c r="A507" s="6"/>
      <c r="I507" s="55" t="str">
        <f>IFERROR(__xludf.DUMMYFUNCTION("SPLIT(A507,""."")"),"#VALUE!")</f>
        <v>#VALUE!</v>
      </c>
    </row>
    <row r="508">
      <c r="A508" s="6"/>
      <c r="I508" s="55" t="str">
        <f>IFERROR(__xludf.DUMMYFUNCTION("SPLIT(A508,""."")"),"#VALUE!")</f>
        <v>#VALUE!</v>
      </c>
    </row>
    <row r="509">
      <c r="A509" s="6"/>
      <c r="I509" s="55" t="str">
        <f>IFERROR(__xludf.DUMMYFUNCTION("SPLIT(A509,""."")"),"#VALUE!")</f>
        <v>#VALUE!</v>
      </c>
    </row>
    <row r="510">
      <c r="A510" s="6"/>
      <c r="I510" s="55" t="str">
        <f>IFERROR(__xludf.DUMMYFUNCTION("SPLIT(A510,""."")"),"#VALUE!")</f>
        <v>#VALUE!</v>
      </c>
    </row>
    <row r="511">
      <c r="A511" s="6"/>
      <c r="I511" s="55" t="str">
        <f>IFERROR(__xludf.DUMMYFUNCTION("SPLIT(A511,""."")"),"#VALUE!")</f>
        <v>#VALUE!</v>
      </c>
    </row>
    <row r="512">
      <c r="A512" s="6"/>
      <c r="I512" s="55" t="str">
        <f>IFERROR(__xludf.DUMMYFUNCTION("SPLIT(A512,""."")"),"#VALUE!")</f>
        <v>#VALUE!</v>
      </c>
    </row>
    <row r="513">
      <c r="A513" s="6"/>
      <c r="I513" s="55" t="str">
        <f>IFERROR(__xludf.DUMMYFUNCTION("SPLIT(A513,""."")"),"#VALUE!")</f>
        <v>#VALUE!</v>
      </c>
    </row>
    <row r="514">
      <c r="A514" s="6"/>
      <c r="I514" s="55" t="str">
        <f>IFERROR(__xludf.DUMMYFUNCTION("SPLIT(A514,""."")"),"#VALUE!")</f>
        <v>#VALUE!</v>
      </c>
    </row>
    <row r="515">
      <c r="A515" s="6"/>
      <c r="I515" s="55" t="str">
        <f>IFERROR(__xludf.DUMMYFUNCTION("SPLIT(A515,""."")"),"#VALUE!")</f>
        <v>#VALUE!</v>
      </c>
    </row>
    <row r="516">
      <c r="A516" s="6"/>
      <c r="I516" s="55" t="str">
        <f>IFERROR(__xludf.DUMMYFUNCTION("SPLIT(A516,""."")"),"#VALUE!")</f>
        <v>#VALUE!</v>
      </c>
    </row>
    <row r="517">
      <c r="A517" s="6"/>
      <c r="I517" s="55" t="str">
        <f>IFERROR(__xludf.DUMMYFUNCTION("SPLIT(A517,""."")"),"#VALUE!")</f>
        <v>#VALUE!</v>
      </c>
    </row>
    <row r="518">
      <c r="A518" s="6"/>
      <c r="I518" s="55" t="str">
        <f>IFERROR(__xludf.DUMMYFUNCTION("SPLIT(A518,""."")"),"#VALUE!")</f>
        <v>#VALUE!</v>
      </c>
    </row>
    <row r="519">
      <c r="A519" s="6"/>
      <c r="I519" s="55" t="str">
        <f>IFERROR(__xludf.DUMMYFUNCTION("SPLIT(A519,""."")"),"#VALUE!")</f>
        <v>#VALUE!</v>
      </c>
    </row>
    <row r="520">
      <c r="A520" s="6"/>
      <c r="I520" s="55" t="str">
        <f>IFERROR(__xludf.DUMMYFUNCTION("SPLIT(A520,""."")"),"#VALUE!")</f>
        <v>#VALUE!</v>
      </c>
    </row>
    <row r="521">
      <c r="A521" s="6"/>
      <c r="I521" s="55" t="str">
        <f>IFERROR(__xludf.DUMMYFUNCTION("SPLIT(A521,""."")"),"#VALUE!")</f>
        <v>#VALUE!</v>
      </c>
    </row>
    <row r="522">
      <c r="A522" s="6"/>
      <c r="I522" s="55" t="str">
        <f>IFERROR(__xludf.DUMMYFUNCTION("SPLIT(A522,""."")"),"#VALUE!")</f>
        <v>#VALUE!</v>
      </c>
    </row>
    <row r="523">
      <c r="A523" s="6"/>
      <c r="I523" s="55" t="str">
        <f>IFERROR(__xludf.DUMMYFUNCTION("SPLIT(A523,""."")"),"#VALUE!")</f>
        <v>#VALUE!</v>
      </c>
    </row>
    <row r="524">
      <c r="A524" s="6"/>
      <c r="I524" s="55" t="str">
        <f>IFERROR(__xludf.DUMMYFUNCTION("SPLIT(A524,""."")"),"#VALUE!")</f>
        <v>#VALUE!</v>
      </c>
    </row>
    <row r="525">
      <c r="A525" s="6"/>
      <c r="I525" s="55" t="str">
        <f>IFERROR(__xludf.DUMMYFUNCTION("SPLIT(A525,""."")"),"#VALUE!")</f>
        <v>#VALUE!</v>
      </c>
    </row>
    <row r="526">
      <c r="A526" s="6"/>
      <c r="I526" s="55" t="str">
        <f>IFERROR(__xludf.DUMMYFUNCTION("SPLIT(A526,""."")"),"#VALUE!")</f>
        <v>#VALUE!</v>
      </c>
    </row>
    <row r="527">
      <c r="A527" s="6"/>
      <c r="I527" s="55" t="str">
        <f>IFERROR(__xludf.DUMMYFUNCTION("SPLIT(A527,""."")"),"#VALUE!")</f>
        <v>#VALUE!</v>
      </c>
    </row>
    <row r="528">
      <c r="A528" s="6"/>
      <c r="I528" s="55" t="str">
        <f>IFERROR(__xludf.DUMMYFUNCTION("SPLIT(A528,""."")"),"#VALUE!")</f>
        <v>#VALUE!</v>
      </c>
    </row>
    <row r="529">
      <c r="A529" s="6"/>
      <c r="I529" s="55" t="str">
        <f>IFERROR(__xludf.DUMMYFUNCTION("SPLIT(A529,""."")"),"#VALUE!")</f>
        <v>#VALUE!</v>
      </c>
    </row>
    <row r="530">
      <c r="A530" s="6"/>
      <c r="I530" s="55" t="str">
        <f>IFERROR(__xludf.DUMMYFUNCTION("SPLIT(A530,""."")"),"#VALUE!")</f>
        <v>#VALUE!</v>
      </c>
    </row>
    <row r="531">
      <c r="A531" s="6"/>
      <c r="I531" s="55" t="str">
        <f>IFERROR(__xludf.DUMMYFUNCTION("SPLIT(A531,""."")"),"#VALUE!")</f>
        <v>#VALUE!</v>
      </c>
    </row>
    <row r="532">
      <c r="A532" s="6"/>
      <c r="I532" s="55" t="str">
        <f>IFERROR(__xludf.DUMMYFUNCTION("SPLIT(A532,""."")"),"#VALUE!")</f>
        <v>#VALUE!</v>
      </c>
    </row>
    <row r="533">
      <c r="A533" s="6"/>
      <c r="I533" s="55" t="str">
        <f>IFERROR(__xludf.DUMMYFUNCTION("SPLIT(A533,""."")"),"#VALUE!")</f>
        <v>#VALUE!</v>
      </c>
    </row>
    <row r="534">
      <c r="A534" s="6"/>
      <c r="I534" s="55" t="str">
        <f>IFERROR(__xludf.DUMMYFUNCTION("SPLIT(A534,""."")"),"#VALUE!")</f>
        <v>#VALUE!</v>
      </c>
    </row>
    <row r="535">
      <c r="A535" s="6"/>
      <c r="I535" s="55" t="str">
        <f>IFERROR(__xludf.DUMMYFUNCTION("SPLIT(A535,""."")"),"#VALUE!")</f>
        <v>#VALUE!</v>
      </c>
    </row>
    <row r="536">
      <c r="A536" s="6"/>
      <c r="I536" s="55" t="str">
        <f>IFERROR(__xludf.DUMMYFUNCTION("SPLIT(A536,""."")"),"#VALUE!")</f>
        <v>#VALUE!</v>
      </c>
    </row>
    <row r="537">
      <c r="A537" s="6"/>
      <c r="I537" s="55" t="str">
        <f>IFERROR(__xludf.DUMMYFUNCTION("SPLIT(A537,""."")"),"#VALUE!")</f>
        <v>#VALUE!</v>
      </c>
    </row>
    <row r="538">
      <c r="A538" s="6"/>
      <c r="I538" s="55" t="str">
        <f>IFERROR(__xludf.DUMMYFUNCTION("SPLIT(A538,""."")"),"#VALUE!")</f>
        <v>#VALUE!</v>
      </c>
    </row>
    <row r="539">
      <c r="A539" s="6"/>
      <c r="I539" s="55" t="str">
        <f>IFERROR(__xludf.DUMMYFUNCTION("SPLIT(A539,""."")"),"#VALUE!")</f>
        <v>#VALUE!</v>
      </c>
    </row>
    <row r="540">
      <c r="A540" s="6"/>
      <c r="I540" s="55" t="str">
        <f>IFERROR(__xludf.DUMMYFUNCTION("SPLIT(A540,""."")"),"#VALUE!")</f>
        <v>#VALUE!</v>
      </c>
    </row>
    <row r="541">
      <c r="A541" s="6"/>
      <c r="I541" s="55" t="str">
        <f>IFERROR(__xludf.DUMMYFUNCTION("SPLIT(A541,""."")"),"#VALUE!")</f>
        <v>#VALUE!</v>
      </c>
    </row>
    <row r="542">
      <c r="A542" s="6"/>
      <c r="I542" s="55" t="str">
        <f>IFERROR(__xludf.DUMMYFUNCTION("SPLIT(A542,""."")"),"#VALUE!")</f>
        <v>#VALUE!</v>
      </c>
    </row>
    <row r="543">
      <c r="A543" s="6"/>
      <c r="I543" s="55" t="str">
        <f>IFERROR(__xludf.DUMMYFUNCTION("SPLIT(A543,""."")"),"#VALUE!")</f>
        <v>#VALUE!</v>
      </c>
    </row>
    <row r="544">
      <c r="A544" s="6"/>
      <c r="I544" s="55" t="str">
        <f>IFERROR(__xludf.DUMMYFUNCTION("SPLIT(A544,""."")"),"#VALUE!")</f>
        <v>#VALUE!</v>
      </c>
    </row>
    <row r="545">
      <c r="A545" s="6"/>
      <c r="I545" s="55" t="str">
        <f>IFERROR(__xludf.DUMMYFUNCTION("SPLIT(A545,""."")"),"#VALUE!")</f>
        <v>#VALUE!</v>
      </c>
    </row>
    <row r="546">
      <c r="A546" s="6"/>
      <c r="I546" s="55" t="str">
        <f>IFERROR(__xludf.DUMMYFUNCTION("SPLIT(A546,""."")"),"#VALUE!")</f>
        <v>#VALUE!</v>
      </c>
    </row>
    <row r="547">
      <c r="A547" s="6"/>
      <c r="I547" s="55" t="str">
        <f>IFERROR(__xludf.DUMMYFUNCTION("SPLIT(A547,""."")"),"#VALUE!")</f>
        <v>#VALUE!</v>
      </c>
    </row>
    <row r="548">
      <c r="A548" s="6"/>
      <c r="I548" s="55" t="str">
        <f>IFERROR(__xludf.DUMMYFUNCTION("SPLIT(A548,""."")"),"#VALUE!")</f>
        <v>#VALUE!</v>
      </c>
    </row>
    <row r="549">
      <c r="A549" s="6"/>
      <c r="I549" s="55" t="str">
        <f>IFERROR(__xludf.DUMMYFUNCTION("SPLIT(A549,""."")"),"#VALUE!")</f>
        <v>#VALUE!</v>
      </c>
    </row>
    <row r="550">
      <c r="A550" s="6"/>
      <c r="I550" s="55" t="str">
        <f>IFERROR(__xludf.DUMMYFUNCTION("SPLIT(A550,""."")"),"#VALUE!")</f>
        <v>#VALUE!</v>
      </c>
    </row>
    <row r="551">
      <c r="A551" s="6"/>
      <c r="I551" s="55" t="str">
        <f>IFERROR(__xludf.DUMMYFUNCTION("SPLIT(A551,""."")"),"#VALUE!")</f>
        <v>#VALUE!</v>
      </c>
    </row>
    <row r="552">
      <c r="A552" s="6"/>
      <c r="I552" s="55" t="str">
        <f>IFERROR(__xludf.DUMMYFUNCTION("SPLIT(A552,""."")"),"#VALUE!")</f>
        <v>#VALUE!</v>
      </c>
    </row>
    <row r="553">
      <c r="A553" s="6"/>
      <c r="I553" s="55" t="str">
        <f>IFERROR(__xludf.DUMMYFUNCTION("SPLIT(A553,""."")"),"#VALUE!")</f>
        <v>#VALUE!</v>
      </c>
    </row>
    <row r="554">
      <c r="A554" s="6"/>
      <c r="I554" s="55" t="str">
        <f>IFERROR(__xludf.DUMMYFUNCTION("SPLIT(A554,""."")"),"#VALUE!")</f>
        <v>#VALUE!</v>
      </c>
    </row>
    <row r="555">
      <c r="A555" s="6"/>
      <c r="I555" s="55" t="str">
        <f>IFERROR(__xludf.DUMMYFUNCTION("SPLIT(A555,""."")"),"#VALUE!")</f>
        <v>#VALUE!</v>
      </c>
    </row>
    <row r="556">
      <c r="A556" s="6"/>
      <c r="I556" s="55" t="str">
        <f>IFERROR(__xludf.DUMMYFUNCTION("SPLIT(A556,""."")"),"#VALUE!")</f>
        <v>#VALUE!</v>
      </c>
    </row>
    <row r="557">
      <c r="A557" s="6"/>
      <c r="I557" s="55" t="str">
        <f>IFERROR(__xludf.DUMMYFUNCTION("SPLIT(A557,""."")"),"#VALUE!")</f>
        <v>#VALUE!</v>
      </c>
    </row>
    <row r="558">
      <c r="A558" s="6"/>
      <c r="I558" s="55" t="str">
        <f>IFERROR(__xludf.DUMMYFUNCTION("SPLIT(A558,""."")"),"#VALUE!")</f>
        <v>#VALUE!</v>
      </c>
    </row>
    <row r="559">
      <c r="A559" s="6"/>
      <c r="I559" s="55" t="str">
        <f>IFERROR(__xludf.DUMMYFUNCTION("SPLIT(A559,""."")"),"#VALUE!")</f>
        <v>#VALUE!</v>
      </c>
    </row>
    <row r="560">
      <c r="A560" s="6"/>
      <c r="I560" s="55" t="str">
        <f>IFERROR(__xludf.DUMMYFUNCTION("SPLIT(A560,""."")"),"#VALUE!")</f>
        <v>#VALUE!</v>
      </c>
    </row>
    <row r="561">
      <c r="A561" s="6"/>
      <c r="I561" s="55" t="str">
        <f>IFERROR(__xludf.DUMMYFUNCTION("SPLIT(A561,""."")"),"#VALUE!")</f>
        <v>#VALUE!</v>
      </c>
    </row>
    <row r="562">
      <c r="A562" s="6"/>
      <c r="I562" s="55" t="str">
        <f>IFERROR(__xludf.DUMMYFUNCTION("SPLIT(A562,""."")"),"#VALUE!")</f>
        <v>#VALUE!</v>
      </c>
    </row>
    <row r="563">
      <c r="A563" s="6"/>
      <c r="I563" s="55" t="str">
        <f>IFERROR(__xludf.DUMMYFUNCTION("SPLIT(A563,""."")"),"#VALUE!")</f>
        <v>#VALUE!</v>
      </c>
    </row>
    <row r="564">
      <c r="A564" s="6"/>
      <c r="I564" s="55" t="str">
        <f>IFERROR(__xludf.DUMMYFUNCTION("SPLIT(A564,""."")"),"#VALUE!")</f>
        <v>#VALUE!</v>
      </c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</sheetData>
  <conditionalFormatting sqref="A1:A995">
    <cfRule type="containsBlanks" dxfId="0" priority="1">
      <formula>LEN(TRIM(A1))=0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1.0"/>
    <col customWidth="1" min="3" max="3" width="24.38"/>
    <col customWidth="1" min="4" max="4" width="73.13"/>
    <col customWidth="1" min="5" max="5" width="34.5"/>
    <col customWidth="1" min="6" max="6" width="23.25"/>
    <col customWidth="1" min="7" max="26" width="11.0"/>
  </cols>
  <sheetData>
    <row r="1">
      <c r="A1" s="38" t="s">
        <v>0</v>
      </c>
      <c r="B1" s="38" t="s">
        <v>2832</v>
      </c>
      <c r="C1" s="38" t="s">
        <v>2833</v>
      </c>
      <c r="D1" s="38" t="s">
        <v>2834</v>
      </c>
      <c r="E1" s="38" t="s">
        <v>2568</v>
      </c>
      <c r="F1" s="38" t="s">
        <v>2567</v>
      </c>
      <c r="G1" s="38" t="s">
        <v>2569</v>
      </c>
      <c r="H1" s="38" t="s">
        <v>2835</v>
      </c>
      <c r="I1" s="38" t="s">
        <v>2571</v>
      </c>
      <c r="J1" s="38" t="s">
        <v>2836</v>
      </c>
      <c r="K1" s="38" t="s">
        <v>2573</v>
      </c>
      <c r="L1" s="38" t="s">
        <v>2342</v>
      </c>
      <c r="M1" s="38" t="s">
        <v>2575</v>
      </c>
      <c r="N1" s="38" t="s">
        <v>2576</v>
      </c>
      <c r="O1" s="38" t="s">
        <v>2577</v>
      </c>
      <c r="P1" s="38" t="s">
        <v>2578</v>
      </c>
      <c r="Q1" s="38" t="s">
        <v>2579</v>
      </c>
      <c r="R1" s="38" t="s">
        <v>2580</v>
      </c>
      <c r="S1" s="38" t="s">
        <v>2581</v>
      </c>
      <c r="T1" s="38" t="s">
        <v>2582</v>
      </c>
      <c r="U1" s="38" t="s">
        <v>2583</v>
      </c>
      <c r="V1" s="38" t="s">
        <v>2584</v>
      </c>
      <c r="W1" s="38" t="s">
        <v>2597</v>
      </c>
      <c r="X1" s="38" t="s">
        <v>2598</v>
      </c>
      <c r="Y1" s="38" t="s">
        <v>2599</v>
      </c>
      <c r="Z1" s="38" t="s">
        <v>2600</v>
      </c>
      <c r="AB1" s="18" t="s">
        <v>2837</v>
      </c>
      <c r="AC1" s="57" t="s">
        <v>2838</v>
      </c>
    </row>
    <row r="2">
      <c r="A2" s="18">
        <v>33.0</v>
      </c>
      <c r="B2" s="18" t="s">
        <v>2612</v>
      </c>
      <c r="C2" s="41" t="s">
        <v>2613</v>
      </c>
      <c r="D2" s="41" t="s">
        <v>2614</v>
      </c>
      <c r="E2" s="18" t="s">
        <v>2615</v>
      </c>
      <c r="G2" s="42" t="str">
        <f t="shared" ref="G2:G49" si="1">CONCAT(AC$1,E2)</f>
        <v>https://drive.google.com/uc?export=view&amp;id=1a6-pT5AddIkxDNwf8y6_oRHkI0PJYeLv</v>
      </c>
      <c r="H2" s="43" t="s">
        <v>1658</v>
      </c>
      <c r="I2" s="6" t="str">
        <f t="shared" ref="I2:I49" si="2">CONCAT("100",A2)</f>
        <v>10033</v>
      </c>
      <c r="K2" s="18" t="s">
        <v>2339</v>
      </c>
      <c r="L2" s="18" t="b">
        <v>1</v>
      </c>
      <c r="M2" s="39" t="s">
        <v>2617</v>
      </c>
      <c r="N2" s="18" t="s">
        <v>2353</v>
      </c>
      <c r="O2" s="39" t="s">
        <v>2839</v>
      </c>
      <c r="P2" s="18" t="s">
        <v>2840</v>
      </c>
    </row>
    <row r="3">
      <c r="A3" s="18">
        <v>41.0</v>
      </c>
      <c r="B3" s="18" t="s">
        <v>2612</v>
      </c>
      <c r="C3" s="22" t="s">
        <v>195</v>
      </c>
      <c r="D3" s="41" t="s">
        <v>2618</v>
      </c>
      <c r="E3" s="18" t="s">
        <v>2619</v>
      </c>
      <c r="G3" s="42" t="str">
        <f t="shared" si="1"/>
        <v>https://drive.google.com/uc?export=view&amp;id=1DbPvN-XbSankVUjhqp0is35WkehZtcoP</v>
      </c>
      <c r="H3" s="43" t="s">
        <v>1658</v>
      </c>
      <c r="I3" s="6" t="str">
        <f t="shared" si="2"/>
        <v>10041</v>
      </c>
      <c r="K3" s="18" t="s">
        <v>2339</v>
      </c>
      <c r="L3" s="18" t="b">
        <v>1</v>
      </c>
      <c r="M3" s="39" t="s">
        <v>2617</v>
      </c>
      <c r="N3" s="18" t="s">
        <v>2353</v>
      </c>
      <c r="O3" s="39" t="s">
        <v>2839</v>
      </c>
      <c r="P3" s="18" t="s">
        <v>2840</v>
      </c>
    </row>
    <row r="4">
      <c r="A4" s="18">
        <v>42.0</v>
      </c>
      <c r="B4" s="18" t="s">
        <v>2612</v>
      </c>
      <c r="C4" s="22" t="s">
        <v>200</v>
      </c>
      <c r="D4" s="41" t="s">
        <v>2620</v>
      </c>
      <c r="E4" s="18" t="s">
        <v>2621</v>
      </c>
      <c r="G4" s="42" t="str">
        <f t="shared" si="1"/>
        <v>https://drive.google.com/uc?export=view&amp;id=1eopSCkWy_j_9iUrB8ZDIR8qv39c19_FR</v>
      </c>
      <c r="H4" s="43" t="s">
        <v>1658</v>
      </c>
      <c r="I4" s="6" t="str">
        <f t="shared" si="2"/>
        <v>10042</v>
      </c>
      <c r="K4" s="18" t="s">
        <v>2339</v>
      </c>
      <c r="L4" s="18" t="b">
        <v>1</v>
      </c>
      <c r="M4" s="39" t="s">
        <v>2617</v>
      </c>
      <c r="N4" s="18" t="s">
        <v>2353</v>
      </c>
      <c r="O4" s="39" t="s">
        <v>2839</v>
      </c>
      <c r="P4" s="18" t="s">
        <v>2840</v>
      </c>
    </row>
    <row r="5">
      <c r="A5" s="18">
        <v>43.0</v>
      </c>
      <c r="B5" s="18" t="s">
        <v>2612</v>
      </c>
      <c r="C5" s="18" t="s">
        <v>204</v>
      </c>
      <c r="D5" s="36" t="s">
        <v>2622</v>
      </c>
      <c r="E5" s="18" t="s">
        <v>2623</v>
      </c>
      <c r="G5" s="42" t="str">
        <f t="shared" si="1"/>
        <v>https://drive.google.com/uc?export=view&amp;id=1YWGLbNACeg95SKhNDPjm4eZSNi3wIeWk</v>
      </c>
      <c r="H5" s="43" t="s">
        <v>1658</v>
      </c>
      <c r="I5" s="6" t="str">
        <f t="shared" si="2"/>
        <v>10043</v>
      </c>
      <c r="K5" s="18" t="s">
        <v>2339</v>
      </c>
      <c r="L5" s="18" t="b">
        <v>1</v>
      </c>
      <c r="M5" s="39" t="s">
        <v>2617</v>
      </c>
      <c r="N5" s="18" t="s">
        <v>2353</v>
      </c>
      <c r="O5" s="39" t="s">
        <v>2839</v>
      </c>
      <c r="P5" s="18" t="s">
        <v>2840</v>
      </c>
    </row>
    <row r="6">
      <c r="A6" s="18">
        <v>44.0</v>
      </c>
      <c r="B6" s="18" t="s">
        <v>2612</v>
      </c>
      <c r="C6" s="18" t="s">
        <v>209</v>
      </c>
      <c r="D6" s="36" t="s">
        <v>2624</v>
      </c>
      <c r="E6" s="18" t="s">
        <v>2625</v>
      </c>
      <c r="G6" s="42" t="str">
        <f t="shared" si="1"/>
        <v>https://drive.google.com/uc?export=view&amp;id=15i3eP1a02M4nnVgtSsQqcqZfXeYUgKM_</v>
      </c>
      <c r="H6" s="43" t="s">
        <v>1658</v>
      </c>
      <c r="I6" s="6" t="str">
        <f t="shared" si="2"/>
        <v>10044</v>
      </c>
      <c r="K6" s="18" t="s">
        <v>2339</v>
      </c>
      <c r="L6" s="18" t="b">
        <v>1</v>
      </c>
      <c r="M6" s="39" t="s">
        <v>2617</v>
      </c>
      <c r="N6" s="18" t="s">
        <v>2353</v>
      </c>
      <c r="O6" s="39" t="s">
        <v>2839</v>
      </c>
      <c r="P6" s="18" t="s">
        <v>2840</v>
      </c>
    </row>
    <row r="7">
      <c r="A7" s="18">
        <v>45.0</v>
      </c>
      <c r="B7" s="18" t="s">
        <v>2612</v>
      </c>
      <c r="C7" s="22" t="s">
        <v>214</v>
      </c>
      <c r="D7" s="41" t="s">
        <v>2626</v>
      </c>
      <c r="E7" s="18" t="s">
        <v>2627</v>
      </c>
      <c r="G7" s="42" t="str">
        <f t="shared" si="1"/>
        <v>https://drive.google.com/uc?export=view&amp;id=1U2UubvXq4ni6DmaouGn615tzxl1NNsWr</v>
      </c>
      <c r="H7" s="43" t="s">
        <v>1658</v>
      </c>
      <c r="I7" s="6" t="str">
        <f t="shared" si="2"/>
        <v>10045</v>
      </c>
      <c r="K7" s="18" t="s">
        <v>2339</v>
      </c>
      <c r="L7" s="18" t="b">
        <v>1</v>
      </c>
      <c r="M7" s="39" t="s">
        <v>2617</v>
      </c>
      <c r="N7" s="18" t="s">
        <v>2353</v>
      </c>
      <c r="O7" s="39" t="s">
        <v>2839</v>
      </c>
      <c r="P7" s="18" t="s">
        <v>2840</v>
      </c>
    </row>
    <row r="8">
      <c r="A8" s="18">
        <v>46.0</v>
      </c>
      <c r="B8" s="18" t="s">
        <v>2612</v>
      </c>
      <c r="C8" s="22" t="s">
        <v>219</v>
      </c>
      <c r="D8" s="41" t="s">
        <v>2628</v>
      </c>
      <c r="E8" s="18" t="s">
        <v>2629</v>
      </c>
      <c r="G8" s="42" t="str">
        <f t="shared" si="1"/>
        <v>https://drive.google.com/uc?export=view&amp;id=1DKtYqVLzw8sz0PTooEZkFka3d09vU00R</v>
      </c>
      <c r="H8" s="43" t="s">
        <v>1658</v>
      </c>
      <c r="I8" s="6" t="str">
        <f t="shared" si="2"/>
        <v>10046</v>
      </c>
      <c r="K8" s="18" t="s">
        <v>2339</v>
      </c>
      <c r="L8" s="18" t="b">
        <v>1</v>
      </c>
      <c r="M8" s="39" t="s">
        <v>2617</v>
      </c>
      <c r="N8" s="18" t="s">
        <v>2353</v>
      </c>
      <c r="O8" s="39" t="s">
        <v>2839</v>
      </c>
      <c r="P8" s="18" t="s">
        <v>2840</v>
      </c>
    </row>
    <row r="9">
      <c r="A9" s="44">
        <v>47.0</v>
      </c>
      <c r="B9" s="44" t="s">
        <v>2612</v>
      </c>
      <c r="C9" s="22" t="s">
        <v>224</v>
      </c>
      <c r="D9" s="45" t="s">
        <v>2630</v>
      </c>
      <c r="E9" s="44" t="s">
        <v>2631</v>
      </c>
      <c r="F9" s="46"/>
      <c r="G9" s="42" t="str">
        <f t="shared" si="1"/>
        <v>https://drive.google.com/uc?export=view&amp;id=1Xt_ve4xixSlVHpMv_vHHgses74hmzeb7</v>
      </c>
      <c r="H9" s="43" t="s">
        <v>1658</v>
      </c>
      <c r="I9" s="6" t="str">
        <f t="shared" si="2"/>
        <v>10047</v>
      </c>
      <c r="J9" s="46"/>
      <c r="K9" s="18" t="s">
        <v>2339</v>
      </c>
      <c r="L9" s="18" t="b">
        <v>1</v>
      </c>
      <c r="M9" s="39" t="s">
        <v>2617</v>
      </c>
      <c r="N9" s="18" t="s">
        <v>2353</v>
      </c>
      <c r="O9" s="39" t="s">
        <v>2839</v>
      </c>
      <c r="P9" s="18" t="s">
        <v>2840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</row>
    <row r="10">
      <c r="A10" s="44">
        <v>48.0</v>
      </c>
      <c r="B10" s="44" t="s">
        <v>2612</v>
      </c>
      <c r="C10" s="22" t="s">
        <v>224</v>
      </c>
      <c r="D10" s="45" t="s">
        <v>2632</v>
      </c>
      <c r="E10" s="44" t="s">
        <v>2633</v>
      </c>
      <c r="F10" s="46"/>
      <c r="G10" s="42" t="str">
        <f t="shared" si="1"/>
        <v>https://drive.google.com/uc?export=view&amp;id=1GadS1-WoIaIckXHHH-QUjnBEGHifJx1v</v>
      </c>
      <c r="H10" s="43" t="s">
        <v>1658</v>
      </c>
      <c r="I10" s="6" t="str">
        <f t="shared" si="2"/>
        <v>10048</v>
      </c>
      <c r="J10" s="46"/>
      <c r="K10" s="18" t="s">
        <v>2339</v>
      </c>
      <c r="L10" s="18" t="b">
        <v>1</v>
      </c>
      <c r="M10" s="39" t="s">
        <v>2617</v>
      </c>
      <c r="N10" s="18" t="s">
        <v>2353</v>
      </c>
      <c r="O10" s="39" t="s">
        <v>2839</v>
      </c>
      <c r="P10" s="18" t="s">
        <v>2840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</row>
    <row r="11">
      <c r="A11" s="18">
        <v>49.0</v>
      </c>
      <c r="B11" s="18" t="s">
        <v>2612</v>
      </c>
      <c r="C11" s="22" t="s">
        <v>234</v>
      </c>
      <c r="D11" s="22" t="s">
        <v>2634</v>
      </c>
      <c r="E11" s="18" t="s">
        <v>2635</v>
      </c>
      <c r="G11" s="42" t="str">
        <f t="shared" si="1"/>
        <v>https://drive.google.com/uc?export=view&amp;id=1jxhXjtbwQDF2jUGSC07_FM7D85u6UhjD</v>
      </c>
      <c r="H11" s="43" t="s">
        <v>1658</v>
      </c>
      <c r="I11" s="6" t="str">
        <f t="shared" si="2"/>
        <v>10049</v>
      </c>
      <c r="K11" s="18" t="s">
        <v>2339</v>
      </c>
      <c r="L11" s="18" t="b">
        <v>1</v>
      </c>
      <c r="M11" s="39" t="s">
        <v>2617</v>
      </c>
      <c r="N11" s="18" t="s">
        <v>2353</v>
      </c>
      <c r="O11" s="39" t="s">
        <v>2839</v>
      </c>
      <c r="P11" s="18" t="s">
        <v>2840</v>
      </c>
    </row>
    <row r="12">
      <c r="A12" s="18">
        <v>50.0</v>
      </c>
      <c r="B12" s="18" t="s">
        <v>2612</v>
      </c>
      <c r="C12" s="22" t="s">
        <v>234</v>
      </c>
      <c r="D12" s="36" t="s">
        <v>2636</v>
      </c>
      <c r="E12" s="18" t="s">
        <v>2637</v>
      </c>
      <c r="G12" s="42" t="str">
        <f t="shared" si="1"/>
        <v>https://drive.google.com/uc?export=view&amp;id=1WwqbRSDxK3Ltv-B5oqXBmY4OIwylbkJD</v>
      </c>
      <c r="H12" s="43" t="s">
        <v>1658</v>
      </c>
      <c r="I12" s="6" t="str">
        <f t="shared" si="2"/>
        <v>10050</v>
      </c>
      <c r="K12" s="18" t="s">
        <v>2339</v>
      </c>
      <c r="L12" s="18" t="b">
        <v>1</v>
      </c>
      <c r="M12" s="39" t="s">
        <v>2617</v>
      </c>
      <c r="N12" s="18" t="s">
        <v>2353</v>
      </c>
      <c r="O12" s="39" t="s">
        <v>2839</v>
      </c>
      <c r="P12" s="18" t="s">
        <v>2840</v>
      </c>
    </row>
    <row r="13">
      <c r="A13" s="18">
        <v>51.0</v>
      </c>
      <c r="B13" s="18" t="s">
        <v>2612</v>
      </c>
      <c r="C13" s="22" t="s">
        <v>239</v>
      </c>
      <c r="D13" s="41" t="s">
        <v>2638</v>
      </c>
      <c r="E13" s="18" t="s">
        <v>2639</v>
      </c>
      <c r="G13" s="42" t="str">
        <f t="shared" si="1"/>
        <v>https://drive.google.com/uc?export=view&amp;id=1FthU_pgh6v-59ywuMnE5FltBhwj2JXRL</v>
      </c>
      <c r="H13" s="43" t="s">
        <v>1658</v>
      </c>
      <c r="I13" s="6" t="str">
        <f t="shared" si="2"/>
        <v>10051</v>
      </c>
      <c r="K13" s="18" t="s">
        <v>2339</v>
      </c>
      <c r="L13" s="18" t="b">
        <v>1</v>
      </c>
      <c r="M13" s="39" t="s">
        <v>2617</v>
      </c>
      <c r="N13" s="18" t="s">
        <v>2353</v>
      </c>
      <c r="O13" s="39" t="s">
        <v>2839</v>
      </c>
      <c r="P13" s="18" t="s">
        <v>2840</v>
      </c>
    </row>
    <row r="14">
      <c r="A14" s="18">
        <v>52.0</v>
      </c>
      <c r="B14" s="18" t="s">
        <v>2612</v>
      </c>
      <c r="C14" s="22" t="s">
        <v>244</v>
      </c>
      <c r="D14" s="41" t="s">
        <v>2640</v>
      </c>
      <c r="E14" s="18" t="s">
        <v>2641</v>
      </c>
      <c r="G14" s="42" t="str">
        <f t="shared" si="1"/>
        <v>https://drive.google.com/uc?export=view&amp;id=13g0YRmmXkkBWI-eyqKenL0dwL9qLG0Tq</v>
      </c>
      <c r="H14" s="43" t="s">
        <v>1658</v>
      </c>
      <c r="I14" s="6" t="str">
        <f t="shared" si="2"/>
        <v>10052</v>
      </c>
      <c r="K14" s="18" t="s">
        <v>2339</v>
      </c>
      <c r="L14" s="18" t="b">
        <v>1</v>
      </c>
      <c r="M14" s="39" t="s">
        <v>2617</v>
      </c>
      <c r="N14" s="18" t="s">
        <v>2353</v>
      </c>
      <c r="O14" s="39" t="s">
        <v>2839</v>
      </c>
      <c r="P14" s="18" t="s">
        <v>2840</v>
      </c>
    </row>
    <row r="15">
      <c r="A15" s="18">
        <v>53.0</v>
      </c>
      <c r="B15" s="18" t="s">
        <v>2612</v>
      </c>
      <c r="C15" s="22" t="s">
        <v>248</v>
      </c>
      <c r="D15" s="41" t="s">
        <v>2642</v>
      </c>
      <c r="E15" s="18" t="s">
        <v>2643</v>
      </c>
      <c r="G15" s="42" t="str">
        <f t="shared" si="1"/>
        <v>https://drive.google.com/uc?export=view&amp;id=1J0YpBCuTPmZGjoULCXsJgHIfX2th0YI4</v>
      </c>
      <c r="H15" s="43" t="s">
        <v>1658</v>
      </c>
      <c r="I15" s="6" t="str">
        <f t="shared" si="2"/>
        <v>10053</v>
      </c>
      <c r="K15" s="18" t="s">
        <v>2339</v>
      </c>
      <c r="L15" s="18" t="b">
        <v>1</v>
      </c>
      <c r="M15" s="39" t="s">
        <v>2617</v>
      </c>
      <c r="N15" s="18" t="s">
        <v>2353</v>
      </c>
      <c r="O15" s="39" t="s">
        <v>2839</v>
      </c>
      <c r="P15" s="18" t="s">
        <v>2840</v>
      </c>
    </row>
    <row r="16">
      <c r="A16" s="18">
        <v>55.0</v>
      </c>
      <c r="B16" s="18" t="s">
        <v>2612</v>
      </c>
      <c r="C16" s="22" t="s">
        <v>264</v>
      </c>
      <c r="D16" s="41" t="s">
        <v>2644</v>
      </c>
      <c r="E16" s="18" t="s">
        <v>2645</v>
      </c>
      <c r="G16" s="42" t="str">
        <f t="shared" si="1"/>
        <v>https://drive.google.com/uc?export=view&amp;id=1cmB3Kd7kaIMqUu3VYV1-IP9WozVw7k_3</v>
      </c>
      <c r="H16" s="43" t="s">
        <v>1658</v>
      </c>
      <c r="I16" s="6" t="str">
        <f t="shared" si="2"/>
        <v>10055</v>
      </c>
      <c r="K16" s="18" t="s">
        <v>2339</v>
      </c>
      <c r="L16" s="18" t="b">
        <v>1</v>
      </c>
      <c r="M16" s="39" t="s">
        <v>2617</v>
      </c>
      <c r="N16" s="18" t="s">
        <v>2353</v>
      </c>
      <c r="O16" s="39" t="s">
        <v>2839</v>
      </c>
      <c r="P16" s="18" t="s">
        <v>2840</v>
      </c>
    </row>
    <row r="17">
      <c r="A17" s="18">
        <v>56.0</v>
      </c>
      <c r="B17" s="18" t="s">
        <v>2612</v>
      </c>
      <c r="C17" s="22" t="s">
        <v>260</v>
      </c>
      <c r="D17" s="41" t="s">
        <v>2646</v>
      </c>
      <c r="E17" s="18" t="s">
        <v>2647</v>
      </c>
      <c r="G17" s="42" t="str">
        <f t="shared" si="1"/>
        <v>https://drive.google.com/uc?export=view&amp;id=1lJXgSo31xuuXHhz9202QBh30lnRRvbNH</v>
      </c>
      <c r="H17" s="43" t="s">
        <v>1658</v>
      </c>
      <c r="I17" s="6" t="str">
        <f t="shared" si="2"/>
        <v>10056</v>
      </c>
      <c r="K17" s="18" t="s">
        <v>2339</v>
      </c>
      <c r="L17" s="18" t="b">
        <v>1</v>
      </c>
      <c r="M17" s="39" t="s">
        <v>2617</v>
      </c>
      <c r="N17" s="18" t="s">
        <v>2353</v>
      </c>
      <c r="O17" s="39" t="s">
        <v>2839</v>
      </c>
      <c r="P17" s="18" t="s">
        <v>2840</v>
      </c>
    </row>
    <row r="18">
      <c r="A18" s="18">
        <v>58.0</v>
      </c>
      <c r="B18" s="18" t="s">
        <v>2612</v>
      </c>
      <c r="C18" s="22" t="s">
        <v>2648</v>
      </c>
      <c r="D18" s="41" t="s">
        <v>2649</v>
      </c>
      <c r="E18" s="18" t="s">
        <v>2650</v>
      </c>
      <c r="G18" s="42" t="str">
        <f t="shared" si="1"/>
        <v>https://drive.google.com/uc?export=view&amp;id=1paa53C0EnjQmaTiCUrY0aFwhN6KueroM</v>
      </c>
      <c r="H18" s="43" t="s">
        <v>1658</v>
      </c>
      <c r="I18" s="6" t="str">
        <f t="shared" si="2"/>
        <v>10058</v>
      </c>
      <c r="K18" s="18" t="s">
        <v>2339</v>
      </c>
      <c r="L18" s="18" t="b">
        <v>1</v>
      </c>
      <c r="M18" s="39" t="s">
        <v>2617</v>
      </c>
      <c r="N18" s="18" t="s">
        <v>2353</v>
      </c>
      <c r="O18" s="39" t="s">
        <v>2839</v>
      </c>
      <c r="P18" s="18" t="s">
        <v>2840</v>
      </c>
    </row>
    <row r="19">
      <c r="A19" s="18">
        <v>59.0</v>
      </c>
      <c r="B19" s="18" t="s">
        <v>2612</v>
      </c>
      <c r="C19" s="22" t="s">
        <v>267</v>
      </c>
      <c r="D19" s="41" t="s">
        <v>2651</v>
      </c>
      <c r="E19" s="18" t="s">
        <v>2652</v>
      </c>
      <c r="G19" s="42" t="str">
        <f t="shared" si="1"/>
        <v>https://drive.google.com/uc?export=view&amp;id=1-tUBqoDbasMBtwlQV21G_yzkJLeykELB</v>
      </c>
      <c r="H19" s="43" t="s">
        <v>1658</v>
      </c>
      <c r="I19" s="6" t="str">
        <f t="shared" si="2"/>
        <v>10059</v>
      </c>
      <c r="K19" s="18" t="s">
        <v>2339</v>
      </c>
      <c r="L19" s="18" t="b">
        <v>1</v>
      </c>
      <c r="M19" s="39" t="s">
        <v>2617</v>
      </c>
      <c r="N19" s="18" t="s">
        <v>2353</v>
      </c>
      <c r="O19" s="39" t="s">
        <v>2839</v>
      </c>
      <c r="P19" s="18" t="s">
        <v>2840</v>
      </c>
    </row>
    <row r="20">
      <c r="A20" s="18">
        <v>60.0</v>
      </c>
      <c r="B20" s="18" t="s">
        <v>2612</v>
      </c>
      <c r="C20" s="22" t="s">
        <v>271</v>
      </c>
      <c r="D20" s="41" t="s">
        <v>2653</v>
      </c>
      <c r="E20" s="18" t="s">
        <v>2654</v>
      </c>
      <c r="G20" s="42" t="str">
        <f t="shared" si="1"/>
        <v>https://drive.google.com/uc?export=view&amp;id=14ya9jn6mXUqixF6mApcVYF-sAxDGluVU</v>
      </c>
      <c r="H20" s="43" t="s">
        <v>1658</v>
      </c>
      <c r="I20" s="6" t="str">
        <f t="shared" si="2"/>
        <v>10060</v>
      </c>
      <c r="K20" s="18" t="s">
        <v>2339</v>
      </c>
      <c r="L20" s="18" t="b">
        <v>1</v>
      </c>
      <c r="M20" s="39" t="s">
        <v>2617</v>
      </c>
      <c r="N20" s="18" t="s">
        <v>2353</v>
      </c>
      <c r="O20" s="39" t="s">
        <v>2839</v>
      </c>
      <c r="P20" s="18" t="s">
        <v>2840</v>
      </c>
    </row>
    <row r="21">
      <c r="A21" s="18">
        <v>61.0</v>
      </c>
      <c r="B21" s="18" t="s">
        <v>2612</v>
      </c>
      <c r="C21" s="22" t="s">
        <v>276</v>
      </c>
      <c r="D21" s="41" t="s">
        <v>2655</v>
      </c>
      <c r="E21" s="18" t="s">
        <v>2656</v>
      </c>
      <c r="G21" s="42" t="str">
        <f t="shared" si="1"/>
        <v>https://drive.google.com/uc?export=view&amp;id=1BxO_53-Tu90DiFKJbxROLikMwXXVB22p</v>
      </c>
      <c r="H21" s="43" t="s">
        <v>1658</v>
      </c>
      <c r="I21" s="6" t="str">
        <f t="shared" si="2"/>
        <v>10061</v>
      </c>
      <c r="K21" s="18" t="s">
        <v>2339</v>
      </c>
      <c r="L21" s="18" t="b">
        <v>1</v>
      </c>
      <c r="M21" s="39" t="s">
        <v>2617</v>
      </c>
      <c r="N21" s="18" t="s">
        <v>2353</v>
      </c>
      <c r="O21" s="39" t="s">
        <v>2839</v>
      </c>
      <c r="P21" s="18" t="s">
        <v>2840</v>
      </c>
    </row>
    <row r="22">
      <c r="A22" s="18">
        <v>62.0</v>
      </c>
      <c r="B22" s="18" t="s">
        <v>2612</v>
      </c>
      <c r="C22" s="36" t="s">
        <v>280</v>
      </c>
      <c r="D22" s="36" t="s">
        <v>2657</v>
      </c>
      <c r="E22" s="18" t="s">
        <v>2658</v>
      </c>
      <c r="G22" s="42" t="str">
        <f t="shared" si="1"/>
        <v>https://drive.google.com/uc?export=view&amp;id=1f9bjuz42wuGgKz7YDEU6GGSi63ZakPtb</v>
      </c>
      <c r="H22" s="43" t="s">
        <v>1658</v>
      </c>
      <c r="I22" s="6" t="str">
        <f t="shared" si="2"/>
        <v>10062</v>
      </c>
      <c r="K22" s="18" t="s">
        <v>2339</v>
      </c>
      <c r="L22" s="18" t="b">
        <v>1</v>
      </c>
      <c r="M22" s="39" t="s">
        <v>2617</v>
      </c>
      <c r="N22" s="18" t="s">
        <v>2353</v>
      </c>
      <c r="O22" s="39" t="s">
        <v>2839</v>
      </c>
      <c r="P22" s="18" t="s">
        <v>2840</v>
      </c>
    </row>
    <row r="23">
      <c r="A23" s="18">
        <v>64.0</v>
      </c>
      <c r="B23" s="18" t="s">
        <v>2612</v>
      </c>
      <c r="C23" s="22" t="s">
        <v>2659</v>
      </c>
      <c r="D23" s="18" t="s">
        <v>2660</v>
      </c>
      <c r="E23" s="18" t="s">
        <v>2661</v>
      </c>
      <c r="G23" s="42" t="str">
        <f t="shared" si="1"/>
        <v>https://drive.google.com/uc?export=view&amp;id=16LLJIo8pXNmpKvDlQbaUQk41dDGhCS5-</v>
      </c>
      <c r="H23" s="43" t="s">
        <v>1658</v>
      </c>
      <c r="I23" s="6" t="str">
        <f t="shared" si="2"/>
        <v>10064</v>
      </c>
      <c r="K23" s="18" t="s">
        <v>2339</v>
      </c>
      <c r="L23" s="18" t="b">
        <v>1</v>
      </c>
      <c r="M23" s="39" t="s">
        <v>2617</v>
      </c>
      <c r="N23" s="18" t="s">
        <v>2353</v>
      </c>
      <c r="O23" s="39" t="s">
        <v>2839</v>
      </c>
      <c r="P23" s="18" t="s">
        <v>2840</v>
      </c>
    </row>
    <row r="24">
      <c r="A24" s="18">
        <v>66.0</v>
      </c>
      <c r="B24" s="18" t="s">
        <v>2612</v>
      </c>
      <c r="C24" s="22" t="s">
        <v>290</v>
      </c>
      <c r="D24" s="41" t="s">
        <v>2662</v>
      </c>
      <c r="E24" s="18" t="s">
        <v>2663</v>
      </c>
      <c r="G24" s="42" t="str">
        <f t="shared" si="1"/>
        <v>https://drive.google.com/uc?export=view&amp;id=1da4ksL8ekYCowmTTNAGxE8F-AnJn4Beu</v>
      </c>
      <c r="H24" s="43" t="s">
        <v>1658</v>
      </c>
      <c r="I24" s="6" t="str">
        <f t="shared" si="2"/>
        <v>10066</v>
      </c>
      <c r="K24" s="18" t="s">
        <v>2339</v>
      </c>
      <c r="L24" s="18" t="b">
        <v>1</v>
      </c>
      <c r="M24" s="39" t="s">
        <v>2617</v>
      </c>
      <c r="N24" s="18" t="s">
        <v>2353</v>
      </c>
      <c r="O24" s="39" t="s">
        <v>2839</v>
      </c>
      <c r="P24" s="18" t="s">
        <v>2840</v>
      </c>
    </row>
    <row r="25">
      <c r="A25" s="18">
        <v>67.0</v>
      </c>
      <c r="B25" s="18" t="s">
        <v>2612</v>
      </c>
      <c r="C25" s="22" t="s">
        <v>294</v>
      </c>
      <c r="D25" s="41" t="s">
        <v>2664</v>
      </c>
      <c r="E25" s="18" t="s">
        <v>2665</v>
      </c>
      <c r="G25" s="42" t="str">
        <f t="shared" si="1"/>
        <v>https://drive.google.com/uc?export=view&amp;id=1eFJAwZ9XndOuTBP4Qe6-P5FdIgjcnML9</v>
      </c>
      <c r="H25" s="43" t="s">
        <v>1658</v>
      </c>
      <c r="I25" s="6" t="str">
        <f t="shared" si="2"/>
        <v>10067</v>
      </c>
      <c r="K25" s="18" t="s">
        <v>2339</v>
      </c>
      <c r="L25" s="18" t="b">
        <v>1</v>
      </c>
      <c r="M25" s="39" t="s">
        <v>2617</v>
      </c>
      <c r="N25" s="18" t="s">
        <v>2353</v>
      </c>
      <c r="O25" s="39" t="s">
        <v>2839</v>
      </c>
      <c r="P25" s="18" t="s">
        <v>2840</v>
      </c>
    </row>
    <row r="26">
      <c r="A26" s="18">
        <v>68.0</v>
      </c>
      <c r="B26" s="18" t="s">
        <v>2612</v>
      </c>
      <c r="C26" s="22" t="s">
        <v>297</v>
      </c>
      <c r="D26" s="41" t="s">
        <v>2666</v>
      </c>
      <c r="E26" s="18" t="s">
        <v>2667</v>
      </c>
      <c r="G26" s="42" t="str">
        <f t="shared" si="1"/>
        <v>https://drive.google.com/uc?export=view&amp;id=1nOoboK5-nEMGv7sbWveCd08PKuKPySRT</v>
      </c>
      <c r="H26" s="43" t="s">
        <v>1658</v>
      </c>
      <c r="I26" s="6" t="str">
        <f t="shared" si="2"/>
        <v>10068</v>
      </c>
      <c r="K26" s="18" t="s">
        <v>2339</v>
      </c>
      <c r="L26" s="18" t="b">
        <v>1</v>
      </c>
      <c r="M26" s="39" t="s">
        <v>2617</v>
      </c>
      <c r="N26" s="18" t="s">
        <v>2353</v>
      </c>
      <c r="O26" s="39" t="s">
        <v>2839</v>
      </c>
      <c r="P26" s="18" t="s">
        <v>2840</v>
      </c>
    </row>
    <row r="27">
      <c r="A27" s="18">
        <v>70.0</v>
      </c>
      <c r="B27" s="18" t="s">
        <v>2612</v>
      </c>
      <c r="C27" s="22" t="s">
        <v>301</v>
      </c>
      <c r="D27" s="41" t="s">
        <v>2668</v>
      </c>
      <c r="E27" s="18" t="s">
        <v>2669</v>
      </c>
      <c r="G27" s="42" t="str">
        <f t="shared" si="1"/>
        <v>https://drive.google.com/uc?export=view&amp;id=1pUKGXwBFvNQuxF30-cPTefg56xR0ac6q</v>
      </c>
      <c r="H27" s="43" t="s">
        <v>1658</v>
      </c>
      <c r="I27" s="6" t="str">
        <f t="shared" si="2"/>
        <v>10070</v>
      </c>
      <c r="K27" s="18" t="s">
        <v>2339</v>
      </c>
      <c r="L27" s="18" t="b">
        <v>1</v>
      </c>
      <c r="M27" s="39" t="s">
        <v>2617</v>
      </c>
      <c r="N27" s="18" t="s">
        <v>2353</v>
      </c>
      <c r="O27" s="39" t="s">
        <v>2839</v>
      </c>
      <c r="P27" s="18" t="s">
        <v>2840</v>
      </c>
    </row>
    <row r="28">
      <c r="A28" s="18">
        <v>72.0</v>
      </c>
      <c r="B28" s="18" t="s">
        <v>2612</v>
      </c>
      <c r="C28" s="18" t="s">
        <v>305</v>
      </c>
      <c r="D28" s="41" t="s">
        <v>2670</v>
      </c>
      <c r="E28" s="18" t="s">
        <v>2671</v>
      </c>
      <c r="G28" s="42" t="str">
        <f t="shared" si="1"/>
        <v>https://drive.google.com/uc?export=view&amp;id=1ZWQy2-oTV6YCzRrbM-JtK3p7naABlwpQ</v>
      </c>
      <c r="H28" s="43" t="s">
        <v>1658</v>
      </c>
      <c r="I28" s="6" t="str">
        <f t="shared" si="2"/>
        <v>10072</v>
      </c>
      <c r="K28" s="18" t="s">
        <v>2339</v>
      </c>
      <c r="L28" s="18" t="b">
        <v>1</v>
      </c>
      <c r="M28" s="39" t="s">
        <v>2617</v>
      </c>
      <c r="N28" s="18" t="s">
        <v>2353</v>
      </c>
      <c r="O28" s="39" t="s">
        <v>2839</v>
      </c>
      <c r="P28" s="18" t="s">
        <v>2840</v>
      </c>
    </row>
    <row r="29">
      <c r="A29" s="18">
        <v>73.0</v>
      </c>
      <c r="B29" s="18" t="s">
        <v>2612</v>
      </c>
      <c r="C29" s="22" t="s">
        <v>309</v>
      </c>
      <c r="D29" s="41" t="s">
        <v>2672</v>
      </c>
      <c r="E29" s="18" t="s">
        <v>2673</v>
      </c>
      <c r="G29" s="42" t="str">
        <f t="shared" si="1"/>
        <v>https://drive.google.com/uc?export=view&amp;id=177oT0tqFTUrIFkaLKXvyJmm0MHkRscVw</v>
      </c>
      <c r="H29" s="43" t="s">
        <v>1658</v>
      </c>
      <c r="I29" s="6" t="str">
        <f t="shared" si="2"/>
        <v>10073</v>
      </c>
      <c r="K29" s="18" t="s">
        <v>2339</v>
      </c>
      <c r="L29" s="18" t="b">
        <v>1</v>
      </c>
      <c r="M29" s="39" t="s">
        <v>2617</v>
      </c>
      <c r="N29" s="18" t="s">
        <v>2353</v>
      </c>
      <c r="O29" s="39" t="s">
        <v>2839</v>
      </c>
      <c r="P29" s="18" t="s">
        <v>2840</v>
      </c>
    </row>
    <row r="30">
      <c r="A30" s="18">
        <v>74.0</v>
      </c>
      <c r="B30" s="18" t="s">
        <v>2612</v>
      </c>
      <c r="C30" s="22" t="s">
        <v>312</v>
      </c>
      <c r="D30" s="41" t="s">
        <v>2674</v>
      </c>
      <c r="E30" s="18" t="s">
        <v>2675</v>
      </c>
      <c r="G30" s="42" t="str">
        <f t="shared" si="1"/>
        <v>https://drive.google.com/uc?export=view&amp;id=1UJJvaGSQ-h1g1kY_7H4dBcfMQNrtG-xD</v>
      </c>
      <c r="H30" s="43" t="s">
        <v>1658</v>
      </c>
      <c r="I30" s="6" t="str">
        <f t="shared" si="2"/>
        <v>10074</v>
      </c>
      <c r="K30" s="18" t="s">
        <v>2339</v>
      </c>
      <c r="L30" s="18" t="b">
        <v>1</v>
      </c>
      <c r="M30" s="39" t="s">
        <v>2617</v>
      </c>
      <c r="N30" s="18" t="s">
        <v>2353</v>
      </c>
      <c r="O30" s="39" t="s">
        <v>2839</v>
      </c>
      <c r="P30" s="18" t="s">
        <v>2840</v>
      </c>
    </row>
    <row r="31">
      <c r="A31" s="18">
        <v>75.0</v>
      </c>
      <c r="B31" s="18" t="s">
        <v>2612</v>
      </c>
      <c r="C31" s="22" t="s">
        <v>315</v>
      </c>
      <c r="D31" s="41" t="s">
        <v>2676</v>
      </c>
      <c r="E31" s="18" t="s">
        <v>2677</v>
      </c>
      <c r="G31" s="42" t="str">
        <f t="shared" si="1"/>
        <v>https://drive.google.com/uc?export=view&amp;id=1BXp1ljzHdCUT60jS2Ir2kZ_JVbTfPJsN</v>
      </c>
      <c r="H31" s="43" t="s">
        <v>1658</v>
      </c>
      <c r="I31" s="6" t="str">
        <f t="shared" si="2"/>
        <v>10075</v>
      </c>
      <c r="K31" s="18" t="s">
        <v>2339</v>
      </c>
      <c r="L31" s="18" t="b">
        <v>1</v>
      </c>
      <c r="M31" s="39" t="s">
        <v>2617</v>
      </c>
      <c r="N31" s="18" t="s">
        <v>2353</v>
      </c>
      <c r="O31" s="39" t="s">
        <v>2839</v>
      </c>
      <c r="P31" s="18" t="s">
        <v>2840</v>
      </c>
    </row>
    <row r="32">
      <c r="A32" s="18">
        <v>77.0</v>
      </c>
      <c r="B32" s="18" t="s">
        <v>2612</v>
      </c>
      <c r="C32" s="22" t="s">
        <v>319</v>
      </c>
      <c r="D32" s="41" t="s">
        <v>2678</v>
      </c>
      <c r="E32" s="18" t="s">
        <v>2679</v>
      </c>
      <c r="G32" s="42" t="str">
        <f t="shared" si="1"/>
        <v>https://drive.google.com/uc?export=view&amp;id=17x5jTr9LflqWreUzQRv20QCZN6ElUA2s</v>
      </c>
      <c r="H32" s="43" t="s">
        <v>1658</v>
      </c>
      <c r="I32" s="6" t="str">
        <f t="shared" si="2"/>
        <v>10077</v>
      </c>
      <c r="K32" s="18" t="s">
        <v>2339</v>
      </c>
      <c r="L32" s="18" t="b">
        <v>1</v>
      </c>
      <c r="M32" s="39" t="s">
        <v>2617</v>
      </c>
      <c r="N32" s="18" t="s">
        <v>2353</v>
      </c>
      <c r="O32" s="39" t="s">
        <v>2839</v>
      </c>
      <c r="P32" s="18" t="s">
        <v>2840</v>
      </c>
    </row>
    <row r="33">
      <c r="A33" s="18">
        <v>79.0</v>
      </c>
      <c r="B33" s="18" t="s">
        <v>2612</v>
      </c>
      <c r="C33" s="22" t="s">
        <v>323</v>
      </c>
      <c r="D33" s="41" t="s">
        <v>2680</v>
      </c>
      <c r="E33" s="18" t="s">
        <v>2681</v>
      </c>
      <c r="G33" s="42" t="str">
        <f t="shared" si="1"/>
        <v>https://drive.google.com/uc?export=view&amp;id=1H_vL9Cngu2UwBtDU_bLU2JnjwrQNDxgY</v>
      </c>
      <c r="H33" s="43" t="s">
        <v>1658</v>
      </c>
      <c r="I33" s="6" t="str">
        <f t="shared" si="2"/>
        <v>10079</v>
      </c>
      <c r="K33" s="18" t="s">
        <v>2339</v>
      </c>
      <c r="L33" s="18" t="b">
        <v>1</v>
      </c>
      <c r="M33" s="39" t="s">
        <v>2617</v>
      </c>
      <c r="N33" s="18" t="s">
        <v>2353</v>
      </c>
      <c r="O33" s="39" t="s">
        <v>2839</v>
      </c>
      <c r="P33" s="18" t="s">
        <v>2840</v>
      </c>
    </row>
    <row r="34">
      <c r="A34" s="18">
        <v>80.0</v>
      </c>
      <c r="B34" s="18" t="s">
        <v>2612</v>
      </c>
      <c r="C34" s="22" t="s">
        <v>327</v>
      </c>
      <c r="D34" s="41" t="s">
        <v>2682</v>
      </c>
      <c r="E34" s="18" t="s">
        <v>2683</v>
      </c>
      <c r="G34" s="42" t="str">
        <f t="shared" si="1"/>
        <v>https://drive.google.com/uc?export=view&amp;id=1qqNRWPXrQi522FZ_E2yaJmT05PDLWqwF</v>
      </c>
      <c r="H34" s="43" t="s">
        <v>1658</v>
      </c>
      <c r="I34" s="6" t="str">
        <f t="shared" si="2"/>
        <v>10080</v>
      </c>
      <c r="K34" s="18" t="s">
        <v>2339</v>
      </c>
      <c r="L34" s="18" t="b">
        <v>1</v>
      </c>
      <c r="M34" s="39" t="s">
        <v>2617</v>
      </c>
      <c r="N34" s="18" t="s">
        <v>2353</v>
      </c>
      <c r="O34" s="39" t="s">
        <v>2839</v>
      </c>
      <c r="P34" s="18" t="s">
        <v>2840</v>
      </c>
    </row>
    <row r="35">
      <c r="A35" s="18">
        <v>82.0</v>
      </c>
      <c r="B35" s="18" t="s">
        <v>2612</v>
      </c>
      <c r="C35" s="22" t="s">
        <v>331</v>
      </c>
      <c r="D35" s="41" t="s">
        <v>2684</v>
      </c>
      <c r="E35" s="18" t="s">
        <v>2685</v>
      </c>
      <c r="G35" s="42" t="str">
        <f t="shared" si="1"/>
        <v>https://drive.google.com/uc?export=view&amp;id=1fauqDpkijrSUZwyevuKPWn-Ds_P_ek3x</v>
      </c>
      <c r="H35" s="43" t="s">
        <v>1658</v>
      </c>
      <c r="I35" s="6" t="str">
        <f t="shared" si="2"/>
        <v>10082</v>
      </c>
      <c r="K35" s="18" t="s">
        <v>2339</v>
      </c>
      <c r="L35" s="18" t="b">
        <v>1</v>
      </c>
      <c r="M35" s="39" t="s">
        <v>2617</v>
      </c>
      <c r="N35" s="18" t="s">
        <v>2353</v>
      </c>
      <c r="O35" s="39" t="s">
        <v>2839</v>
      </c>
      <c r="P35" s="18" t="s">
        <v>2840</v>
      </c>
    </row>
    <row r="36">
      <c r="A36" s="18">
        <v>83.0</v>
      </c>
      <c r="B36" s="18" t="s">
        <v>2612</v>
      </c>
      <c r="C36" s="22" t="s">
        <v>335</v>
      </c>
      <c r="D36" s="41" t="s">
        <v>2686</v>
      </c>
      <c r="E36" s="18" t="s">
        <v>2687</v>
      </c>
      <c r="G36" s="42" t="str">
        <f t="shared" si="1"/>
        <v>https://drive.google.com/uc?export=view&amp;id=1lEQP9Y1PIOykHx05l5XQXJ7ymvHOrpFt</v>
      </c>
      <c r="H36" s="43" t="s">
        <v>1658</v>
      </c>
      <c r="I36" s="6" t="str">
        <f t="shared" si="2"/>
        <v>10083</v>
      </c>
      <c r="K36" s="18" t="s">
        <v>2339</v>
      </c>
      <c r="L36" s="18" t="b">
        <v>1</v>
      </c>
      <c r="M36" s="39" t="s">
        <v>2617</v>
      </c>
      <c r="N36" s="18" t="s">
        <v>2353</v>
      </c>
      <c r="O36" s="39" t="s">
        <v>2839</v>
      </c>
      <c r="P36" s="18" t="s">
        <v>2840</v>
      </c>
    </row>
    <row r="37">
      <c r="A37" s="18">
        <v>85.0</v>
      </c>
      <c r="B37" s="18" t="s">
        <v>2612</v>
      </c>
      <c r="C37" s="22" t="s">
        <v>339</v>
      </c>
      <c r="D37" s="41" t="s">
        <v>2688</v>
      </c>
      <c r="E37" s="18" t="s">
        <v>2689</v>
      </c>
      <c r="G37" s="42" t="str">
        <f t="shared" si="1"/>
        <v>https://drive.google.com/uc?export=view&amp;id=1bIc5iIxhOHJY9y72Fc4HqKcCjniopdCA</v>
      </c>
      <c r="H37" s="43" t="s">
        <v>1658</v>
      </c>
      <c r="I37" s="6" t="str">
        <f t="shared" si="2"/>
        <v>10085</v>
      </c>
      <c r="K37" s="18" t="s">
        <v>2339</v>
      </c>
      <c r="L37" s="18" t="b">
        <v>1</v>
      </c>
      <c r="M37" s="39" t="s">
        <v>2617</v>
      </c>
      <c r="N37" s="18" t="s">
        <v>2353</v>
      </c>
      <c r="O37" s="39" t="s">
        <v>2839</v>
      </c>
      <c r="P37" s="18" t="s">
        <v>2840</v>
      </c>
    </row>
    <row r="38">
      <c r="A38" s="18">
        <v>86.0</v>
      </c>
      <c r="B38" s="18" t="s">
        <v>2612</v>
      </c>
      <c r="C38" s="18" t="s">
        <v>342</v>
      </c>
      <c r="D38" s="41" t="s">
        <v>2690</v>
      </c>
      <c r="E38" s="18" t="s">
        <v>2691</v>
      </c>
      <c r="G38" s="42" t="str">
        <f t="shared" si="1"/>
        <v>https://drive.google.com/uc?export=view&amp;id=1PGDVV0xC3b6p_z2Nkqr4rz56Oa_iPPMi</v>
      </c>
      <c r="H38" s="43" t="s">
        <v>1658</v>
      </c>
      <c r="I38" s="6" t="str">
        <f t="shared" si="2"/>
        <v>10086</v>
      </c>
      <c r="K38" s="18" t="s">
        <v>2339</v>
      </c>
      <c r="L38" s="18" t="b">
        <v>1</v>
      </c>
      <c r="M38" s="39" t="s">
        <v>2617</v>
      </c>
      <c r="N38" s="18" t="s">
        <v>2353</v>
      </c>
      <c r="O38" s="39" t="s">
        <v>2839</v>
      </c>
      <c r="P38" s="18" t="s">
        <v>2840</v>
      </c>
    </row>
    <row r="39">
      <c r="A39" s="18">
        <v>87.0</v>
      </c>
      <c r="B39" s="18" t="s">
        <v>2612</v>
      </c>
      <c r="C39" s="22" t="s">
        <v>2692</v>
      </c>
      <c r="D39" s="41" t="s">
        <v>2693</v>
      </c>
      <c r="E39" s="18" t="s">
        <v>2694</v>
      </c>
      <c r="G39" s="42" t="str">
        <f t="shared" si="1"/>
        <v>https://drive.google.com/uc?export=view&amp;id=1AQa_wg8cJxKLTD7bRifjDenWZkhEFxGa</v>
      </c>
      <c r="H39" s="43" t="s">
        <v>1658</v>
      </c>
      <c r="I39" s="6" t="str">
        <f t="shared" si="2"/>
        <v>10087</v>
      </c>
      <c r="K39" s="18" t="s">
        <v>2339</v>
      </c>
      <c r="L39" s="18" t="b">
        <v>1</v>
      </c>
      <c r="M39" s="39" t="s">
        <v>2617</v>
      </c>
      <c r="N39" s="18" t="s">
        <v>2353</v>
      </c>
      <c r="O39" s="39" t="s">
        <v>2839</v>
      </c>
      <c r="P39" s="18" t="s">
        <v>2840</v>
      </c>
    </row>
    <row r="40">
      <c r="A40" s="18">
        <v>88.0</v>
      </c>
      <c r="B40" s="18" t="s">
        <v>2612</v>
      </c>
      <c r="C40" s="22" t="s">
        <v>350</v>
      </c>
      <c r="D40" s="41" t="s">
        <v>2695</v>
      </c>
      <c r="E40" s="18" t="s">
        <v>2696</v>
      </c>
      <c r="G40" s="42" t="str">
        <f t="shared" si="1"/>
        <v>https://drive.google.com/uc?export=view&amp;id=11eeuUCmjT9089CWXj-k-utCLc2O0vgbQ</v>
      </c>
      <c r="H40" s="43" t="s">
        <v>1658</v>
      </c>
      <c r="I40" s="6" t="str">
        <f t="shared" si="2"/>
        <v>10088</v>
      </c>
      <c r="K40" s="18" t="s">
        <v>2339</v>
      </c>
      <c r="L40" s="18" t="b">
        <v>1</v>
      </c>
      <c r="M40" s="39" t="s">
        <v>2617</v>
      </c>
      <c r="N40" s="18" t="s">
        <v>2353</v>
      </c>
      <c r="O40" s="39" t="s">
        <v>2839</v>
      </c>
      <c r="P40" s="18" t="s">
        <v>2840</v>
      </c>
    </row>
    <row r="41">
      <c r="A41" s="18">
        <v>90.0</v>
      </c>
      <c r="B41" s="18" t="s">
        <v>2612</v>
      </c>
      <c r="C41" s="22" t="s">
        <v>354</v>
      </c>
      <c r="D41" s="41" t="s">
        <v>2697</v>
      </c>
      <c r="E41" s="18" t="s">
        <v>2698</v>
      </c>
      <c r="G41" s="42" t="str">
        <f t="shared" si="1"/>
        <v>https://drive.google.com/uc?export=view&amp;id=1cBPQKHrH89S0EjylbJIt8DfmIsCM96KT</v>
      </c>
      <c r="H41" s="43" t="s">
        <v>1658</v>
      </c>
      <c r="I41" s="6" t="str">
        <f t="shared" si="2"/>
        <v>10090</v>
      </c>
      <c r="K41" s="18" t="s">
        <v>2339</v>
      </c>
      <c r="L41" s="18" t="b">
        <v>1</v>
      </c>
      <c r="M41" s="39" t="s">
        <v>2617</v>
      </c>
      <c r="N41" s="18" t="s">
        <v>2353</v>
      </c>
      <c r="O41" s="39" t="s">
        <v>2839</v>
      </c>
      <c r="P41" s="18" t="s">
        <v>2840</v>
      </c>
    </row>
    <row r="42">
      <c r="A42" s="18">
        <v>91.0</v>
      </c>
      <c r="B42" s="18" t="s">
        <v>2612</v>
      </c>
      <c r="C42" s="22" t="s">
        <v>357</v>
      </c>
      <c r="D42" s="41" t="s">
        <v>2699</v>
      </c>
      <c r="E42" s="18" t="s">
        <v>2700</v>
      </c>
      <c r="G42" s="42" t="str">
        <f t="shared" si="1"/>
        <v>https://drive.google.com/uc?export=view&amp;id=1WlrBwNSmzUZot5ad1iZAF3-KuhKzwhlZ</v>
      </c>
      <c r="H42" s="43" t="s">
        <v>1658</v>
      </c>
      <c r="I42" s="6" t="str">
        <f t="shared" si="2"/>
        <v>10091</v>
      </c>
      <c r="K42" s="18" t="s">
        <v>2339</v>
      </c>
      <c r="L42" s="18" t="b">
        <v>1</v>
      </c>
      <c r="M42" s="39" t="s">
        <v>2617</v>
      </c>
      <c r="N42" s="18" t="s">
        <v>2353</v>
      </c>
      <c r="O42" s="39" t="s">
        <v>2839</v>
      </c>
      <c r="P42" s="18" t="s">
        <v>2840</v>
      </c>
    </row>
    <row r="43">
      <c r="A43" s="18">
        <v>93.0</v>
      </c>
      <c r="B43" s="18" t="s">
        <v>2612</v>
      </c>
      <c r="C43" s="22" t="s">
        <v>362</v>
      </c>
      <c r="D43" s="41" t="s">
        <v>2701</v>
      </c>
      <c r="E43" s="18" t="s">
        <v>2702</v>
      </c>
      <c r="G43" s="42" t="str">
        <f t="shared" si="1"/>
        <v>https://drive.google.com/uc?export=view&amp;id=1gQ0ZjyDnQRoCpI79txso19fu5nMVKb1J</v>
      </c>
      <c r="H43" s="43" t="s">
        <v>1658</v>
      </c>
      <c r="I43" s="6" t="str">
        <f t="shared" si="2"/>
        <v>10093</v>
      </c>
      <c r="K43" s="18" t="s">
        <v>2339</v>
      </c>
      <c r="L43" s="18" t="b">
        <v>1</v>
      </c>
      <c r="M43" s="39" t="s">
        <v>2617</v>
      </c>
      <c r="N43" s="18" t="s">
        <v>2353</v>
      </c>
      <c r="O43" s="39" t="s">
        <v>2839</v>
      </c>
      <c r="P43" s="18" t="s">
        <v>2840</v>
      </c>
    </row>
    <row r="44">
      <c r="A44" s="18">
        <v>94.0</v>
      </c>
      <c r="B44" s="18" t="s">
        <v>2612</v>
      </c>
      <c r="C44" s="22" t="s">
        <v>366</v>
      </c>
      <c r="D44" s="41" t="s">
        <v>2703</v>
      </c>
      <c r="E44" s="18" t="s">
        <v>2704</v>
      </c>
      <c r="G44" s="42" t="str">
        <f t="shared" si="1"/>
        <v>https://drive.google.com/uc?export=view&amp;id=1-KeiI8xznF4oVAfYvFQNlvrSgJsQ44uP</v>
      </c>
      <c r="H44" s="43" t="s">
        <v>1658</v>
      </c>
      <c r="I44" s="6" t="str">
        <f t="shared" si="2"/>
        <v>10094</v>
      </c>
      <c r="K44" s="18" t="s">
        <v>2339</v>
      </c>
      <c r="L44" s="18" t="b">
        <v>1</v>
      </c>
      <c r="M44" s="39" t="s">
        <v>2617</v>
      </c>
      <c r="N44" s="18" t="s">
        <v>2353</v>
      </c>
      <c r="O44" s="39" t="s">
        <v>2839</v>
      </c>
      <c r="P44" s="18" t="s">
        <v>2840</v>
      </c>
    </row>
    <row r="45">
      <c r="A45" s="18">
        <v>95.0</v>
      </c>
      <c r="B45" s="18" t="s">
        <v>2612</v>
      </c>
      <c r="C45" s="22" t="s">
        <v>369</v>
      </c>
      <c r="D45" s="41" t="s">
        <v>2705</v>
      </c>
      <c r="E45" s="18" t="s">
        <v>2706</v>
      </c>
      <c r="G45" s="42" t="str">
        <f t="shared" si="1"/>
        <v>https://drive.google.com/uc?export=view&amp;id=1gs70WU74agTCGED4tMalV8BCf7n5JrED</v>
      </c>
      <c r="H45" s="43" t="s">
        <v>1658</v>
      </c>
      <c r="I45" s="6" t="str">
        <f t="shared" si="2"/>
        <v>10095</v>
      </c>
      <c r="K45" s="18" t="s">
        <v>2339</v>
      </c>
      <c r="L45" s="18" t="b">
        <v>1</v>
      </c>
      <c r="M45" s="39" t="s">
        <v>2617</v>
      </c>
      <c r="N45" s="18" t="s">
        <v>2353</v>
      </c>
      <c r="O45" s="39" t="s">
        <v>2839</v>
      </c>
      <c r="P45" s="18" t="s">
        <v>2840</v>
      </c>
    </row>
    <row r="46">
      <c r="A46" s="18">
        <v>96.0</v>
      </c>
      <c r="B46" s="18" t="s">
        <v>2612</v>
      </c>
      <c r="C46" s="22" t="s">
        <v>373</v>
      </c>
      <c r="D46" s="41" t="s">
        <v>2707</v>
      </c>
      <c r="E46" s="18" t="s">
        <v>2708</v>
      </c>
      <c r="G46" s="42" t="str">
        <f t="shared" si="1"/>
        <v>https://drive.google.com/uc?export=view&amp;id=135PSx0j1S_WfaWFeeKjypWoYE_Lpd6K9</v>
      </c>
      <c r="H46" s="43" t="s">
        <v>1658</v>
      </c>
      <c r="I46" s="6" t="str">
        <f t="shared" si="2"/>
        <v>10096</v>
      </c>
      <c r="K46" s="18" t="s">
        <v>2339</v>
      </c>
      <c r="L46" s="18" t="b">
        <v>1</v>
      </c>
      <c r="M46" s="39" t="s">
        <v>2617</v>
      </c>
      <c r="N46" s="18" t="s">
        <v>2353</v>
      </c>
      <c r="O46" s="39" t="s">
        <v>2839</v>
      </c>
      <c r="P46" s="18" t="s">
        <v>2840</v>
      </c>
    </row>
    <row r="47">
      <c r="A47" s="18">
        <v>98.0</v>
      </c>
      <c r="B47" s="18" t="s">
        <v>2612</v>
      </c>
      <c r="C47" s="22" t="s">
        <v>377</v>
      </c>
      <c r="D47" s="41" t="s">
        <v>2709</v>
      </c>
      <c r="E47" s="18" t="s">
        <v>2710</v>
      </c>
      <c r="G47" s="42" t="str">
        <f t="shared" si="1"/>
        <v>https://drive.google.com/uc?export=view&amp;id=1U1IiBoVvEOPBror_3JcXt06ENUjU1jzq</v>
      </c>
      <c r="H47" s="43" t="s">
        <v>1658</v>
      </c>
      <c r="I47" s="6" t="str">
        <f t="shared" si="2"/>
        <v>10098</v>
      </c>
      <c r="K47" s="18" t="s">
        <v>2339</v>
      </c>
      <c r="L47" s="18" t="b">
        <v>1</v>
      </c>
      <c r="M47" s="39" t="s">
        <v>2617</v>
      </c>
      <c r="N47" s="18" t="s">
        <v>2353</v>
      </c>
      <c r="O47" s="39" t="s">
        <v>2839</v>
      </c>
      <c r="P47" s="18" t="s">
        <v>2840</v>
      </c>
    </row>
    <row r="48">
      <c r="A48" s="18">
        <v>99.0</v>
      </c>
      <c r="B48" s="18" t="s">
        <v>2612</v>
      </c>
      <c r="C48" s="22" t="s">
        <v>380</v>
      </c>
      <c r="D48" s="41" t="s">
        <v>2711</v>
      </c>
      <c r="E48" s="18" t="s">
        <v>2712</v>
      </c>
      <c r="G48" s="42" t="str">
        <f t="shared" si="1"/>
        <v>https://drive.google.com/uc?export=view&amp;id=1rS65p4s16vJ1cGW6LvwBHZKiwZudwrjl</v>
      </c>
      <c r="H48" s="43" t="s">
        <v>1658</v>
      </c>
      <c r="I48" s="6" t="str">
        <f t="shared" si="2"/>
        <v>10099</v>
      </c>
      <c r="K48" s="18" t="s">
        <v>2339</v>
      </c>
      <c r="L48" s="18" t="b">
        <v>1</v>
      </c>
      <c r="M48" s="39" t="s">
        <v>2617</v>
      </c>
      <c r="N48" s="18" t="s">
        <v>2353</v>
      </c>
      <c r="O48" s="39" t="s">
        <v>2839</v>
      </c>
      <c r="P48" s="18" t="s">
        <v>2840</v>
      </c>
    </row>
    <row r="49">
      <c r="A49" s="18">
        <v>100.0</v>
      </c>
      <c r="B49" s="18" t="s">
        <v>2612</v>
      </c>
      <c r="C49" s="22" t="s">
        <v>384</v>
      </c>
      <c r="D49" s="41" t="s">
        <v>2713</v>
      </c>
      <c r="E49" s="18" t="s">
        <v>2714</v>
      </c>
      <c r="G49" s="42" t="str">
        <f t="shared" si="1"/>
        <v>https://drive.google.com/uc?export=view&amp;id=1jvnN_lyOVouF78NaAHtlDGD3dYqCWCxu</v>
      </c>
      <c r="H49" s="43" t="s">
        <v>1658</v>
      </c>
      <c r="I49" s="6" t="str">
        <f t="shared" si="2"/>
        <v>100100</v>
      </c>
      <c r="K49" s="18" t="s">
        <v>2339</v>
      </c>
      <c r="L49" s="18" t="b">
        <v>1</v>
      </c>
      <c r="M49" s="39" t="s">
        <v>2617</v>
      </c>
      <c r="N49" s="18" t="s">
        <v>2353</v>
      </c>
      <c r="O49" s="39" t="s">
        <v>2839</v>
      </c>
      <c r="P49" s="18" t="s">
        <v>2840</v>
      </c>
    </row>
    <row r="50">
      <c r="A50" s="18">
        <v>101.0</v>
      </c>
      <c r="E50" s="18" t="s">
        <v>2841</v>
      </c>
    </row>
    <row r="51">
      <c r="A51" s="18">
        <v>102.0</v>
      </c>
      <c r="E51" s="18" t="s">
        <v>2842</v>
      </c>
    </row>
    <row r="52">
      <c r="A52" s="18">
        <v>103.0</v>
      </c>
      <c r="E52" s="18" t="s">
        <v>2843</v>
      </c>
    </row>
    <row r="53">
      <c r="A53" s="18">
        <v>104.0</v>
      </c>
      <c r="E53" s="18" t="s">
        <v>2844</v>
      </c>
    </row>
    <row r="54">
      <c r="A54" s="18">
        <v>105.0</v>
      </c>
      <c r="E54" s="18" t="s">
        <v>2845</v>
      </c>
    </row>
    <row r="55">
      <c r="A55" s="18">
        <v>106.0</v>
      </c>
      <c r="E55" s="18" t="s">
        <v>2846</v>
      </c>
    </row>
    <row r="56">
      <c r="A56" s="18">
        <v>107.0</v>
      </c>
      <c r="E56" s="18" t="s">
        <v>2847</v>
      </c>
    </row>
    <row r="57">
      <c r="A57" s="18">
        <v>108.0</v>
      </c>
      <c r="E57" s="18" t="s">
        <v>2848</v>
      </c>
    </row>
    <row r="58">
      <c r="A58" s="18">
        <v>109.0</v>
      </c>
      <c r="E58" s="18" t="s">
        <v>2849</v>
      </c>
    </row>
    <row r="59">
      <c r="A59" s="18">
        <v>110.0</v>
      </c>
      <c r="E59" s="18" t="s">
        <v>2850</v>
      </c>
    </row>
    <row r="60">
      <c r="A60" s="18">
        <v>111.0</v>
      </c>
      <c r="E60" s="18" t="s">
        <v>2851</v>
      </c>
    </row>
    <row r="61">
      <c r="A61" s="18">
        <v>112.0</v>
      </c>
      <c r="E61" s="18" t="s">
        <v>2852</v>
      </c>
    </row>
    <row r="62">
      <c r="A62" s="18">
        <v>113.0</v>
      </c>
      <c r="E62" s="18" t="s">
        <v>2853</v>
      </c>
    </row>
    <row r="63">
      <c r="A63" s="18">
        <v>114.0</v>
      </c>
      <c r="E63" s="18" t="s">
        <v>2854</v>
      </c>
    </row>
    <row r="64">
      <c r="A64" s="18">
        <v>115.0</v>
      </c>
      <c r="E64" s="18" t="s">
        <v>2855</v>
      </c>
    </row>
    <row r="65">
      <c r="A65" s="18">
        <v>116.0</v>
      </c>
      <c r="E65" s="18" t="s">
        <v>2856</v>
      </c>
    </row>
    <row r="66">
      <c r="A66" s="18">
        <v>117.0</v>
      </c>
      <c r="E66" s="18" t="s">
        <v>2857</v>
      </c>
    </row>
    <row r="67">
      <c r="A67" s="18">
        <v>118.0</v>
      </c>
      <c r="E67" s="18" t="s">
        <v>2858</v>
      </c>
    </row>
    <row r="68">
      <c r="A68" s="18">
        <v>119.0</v>
      </c>
      <c r="E68" s="18" t="s">
        <v>2859</v>
      </c>
    </row>
    <row r="69">
      <c r="A69" s="18">
        <v>120.0</v>
      </c>
      <c r="E69" s="18" t="s">
        <v>2860</v>
      </c>
    </row>
    <row r="70">
      <c r="A70" s="18">
        <v>121.0</v>
      </c>
      <c r="E70" s="18" t="s">
        <v>2861</v>
      </c>
    </row>
    <row r="71">
      <c r="A71" s="18">
        <v>122.0</v>
      </c>
      <c r="E71" s="18" t="s">
        <v>2862</v>
      </c>
    </row>
    <row r="72">
      <c r="A72" s="18">
        <v>123.0</v>
      </c>
      <c r="E72" s="18" t="s">
        <v>2863</v>
      </c>
    </row>
    <row r="73">
      <c r="A73" s="18">
        <v>124.0</v>
      </c>
      <c r="E73" s="18" t="s">
        <v>2864</v>
      </c>
    </row>
    <row r="74">
      <c r="A74" s="18">
        <v>125.0</v>
      </c>
      <c r="E74" s="18" t="s">
        <v>2865</v>
      </c>
    </row>
    <row r="75">
      <c r="A75" s="18">
        <v>126.0</v>
      </c>
      <c r="E75" s="18" t="s">
        <v>2866</v>
      </c>
    </row>
    <row r="76">
      <c r="A76" s="18">
        <v>127.0</v>
      </c>
      <c r="E76" s="18" t="s">
        <v>2867</v>
      </c>
    </row>
    <row r="77">
      <c r="A77" s="18">
        <v>128.0</v>
      </c>
      <c r="E77" s="18" t="s">
        <v>2868</v>
      </c>
    </row>
    <row r="78">
      <c r="A78" s="18">
        <v>129.0</v>
      </c>
      <c r="E78" s="18" t="s">
        <v>2869</v>
      </c>
    </row>
    <row r="79">
      <c r="A79" s="18">
        <v>130.0</v>
      </c>
      <c r="E79" s="18" t="s">
        <v>2870</v>
      </c>
    </row>
  </sheetData>
  <hyperlinks>
    <hyperlink r:id="rId1" ref="AC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4" max="4" width="22.63"/>
    <col customWidth="1" min="5" max="6" width="76.38"/>
    <col customWidth="1" min="7" max="8" width="241.63"/>
  </cols>
  <sheetData>
    <row r="1">
      <c r="A1" s="47" t="s">
        <v>0</v>
      </c>
      <c r="B1" s="47" t="s">
        <v>2565</v>
      </c>
      <c r="C1" s="47" t="s">
        <v>2871</v>
      </c>
      <c r="D1" s="47" t="s">
        <v>2872</v>
      </c>
      <c r="E1" s="48" t="s">
        <v>2568</v>
      </c>
      <c r="F1" s="48" t="s">
        <v>7</v>
      </c>
      <c r="G1" s="47" t="s">
        <v>2834</v>
      </c>
      <c r="H1" s="47" t="s">
        <v>2567</v>
      </c>
    </row>
    <row r="2">
      <c r="A2" s="34">
        <v>100.0</v>
      </c>
      <c r="B2" s="43" t="s">
        <v>1658</v>
      </c>
      <c r="C2" s="49"/>
      <c r="D2" s="34" t="s">
        <v>2717</v>
      </c>
      <c r="E2" s="58" t="s">
        <v>2873</v>
      </c>
      <c r="F2" s="59" t="str">
        <f t="shared" ref="F2:F38" si="1">CONCAT(B$48,E2)</f>
        <v>https://drive.google.com/uc?export=view&amp;id=1iQ9VcCE0wVFxMLtESOpIyOkLHItmq2LI</v>
      </c>
      <c r="G2" s="34"/>
      <c r="H2" s="34" t="s">
        <v>2874</v>
      </c>
    </row>
    <row r="3">
      <c r="A3" s="34">
        <v>101.0</v>
      </c>
      <c r="B3" s="51" t="s">
        <v>1659</v>
      </c>
      <c r="C3" s="34">
        <v>100.0</v>
      </c>
      <c r="D3" s="51" t="s">
        <v>2720</v>
      </c>
      <c r="E3" s="58" t="s">
        <v>2875</v>
      </c>
      <c r="F3" s="59" t="str">
        <f t="shared" si="1"/>
        <v>https://drive.google.com/uc?export=view&amp;id=1v3XHS0_lPCrzi_UK2beg5x38leFMZouV</v>
      </c>
      <c r="G3" s="52"/>
      <c r="H3" s="52" t="s">
        <v>2876</v>
      </c>
    </row>
    <row r="4">
      <c r="A4" s="34">
        <v>102.0</v>
      </c>
      <c r="B4" s="51" t="s">
        <v>2723</v>
      </c>
      <c r="C4" s="34">
        <v>100.0</v>
      </c>
      <c r="D4" s="34" t="s">
        <v>2724</v>
      </c>
      <c r="E4" s="60" t="s">
        <v>2877</v>
      </c>
      <c r="F4" s="59" t="str">
        <f t="shared" si="1"/>
        <v>https://drive.google.com/uc?export=view&amp;id=1k31f_MBRf6y8ve1MWtL-PAAiW5iAi0FE</v>
      </c>
      <c r="G4" s="34"/>
      <c r="H4" s="34" t="s">
        <v>2878</v>
      </c>
    </row>
    <row r="5">
      <c r="A5" s="34">
        <v>103.0</v>
      </c>
      <c r="B5" s="51" t="s">
        <v>1667</v>
      </c>
      <c r="C5" s="34">
        <v>100.0</v>
      </c>
      <c r="D5" s="34" t="s">
        <v>2727</v>
      </c>
      <c r="E5" s="58" t="s">
        <v>2879</v>
      </c>
      <c r="F5" s="59" t="str">
        <f t="shared" si="1"/>
        <v>https://drive.google.com/uc?export=view&amp;id=1DACrNHTqQv3qlfpZQb1xuL1w2MQPQ179</v>
      </c>
      <c r="G5" s="34"/>
      <c r="H5" s="34" t="s">
        <v>2880</v>
      </c>
    </row>
    <row r="6">
      <c r="A6" s="34">
        <v>110.0</v>
      </c>
      <c r="B6" s="43" t="s">
        <v>1732</v>
      </c>
      <c r="C6" s="49"/>
      <c r="D6" s="34" t="s">
        <v>2730</v>
      </c>
      <c r="E6" s="58" t="s">
        <v>2881</v>
      </c>
      <c r="F6" s="59" t="str">
        <f t="shared" si="1"/>
        <v>https://drive.google.com/uc?export=view&amp;id=1oARzKzOvHYMl1kFrvFl3Cb39lkza7qyZ</v>
      </c>
      <c r="G6" s="34"/>
      <c r="H6" s="34" t="s">
        <v>2882</v>
      </c>
    </row>
    <row r="7">
      <c r="A7" s="34">
        <v>120.0</v>
      </c>
      <c r="B7" s="34" t="s">
        <v>1830</v>
      </c>
      <c r="C7" s="49"/>
      <c r="D7" s="53" t="s">
        <v>2733</v>
      </c>
      <c r="E7" s="58" t="s">
        <v>2883</v>
      </c>
      <c r="F7" s="59" t="str">
        <f t="shared" si="1"/>
        <v>https://drive.google.com/uc?export=view&amp;id=1n3HB1EKMERjWdfyA8O8DUy0bTrxlS969</v>
      </c>
      <c r="G7" s="34"/>
      <c r="H7" s="34" t="s">
        <v>2884</v>
      </c>
    </row>
    <row r="8">
      <c r="A8" s="34">
        <v>121.0</v>
      </c>
      <c r="B8" s="53" t="s">
        <v>1837</v>
      </c>
      <c r="C8" s="34">
        <v>120.0</v>
      </c>
      <c r="D8" s="34" t="s">
        <v>2736</v>
      </c>
      <c r="E8" s="58" t="s">
        <v>2885</v>
      </c>
      <c r="F8" s="59" t="str">
        <f t="shared" si="1"/>
        <v>https://drive.google.com/uc?export=view&amp;id=1L14Wj8I7f66dIwHkthTFk_ejY5csYhxD</v>
      </c>
      <c r="G8" s="34"/>
      <c r="H8" s="34" t="s">
        <v>2886</v>
      </c>
    </row>
    <row r="9">
      <c r="A9" s="34">
        <v>122.0</v>
      </c>
      <c r="B9" s="53" t="s">
        <v>1858</v>
      </c>
      <c r="C9" s="34">
        <v>120.0</v>
      </c>
      <c r="D9" s="34" t="s">
        <v>2739</v>
      </c>
      <c r="E9" s="58" t="s">
        <v>2887</v>
      </c>
      <c r="F9" s="59" t="str">
        <f t="shared" si="1"/>
        <v>https://drive.google.com/uc?export=view&amp;id=19tU3JrTkGOBwlIAetxmNhLG49i7NBaly</v>
      </c>
      <c r="G9" s="34"/>
      <c r="H9" s="34" t="s">
        <v>2888</v>
      </c>
    </row>
    <row r="10">
      <c r="A10" s="34">
        <v>123.0</v>
      </c>
      <c r="B10" s="53" t="s">
        <v>1864</v>
      </c>
      <c r="C10" s="34">
        <v>120.0</v>
      </c>
      <c r="D10" s="34" t="s">
        <v>2742</v>
      </c>
      <c r="E10" s="58" t="s">
        <v>2889</v>
      </c>
      <c r="F10" s="59" t="str">
        <f t="shared" si="1"/>
        <v>https://drive.google.com/uc?export=view&amp;id=1Vs7AFWlTHJ63CmIxTS7oNAJxd4pI6FBg</v>
      </c>
      <c r="G10" s="34"/>
      <c r="H10" s="34" t="s">
        <v>2890</v>
      </c>
    </row>
    <row r="11">
      <c r="A11" s="34">
        <v>124.0</v>
      </c>
      <c r="B11" s="53" t="s">
        <v>1868</v>
      </c>
      <c r="C11" s="34">
        <v>120.0</v>
      </c>
      <c r="D11" s="34" t="s">
        <v>2745</v>
      </c>
      <c r="E11" s="58" t="s">
        <v>2891</v>
      </c>
      <c r="F11" s="59" t="str">
        <f t="shared" si="1"/>
        <v>https://drive.google.com/uc?export=view&amp;id=1D9uNcAuPvJPf0RraeRLlcCq84poxpdhP</v>
      </c>
      <c r="G11" s="34"/>
      <c r="H11" s="34" t="s">
        <v>2892</v>
      </c>
    </row>
    <row r="12">
      <c r="A12" s="34">
        <v>130.0</v>
      </c>
      <c r="B12" s="34" t="s">
        <v>1893</v>
      </c>
      <c r="C12" s="49"/>
      <c r="D12" s="34" t="s">
        <v>2748</v>
      </c>
      <c r="E12" s="58" t="s">
        <v>2893</v>
      </c>
      <c r="F12" s="59" t="str">
        <f t="shared" si="1"/>
        <v>https://drive.google.com/uc?export=view&amp;id=18r_drc-j3bchOwDXjiJ5T2ojAeNUziWP</v>
      </c>
      <c r="G12" s="34"/>
      <c r="H12" s="34" t="s">
        <v>2894</v>
      </c>
    </row>
    <row r="13">
      <c r="A13" s="34">
        <v>140.0</v>
      </c>
      <c r="B13" s="34" t="s">
        <v>1913</v>
      </c>
      <c r="C13" s="49"/>
      <c r="D13" s="34" t="s">
        <v>2751</v>
      </c>
      <c r="E13" s="58" t="s">
        <v>2895</v>
      </c>
      <c r="F13" s="59" t="str">
        <f t="shared" si="1"/>
        <v>https://drive.google.com/uc?export=view&amp;id=1_ZjaYZV3fYJR0jWYA5oFIwiWour4PvvO</v>
      </c>
      <c r="G13" s="34"/>
      <c r="H13" s="34" t="s">
        <v>2896</v>
      </c>
    </row>
    <row r="14">
      <c r="A14" s="34">
        <v>141.0</v>
      </c>
      <c r="B14" s="53" t="s">
        <v>1914</v>
      </c>
      <c r="C14" s="34">
        <v>140.0</v>
      </c>
      <c r="D14" s="34" t="s">
        <v>2754</v>
      </c>
      <c r="E14" s="58" t="s">
        <v>2897</v>
      </c>
      <c r="F14" s="59" t="str">
        <f t="shared" si="1"/>
        <v>https://drive.google.com/uc?export=view&amp;id=1MexJjT__ToSRG0FCZtDPCOVA7Eb9BwPc</v>
      </c>
      <c r="G14" s="34"/>
      <c r="H14" s="34" t="s">
        <v>2898</v>
      </c>
    </row>
    <row r="15">
      <c r="A15" s="34">
        <v>142.0</v>
      </c>
      <c r="B15" s="34" t="s">
        <v>1935</v>
      </c>
      <c r="C15" s="34">
        <v>140.0</v>
      </c>
      <c r="D15" s="34" t="s">
        <v>2757</v>
      </c>
      <c r="E15" s="58" t="s">
        <v>2899</v>
      </c>
      <c r="F15" s="59" t="str">
        <f t="shared" si="1"/>
        <v>https://drive.google.com/uc?export=view&amp;id=1dI0kjNY6vTAax92r9KamkDwvnZrPsVNQ</v>
      </c>
      <c r="G15" s="34"/>
      <c r="H15" s="34" t="s">
        <v>2900</v>
      </c>
    </row>
    <row r="16">
      <c r="A16" s="34">
        <v>150.0</v>
      </c>
      <c r="B16" s="34" t="s">
        <v>1943</v>
      </c>
      <c r="C16" s="49"/>
      <c r="D16" s="34" t="s">
        <v>2760</v>
      </c>
      <c r="E16" s="58" t="s">
        <v>2901</v>
      </c>
      <c r="F16" s="59" t="str">
        <f t="shared" si="1"/>
        <v>https://drive.google.com/uc?export=view&amp;id=1dR5BDIxVnDYxAjoq9GQSxCKk69aEm1Rl</v>
      </c>
      <c r="G16" s="34"/>
      <c r="H16" s="34" t="s">
        <v>2902</v>
      </c>
    </row>
    <row r="17">
      <c r="A17" s="34">
        <v>160.0</v>
      </c>
      <c r="B17" s="34" t="s">
        <v>1072</v>
      </c>
      <c r="C17" s="49"/>
      <c r="D17" s="34" t="s">
        <v>2763</v>
      </c>
      <c r="E17" s="58" t="s">
        <v>2903</v>
      </c>
      <c r="F17" s="59" t="str">
        <f t="shared" si="1"/>
        <v>https://drive.google.com/uc?export=view&amp;id=17olGuuG1KaOAm_CrXUsFxUcGyjj50_1y</v>
      </c>
      <c r="G17" s="34"/>
      <c r="H17" s="34" t="s">
        <v>2904</v>
      </c>
    </row>
    <row r="18">
      <c r="A18" s="34">
        <v>170.0</v>
      </c>
      <c r="B18" s="34" t="s">
        <v>1973</v>
      </c>
      <c r="C18" s="49"/>
      <c r="D18" s="34" t="s">
        <v>2766</v>
      </c>
      <c r="E18" s="58" t="s">
        <v>2905</v>
      </c>
      <c r="F18" s="59" t="str">
        <f t="shared" si="1"/>
        <v>https://drive.google.com/uc?export=view&amp;id=1zovI6vhIwBmAREgTar2BFsLqEPEd-Cay</v>
      </c>
      <c r="G18" s="34"/>
      <c r="H18" s="34" t="s">
        <v>2906</v>
      </c>
    </row>
    <row r="19">
      <c r="A19" s="34">
        <v>180.0</v>
      </c>
      <c r="B19" s="34" t="s">
        <v>1994</v>
      </c>
      <c r="C19" s="49"/>
      <c r="D19" s="34" t="s">
        <v>2769</v>
      </c>
      <c r="E19" s="58" t="s">
        <v>2907</v>
      </c>
      <c r="F19" s="59" t="str">
        <f t="shared" si="1"/>
        <v>https://drive.google.com/uc?export=view&amp;id=1VjgADwq_ud2mhSdnz4uwadyt8c7GWdIN</v>
      </c>
      <c r="G19" s="34"/>
      <c r="H19" s="34" t="s">
        <v>2908</v>
      </c>
    </row>
    <row r="20">
      <c r="A20" s="34">
        <v>190.0</v>
      </c>
      <c r="B20" s="34" t="s">
        <v>2022</v>
      </c>
      <c r="C20" s="49"/>
      <c r="D20" s="34" t="s">
        <v>2772</v>
      </c>
      <c r="E20" s="58" t="s">
        <v>2909</v>
      </c>
      <c r="F20" s="59" t="str">
        <f t="shared" si="1"/>
        <v>https://drive.google.com/uc?export=view&amp;id=14Cmnr1PunBiBIWWdRaNJMxRNKWxPBcMb</v>
      </c>
      <c r="G20" s="34"/>
      <c r="H20" s="34" t="s">
        <v>2910</v>
      </c>
    </row>
    <row r="21">
      <c r="A21" s="34">
        <v>200.0</v>
      </c>
      <c r="B21" s="34" t="s">
        <v>2041</v>
      </c>
      <c r="C21" s="49"/>
      <c r="D21" s="34" t="s">
        <v>2911</v>
      </c>
      <c r="E21" s="58" t="s">
        <v>2912</v>
      </c>
      <c r="F21" s="59" t="str">
        <f t="shared" si="1"/>
        <v>https://drive.google.com/uc?export=view&amp;id=19EKryCOVl6t_1Jpc66MVbZjEP95oQnHR</v>
      </c>
      <c r="G21" s="34"/>
      <c r="H21" s="34" t="s">
        <v>2913</v>
      </c>
    </row>
    <row r="22">
      <c r="A22" s="34">
        <v>210.0</v>
      </c>
      <c r="B22" s="54" t="s">
        <v>2060</v>
      </c>
      <c r="C22" s="49"/>
      <c r="D22" s="34" t="s">
        <v>2778</v>
      </c>
      <c r="E22" s="58" t="s">
        <v>2914</v>
      </c>
      <c r="F22" s="59" t="str">
        <f t="shared" si="1"/>
        <v>https://drive.google.com/uc?export=view&amp;id=1yK2LAcjqZXyECyqPgceIZUEKCM2PYR9U</v>
      </c>
      <c r="G22" s="34"/>
      <c r="H22" s="34" t="s">
        <v>2915</v>
      </c>
    </row>
    <row r="23">
      <c r="A23" s="34">
        <v>220.0</v>
      </c>
      <c r="B23" s="54" t="s">
        <v>2068</v>
      </c>
      <c r="C23" s="49"/>
      <c r="D23" s="34" t="s">
        <v>2781</v>
      </c>
      <c r="E23" s="58" t="s">
        <v>2916</v>
      </c>
      <c r="F23" s="59" t="str">
        <f t="shared" si="1"/>
        <v>https://drive.google.com/uc?export=view&amp;id=1JJexZ7Hni-kTLvH7lRpIqZV3lG4d0Vtd</v>
      </c>
      <c r="G23" s="34"/>
      <c r="H23" s="34" t="s">
        <v>2917</v>
      </c>
    </row>
    <row r="24">
      <c r="A24" s="34">
        <v>230.0</v>
      </c>
      <c r="B24" s="34" t="s">
        <v>2085</v>
      </c>
      <c r="C24" s="49"/>
      <c r="D24" s="53" t="s">
        <v>2784</v>
      </c>
      <c r="E24" s="58" t="s">
        <v>2918</v>
      </c>
      <c r="F24" s="59" t="str">
        <f t="shared" si="1"/>
        <v>https://drive.google.com/uc?export=view&amp;id=1s1aIVH62wl1-CB9SpGtqvWZwxfzHnNrr</v>
      </c>
      <c r="G24" s="34"/>
      <c r="H24" s="34" t="s">
        <v>2919</v>
      </c>
    </row>
    <row r="25">
      <c r="A25" s="34">
        <v>240.0</v>
      </c>
      <c r="B25" s="34" t="s">
        <v>2090</v>
      </c>
      <c r="C25" s="49"/>
      <c r="D25" s="34" t="s">
        <v>2787</v>
      </c>
      <c r="E25" s="58" t="s">
        <v>2920</v>
      </c>
      <c r="F25" s="59" t="str">
        <f t="shared" si="1"/>
        <v>https://drive.google.com/uc?export=view&amp;id=1DLxznN57AWpHbMpLJdRF2lfj3fO7vh6_</v>
      </c>
      <c r="G25" s="34"/>
      <c r="H25" s="34" t="s">
        <v>2921</v>
      </c>
    </row>
    <row r="26">
      <c r="A26" s="34">
        <v>250.0</v>
      </c>
      <c r="B26" s="34" t="s">
        <v>2108</v>
      </c>
      <c r="C26" s="49"/>
      <c r="D26" s="34" t="s">
        <v>2790</v>
      </c>
      <c r="E26" s="58" t="s">
        <v>2922</v>
      </c>
      <c r="F26" s="59" t="str">
        <f t="shared" si="1"/>
        <v>https://drive.google.com/uc?export=view&amp;id=1UbZiX6xaYPadkseu_NReLxEozL0rUW7-</v>
      </c>
      <c r="G26" s="34"/>
      <c r="H26" s="34" t="s">
        <v>2923</v>
      </c>
    </row>
    <row r="27">
      <c r="A27" s="34">
        <v>260.0</v>
      </c>
      <c r="B27" s="34" t="s">
        <v>2131</v>
      </c>
      <c r="C27" s="49"/>
      <c r="D27" s="34" t="s">
        <v>2793</v>
      </c>
      <c r="E27" s="58" t="s">
        <v>2924</v>
      </c>
      <c r="F27" s="59" t="str">
        <f t="shared" si="1"/>
        <v>https://drive.google.com/uc?export=view&amp;id=1vriYiFoPVciZxBIfVFYwAb-gUvb9r_4e</v>
      </c>
      <c r="G27" s="34"/>
      <c r="H27" s="34" t="s">
        <v>2925</v>
      </c>
    </row>
    <row r="28">
      <c r="A28" s="34">
        <v>270.0</v>
      </c>
      <c r="B28" s="34" t="s">
        <v>2136</v>
      </c>
      <c r="C28" s="49"/>
      <c r="D28" s="34" t="s">
        <v>2796</v>
      </c>
      <c r="E28" s="58" t="s">
        <v>2926</v>
      </c>
      <c r="F28" s="59" t="str">
        <f t="shared" si="1"/>
        <v>https://drive.google.com/uc?export=view&amp;id=1WMCucLUk48pHnNYILjpoBgvbWZMojoQC</v>
      </c>
      <c r="G28" s="34"/>
      <c r="H28" s="34" t="s">
        <v>2927</v>
      </c>
    </row>
    <row r="29">
      <c r="A29" s="34">
        <v>280.0</v>
      </c>
      <c r="B29" s="34" t="s">
        <v>2146</v>
      </c>
      <c r="C29" s="49"/>
      <c r="D29" s="53" t="s">
        <v>2799</v>
      </c>
      <c r="E29" s="58" t="s">
        <v>2928</v>
      </c>
      <c r="F29" s="59" t="str">
        <f t="shared" si="1"/>
        <v>https://drive.google.com/uc?export=view&amp;id=1jcWGnBpv-pAOgxLkvPeIOVLUmN2QDfJK</v>
      </c>
      <c r="G29" s="34"/>
      <c r="H29" s="34" t="s">
        <v>2929</v>
      </c>
    </row>
    <row r="30">
      <c r="A30" s="34">
        <v>281.0</v>
      </c>
      <c r="B30" s="53" t="s">
        <v>2147</v>
      </c>
      <c r="C30" s="34">
        <v>280.0</v>
      </c>
      <c r="D30" s="34" t="s">
        <v>2802</v>
      </c>
      <c r="E30" s="58" t="s">
        <v>2930</v>
      </c>
      <c r="F30" s="59" t="str">
        <f t="shared" si="1"/>
        <v>https://drive.google.com/uc?export=view&amp;id=11TP7N2Cfge3yLLpC0XIUqRMmsqYpXyI5</v>
      </c>
      <c r="G30" s="34"/>
      <c r="H30" s="34" t="s">
        <v>2931</v>
      </c>
    </row>
    <row r="31">
      <c r="A31" s="34">
        <v>282.0</v>
      </c>
      <c r="B31" s="34" t="s">
        <v>2155</v>
      </c>
      <c r="C31" s="34">
        <v>280.0</v>
      </c>
      <c r="D31" s="34" t="s">
        <v>2805</v>
      </c>
      <c r="E31" s="58" t="s">
        <v>2932</v>
      </c>
      <c r="F31" s="59" t="str">
        <f t="shared" si="1"/>
        <v>https://drive.google.com/uc?export=view&amp;id=10An0it4AIGykIN9JkX1aO5wh_-B5fRbS</v>
      </c>
      <c r="G31" s="34"/>
      <c r="H31" s="34" t="s">
        <v>2933</v>
      </c>
    </row>
    <row r="32">
      <c r="A32" s="34">
        <v>290.0</v>
      </c>
      <c r="B32" s="34" t="s">
        <v>2159</v>
      </c>
      <c r="C32" s="49"/>
      <c r="D32" s="34" t="s">
        <v>2808</v>
      </c>
      <c r="E32" s="58" t="s">
        <v>2934</v>
      </c>
      <c r="F32" s="59" t="str">
        <f t="shared" si="1"/>
        <v>https://drive.google.com/uc?export=view&amp;id=15DT6g7v8jNk276-cPkOe7gKTr8uZ0kiW</v>
      </c>
      <c r="G32" s="34"/>
      <c r="H32" s="34" t="s">
        <v>2935</v>
      </c>
    </row>
    <row r="33">
      <c r="A33" s="34">
        <v>300.0</v>
      </c>
      <c r="B33" s="34" t="s">
        <v>2164</v>
      </c>
      <c r="C33" s="49"/>
      <c r="D33" s="34" t="s">
        <v>2811</v>
      </c>
      <c r="E33" s="58" t="s">
        <v>2936</v>
      </c>
      <c r="F33" s="59" t="str">
        <f t="shared" si="1"/>
        <v>https://drive.google.com/uc?export=view&amp;id=1s9bHbuguTgYukAR-lZ6Ege-x9JKgerDC</v>
      </c>
      <c r="G33" s="34"/>
      <c r="H33" s="34" t="s">
        <v>2937</v>
      </c>
    </row>
    <row r="34">
      <c r="A34" s="34">
        <v>310.0</v>
      </c>
      <c r="B34" s="34" t="s">
        <v>2167</v>
      </c>
      <c r="C34" s="49"/>
      <c r="D34" s="34" t="s">
        <v>2814</v>
      </c>
      <c r="E34" s="58" t="s">
        <v>2938</v>
      </c>
      <c r="F34" s="59" t="str">
        <f t="shared" si="1"/>
        <v>https://drive.google.com/uc?export=view&amp;id=1nN1OjPzHb25fTvQWpkSht2lamQWm2eHp</v>
      </c>
      <c r="G34" s="34"/>
      <c r="H34" s="34" t="s">
        <v>2939</v>
      </c>
    </row>
    <row r="35">
      <c r="A35" s="34">
        <v>320.0</v>
      </c>
      <c r="B35" s="34" t="s">
        <v>2170</v>
      </c>
      <c r="C35" s="49"/>
      <c r="D35" s="34" t="s">
        <v>2817</v>
      </c>
      <c r="E35" s="58" t="s">
        <v>2940</v>
      </c>
      <c r="F35" s="59" t="str">
        <f t="shared" si="1"/>
        <v>https://drive.google.com/uc?export=view&amp;id=1ZARSqinxOTrmGdYnKwydJ5QsVb36ZZRK</v>
      </c>
      <c r="G35" s="34"/>
      <c r="H35" s="34" t="s">
        <v>2941</v>
      </c>
    </row>
    <row r="36">
      <c r="A36" s="34">
        <v>330.0</v>
      </c>
      <c r="B36" s="34" t="s">
        <v>2176</v>
      </c>
      <c r="C36" s="49"/>
      <c r="D36" s="34" t="s">
        <v>2820</v>
      </c>
      <c r="E36" s="58" t="s">
        <v>2942</v>
      </c>
      <c r="F36" s="59" t="str">
        <f t="shared" si="1"/>
        <v>https://drive.google.com/uc?export=view&amp;id=1zLRMOl7nT_oDHB_utWYa6zpqJVpJzzWw</v>
      </c>
      <c r="G36" s="34"/>
      <c r="H36" s="34" t="s">
        <v>2943</v>
      </c>
    </row>
    <row r="37">
      <c r="A37" s="34">
        <v>331.0</v>
      </c>
      <c r="B37" s="53" t="s">
        <v>2177</v>
      </c>
      <c r="C37" s="34">
        <v>700.0</v>
      </c>
      <c r="D37" s="34" t="s">
        <v>2823</v>
      </c>
      <c r="E37" s="58" t="s">
        <v>2944</v>
      </c>
      <c r="F37" s="59" t="str">
        <f t="shared" si="1"/>
        <v>https://drive.google.com/uc?export=view&amp;id=1C0-LyWqkvNqzdUvWtjPo0cAa2EH9n01S</v>
      </c>
      <c r="G37" s="34"/>
      <c r="H37" s="34" t="s">
        <v>2945</v>
      </c>
    </row>
    <row r="38">
      <c r="A38" s="34">
        <v>332.0</v>
      </c>
      <c r="B38" s="34" t="s">
        <v>2268</v>
      </c>
      <c r="C38" s="34">
        <v>700.0</v>
      </c>
      <c r="D38" s="34" t="s">
        <v>2826</v>
      </c>
      <c r="E38" s="58" t="s">
        <v>2946</v>
      </c>
      <c r="F38" s="59" t="str">
        <f t="shared" si="1"/>
        <v>https://drive.google.com/uc?export=view&amp;id=1irk5hs_FAchbaPklgFlBnHuGsE5WzovA</v>
      </c>
      <c r="G38" s="34"/>
      <c r="H38" s="34" t="s">
        <v>2947</v>
      </c>
    </row>
    <row r="48">
      <c r="A48" s="18" t="s">
        <v>2837</v>
      </c>
      <c r="B48" s="57" t="s">
        <v>2838</v>
      </c>
    </row>
  </sheetData>
  <hyperlinks>
    <hyperlink r:id="rId1" ref="B48"/>
  </hyperlinks>
  <drawing r:id="rId2"/>
</worksheet>
</file>