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Summer 2022\"/>
    </mc:Choice>
  </mc:AlternateContent>
  <xr:revisionPtr revIDLastSave="0" documentId="13_ncr:1_{D1DA1F1E-0962-4027-ABEC-36A488CC5AB1}" xr6:coauthVersionLast="47" xr6:coauthVersionMax="47" xr10:uidLastSave="{00000000-0000-0000-0000-000000000000}"/>
  <bookViews>
    <workbookView xWindow="-96" yWindow="-96" windowWidth="20928" windowHeight="12432" activeTab="1" xr2:uid="{69DE63F7-EE2C-4C51-A336-BBEBFCF5B290}"/>
  </bookViews>
  <sheets>
    <sheet name="Macros and Food Info" sheetId="1" r:id="rId1"/>
    <sheet name="Choose Foods for the day" sheetId="4" r:id="rId2"/>
    <sheet name="Choose Meals and Servings" sheetId="3" r:id="rId3"/>
    <sheet name="Create Meal Portions" sheetId="2" r:id="rId4"/>
  </sheets>
  <definedNames>
    <definedName name="_xlnm._FilterDatabase" localSheetId="0" hidden="1">'Macros and Food Info'!$H$5:$U$5</definedName>
    <definedName name="solver_adj" localSheetId="1" hidden="1">'Choose Foods for the day'!$K$4:$K$20</definedName>
    <definedName name="solver_adj" localSheetId="2" hidden="1">'Choose Meals and Servings'!$M$6:$N$17</definedName>
    <definedName name="solver_adj" localSheetId="3" hidden="1">'Create Meal Portions'!$D$22:$D$23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'Choose Foods for the day'!$G$24</definedName>
    <definedName name="solver_lhs1" localSheetId="2" hidden="1">'Choose Meals and Servings'!$M$6:$M$11</definedName>
    <definedName name="solver_lhs1" localSheetId="3" hidden="1">'Create Meal Portions'!$C$28</definedName>
    <definedName name="solver_lhs2" localSheetId="1" hidden="1">'Choose Foods for the day'!$K$12</definedName>
    <definedName name="solver_lhs2" localSheetId="2" hidden="1">'Choose Meals and Servings'!$N$6:$N$11</definedName>
    <definedName name="solver_lhs2" localSheetId="3" hidden="1">'Create Meal Portions'!$D$22</definedName>
    <definedName name="solver_lhs3" localSheetId="1" hidden="1">'Choose Foods for the day'!$K$4:$K$20</definedName>
    <definedName name="solver_lhs3" localSheetId="2" hidden="1">'Choose Meals and Servings'!$P$12</definedName>
    <definedName name="solver_lhs3" localSheetId="3" hidden="1">'Create Meal Portions'!$D$23</definedName>
    <definedName name="solver_lhs4" localSheetId="1" hidden="1">'Choose Foods for the day'!$K$6</definedName>
    <definedName name="solver_lhs4" localSheetId="2" hidden="1">'Choose Meals and Servings'!$T$11</definedName>
    <definedName name="solver_lhs4" localSheetId="3" hidden="1">'Create Meal Portions'!$E$28</definedName>
    <definedName name="solver_lhs5" localSheetId="1" hidden="1">'Choose Foods for the day'!$K$8</definedName>
    <definedName name="solver_lhs5" localSheetId="2" hidden="1">'Choose Meals and Servings'!$T$12</definedName>
    <definedName name="solver_lhs5" localSheetId="3" hidden="1">'Create Meal Portions'!$E$28</definedName>
    <definedName name="solver_lhs6" localSheetId="1" hidden="1">'Choose Foods for the day'!$K$9</definedName>
    <definedName name="solver_lhs6" localSheetId="3" hidden="1">'Create Meal Portions'!$E$28</definedName>
    <definedName name="solver_lhs7" localSheetId="3" hidden="1">'Create Meal Portions'!$E$35</definedName>
    <definedName name="solver_lhs8" localSheetId="3" hidden="1">'Create Meal Portions'!$E$35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6</definedName>
    <definedName name="solver_num" localSheetId="2" hidden="1">5</definedName>
    <definedName name="solver_num" localSheetId="3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'Choose Foods for the day'!$D$33</definedName>
    <definedName name="solver_opt" localSheetId="2" hidden="1">'Choose Meals and Servings'!$S$23</definedName>
    <definedName name="solver_opt" localSheetId="3" hidden="1">'Create Meal Portions'!$C$28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el1" localSheetId="2" hidden="1">5</definedName>
    <definedName name="solver_rel1" localSheetId="3" hidden="1">1</definedName>
    <definedName name="solver_rel2" localSheetId="1" hidden="1">3</definedName>
    <definedName name="solver_rel2" localSheetId="2" hidden="1">4</definedName>
    <definedName name="solver_rel2" localSheetId="3" hidden="1">4</definedName>
    <definedName name="solver_rel3" localSheetId="1" hidden="1">4</definedName>
    <definedName name="solver_rel3" localSheetId="2" hidden="1">3</definedName>
    <definedName name="solver_rel3" localSheetId="3" hidden="1">4</definedName>
    <definedName name="solver_rel4" localSheetId="1" hidden="1">1</definedName>
    <definedName name="solver_rel4" localSheetId="2" hidden="1">3</definedName>
    <definedName name="solver_rel4" localSheetId="3" hidden="1">1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6" localSheetId="1" hidden="1">1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hs1" localSheetId="1" hidden="1">250</definedName>
    <definedName name="solver_rhs1" localSheetId="2" hidden="1">"binary"</definedName>
    <definedName name="solver_rhs1" localSheetId="3" hidden="1">'Create Meal Portions'!$C$27</definedName>
    <definedName name="solver_rhs2" localSheetId="1" hidden="1">1</definedName>
    <definedName name="solver_rhs2" localSheetId="2" hidden="1">"integer"</definedName>
    <definedName name="solver_rhs2" localSheetId="3" hidden="1">"integer"</definedName>
    <definedName name="solver_rhs3" localSheetId="1" hidden="1">"integer"</definedName>
    <definedName name="solver_rhs3" localSheetId="2" hidden="1">3</definedName>
    <definedName name="solver_rhs3" localSheetId="3" hidden="1">"integer"</definedName>
    <definedName name="solver_rhs4" localSheetId="1" hidden="1">2</definedName>
    <definedName name="solver_rhs4" localSheetId="2" hidden="1">'Choose Meals and Servings'!$S$11</definedName>
    <definedName name="solver_rhs4" localSheetId="3" hidden="1">'Create Meal Portions'!$E$27</definedName>
    <definedName name="solver_rhs5" localSheetId="1" hidden="1">2</definedName>
    <definedName name="solver_rhs5" localSheetId="2" hidden="1">80</definedName>
    <definedName name="solver_rhs5" localSheetId="3" hidden="1">'Create Meal Portions'!$E$27</definedName>
    <definedName name="solver_rhs6" localSheetId="1" hidden="1">2</definedName>
    <definedName name="solver_rhs6" localSheetId="3" hidden="1">'Create Meal Portions'!$E$27</definedName>
    <definedName name="solver_rhs7" localSheetId="3" hidden="1">'Create Meal Portions'!$E$34</definedName>
    <definedName name="solver_rhs8" localSheetId="3" hidden="1">'Create Meal Portions'!$E$34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4" i="4"/>
  <c r="D13" i="4"/>
  <c r="E13" i="4"/>
  <c r="F13" i="4"/>
  <c r="G13" i="4"/>
  <c r="H13" i="4"/>
  <c r="I13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P25" i="1"/>
  <c r="Q25" i="1"/>
  <c r="R25" i="1"/>
  <c r="P24" i="1"/>
  <c r="Q24" i="1"/>
  <c r="R24" i="1"/>
  <c r="P23" i="1"/>
  <c r="Q23" i="1"/>
  <c r="R23" i="1"/>
  <c r="P22" i="1"/>
  <c r="Q22" i="1"/>
  <c r="R22" i="1"/>
  <c r="D7" i="4"/>
  <c r="E7" i="4"/>
  <c r="F7" i="4"/>
  <c r="G7" i="4"/>
  <c r="H7" i="4"/>
  <c r="I7" i="4"/>
  <c r="D8" i="4"/>
  <c r="E8" i="4"/>
  <c r="F8" i="4"/>
  <c r="G8" i="4"/>
  <c r="H8" i="4"/>
  <c r="I8" i="4"/>
  <c r="P21" i="1"/>
  <c r="Q21" i="1"/>
  <c r="R21" i="1"/>
  <c r="P20" i="1"/>
  <c r="Q20" i="1"/>
  <c r="R20" i="1"/>
  <c r="G23" i="4"/>
  <c r="F23" i="4"/>
  <c r="E23" i="4"/>
  <c r="D23" i="4"/>
  <c r="F27" i="2"/>
  <c r="E27" i="2"/>
  <c r="D27" i="2"/>
  <c r="C27" i="2"/>
  <c r="D5" i="4"/>
  <c r="E5" i="4"/>
  <c r="F5" i="4"/>
  <c r="G5" i="4"/>
  <c r="H5" i="4"/>
  <c r="I5" i="4"/>
  <c r="D6" i="4"/>
  <c r="E6" i="4"/>
  <c r="F6" i="4"/>
  <c r="G6" i="4"/>
  <c r="H6" i="4"/>
  <c r="I6" i="4"/>
  <c r="I4" i="4"/>
  <c r="H4" i="4"/>
  <c r="G4" i="4"/>
  <c r="F4" i="4"/>
  <c r="E4" i="4"/>
  <c r="D4" i="4"/>
  <c r="P19" i="1"/>
  <c r="Q19" i="1"/>
  <c r="R19" i="1"/>
  <c r="P18" i="1"/>
  <c r="Q18" i="1"/>
  <c r="R18" i="1"/>
  <c r="P18" i="3"/>
  <c r="P17" i="3"/>
  <c r="O17" i="3"/>
  <c r="P17" i="1"/>
  <c r="Q17" i="1"/>
  <c r="R17" i="1"/>
  <c r="O16" i="3"/>
  <c r="P16" i="3" s="1"/>
  <c r="O15" i="3"/>
  <c r="P15" i="3" s="1"/>
  <c r="O14" i="3"/>
  <c r="P14" i="3" s="1"/>
  <c r="O13" i="3"/>
  <c r="P13" i="3" s="1"/>
  <c r="O12" i="3"/>
  <c r="P12" i="3" s="1"/>
  <c r="P16" i="1"/>
  <c r="Q16" i="1"/>
  <c r="R16" i="1"/>
  <c r="P15" i="1"/>
  <c r="Q15" i="1"/>
  <c r="R15" i="1"/>
  <c r="P14" i="1"/>
  <c r="Q14" i="1"/>
  <c r="R14" i="1"/>
  <c r="P13" i="1"/>
  <c r="Q13" i="1"/>
  <c r="R13" i="1"/>
  <c r="P12" i="1"/>
  <c r="Q12" i="1"/>
  <c r="R12" i="1"/>
  <c r="O7" i="3"/>
  <c r="P7" i="3" s="1"/>
  <c r="O8" i="3"/>
  <c r="P8" i="3" s="1"/>
  <c r="O9" i="3"/>
  <c r="P9" i="3" s="1"/>
  <c r="O10" i="3"/>
  <c r="P10" i="3" s="1"/>
  <c r="O11" i="3"/>
  <c r="P11" i="3" s="1"/>
  <c r="O6" i="3"/>
  <c r="P6" i="3" s="1"/>
  <c r="T11" i="3"/>
  <c r="T12" i="3"/>
  <c r="T13" i="3"/>
  <c r="T10" i="3"/>
  <c r="S13" i="3"/>
  <c r="S12" i="3"/>
  <c r="S11" i="3"/>
  <c r="S10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E34" i="2"/>
  <c r="D34" i="2"/>
  <c r="C34" i="2"/>
  <c r="D10" i="2"/>
  <c r="E10" i="2"/>
  <c r="F10" i="2"/>
  <c r="G10" i="2"/>
  <c r="H10" i="2"/>
  <c r="I10" i="2"/>
  <c r="D9" i="2"/>
  <c r="I9" i="2"/>
  <c r="H9" i="2"/>
  <c r="G9" i="2"/>
  <c r="F9" i="2"/>
  <c r="E9" i="2"/>
  <c r="P11" i="1"/>
  <c r="J10" i="2" s="1"/>
  <c r="Q11" i="1"/>
  <c r="R11" i="1"/>
  <c r="P9" i="1"/>
  <c r="Q9" i="1"/>
  <c r="K9" i="2" s="1"/>
  <c r="R9" i="1"/>
  <c r="L10" i="2" s="1"/>
  <c r="P8" i="1"/>
  <c r="Q8" i="1"/>
  <c r="R8" i="1"/>
  <c r="P7" i="1"/>
  <c r="Q7" i="1"/>
  <c r="R7" i="1"/>
  <c r="P6" i="1"/>
  <c r="Q6" i="1"/>
  <c r="R6" i="1"/>
  <c r="Q10" i="1"/>
  <c r="R10" i="1"/>
  <c r="P10" i="1"/>
  <c r="E24" i="4" l="1"/>
  <c r="D24" i="4"/>
  <c r="F24" i="4"/>
  <c r="G24" i="4"/>
  <c r="H24" i="4"/>
  <c r="I24" i="4"/>
  <c r="L9" i="2"/>
  <c r="K10" i="2"/>
  <c r="J9" i="2"/>
  <c r="S19" i="3"/>
  <c r="S22" i="3"/>
  <c r="S21" i="3"/>
  <c r="S20" i="3"/>
  <c r="C28" i="2"/>
  <c r="C29" i="2" s="1"/>
  <c r="E28" i="2"/>
  <c r="E29" i="2" s="1"/>
  <c r="F28" i="2"/>
  <c r="F29" i="2" s="1"/>
  <c r="G28" i="2"/>
  <c r="H28" i="2"/>
  <c r="D28" i="2"/>
  <c r="D29" i="2" s="1"/>
  <c r="D25" i="4" l="1"/>
  <c r="D29" i="4"/>
  <c r="G25" i="4"/>
  <c r="D32" i="4"/>
  <c r="E25" i="4"/>
  <c r="D30" i="4"/>
  <c r="F25" i="4"/>
  <c r="D31" i="4"/>
  <c r="S23" i="3"/>
  <c r="D33" i="4" l="1"/>
  <c r="I13" i="3"/>
  <c r="K13" i="3"/>
  <c r="J13" i="3"/>
  <c r="I14" i="3"/>
  <c r="K14" i="3"/>
  <c r="J14" i="3"/>
  <c r="I16" i="3"/>
  <c r="K16" i="3"/>
  <c r="J16" i="3"/>
  <c r="I12" i="3"/>
  <c r="K12" i="3"/>
  <c r="J12" i="3"/>
  <c r="J15" i="3"/>
  <c r="K15" i="3"/>
  <c r="I15" i="3"/>
  <c r="I17" i="3"/>
  <c r="K17" i="3"/>
  <c r="J17" i="3"/>
</calcChain>
</file>

<file path=xl/sharedStrings.xml><?xml version="1.0" encoding="utf-8"?>
<sst xmlns="http://schemas.openxmlformats.org/spreadsheetml/2006/main" count="211" uniqueCount="100">
  <si>
    <t>Desired Macros:</t>
  </si>
  <si>
    <t>Total Calories:</t>
  </si>
  <si>
    <t>Protein:</t>
  </si>
  <si>
    <t>g</t>
  </si>
  <si>
    <t>Fats:</t>
  </si>
  <si>
    <t>Carbs:</t>
  </si>
  <si>
    <t>or</t>
  </si>
  <si>
    <t>Higher Carb</t>
  </si>
  <si>
    <t>Moderate Carb</t>
  </si>
  <si>
    <t>Meals:</t>
  </si>
  <si>
    <t>Food</t>
  </si>
  <si>
    <t>Protein</t>
  </si>
  <si>
    <t>Fats</t>
  </si>
  <si>
    <t>Carbs</t>
  </si>
  <si>
    <t>Sheet Pan Chicken Fajitas</t>
  </si>
  <si>
    <t>Calories</t>
  </si>
  <si>
    <t>Cholesterol (mg)</t>
  </si>
  <si>
    <t>Sodium (mg)</t>
  </si>
  <si>
    <t>Protein %</t>
  </si>
  <si>
    <t>Fats %</t>
  </si>
  <si>
    <t>Carbs %</t>
  </si>
  <si>
    <t>Cajun Chicken Alfredo</t>
  </si>
  <si>
    <t>Cajun Chicken Fettucini</t>
  </si>
  <si>
    <t>Easy Santa Fe Chicken Recipe</t>
  </si>
  <si>
    <t>Pat's Baked Beans</t>
  </si>
  <si>
    <t>Slow-Cooker Chunky Chicken Chili</t>
  </si>
  <si>
    <t>Food 1:</t>
  </si>
  <si>
    <t>Food 2:</t>
  </si>
  <si>
    <t>Food 1 Servings:</t>
  </si>
  <si>
    <t>Food 2 Servings:</t>
  </si>
  <si>
    <t>Info:</t>
  </si>
  <si>
    <t>Macros and Portions:</t>
  </si>
  <si>
    <t>Consumed:</t>
  </si>
  <si>
    <t>Remaining:</t>
  </si>
  <si>
    <t>Macro Selection:</t>
  </si>
  <si>
    <t>High Carb</t>
  </si>
  <si>
    <t>Low Carb</t>
  </si>
  <si>
    <t>Goal:</t>
  </si>
  <si>
    <t>?</t>
  </si>
  <si>
    <t>Current Percentages:</t>
  </si>
  <si>
    <t>Current:</t>
  </si>
  <si>
    <t>1.) Select Foods</t>
  </si>
  <si>
    <t>&lt; - REMAINING MACROS</t>
  </si>
  <si>
    <t>&lt; - CURRENT PERCENTAGES</t>
  </si>
  <si>
    <t>2.) Use Solver to determine servings.</t>
  </si>
  <si>
    <t>High Carb, low fat foods:</t>
  </si>
  <si>
    <t>High Protein, low fat foods:</t>
  </si>
  <si>
    <t>oatmeal</t>
  </si>
  <si>
    <t>whole grain pasta</t>
  </si>
  <si>
    <t>whole grain bread</t>
  </si>
  <si>
    <t>quinoa</t>
  </si>
  <si>
    <t>barley</t>
  </si>
  <si>
    <t>rye</t>
  </si>
  <si>
    <t>lean meats</t>
  </si>
  <si>
    <t>seafood</t>
  </si>
  <si>
    <t>beans</t>
  </si>
  <si>
    <t>soy</t>
  </si>
  <si>
    <t>eggs</t>
  </si>
  <si>
    <t>nuts and seeds</t>
  </si>
  <si>
    <t>protein drink</t>
  </si>
  <si>
    <t>Add meal?</t>
  </si>
  <si>
    <t>Servings</t>
  </si>
  <si>
    <t>Week</t>
  </si>
  <si>
    <t>Distance</t>
  </si>
  <si>
    <t>&lt; - Minimize</t>
  </si>
  <si>
    <t>Servings per Recipe</t>
  </si>
  <si>
    <t>Link</t>
  </si>
  <si>
    <t>https://www.allrecipes.com/recipe/255038/sheet-pan-chicken-fajitas/</t>
  </si>
  <si>
    <t>https://www.bettycrocker.com/recipes/cajun-chicken-fettuccine/5f2b9fbe-0041-4dd0-8b42-8b1695f2aad2</t>
  </si>
  <si>
    <t>https://tasty.co/recipe/cajun-chicken-alfredo</t>
  </si>
  <si>
    <t>Quinoa</t>
  </si>
  <si>
    <t>Serving Size</t>
  </si>
  <si>
    <t>.5 cup</t>
  </si>
  <si>
    <t>Lentils</t>
  </si>
  <si>
    <t>.25 cup</t>
  </si>
  <si>
    <t>1 cake</t>
  </si>
  <si>
    <t>Whole Grain Brown Rice Cake, Plain</t>
  </si>
  <si>
    <t>Nutella (Hazelnut Spread with Cocoa)</t>
  </si>
  <si>
    <t>2 tbsp</t>
  </si>
  <si>
    <t>Greek Yogurt, Non-Fat Plain</t>
  </si>
  <si>
    <t>.75 cup</t>
  </si>
  <si>
    <t>Publix Chicken Tender</t>
  </si>
  <si>
    <t>1 tender</t>
  </si>
  <si>
    <t>Vegetarian Lentil Soup</t>
  </si>
  <si>
    <t>1 cup</t>
  </si>
  <si>
    <t>Allrecipes.com Lentil Soup</t>
  </si>
  <si>
    <t>1.5 cups</t>
  </si>
  <si>
    <t>Distance from:</t>
  </si>
  <si>
    <t>&lt;- Minimize</t>
  </si>
  <si>
    <t>Dave's Killer Bread</t>
  </si>
  <si>
    <t>1 slice</t>
  </si>
  <si>
    <t>Oatmeal</t>
  </si>
  <si>
    <t>Pork Chop</t>
  </si>
  <si>
    <t>4 oz</t>
  </si>
  <si>
    <t>Mashed Potatoes and Gravy</t>
  </si>
  <si>
    <t>Green Beans</t>
  </si>
  <si>
    <t>Artisan Bread</t>
  </si>
  <si>
    <t>1 slice (2 oz)</t>
  </si>
  <si>
    <t>Added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</si>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</sst>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rgb="FF1E1E1E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4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2" fillId="5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2" fillId="5" borderId="5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8" fillId="6" borderId="8" xfId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1" applyNumberFormat="1" applyFont="1" applyFill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420A5F-0AE0-4C84-BFBE-3C104FD693E1}" name="Table1" displayName="Table1" ref="A41:B48" totalsRowShown="0" headerRowDxfId="3" headerRowBorderDxfId="2">
  <autoFilter ref="A41:B48" xr:uid="{00420A5F-0AE0-4C84-BFBE-3C104FD693E1}"/>
  <tableColumns count="2">
    <tableColumn id="1" xr3:uid="{699C2696-951F-4C7E-93B7-C15EDDC0A33A}" name="High Carb, low fat foods:" dataDxfId="1"/>
    <tableColumn id="2" xr3:uid="{A163A7F0-819A-45A0-9F58-80AEFE1F5FF3}" name="High Protein, low fat foods: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1FAE-6D2B-4CD1-B24F-0CB5043B25CE}">
  <dimension ref="B3:U35"/>
  <sheetViews>
    <sheetView topLeftCell="D1" zoomScale="88" workbookViewId="0">
      <selection activeCell="T25" sqref="T25"/>
    </sheetView>
  </sheetViews>
  <sheetFormatPr defaultRowHeight="14.4" x14ac:dyDescent="0.55000000000000004"/>
  <cols>
    <col min="1" max="1" width="8.83984375" style="3"/>
    <col min="2" max="2" width="20.68359375" style="3" bestFit="1" customWidth="1"/>
    <col min="3" max="4" width="8.83984375" style="3"/>
    <col min="5" max="5" width="8.83984375" style="26"/>
    <col min="6" max="8" width="8.83984375" style="3"/>
    <col min="9" max="9" width="30.20703125" style="3" bestFit="1" customWidth="1"/>
    <col min="10" max="13" width="8.83984375" style="3"/>
    <col min="14" max="14" width="13.734375" style="3" bestFit="1" customWidth="1"/>
    <col min="15" max="15" width="10.68359375" style="3" bestFit="1" customWidth="1"/>
    <col min="16" max="18" width="8.83984375" style="4"/>
    <col min="19" max="19" width="15.89453125" style="3" bestFit="1" customWidth="1"/>
    <col min="20" max="20" width="15.89453125" style="3" customWidth="1"/>
    <col min="21" max="21" width="86.15625" style="3" bestFit="1" customWidth="1"/>
    <col min="22" max="16384" width="8.83984375" style="3"/>
  </cols>
  <sheetData>
    <row r="3" spans="2:21" x14ac:dyDescent="0.55000000000000004">
      <c r="B3" s="25" t="s">
        <v>0</v>
      </c>
      <c r="I3" s="25" t="s">
        <v>9</v>
      </c>
    </row>
    <row r="4" spans="2:21" x14ac:dyDescent="0.55000000000000004">
      <c r="B4" s="25"/>
    </row>
    <row r="5" spans="2:21" x14ac:dyDescent="0.55000000000000004">
      <c r="B5" s="10" t="s">
        <v>7</v>
      </c>
      <c r="H5" s="38" t="s">
        <v>62</v>
      </c>
      <c r="I5" s="27" t="s">
        <v>10</v>
      </c>
      <c r="J5" s="28" t="s">
        <v>15</v>
      </c>
      <c r="K5" s="27" t="s">
        <v>11</v>
      </c>
      <c r="L5" s="27" t="s">
        <v>12</v>
      </c>
      <c r="M5" s="27" t="s">
        <v>13</v>
      </c>
      <c r="N5" s="27" t="s">
        <v>16</v>
      </c>
      <c r="O5" s="27" t="s">
        <v>17</v>
      </c>
      <c r="P5" s="29" t="s">
        <v>18</v>
      </c>
      <c r="Q5" s="30" t="s">
        <v>19</v>
      </c>
      <c r="R5" s="31" t="s">
        <v>20</v>
      </c>
      <c r="S5" s="31" t="s">
        <v>65</v>
      </c>
      <c r="T5" s="31" t="s">
        <v>71</v>
      </c>
      <c r="U5" s="36" t="s">
        <v>66</v>
      </c>
    </row>
    <row r="6" spans="2:21" x14ac:dyDescent="0.55000000000000004">
      <c r="B6" s="1" t="s">
        <v>1</v>
      </c>
      <c r="C6" s="32">
        <v>3014</v>
      </c>
      <c r="D6" s="1"/>
      <c r="H6" s="39">
        <v>44697</v>
      </c>
      <c r="I6" s="3" t="s">
        <v>21</v>
      </c>
      <c r="J6" s="23">
        <v>1480</v>
      </c>
      <c r="K6" s="3">
        <v>64</v>
      </c>
      <c r="L6" s="3">
        <v>85</v>
      </c>
      <c r="M6" s="3">
        <v>128</v>
      </c>
      <c r="P6" s="33">
        <f t="shared" ref="P6:R25" si="0">K6/SUM($K6:$M6)</f>
        <v>0.23104693140794225</v>
      </c>
      <c r="Q6" s="33">
        <f t="shared" si="0"/>
        <v>0.30685920577617326</v>
      </c>
      <c r="R6" s="33">
        <f t="shared" si="0"/>
        <v>0.46209386281588449</v>
      </c>
      <c r="S6" s="34">
        <v>4</v>
      </c>
      <c r="T6" s="23"/>
      <c r="U6" s="23" t="s">
        <v>69</v>
      </c>
    </row>
    <row r="7" spans="2:21" x14ac:dyDescent="0.55000000000000004">
      <c r="B7" s="1" t="s">
        <v>2</v>
      </c>
      <c r="C7" s="1">
        <v>188</v>
      </c>
      <c r="D7" s="1" t="s">
        <v>3</v>
      </c>
      <c r="E7" s="26">
        <v>0.3</v>
      </c>
      <c r="H7" s="39">
        <v>44697</v>
      </c>
      <c r="I7" s="40" t="s">
        <v>22</v>
      </c>
      <c r="J7" s="23">
        <v>350</v>
      </c>
      <c r="K7" s="3">
        <v>24</v>
      </c>
      <c r="L7" s="3">
        <v>11</v>
      </c>
      <c r="M7" s="3">
        <v>37</v>
      </c>
      <c r="P7" s="33">
        <f t="shared" si="0"/>
        <v>0.33333333333333331</v>
      </c>
      <c r="Q7" s="33">
        <f t="shared" si="0"/>
        <v>0.15277777777777779</v>
      </c>
      <c r="R7" s="33">
        <f t="shared" si="0"/>
        <v>0.51388888888888884</v>
      </c>
      <c r="S7" s="23">
        <v>6</v>
      </c>
      <c r="T7" s="23"/>
      <c r="U7" s="23" t="s">
        <v>68</v>
      </c>
    </row>
    <row r="8" spans="2:21" x14ac:dyDescent="0.55000000000000004">
      <c r="B8" s="1" t="s">
        <v>4</v>
      </c>
      <c r="C8" s="1">
        <v>56</v>
      </c>
      <c r="D8" s="1" t="s">
        <v>3</v>
      </c>
      <c r="E8" s="26">
        <v>0.2</v>
      </c>
      <c r="H8" s="39">
        <v>44697</v>
      </c>
      <c r="I8" s="3" t="s">
        <v>23</v>
      </c>
      <c r="J8" s="23">
        <v>339</v>
      </c>
      <c r="K8" s="3">
        <v>15</v>
      </c>
      <c r="L8" s="3">
        <v>10</v>
      </c>
      <c r="M8" s="3">
        <v>43</v>
      </c>
      <c r="N8" s="3">
        <v>46</v>
      </c>
      <c r="O8" s="3">
        <v>744</v>
      </c>
      <c r="P8" s="33">
        <f t="shared" si="0"/>
        <v>0.22058823529411764</v>
      </c>
      <c r="Q8" s="33">
        <f t="shared" si="0"/>
        <v>0.14705882352941177</v>
      </c>
      <c r="R8" s="33">
        <f t="shared" si="0"/>
        <v>0.63235294117647056</v>
      </c>
      <c r="S8" s="23">
        <v>4</v>
      </c>
      <c r="T8" s="23"/>
      <c r="U8" s="23"/>
    </row>
    <row r="9" spans="2:21" x14ac:dyDescent="0.55000000000000004">
      <c r="B9" s="1" t="s">
        <v>5</v>
      </c>
      <c r="C9" s="1">
        <v>314</v>
      </c>
      <c r="D9" s="1" t="s">
        <v>3</v>
      </c>
      <c r="E9" s="26">
        <v>0.5</v>
      </c>
      <c r="H9" s="39">
        <v>44697</v>
      </c>
      <c r="I9" s="40" t="s">
        <v>24</v>
      </c>
      <c r="J9" s="23">
        <v>399</v>
      </c>
      <c r="K9" s="3">
        <v>14.1</v>
      </c>
      <c r="L9" s="3">
        <v>9.1</v>
      </c>
      <c r="M9" s="3">
        <v>68</v>
      </c>
      <c r="N9" s="3">
        <v>12.5</v>
      </c>
      <c r="O9" s="3">
        <v>949.9</v>
      </c>
      <c r="P9" s="33">
        <f t="shared" si="0"/>
        <v>0.15460526315789472</v>
      </c>
      <c r="Q9" s="33">
        <f t="shared" si="0"/>
        <v>9.9780701754385956E-2</v>
      </c>
      <c r="R9" s="33">
        <f t="shared" si="0"/>
        <v>0.74561403508771928</v>
      </c>
      <c r="S9" s="23">
        <v>10</v>
      </c>
      <c r="T9" s="23"/>
      <c r="U9" s="23"/>
    </row>
    <row r="10" spans="2:21" x14ac:dyDescent="0.55000000000000004">
      <c r="H10" s="39">
        <v>44697</v>
      </c>
      <c r="I10" s="3" t="s">
        <v>14</v>
      </c>
      <c r="J10" s="23">
        <v>200</v>
      </c>
      <c r="K10" s="3">
        <v>18.600000000000001</v>
      </c>
      <c r="L10" s="3">
        <v>11.4</v>
      </c>
      <c r="M10" s="3">
        <v>5.7</v>
      </c>
      <c r="N10" s="3">
        <v>48.5</v>
      </c>
      <c r="O10" s="3">
        <v>197.8</v>
      </c>
      <c r="P10" s="33">
        <f t="shared" si="0"/>
        <v>0.52100840336134457</v>
      </c>
      <c r="Q10" s="33">
        <f t="shared" si="0"/>
        <v>0.31932773109243695</v>
      </c>
      <c r="R10" s="33">
        <f t="shared" si="0"/>
        <v>0.15966386554621848</v>
      </c>
      <c r="S10" s="23">
        <v>8</v>
      </c>
      <c r="T10" s="23"/>
      <c r="U10" s="23" t="s">
        <v>67</v>
      </c>
    </row>
    <row r="11" spans="2:21" x14ac:dyDescent="0.55000000000000004">
      <c r="B11" s="3" t="s">
        <v>6</v>
      </c>
      <c r="H11" s="39">
        <v>44697</v>
      </c>
      <c r="I11" s="40" t="s">
        <v>25</v>
      </c>
      <c r="J11" s="23">
        <v>310</v>
      </c>
      <c r="K11" s="3">
        <v>26</v>
      </c>
      <c r="L11" s="3">
        <v>10</v>
      </c>
      <c r="M11" s="3">
        <v>31</v>
      </c>
      <c r="N11" s="3">
        <v>90</v>
      </c>
      <c r="O11" s="3">
        <v>650</v>
      </c>
      <c r="P11" s="33">
        <f t="shared" si="0"/>
        <v>0.38805970149253732</v>
      </c>
      <c r="Q11" s="33">
        <f t="shared" si="0"/>
        <v>0.14925373134328357</v>
      </c>
      <c r="R11" s="33">
        <f t="shared" si="0"/>
        <v>0.46268656716417911</v>
      </c>
      <c r="S11" s="23">
        <v>8</v>
      </c>
      <c r="T11" s="23"/>
      <c r="U11" s="23"/>
    </row>
    <row r="12" spans="2:21" x14ac:dyDescent="0.55000000000000004">
      <c r="H12" s="37"/>
      <c r="I12" s="3" t="s">
        <v>70</v>
      </c>
      <c r="J12" s="23">
        <v>313</v>
      </c>
      <c r="K12" s="3">
        <v>12</v>
      </c>
      <c r="L12" s="3">
        <v>5.2</v>
      </c>
      <c r="M12" s="3">
        <v>54.5</v>
      </c>
      <c r="P12" s="33">
        <f t="shared" si="0"/>
        <v>0.16736401673640167</v>
      </c>
      <c r="Q12" s="33">
        <f t="shared" si="0"/>
        <v>7.252440725244072E-2</v>
      </c>
      <c r="R12" s="33">
        <f t="shared" si="0"/>
        <v>0.76011157601115753</v>
      </c>
      <c r="S12" s="23"/>
      <c r="T12" s="23" t="s">
        <v>72</v>
      </c>
      <c r="U12" s="23"/>
    </row>
    <row r="13" spans="2:21" x14ac:dyDescent="0.55000000000000004">
      <c r="B13" s="10" t="s">
        <v>8</v>
      </c>
      <c r="H13" s="37"/>
      <c r="I13" s="3" t="s">
        <v>73</v>
      </c>
      <c r="J13" s="23">
        <v>70</v>
      </c>
      <c r="K13" s="3">
        <v>8</v>
      </c>
      <c r="L13" s="3">
        <v>0</v>
      </c>
      <c r="M13" s="3">
        <v>19</v>
      </c>
      <c r="P13" s="33">
        <f t="shared" si="0"/>
        <v>0.29629629629629628</v>
      </c>
      <c r="Q13" s="33">
        <f t="shared" si="0"/>
        <v>0</v>
      </c>
      <c r="R13" s="33">
        <f t="shared" si="0"/>
        <v>0.70370370370370372</v>
      </c>
      <c r="S13" s="23"/>
      <c r="T13" s="23" t="s">
        <v>74</v>
      </c>
      <c r="U13" s="23"/>
    </row>
    <row r="14" spans="2:21" x14ac:dyDescent="0.55000000000000004">
      <c r="B14" s="1" t="s">
        <v>1</v>
      </c>
      <c r="C14" s="32">
        <v>3014</v>
      </c>
      <c r="D14" s="1"/>
      <c r="H14" s="37"/>
      <c r="I14" s="3" t="s">
        <v>76</v>
      </c>
      <c r="J14" s="23">
        <v>35</v>
      </c>
      <c r="K14" s="3">
        <v>0.5</v>
      </c>
      <c r="L14" s="3">
        <v>0</v>
      </c>
      <c r="M14" s="3">
        <v>7</v>
      </c>
      <c r="P14" s="33">
        <f t="shared" si="0"/>
        <v>6.6666666666666666E-2</v>
      </c>
      <c r="Q14" s="33">
        <f t="shared" si="0"/>
        <v>0</v>
      </c>
      <c r="R14" s="33">
        <f t="shared" si="0"/>
        <v>0.93333333333333335</v>
      </c>
      <c r="S14" s="23"/>
      <c r="T14" s="23" t="s">
        <v>75</v>
      </c>
      <c r="U14" s="23"/>
    </row>
    <row r="15" spans="2:21" x14ac:dyDescent="0.55000000000000004">
      <c r="B15" s="1" t="s">
        <v>2</v>
      </c>
      <c r="C15" s="1">
        <v>188</v>
      </c>
      <c r="D15" s="1" t="s">
        <v>3</v>
      </c>
      <c r="E15" s="26">
        <v>0.3</v>
      </c>
      <c r="H15" s="37"/>
      <c r="I15" s="3" t="s">
        <v>77</v>
      </c>
      <c r="J15" s="23">
        <v>200</v>
      </c>
      <c r="K15" s="3">
        <v>2</v>
      </c>
      <c r="L15" s="3">
        <v>11</v>
      </c>
      <c r="M15" s="3">
        <v>22</v>
      </c>
      <c r="P15" s="33">
        <f t="shared" si="0"/>
        <v>5.7142857142857141E-2</v>
      </c>
      <c r="Q15" s="33">
        <f t="shared" si="0"/>
        <v>0.31428571428571428</v>
      </c>
      <c r="R15" s="33">
        <f t="shared" si="0"/>
        <v>0.62857142857142856</v>
      </c>
      <c r="S15" s="23"/>
      <c r="T15" s="23" t="s">
        <v>78</v>
      </c>
      <c r="U15" s="23"/>
    </row>
    <row r="16" spans="2:21" x14ac:dyDescent="0.55000000000000004">
      <c r="B16" s="1" t="s">
        <v>4</v>
      </c>
      <c r="C16" s="1">
        <v>98</v>
      </c>
      <c r="D16" s="1" t="s">
        <v>3</v>
      </c>
      <c r="E16" s="26">
        <v>0.3</v>
      </c>
      <c r="H16" s="37"/>
      <c r="I16" s="3" t="s">
        <v>79</v>
      </c>
      <c r="J16" s="23">
        <v>90</v>
      </c>
      <c r="K16" s="3">
        <v>16</v>
      </c>
      <c r="L16" s="3">
        <v>0</v>
      </c>
      <c r="M16" s="3">
        <v>6</v>
      </c>
      <c r="P16" s="33">
        <f t="shared" si="0"/>
        <v>0.72727272727272729</v>
      </c>
      <c r="Q16" s="33">
        <f t="shared" si="0"/>
        <v>0</v>
      </c>
      <c r="R16" s="33">
        <f t="shared" si="0"/>
        <v>0.27272727272727271</v>
      </c>
      <c r="S16" s="23"/>
      <c r="T16" s="23" t="s">
        <v>80</v>
      </c>
      <c r="U16" s="23"/>
    </row>
    <row r="17" spans="2:21" x14ac:dyDescent="0.55000000000000004">
      <c r="B17" s="1" t="s">
        <v>5</v>
      </c>
      <c r="C17" s="1">
        <v>220</v>
      </c>
      <c r="D17" s="1" t="s">
        <v>3</v>
      </c>
      <c r="E17" s="26">
        <v>0.35</v>
      </c>
      <c r="H17" s="37"/>
      <c r="I17" s="3" t="s">
        <v>81</v>
      </c>
      <c r="J17" s="23">
        <v>220</v>
      </c>
      <c r="K17" s="3">
        <v>23</v>
      </c>
      <c r="L17" s="3">
        <v>9</v>
      </c>
      <c r="M17" s="3">
        <v>0</v>
      </c>
      <c r="P17" s="33">
        <f t="shared" si="0"/>
        <v>0.71875</v>
      </c>
      <c r="Q17" s="33">
        <f t="shared" si="0"/>
        <v>0.28125</v>
      </c>
      <c r="R17" s="33">
        <f t="shared" si="0"/>
        <v>0</v>
      </c>
      <c r="S17" s="23"/>
      <c r="T17" s="23" t="s">
        <v>82</v>
      </c>
      <c r="U17" s="23"/>
    </row>
    <row r="18" spans="2:21" x14ac:dyDescent="0.55000000000000004">
      <c r="H18" s="37"/>
      <c r="I18" s="3" t="s">
        <v>83</v>
      </c>
      <c r="J18" s="23">
        <v>366</v>
      </c>
      <c r="K18" s="3">
        <v>15</v>
      </c>
      <c r="L18" s="3">
        <v>15</v>
      </c>
      <c r="M18" s="3">
        <v>38</v>
      </c>
      <c r="P18" s="33">
        <f t="shared" si="0"/>
        <v>0.22058823529411764</v>
      </c>
      <c r="Q18" s="33">
        <f t="shared" si="0"/>
        <v>0.22058823529411764</v>
      </c>
      <c r="R18" s="33">
        <f t="shared" si="0"/>
        <v>0.55882352941176472</v>
      </c>
      <c r="S18" s="23"/>
      <c r="T18" s="23" t="s">
        <v>84</v>
      </c>
      <c r="U18" s="23"/>
    </row>
    <row r="19" spans="2:21" x14ac:dyDescent="0.55000000000000004">
      <c r="H19" s="37"/>
      <c r="I19" s="3" t="s">
        <v>85</v>
      </c>
      <c r="J19" s="23">
        <v>349</v>
      </c>
      <c r="K19" s="3">
        <v>18.3</v>
      </c>
      <c r="L19" s="3">
        <v>10</v>
      </c>
      <c r="M19" s="3">
        <v>48.2</v>
      </c>
      <c r="P19" s="33">
        <f t="shared" si="0"/>
        <v>0.23921568627450981</v>
      </c>
      <c r="Q19" s="33">
        <f t="shared" si="0"/>
        <v>0.13071895424836602</v>
      </c>
      <c r="R19" s="33">
        <f t="shared" si="0"/>
        <v>0.63006535947712417</v>
      </c>
      <c r="S19" s="23"/>
      <c r="T19" s="23" t="s">
        <v>86</v>
      </c>
      <c r="U19" s="23"/>
    </row>
    <row r="20" spans="2:21" x14ac:dyDescent="0.55000000000000004">
      <c r="H20" s="37"/>
      <c r="I20" s="3" t="s">
        <v>89</v>
      </c>
      <c r="J20" s="23">
        <v>120</v>
      </c>
      <c r="K20" s="3">
        <v>5</v>
      </c>
      <c r="L20" s="3">
        <v>2</v>
      </c>
      <c r="M20" s="3">
        <v>22</v>
      </c>
      <c r="P20" s="33">
        <f t="shared" si="0"/>
        <v>0.17241379310344829</v>
      </c>
      <c r="Q20" s="33">
        <f t="shared" si="0"/>
        <v>6.8965517241379309E-2</v>
      </c>
      <c r="R20" s="33">
        <f t="shared" si="0"/>
        <v>0.75862068965517238</v>
      </c>
      <c r="S20" s="23"/>
      <c r="T20" s="23" t="s">
        <v>90</v>
      </c>
      <c r="U20" s="23"/>
    </row>
    <row r="21" spans="2:21" x14ac:dyDescent="0.55000000000000004">
      <c r="H21" s="37"/>
      <c r="I21" s="3" t="s">
        <v>91</v>
      </c>
      <c r="J21" s="23">
        <v>150</v>
      </c>
      <c r="K21" s="3">
        <v>5</v>
      </c>
      <c r="L21" s="3">
        <v>3</v>
      </c>
      <c r="M21" s="3">
        <v>27</v>
      </c>
      <c r="P21" s="33">
        <f t="shared" si="0"/>
        <v>0.14285714285714285</v>
      </c>
      <c r="Q21" s="33">
        <f t="shared" si="0"/>
        <v>8.5714285714285715E-2</v>
      </c>
      <c r="R21" s="33">
        <f t="shared" si="0"/>
        <v>0.77142857142857146</v>
      </c>
      <c r="S21" s="23"/>
      <c r="T21" s="23" t="s">
        <v>72</v>
      </c>
      <c r="U21" s="23"/>
    </row>
    <row r="22" spans="2:21" x14ac:dyDescent="0.55000000000000004">
      <c r="H22" s="37"/>
      <c r="I22" s="3" t="s">
        <v>92</v>
      </c>
      <c r="J22" s="23">
        <v>130</v>
      </c>
      <c r="K22" s="3">
        <v>23</v>
      </c>
      <c r="L22" s="3">
        <v>4.5</v>
      </c>
      <c r="M22" s="3">
        <v>1</v>
      </c>
      <c r="P22" s="33">
        <f t="shared" si="0"/>
        <v>0.80701754385964908</v>
      </c>
      <c r="Q22" s="33">
        <f t="shared" si="0"/>
        <v>0.15789473684210525</v>
      </c>
      <c r="R22" s="33">
        <f t="shared" si="0"/>
        <v>3.5087719298245612E-2</v>
      </c>
      <c r="S22" s="23"/>
      <c r="T22" s="23" t="s">
        <v>93</v>
      </c>
      <c r="U22" s="23"/>
    </row>
    <row r="23" spans="2:21" x14ac:dyDescent="0.55000000000000004">
      <c r="H23" s="37"/>
      <c r="I23" s="3" t="s">
        <v>94</v>
      </c>
      <c r="J23" s="23">
        <v>132</v>
      </c>
      <c r="K23" s="3">
        <v>2.2000000000000002</v>
      </c>
      <c r="L23" s="3">
        <v>5.0999999999999996</v>
      </c>
      <c r="M23" s="3">
        <v>19.3</v>
      </c>
      <c r="P23" s="33">
        <f t="shared" si="0"/>
        <v>8.2706766917293228E-2</v>
      </c>
      <c r="Q23" s="33">
        <f t="shared" si="0"/>
        <v>0.19172932330827067</v>
      </c>
      <c r="R23" s="33">
        <f t="shared" si="0"/>
        <v>0.72556390977443608</v>
      </c>
      <c r="S23" s="23"/>
      <c r="T23" s="23" t="s">
        <v>72</v>
      </c>
      <c r="U23" s="23"/>
    </row>
    <row r="24" spans="2:21" x14ac:dyDescent="0.55000000000000004">
      <c r="H24" s="37"/>
      <c r="I24" s="3" t="s">
        <v>95</v>
      </c>
      <c r="J24" s="23">
        <v>31</v>
      </c>
      <c r="K24" s="3">
        <v>1.8</v>
      </c>
      <c r="L24" s="3">
        <v>0.2</v>
      </c>
      <c r="M24" s="3">
        <v>7</v>
      </c>
      <c r="P24" s="33">
        <f t="shared" si="0"/>
        <v>0.2</v>
      </c>
      <c r="Q24" s="33">
        <f t="shared" si="0"/>
        <v>2.2222222222222223E-2</v>
      </c>
      <c r="R24" s="33">
        <f t="shared" si="0"/>
        <v>0.77777777777777779</v>
      </c>
      <c r="S24" s="23"/>
      <c r="T24" s="23" t="s">
        <v>72</v>
      </c>
      <c r="U24" s="23"/>
    </row>
    <row r="25" spans="2:21" x14ac:dyDescent="0.55000000000000004">
      <c r="H25" s="37"/>
      <c r="I25" s="3" t="s">
        <v>96</v>
      </c>
      <c r="J25" s="23">
        <v>140</v>
      </c>
      <c r="K25" s="3">
        <v>5</v>
      </c>
      <c r="L25" s="3">
        <v>1</v>
      </c>
      <c r="M25" s="3">
        <v>29</v>
      </c>
      <c r="P25" s="33">
        <f t="shared" si="0"/>
        <v>0.14285714285714285</v>
      </c>
      <c r="Q25" s="33">
        <f t="shared" si="0"/>
        <v>2.8571428571428571E-2</v>
      </c>
      <c r="R25" s="33">
        <f t="shared" si="0"/>
        <v>0.82857142857142863</v>
      </c>
      <c r="S25" s="23"/>
      <c r="T25" s="23" t="s">
        <v>97</v>
      </c>
      <c r="U25" s="23"/>
    </row>
    <row r="26" spans="2:21" x14ac:dyDescent="0.55000000000000004">
      <c r="H26" s="37"/>
      <c r="J26" s="23"/>
      <c r="P26" s="33"/>
      <c r="Q26" s="33"/>
      <c r="R26" s="33"/>
      <c r="S26" s="23"/>
      <c r="T26" s="23"/>
      <c r="U26" s="23"/>
    </row>
    <row r="27" spans="2:21" x14ac:dyDescent="0.55000000000000004">
      <c r="H27" s="37"/>
      <c r="J27" s="23"/>
      <c r="P27" s="33"/>
      <c r="Q27" s="33"/>
      <c r="R27" s="33"/>
      <c r="S27" s="23"/>
      <c r="T27" s="23"/>
      <c r="U27" s="23"/>
    </row>
    <row r="33" spans="3:18" x14ac:dyDescent="0.55000000000000004">
      <c r="D33" s="26"/>
      <c r="E33" s="3"/>
      <c r="O33" s="4"/>
      <c r="R33" s="3"/>
    </row>
    <row r="34" spans="3:18" x14ac:dyDescent="0.55000000000000004">
      <c r="C34" s="35"/>
      <c r="D34" s="26"/>
      <c r="E34" s="3"/>
      <c r="O34" s="4"/>
      <c r="R34" s="3"/>
    </row>
    <row r="35" spans="3:18" x14ac:dyDescent="0.55000000000000004">
      <c r="E35" s="3"/>
      <c r="M35" s="4"/>
      <c r="N35" s="4"/>
      <c r="O35" s="4"/>
      <c r="P35" s="3"/>
      <c r="Q35" s="3"/>
      <c r="R35" s="3"/>
    </row>
  </sheetData>
  <autoFilter ref="H5:U5" xr:uid="{DE891FAE-6D2B-4CD1-B24F-0CB5043B25C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A26E-A5D5-4086-9535-CE4D53FD68CD}">
  <dimension ref="C3:M33"/>
  <sheetViews>
    <sheetView tabSelected="1" workbookViewId="0">
      <selection activeCell="L12" sqref="L12"/>
    </sheetView>
  </sheetViews>
  <sheetFormatPr defaultRowHeight="14.4" x14ac:dyDescent="0.55000000000000004"/>
  <cols>
    <col min="1" max="2" width="8.83984375" style="3"/>
    <col min="3" max="3" width="30.20703125" style="3" bestFit="1" customWidth="1"/>
    <col min="4" max="4" width="8.83984375" style="3"/>
    <col min="5" max="5" width="9.89453125" style="3" bestFit="1" customWidth="1"/>
    <col min="6" max="7" width="8.83984375" style="3"/>
    <col min="8" max="8" width="13.734375" style="3" bestFit="1" customWidth="1"/>
    <col min="9" max="9" width="10.68359375" style="3" bestFit="1" customWidth="1"/>
    <col min="10" max="16384" width="8.83984375" style="3"/>
  </cols>
  <sheetData>
    <row r="3" spans="3:13" x14ac:dyDescent="0.55000000000000004">
      <c r="C3" s="3" t="s">
        <v>10</v>
      </c>
      <c r="D3" s="28" t="s">
        <v>15</v>
      </c>
      <c r="E3" s="27" t="s">
        <v>11</v>
      </c>
      <c r="F3" s="27" t="s">
        <v>12</v>
      </c>
      <c r="G3" s="27" t="s">
        <v>13</v>
      </c>
      <c r="H3" s="27" t="s">
        <v>16</v>
      </c>
      <c r="I3" s="27" t="s">
        <v>17</v>
      </c>
      <c r="K3" s="35" t="s">
        <v>61</v>
      </c>
      <c r="L3" s="3" t="s">
        <v>98</v>
      </c>
      <c r="M3" s="3" t="s">
        <v>99</v>
      </c>
    </row>
    <row r="4" spans="3:13" x14ac:dyDescent="0.55000000000000004">
      <c r="C4" s="3" t="s">
        <v>85</v>
      </c>
      <c r="D4" s="5">
        <f>VLOOKUP($C4, 'Macros and Food Info'!$I$6:$R$35, 2, 0)</f>
        <v>349</v>
      </c>
      <c r="E4" s="5">
        <f>VLOOKUP($C4, 'Macros and Food Info'!$I$6:$R$35, 3, 0)</f>
        <v>18.3</v>
      </c>
      <c r="F4" s="5">
        <f>VLOOKUP($C4, 'Macros and Food Info'!$I$6:$R$35, 4, 0)</f>
        <v>10</v>
      </c>
      <c r="G4" s="5">
        <f>VLOOKUP($C4, 'Macros and Food Info'!$I$6:$R$35, 5, 0)</f>
        <v>48.2</v>
      </c>
      <c r="H4" s="5">
        <f>VLOOKUP($C4, 'Macros and Food Info'!$I$6:$R$35, 6, 0)</f>
        <v>0</v>
      </c>
      <c r="I4" s="5">
        <f>VLOOKUP($C4, 'Macros and Food Info'!$I$6:$R$35, 7, 0)</f>
        <v>0</v>
      </c>
      <c r="K4" s="17">
        <v>3</v>
      </c>
      <c r="L4" s="3">
        <v>3</v>
      </c>
      <c r="M4" s="3">
        <f>K4-L4</f>
        <v>0</v>
      </c>
    </row>
    <row r="5" spans="3:13" x14ac:dyDescent="0.55000000000000004">
      <c r="C5" s="3" t="s">
        <v>76</v>
      </c>
      <c r="D5" s="5">
        <f>VLOOKUP($C5, 'Macros and Food Info'!$I$6:$R$35, 2, 0)</f>
        <v>35</v>
      </c>
      <c r="E5" s="5">
        <f>VLOOKUP($C5, 'Macros and Food Info'!$I$6:$R$35, 3, 0)</f>
        <v>0.5</v>
      </c>
      <c r="F5" s="5">
        <f>VLOOKUP($C5, 'Macros and Food Info'!$I$6:$R$35, 4, 0)</f>
        <v>0</v>
      </c>
      <c r="G5" s="5">
        <f>VLOOKUP($C5, 'Macros and Food Info'!$I$6:$R$35, 5, 0)</f>
        <v>7</v>
      </c>
      <c r="H5" s="5">
        <f>VLOOKUP($C5, 'Macros and Food Info'!$I$6:$R$35, 6, 0)</f>
        <v>0</v>
      </c>
      <c r="I5" s="5">
        <f>VLOOKUP($C5, 'Macros and Food Info'!$I$6:$R$35, 7, 0)</f>
        <v>0</v>
      </c>
      <c r="K5" s="17">
        <v>2</v>
      </c>
      <c r="L5" s="3">
        <v>2</v>
      </c>
      <c r="M5" s="3">
        <f t="shared" ref="M5:M20" si="0">K5-L5</f>
        <v>0</v>
      </c>
    </row>
    <row r="6" spans="3:13" x14ac:dyDescent="0.55000000000000004">
      <c r="C6" s="3" t="s">
        <v>79</v>
      </c>
      <c r="D6" s="5">
        <f>VLOOKUP($C6, 'Macros and Food Info'!$I$6:$R$35, 2, 0)</f>
        <v>90</v>
      </c>
      <c r="E6" s="5">
        <f>VLOOKUP($C6, 'Macros and Food Info'!$I$6:$R$35, 3, 0)</f>
        <v>16</v>
      </c>
      <c r="F6" s="5">
        <f>VLOOKUP($C6, 'Macros and Food Info'!$I$6:$R$35, 4, 0)</f>
        <v>0</v>
      </c>
      <c r="G6" s="5">
        <f>VLOOKUP($C6, 'Macros and Food Info'!$I$6:$R$35, 5, 0)</f>
        <v>6</v>
      </c>
      <c r="H6" s="5">
        <f>VLOOKUP($C6, 'Macros and Food Info'!$I$6:$R$35, 6, 0)</f>
        <v>0</v>
      </c>
      <c r="I6" s="5">
        <f>VLOOKUP($C6, 'Macros and Food Info'!$I$6:$R$35, 7, 0)</f>
        <v>0</v>
      </c>
      <c r="K6" s="17">
        <v>1</v>
      </c>
      <c r="L6" s="3">
        <v>1</v>
      </c>
      <c r="M6" s="3">
        <f t="shared" si="0"/>
        <v>0</v>
      </c>
    </row>
    <row r="7" spans="3:13" x14ac:dyDescent="0.55000000000000004">
      <c r="C7" s="3" t="s">
        <v>89</v>
      </c>
      <c r="D7" s="5">
        <f>VLOOKUP($C7, 'Macros and Food Info'!$I$6:$R$35, 2, 0)</f>
        <v>120</v>
      </c>
      <c r="E7" s="5">
        <f>VLOOKUP($C7, 'Macros and Food Info'!$I$6:$R$35, 3, 0)</f>
        <v>5</v>
      </c>
      <c r="F7" s="5">
        <f>VLOOKUP($C7, 'Macros and Food Info'!$I$6:$R$35, 4, 0)</f>
        <v>2</v>
      </c>
      <c r="G7" s="5">
        <f>VLOOKUP($C7, 'Macros and Food Info'!$I$6:$R$35, 5, 0)</f>
        <v>22</v>
      </c>
      <c r="H7" s="5">
        <f>VLOOKUP($C7, 'Macros and Food Info'!$I$6:$R$35, 6, 0)</f>
        <v>0</v>
      </c>
      <c r="I7" s="5">
        <f>VLOOKUP($C7, 'Macros and Food Info'!$I$6:$R$35, 7, 0)</f>
        <v>0</v>
      </c>
      <c r="K7" s="17">
        <v>0</v>
      </c>
      <c r="M7" s="3">
        <f t="shared" si="0"/>
        <v>0</v>
      </c>
    </row>
    <row r="8" spans="3:13" x14ac:dyDescent="0.55000000000000004">
      <c r="C8" s="3" t="s">
        <v>77</v>
      </c>
      <c r="D8" s="5">
        <f>VLOOKUP($C8, 'Macros and Food Info'!$I$6:$R$35, 2, 0)</f>
        <v>200</v>
      </c>
      <c r="E8" s="5">
        <f>VLOOKUP($C8, 'Macros and Food Info'!$I$6:$R$35, 3, 0)</f>
        <v>2</v>
      </c>
      <c r="F8" s="5">
        <f>VLOOKUP($C8, 'Macros and Food Info'!$I$6:$R$35, 4, 0)</f>
        <v>11</v>
      </c>
      <c r="G8" s="5">
        <f>VLOOKUP($C8, 'Macros and Food Info'!$I$6:$R$35, 5, 0)</f>
        <v>22</v>
      </c>
      <c r="H8" s="5">
        <f>VLOOKUP($C8, 'Macros and Food Info'!$I$6:$R$35, 6, 0)</f>
        <v>0</v>
      </c>
      <c r="I8" s="5">
        <f>VLOOKUP($C8, 'Macros and Food Info'!$I$6:$R$35, 7, 0)</f>
        <v>0</v>
      </c>
      <c r="K8" s="17">
        <v>2</v>
      </c>
      <c r="L8" s="3">
        <v>2</v>
      </c>
      <c r="M8" s="3">
        <f t="shared" si="0"/>
        <v>0</v>
      </c>
    </row>
    <row r="9" spans="3:13" x14ac:dyDescent="0.55000000000000004">
      <c r="C9" s="3" t="s">
        <v>92</v>
      </c>
      <c r="D9" s="5">
        <f>VLOOKUP($C9, 'Macros and Food Info'!$I$6:$R$35, 2, 0)</f>
        <v>130</v>
      </c>
      <c r="E9" s="5">
        <f>VLOOKUP($C9, 'Macros and Food Info'!$I$6:$R$35, 3, 0)</f>
        <v>23</v>
      </c>
      <c r="F9" s="5">
        <f>VLOOKUP($C9, 'Macros and Food Info'!$I$6:$R$35, 4, 0)</f>
        <v>4.5</v>
      </c>
      <c r="G9" s="5">
        <f>VLOOKUP($C9, 'Macros and Food Info'!$I$6:$R$35, 5, 0)</f>
        <v>1</v>
      </c>
      <c r="H9" s="5">
        <f>VLOOKUP($C9, 'Macros and Food Info'!$I$6:$R$35, 6, 0)</f>
        <v>0</v>
      </c>
      <c r="I9" s="5">
        <f>VLOOKUP($C9, 'Macros and Food Info'!$I$6:$R$35, 7, 0)</f>
        <v>0</v>
      </c>
      <c r="K9" s="17">
        <v>2</v>
      </c>
      <c r="L9" s="3">
        <v>2</v>
      </c>
      <c r="M9" s="3">
        <f t="shared" si="0"/>
        <v>0</v>
      </c>
    </row>
    <row r="10" spans="3:13" x14ac:dyDescent="0.55000000000000004">
      <c r="C10" s="3" t="s">
        <v>94</v>
      </c>
      <c r="D10" s="5">
        <f>VLOOKUP($C10, 'Macros and Food Info'!$I$6:$R$35, 2, 0)</f>
        <v>132</v>
      </c>
      <c r="E10" s="5">
        <f>VLOOKUP($C10, 'Macros and Food Info'!$I$6:$R$35, 3, 0)</f>
        <v>2.2000000000000002</v>
      </c>
      <c r="F10" s="5">
        <f>VLOOKUP($C10, 'Macros and Food Info'!$I$6:$R$35, 4, 0)</f>
        <v>5.0999999999999996</v>
      </c>
      <c r="G10" s="5">
        <f>VLOOKUP($C10, 'Macros and Food Info'!$I$6:$R$35, 5, 0)</f>
        <v>19.3</v>
      </c>
      <c r="H10" s="5">
        <f>VLOOKUP($C10, 'Macros and Food Info'!$I$6:$R$35, 6, 0)</f>
        <v>0</v>
      </c>
      <c r="I10" s="5">
        <f>VLOOKUP($C10, 'Macros and Food Info'!$I$6:$R$35, 7, 0)</f>
        <v>0</v>
      </c>
      <c r="K10" s="17">
        <v>1</v>
      </c>
      <c r="L10" s="3">
        <v>1</v>
      </c>
      <c r="M10" s="3">
        <f t="shared" si="0"/>
        <v>0</v>
      </c>
    </row>
    <row r="11" spans="3:13" x14ac:dyDescent="0.55000000000000004">
      <c r="C11" s="3" t="s">
        <v>95</v>
      </c>
      <c r="D11" s="5">
        <f>VLOOKUP($C11, 'Macros and Food Info'!$I$6:$R$35, 2, 0)</f>
        <v>31</v>
      </c>
      <c r="E11" s="5">
        <f>VLOOKUP($C11, 'Macros and Food Info'!$I$6:$R$35, 3, 0)</f>
        <v>1.8</v>
      </c>
      <c r="F11" s="5">
        <f>VLOOKUP($C11, 'Macros and Food Info'!$I$6:$R$35, 4, 0)</f>
        <v>0.2</v>
      </c>
      <c r="G11" s="5">
        <f>VLOOKUP($C11, 'Macros and Food Info'!$I$6:$R$35, 5, 0)</f>
        <v>7</v>
      </c>
      <c r="H11" s="5">
        <f>VLOOKUP($C11, 'Macros and Food Info'!$I$6:$R$35, 6, 0)</f>
        <v>0</v>
      </c>
      <c r="I11" s="5">
        <f>VLOOKUP($C11, 'Macros and Food Info'!$I$6:$R$35, 7, 0)</f>
        <v>0</v>
      </c>
      <c r="K11" s="17">
        <v>1</v>
      </c>
      <c r="L11" s="3">
        <v>1</v>
      </c>
      <c r="M11" s="3">
        <f t="shared" si="0"/>
        <v>0</v>
      </c>
    </row>
    <row r="12" spans="3:13" x14ac:dyDescent="0.55000000000000004">
      <c r="C12" s="3" t="s">
        <v>96</v>
      </c>
      <c r="D12" s="5">
        <f>VLOOKUP($C12, 'Macros and Food Info'!$I$6:$R$35, 2, 0)</f>
        <v>140</v>
      </c>
      <c r="E12" s="5">
        <f>VLOOKUP($C12, 'Macros and Food Info'!$I$6:$R$35, 3, 0)</f>
        <v>5</v>
      </c>
      <c r="F12" s="5">
        <f>VLOOKUP($C12, 'Macros and Food Info'!$I$6:$R$35, 4, 0)</f>
        <v>1</v>
      </c>
      <c r="G12" s="5">
        <f>VLOOKUP($C12, 'Macros and Food Info'!$I$6:$R$35, 5, 0)</f>
        <v>29</v>
      </c>
      <c r="H12" s="5">
        <f>VLOOKUP($C12, 'Macros and Food Info'!$I$6:$R$35, 6, 0)</f>
        <v>0</v>
      </c>
      <c r="I12" s="5">
        <f>VLOOKUP($C12, 'Macros and Food Info'!$I$6:$R$35, 7, 0)</f>
        <v>0</v>
      </c>
      <c r="K12" s="17">
        <v>1</v>
      </c>
      <c r="L12" s="3">
        <v>1</v>
      </c>
      <c r="M12" s="3">
        <f t="shared" si="0"/>
        <v>0</v>
      </c>
    </row>
    <row r="13" spans="3:13" x14ac:dyDescent="0.55000000000000004">
      <c r="C13" s="3" t="s">
        <v>70</v>
      </c>
      <c r="D13" s="5">
        <f>VLOOKUP($C13, 'Macros and Food Info'!$I$6:$R$35, 2, 0)</f>
        <v>313</v>
      </c>
      <c r="E13" s="5">
        <f>VLOOKUP($C13, 'Macros and Food Info'!$I$6:$R$35, 3, 0)</f>
        <v>12</v>
      </c>
      <c r="F13" s="5">
        <f>VLOOKUP($C13, 'Macros and Food Info'!$I$6:$R$35, 4, 0)</f>
        <v>5.2</v>
      </c>
      <c r="G13" s="5">
        <f>VLOOKUP($C13, 'Macros and Food Info'!$I$6:$R$35, 5, 0)</f>
        <v>54.5</v>
      </c>
      <c r="H13" s="5">
        <f>VLOOKUP($C13, 'Macros and Food Info'!$I$6:$R$35, 6, 0)</f>
        <v>0</v>
      </c>
      <c r="I13" s="5">
        <f>VLOOKUP($C13, 'Macros and Food Info'!$I$6:$R$35, 7, 0)</f>
        <v>0</v>
      </c>
      <c r="K13" s="17">
        <v>0</v>
      </c>
      <c r="M13" s="3">
        <f t="shared" si="0"/>
        <v>0</v>
      </c>
    </row>
    <row r="14" spans="3:13" x14ac:dyDescent="0.55000000000000004">
      <c r="K14" s="17">
        <v>0</v>
      </c>
      <c r="M14" s="3">
        <f t="shared" si="0"/>
        <v>0</v>
      </c>
    </row>
    <row r="15" spans="3:13" x14ac:dyDescent="0.55000000000000004">
      <c r="K15" s="17">
        <v>0</v>
      </c>
      <c r="M15" s="3">
        <f t="shared" si="0"/>
        <v>0</v>
      </c>
    </row>
    <row r="16" spans="3:13" x14ac:dyDescent="0.55000000000000004">
      <c r="K16" s="17">
        <v>0</v>
      </c>
      <c r="M16" s="3">
        <f t="shared" si="0"/>
        <v>0</v>
      </c>
    </row>
    <row r="17" spans="3:13" x14ac:dyDescent="0.55000000000000004">
      <c r="K17" s="17">
        <v>0</v>
      </c>
      <c r="M17" s="3">
        <f t="shared" si="0"/>
        <v>0</v>
      </c>
    </row>
    <row r="18" spans="3:13" x14ac:dyDescent="0.55000000000000004">
      <c r="K18" s="17">
        <v>0</v>
      </c>
      <c r="M18" s="3">
        <f t="shared" si="0"/>
        <v>0</v>
      </c>
    </row>
    <row r="19" spans="3:13" x14ac:dyDescent="0.55000000000000004">
      <c r="K19" s="17">
        <v>0</v>
      </c>
      <c r="M19" s="3">
        <f t="shared" si="0"/>
        <v>0</v>
      </c>
    </row>
    <row r="20" spans="3:13" x14ac:dyDescent="0.55000000000000004">
      <c r="K20" s="17">
        <v>0</v>
      </c>
      <c r="M20" s="3">
        <f t="shared" si="0"/>
        <v>0</v>
      </c>
    </row>
    <row r="22" spans="3:13" x14ac:dyDescent="0.55000000000000004">
      <c r="D22" s="7" t="s">
        <v>15</v>
      </c>
      <c r="E22" s="7" t="s">
        <v>11</v>
      </c>
      <c r="F22" s="7" t="s">
        <v>12</v>
      </c>
      <c r="G22" s="7" t="s">
        <v>13</v>
      </c>
      <c r="H22" s="7" t="s">
        <v>16</v>
      </c>
      <c r="I22" s="7" t="s">
        <v>17</v>
      </c>
      <c r="L22" s="4"/>
      <c r="M22" s="4"/>
    </row>
    <row r="23" spans="3:13" x14ac:dyDescent="0.55000000000000004">
      <c r="C23" s="3" t="s">
        <v>37</v>
      </c>
      <c r="D23" s="12">
        <f>'Macros and Food Info'!$C$6</f>
        <v>3014</v>
      </c>
      <c r="E23" s="12">
        <f>'Macros and Food Info'!$C$7</f>
        <v>188</v>
      </c>
      <c r="F23" s="12">
        <f>IF($G$22 = "High Carb", 'Macros and Food Info'!$C$8,'Macros and Food Info'!$C$16)</f>
        <v>98</v>
      </c>
      <c r="G23" s="12">
        <f>IF($G$22 = "High Carb", 'Macros and Food Info'!$C$9,'Macros and Food Info'!$C$17)</f>
        <v>220</v>
      </c>
      <c r="H23" s="12" t="s">
        <v>38</v>
      </c>
      <c r="I23" s="12" t="s">
        <v>38</v>
      </c>
      <c r="L23" s="4"/>
      <c r="M23" s="4"/>
    </row>
    <row r="24" spans="3:13" ht="14.7" thickBot="1" x14ac:dyDescent="0.6">
      <c r="C24" s="10" t="s">
        <v>32</v>
      </c>
      <c r="D24" s="13">
        <f>SUMPRODUCT(D4:D20,$K$4:$K$20)</f>
        <v>2170</v>
      </c>
      <c r="E24" s="13">
        <f>SUMPRODUCT(E4:E20,$K$4:$K$20)</f>
        <v>130.9</v>
      </c>
      <c r="F24" s="13">
        <f>SUMPRODUCT(F4:F20,$K$4:$K$20)</f>
        <v>67.3</v>
      </c>
      <c r="G24" s="13">
        <f>SUMPRODUCT(G4:G20,$K$4:$K$20)</f>
        <v>265.90000000000003</v>
      </c>
      <c r="H24" s="13" t="e">
        <f>I5*$D$22+I6*$D$23</f>
        <v>#VALUE!</v>
      </c>
      <c r="I24" s="13" t="e">
        <f>J5*$D$22+J6*$D$23</f>
        <v>#VALUE!</v>
      </c>
      <c r="L24" s="4"/>
      <c r="M24" s="4"/>
    </row>
    <row r="25" spans="3:13" ht="14.7" thickBot="1" x14ac:dyDescent="0.6">
      <c r="C25" s="14" t="s">
        <v>33</v>
      </c>
      <c r="D25" s="15">
        <f>D23-D24</f>
        <v>844</v>
      </c>
      <c r="E25" s="15">
        <f t="shared" ref="E25:G25" si="1">E23-E24</f>
        <v>57.099999999999994</v>
      </c>
      <c r="F25" s="15">
        <f t="shared" si="1"/>
        <v>30.700000000000003</v>
      </c>
      <c r="G25" s="15">
        <f t="shared" si="1"/>
        <v>-45.900000000000034</v>
      </c>
      <c r="H25" s="15"/>
      <c r="I25" s="16"/>
      <c r="J25" s="49" t="s">
        <v>42</v>
      </c>
      <c r="K25" s="50"/>
      <c r="L25" s="50"/>
      <c r="M25" s="50"/>
    </row>
    <row r="28" spans="3:13" x14ac:dyDescent="0.55000000000000004">
      <c r="C28" s="25" t="s">
        <v>87</v>
      </c>
    </row>
    <row r="29" spans="3:13" x14ac:dyDescent="0.55000000000000004">
      <c r="C29" s="3" t="s">
        <v>15</v>
      </c>
      <c r="D29" s="3">
        <f>ABS(D24-D23)</f>
        <v>844</v>
      </c>
    </row>
    <row r="30" spans="3:13" x14ac:dyDescent="0.55000000000000004">
      <c r="C30" s="3" t="s">
        <v>11</v>
      </c>
      <c r="D30" s="3">
        <f>ABS(E24-E23)</f>
        <v>57.099999999999994</v>
      </c>
    </row>
    <row r="31" spans="3:13" x14ac:dyDescent="0.55000000000000004">
      <c r="C31" s="3" t="s">
        <v>12</v>
      </c>
      <c r="D31" s="3">
        <f>ABS(F24-F23)</f>
        <v>30.700000000000003</v>
      </c>
    </row>
    <row r="32" spans="3:13" x14ac:dyDescent="0.55000000000000004">
      <c r="C32" s="3" t="s">
        <v>13</v>
      </c>
      <c r="D32" s="3">
        <f>ABS(G24-G23)</f>
        <v>45.900000000000034</v>
      </c>
    </row>
    <row r="33" spans="4:5" x14ac:dyDescent="0.55000000000000004">
      <c r="D33" s="48">
        <f>SUM(D29:D32)</f>
        <v>977.7</v>
      </c>
      <c r="E33" s="3" t="s">
        <v>88</v>
      </c>
    </row>
  </sheetData>
  <mergeCells count="1">
    <mergeCell ref="J25:M2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26FD35-81E1-4A6E-A6C3-413FAD8FCC34}">
          <x14:formula1>
            <xm:f>'Macros and Food Info'!$I$6:$I$28</xm:f>
          </x14:formula1>
          <xm:sqref>C4:C20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DEBB-CB4E-4563-91E0-98E79A05FB20}">
  <dimension ref="B3:T35"/>
  <sheetViews>
    <sheetView zoomScale="88" workbookViewId="0">
      <selection activeCell="S6" sqref="S6:T6"/>
    </sheetView>
  </sheetViews>
  <sheetFormatPr defaultRowHeight="14.4" x14ac:dyDescent="0.55000000000000004"/>
  <cols>
    <col min="1" max="1" width="8.83984375" style="3"/>
    <col min="2" max="2" width="27.734375" style="3" bestFit="1" customWidth="1"/>
    <col min="3" max="6" width="8.83984375" style="3"/>
    <col min="7" max="7" width="13.734375" style="3" bestFit="1" customWidth="1"/>
    <col min="8" max="8" width="10.68359375" style="3" bestFit="1" customWidth="1"/>
    <col min="9" max="11" width="8.83984375" style="4"/>
    <col min="12" max="12" width="8.83984375" style="41"/>
    <col min="13" max="13" width="9" style="3" customWidth="1"/>
    <col min="14" max="17" width="8.83984375" style="3"/>
    <col min="18" max="18" width="14.26171875" style="3" bestFit="1" customWidth="1"/>
    <col min="19" max="19" width="12.15625" style="3" bestFit="1" customWidth="1"/>
    <col min="20" max="16384" width="8.83984375" style="3"/>
  </cols>
  <sheetData>
    <row r="3" spans="2:20" x14ac:dyDescent="0.55000000000000004">
      <c r="B3" s="25" t="s">
        <v>9</v>
      </c>
    </row>
    <row r="4" spans="2:20" x14ac:dyDescent="0.55000000000000004">
      <c r="L4" s="42"/>
      <c r="M4" s="43"/>
      <c r="N4" s="43"/>
    </row>
    <row r="5" spans="2:20" x14ac:dyDescent="0.55000000000000004">
      <c r="B5" s="27" t="s">
        <v>10</v>
      </c>
      <c r="C5" s="28" t="s">
        <v>15</v>
      </c>
      <c r="D5" s="27" t="s">
        <v>11</v>
      </c>
      <c r="E5" s="27" t="s">
        <v>12</v>
      </c>
      <c r="F5" s="27" t="s">
        <v>13</v>
      </c>
      <c r="G5" s="27" t="s">
        <v>16</v>
      </c>
      <c r="H5" s="27" t="s">
        <v>17</v>
      </c>
      <c r="I5" s="29" t="s">
        <v>18</v>
      </c>
      <c r="J5" s="30" t="s">
        <v>19</v>
      </c>
      <c r="K5" s="31" t="s">
        <v>20</v>
      </c>
      <c r="L5" s="44" t="s">
        <v>62</v>
      </c>
      <c r="M5" s="31" t="s">
        <v>60</v>
      </c>
      <c r="N5" s="31" t="s">
        <v>61</v>
      </c>
      <c r="S5" s="3" t="s">
        <v>35</v>
      </c>
      <c r="T5" s="3" t="s">
        <v>36</v>
      </c>
    </row>
    <row r="6" spans="2:20" x14ac:dyDescent="0.55000000000000004">
      <c r="B6" s="3" t="s">
        <v>14</v>
      </c>
      <c r="C6" s="23">
        <v>200</v>
      </c>
      <c r="D6" s="3">
        <v>18.600000000000001</v>
      </c>
      <c r="E6" s="3">
        <v>11.4</v>
      </c>
      <c r="F6" s="3">
        <v>5.7</v>
      </c>
      <c r="G6" s="3">
        <v>48.5</v>
      </c>
      <c r="H6" s="3">
        <v>197.8</v>
      </c>
      <c r="I6" s="33">
        <f>D6/SUM($D6:$F6)</f>
        <v>0.52100840336134457</v>
      </c>
      <c r="J6" s="33">
        <f t="shared" ref="J6:K6" si="0">E6/SUM($D6:$F6)</f>
        <v>0.31932773109243695</v>
      </c>
      <c r="K6" s="33">
        <f t="shared" si="0"/>
        <v>0.15966386554621848</v>
      </c>
      <c r="L6" s="45">
        <v>1</v>
      </c>
      <c r="M6" s="46">
        <v>0</v>
      </c>
      <c r="N6" s="46">
        <v>0</v>
      </c>
      <c r="O6" s="3">
        <f>IF(M6+N6 &gt; 1, 1, 0)</f>
        <v>0</v>
      </c>
      <c r="P6" s="3">
        <f>O6*M6</f>
        <v>0</v>
      </c>
      <c r="R6" s="3" t="s">
        <v>34</v>
      </c>
      <c r="S6" s="51" t="s">
        <v>35</v>
      </c>
      <c r="T6" s="51"/>
    </row>
    <row r="7" spans="2:20" x14ac:dyDescent="0.55000000000000004">
      <c r="B7" s="3" t="s">
        <v>21</v>
      </c>
      <c r="C7" s="23">
        <v>1480</v>
      </c>
      <c r="D7" s="3">
        <v>64</v>
      </c>
      <c r="E7" s="3">
        <v>85</v>
      </c>
      <c r="F7" s="3">
        <v>128</v>
      </c>
      <c r="I7" s="33">
        <f>D7/SUM($D7:$F7)</f>
        <v>0.23104693140794225</v>
      </c>
      <c r="J7" s="33">
        <f t="shared" ref="J7:K11" si="1">E7/SUM($D7:$F7)</f>
        <v>0.30685920577617326</v>
      </c>
      <c r="K7" s="33">
        <f t="shared" si="1"/>
        <v>0.46209386281588449</v>
      </c>
      <c r="L7" s="45">
        <v>1</v>
      </c>
      <c r="M7" s="17">
        <v>0</v>
      </c>
      <c r="N7" s="17">
        <v>0</v>
      </c>
      <c r="O7" s="3">
        <f t="shared" ref="O7:O17" si="2">IF(M7+N7 &gt; 1, 1, 0)</f>
        <v>0</v>
      </c>
      <c r="P7" s="3">
        <f t="shared" ref="P7:P17" si="3">O7*M7</f>
        <v>0</v>
      </c>
    </row>
    <row r="8" spans="2:20" x14ac:dyDescent="0.55000000000000004">
      <c r="B8" s="40" t="s">
        <v>22</v>
      </c>
      <c r="C8" s="23">
        <v>350</v>
      </c>
      <c r="D8" s="3">
        <v>24</v>
      </c>
      <c r="E8" s="3">
        <v>11</v>
      </c>
      <c r="F8" s="3">
        <v>37</v>
      </c>
      <c r="I8" s="33">
        <f t="shared" ref="I8:I11" si="4">D8/SUM($D8:$F8)</f>
        <v>0.33333333333333331</v>
      </c>
      <c r="J8" s="33">
        <f t="shared" si="1"/>
        <v>0.15277777777777779</v>
      </c>
      <c r="K8" s="33">
        <f t="shared" si="1"/>
        <v>0.51388888888888884</v>
      </c>
      <c r="L8" s="45">
        <v>1</v>
      </c>
      <c r="M8" s="17">
        <v>0</v>
      </c>
      <c r="N8" s="17">
        <v>0</v>
      </c>
      <c r="O8" s="3">
        <f t="shared" si="2"/>
        <v>0</v>
      </c>
      <c r="P8" s="3">
        <f t="shared" si="3"/>
        <v>0</v>
      </c>
    </row>
    <row r="9" spans="2:20" x14ac:dyDescent="0.55000000000000004">
      <c r="B9" s="40" t="s">
        <v>23</v>
      </c>
      <c r="C9" s="23">
        <v>339</v>
      </c>
      <c r="D9" s="3">
        <v>15</v>
      </c>
      <c r="E9" s="3">
        <v>10</v>
      </c>
      <c r="F9" s="3">
        <v>43</v>
      </c>
      <c r="G9" s="3">
        <v>46</v>
      </c>
      <c r="H9" s="3">
        <v>744</v>
      </c>
      <c r="I9" s="33">
        <f t="shared" si="4"/>
        <v>0.22058823529411764</v>
      </c>
      <c r="J9" s="33">
        <f t="shared" si="1"/>
        <v>0.14705882352941177</v>
      </c>
      <c r="K9" s="33">
        <f t="shared" si="1"/>
        <v>0.63235294117647056</v>
      </c>
      <c r="L9" s="45">
        <v>1</v>
      </c>
      <c r="M9" s="17">
        <v>0</v>
      </c>
      <c r="N9" s="17">
        <v>0</v>
      </c>
      <c r="O9" s="3">
        <f t="shared" si="2"/>
        <v>0</v>
      </c>
      <c r="P9" s="3">
        <f t="shared" si="3"/>
        <v>0</v>
      </c>
      <c r="S9" s="3" t="s">
        <v>37</v>
      </c>
      <c r="T9" s="3" t="s">
        <v>40</v>
      </c>
    </row>
    <row r="10" spans="2:20" x14ac:dyDescent="0.55000000000000004">
      <c r="B10" s="40" t="s">
        <v>24</v>
      </c>
      <c r="C10" s="23">
        <v>399</v>
      </c>
      <c r="D10" s="3">
        <v>14.1</v>
      </c>
      <c r="E10" s="3">
        <v>9.1</v>
      </c>
      <c r="F10" s="3">
        <v>68</v>
      </c>
      <c r="G10" s="3">
        <v>12.5</v>
      </c>
      <c r="H10" s="3">
        <v>949.9</v>
      </c>
      <c r="I10" s="33">
        <f t="shared" si="4"/>
        <v>0.15460526315789472</v>
      </c>
      <c r="J10" s="33">
        <f t="shared" si="1"/>
        <v>9.9780701754385956E-2</v>
      </c>
      <c r="K10" s="33">
        <f t="shared" si="1"/>
        <v>0.74561403508771928</v>
      </c>
      <c r="L10" s="45">
        <v>1</v>
      </c>
      <c r="M10" s="17">
        <v>1</v>
      </c>
      <c r="N10" s="17">
        <v>1</v>
      </c>
      <c r="O10" s="3">
        <f t="shared" si="2"/>
        <v>1</v>
      </c>
      <c r="P10" s="3">
        <f t="shared" si="3"/>
        <v>1</v>
      </c>
      <c r="R10" s="7" t="s">
        <v>15</v>
      </c>
      <c r="S10" s="12">
        <f>'Macros and Food Info'!C6</f>
        <v>3014</v>
      </c>
      <c r="T10" s="3">
        <f>SUMPRODUCT(M6:M11,N6:N11,C6:C11)</f>
        <v>2569</v>
      </c>
    </row>
    <row r="11" spans="2:20" x14ac:dyDescent="0.55000000000000004">
      <c r="B11" s="40" t="s">
        <v>25</v>
      </c>
      <c r="C11" s="23">
        <v>310</v>
      </c>
      <c r="D11" s="3">
        <v>26</v>
      </c>
      <c r="E11" s="3">
        <v>10</v>
      </c>
      <c r="F11" s="3">
        <v>31</v>
      </c>
      <c r="G11" s="3">
        <v>90</v>
      </c>
      <c r="H11" s="3">
        <v>650</v>
      </c>
      <c r="I11" s="33">
        <f t="shared" si="4"/>
        <v>0.38805970149253732</v>
      </c>
      <c r="J11" s="33">
        <f t="shared" si="1"/>
        <v>0.14925373134328357</v>
      </c>
      <c r="K11" s="33">
        <f t="shared" si="1"/>
        <v>0.46268656716417911</v>
      </c>
      <c r="L11" s="45">
        <v>1</v>
      </c>
      <c r="M11" s="17">
        <v>1</v>
      </c>
      <c r="N11" s="17">
        <v>7</v>
      </c>
      <c r="O11" s="3">
        <f t="shared" si="2"/>
        <v>1</v>
      </c>
      <c r="P11" s="3">
        <f t="shared" si="3"/>
        <v>1</v>
      </c>
      <c r="R11" s="7" t="s">
        <v>11</v>
      </c>
      <c r="S11" s="12">
        <f>'Macros and Food Info'!C7</f>
        <v>188</v>
      </c>
      <c r="T11" s="3">
        <f>SUMPRODUCT(D6:D11,M6:M11,N6:N11)</f>
        <v>196.1</v>
      </c>
    </row>
    <row r="12" spans="2:20" x14ac:dyDescent="0.55000000000000004">
      <c r="B12" s="3" t="s">
        <v>70</v>
      </c>
      <c r="C12" s="23">
        <v>313</v>
      </c>
      <c r="D12" s="3">
        <v>12</v>
      </c>
      <c r="E12" s="3">
        <v>5.2</v>
      </c>
      <c r="F12" s="3">
        <v>54.5</v>
      </c>
      <c r="I12" s="33">
        <f t="shared" ref="I12:K17" ca="1" si="5">D12/SUM($K12:$M12)</f>
        <v>0.16736401673640167</v>
      </c>
      <c r="J12" s="33">
        <f t="shared" ca="1" si="5"/>
        <v>7.252440725244072E-2</v>
      </c>
      <c r="K12" s="33">
        <f t="shared" ca="1" si="5"/>
        <v>0.76011157601115753</v>
      </c>
      <c r="L12" s="42"/>
      <c r="M12" s="17">
        <v>4.2</v>
      </c>
      <c r="N12" s="17">
        <v>10</v>
      </c>
      <c r="O12" s="3">
        <f t="shared" si="2"/>
        <v>1</v>
      </c>
      <c r="P12" s="3">
        <f t="shared" si="3"/>
        <v>4.2</v>
      </c>
      <c r="R12" s="7" t="s">
        <v>12</v>
      </c>
      <c r="S12" s="12">
        <f>IF(S6 = "High Carb", 'Macros and Food Info'!C8,'Macros and Food Info'!C16)</f>
        <v>56</v>
      </c>
      <c r="T12" s="3">
        <f>SUMPRODUCT(E6:E11,M6:M11,N6:N11)</f>
        <v>79.099999999999994</v>
      </c>
    </row>
    <row r="13" spans="2:20" x14ac:dyDescent="0.55000000000000004">
      <c r="B13" s="3" t="s">
        <v>73</v>
      </c>
      <c r="C13" s="23">
        <v>70</v>
      </c>
      <c r="D13" s="3">
        <v>8</v>
      </c>
      <c r="E13" s="3">
        <v>0</v>
      </c>
      <c r="F13" s="3">
        <v>19</v>
      </c>
      <c r="I13" s="33">
        <f t="shared" ca="1" si="5"/>
        <v>0.29629629629629628</v>
      </c>
      <c r="J13" s="33">
        <f t="shared" ca="1" si="5"/>
        <v>0</v>
      </c>
      <c r="K13" s="33">
        <f t="shared" ca="1" si="5"/>
        <v>0.70370370370370372</v>
      </c>
      <c r="L13" s="42"/>
      <c r="M13" s="17">
        <v>0</v>
      </c>
      <c r="N13" s="17">
        <v>0</v>
      </c>
      <c r="O13" s="3">
        <f t="shared" si="2"/>
        <v>0</v>
      </c>
      <c r="P13" s="3">
        <f t="shared" si="3"/>
        <v>0</v>
      </c>
      <c r="R13" s="7" t="s">
        <v>13</v>
      </c>
      <c r="S13" s="12">
        <f>IF(S6="High Carb", 'Macros and Food Info'!C9,'Macros and Food Info'!C17)</f>
        <v>314</v>
      </c>
      <c r="T13" s="3">
        <f>SUMPRODUCT(F6:F11,M6:M11,N6:N11)</f>
        <v>285</v>
      </c>
    </row>
    <row r="14" spans="2:20" x14ac:dyDescent="0.55000000000000004">
      <c r="B14" s="3" t="s">
        <v>76</v>
      </c>
      <c r="C14" s="23">
        <v>35</v>
      </c>
      <c r="D14" s="3">
        <v>0.5</v>
      </c>
      <c r="E14" s="3">
        <v>0</v>
      </c>
      <c r="F14" s="3">
        <v>7</v>
      </c>
      <c r="I14" s="33">
        <f t="shared" ca="1" si="5"/>
        <v>6.6666666666666666E-2</v>
      </c>
      <c r="J14" s="33">
        <f t="shared" ca="1" si="5"/>
        <v>0</v>
      </c>
      <c r="K14" s="33">
        <f t="shared" ca="1" si="5"/>
        <v>0.93333333333333335</v>
      </c>
      <c r="L14" s="42"/>
      <c r="M14" s="17">
        <v>0</v>
      </c>
      <c r="N14" s="17">
        <v>0</v>
      </c>
      <c r="O14" s="3">
        <f t="shared" si="2"/>
        <v>0</v>
      </c>
      <c r="P14" s="3">
        <f t="shared" si="3"/>
        <v>0</v>
      </c>
      <c r="R14" s="7" t="s">
        <v>16</v>
      </c>
      <c r="S14" s="12" t="s">
        <v>38</v>
      </c>
    </row>
    <row r="15" spans="2:20" x14ac:dyDescent="0.55000000000000004">
      <c r="B15" s="3" t="s">
        <v>77</v>
      </c>
      <c r="C15" s="23">
        <v>200</v>
      </c>
      <c r="D15" s="3">
        <v>2</v>
      </c>
      <c r="E15" s="3">
        <v>11</v>
      </c>
      <c r="F15" s="3">
        <v>22</v>
      </c>
      <c r="I15" s="33">
        <f t="shared" ca="1" si="5"/>
        <v>5.7142857142857141E-2</v>
      </c>
      <c r="J15" s="33">
        <f t="shared" ca="1" si="5"/>
        <v>0.31428571428571428</v>
      </c>
      <c r="K15" s="33">
        <f t="shared" ca="1" si="5"/>
        <v>0.62857142857142856</v>
      </c>
      <c r="L15" s="42"/>
      <c r="M15" s="17">
        <v>0</v>
      </c>
      <c r="N15" s="17">
        <v>0</v>
      </c>
      <c r="O15" s="3">
        <f t="shared" si="2"/>
        <v>0</v>
      </c>
      <c r="P15" s="3">
        <f t="shared" si="3"/>
        <v>0</v>
      </c>
      <c r="R15" s="7" t="s">
        <v>17</v>
      </c>
      <c r="S15" s="12" t="s">
        <v>38</v>
      </c>
    </row>
    <row r="16" spans="2:20" x14ac:dyDescent="0.55000000000000004">
      <c r="B16" s="3" t="s">
        <v>79</v>
      </c>
      <c r="C16" s="23">
        <v>90</v>
      </c>
      <c r="D16" s="3">
        <v>16</v>
      </c>
      <c r="E16" s="3">
        <v>0</v>
      </c>
      <c r="F16" s="3">
        <v>6</v>
      </c>
      <c r="I16" s="33">
        <f t="shared" ca="1" si="5"/>
        <v>0.72727272727272729</v>
      </c>
      <c r="J16" s="33">
        <f t="shared" ca="1" si="5"/>
        <v>0</v>
      </c>
      <c r="K16" s="33">
        <f t="shared" ca="1" si="5"/>
        <v>0.27272727272727271</v>
      </c>
      <c r="L16" s="42"/>
      <c r="M16" s="17">
        <v>0</v>
      </c>
      <c r="N16" s="17">
        <v>0</v>
      </c>
      <c r="O16" s="3">
        <f t="shared" si="2"/>
        <v>0</v>
      </c>
      <c r="P16" s="3">
        <f t="shared" si="3"/>
        <v>0</v>
      </c>
    </row>
    <row r="17" spans="2:20" x14ac:dyDescent="0.55000000000000004">
      <c r="B17" s="3" t="s">
        <v>81</v>
      </c>
      <c r="C17" s="23">
        <v>220</v>
      </c>
      <c r="D17" s="3">
        <v>23</v>
      </c>
      <c r="E17" s="3">
        <v>9</v>
      </c>
      <c r="F17" s="3">
        <v>0</v>
      </c>
      <c r="I17" s="33">
        <f t="shared" ca="1" si="5"/>
        <v>0.71875</v>
      </c>
      <c r="J17" s="33">
        <f t="shared" ca="1" si="5"/>
        <v>0.28125</v>
      </c>
      <c r="K17" s="33">
        <f t="shared" ca="1" si="5"/>
        <v>0</v>
      </c>
      <c r="L17" s="42"/>
      <c r="M17" s="3">
        <v>0</v>
      </c>
      <c r="N17" s="3">
        <v>0</v>
      </c>
      <c r="O17" s="3">
        <f t="shared" si="2"/>
        <v>0</v>
      </c>
      <c r="P17" s="3">
        <f t="shared" si="3"/>
        <v>0</v>
      </c>
    </row>
    <row r="18" spans="2:20" x14ac:dyDescent="0.55000000000000004">
      <c r="C18" s="23"/>
      <c r="I18" s="33"/>
      <c r="J18" s="33"/>
      <c r="K18" s="33"/>
      <c r="L18" s="42"/>
      <c r="P18" s="3">
        <f>SUM(P6:P17)</f>
        <v>6.2</v>
      </c>
      <c r="R18" s="24"/>
      <c r="S18" s="3" t="s">
        <v>63</v>
      </c>
    </row>
    <row r="19" spans="2:20" x14ac:dyDescent="0.55000000000000004">
      <c r="C19" s="23"/>
      <c r="I19" s="33"/>
      <c r="J19" s="33"/>
      <c r="K19" s="33"/>
      <c r="L19" s="42"/>
      <c r="R19" s="24" t="s">
        <v>11</v>
      </c>
      <c r="S19" s="3">
        <f>T10-S10</f>
        <v>-445</v>
      </c>
    </row>
    <row r="20" spans="2:20" x14ac:dyDescent="0.55000000000000004">
      <c r="C20" s="23"/>
      <c r="I20" s="33"/>
      <c r="J20" s="33"/>
      <c r="K20" s="33"/>
      <c r="L20" s="42"/>
      <c r="R20" s="24" t="s">
        <v>12</v>
      </c>
      <c r="S20" s="3">
        <f t="shared" ref="S20:S22" si="6">T11-S11</f>
        <v>8.0999999999999943</v>
      </c>
    </row>
    <row r="21" spans="2:20" x14ac:dyDescent="0.55000000000000004">
      <c r="C21" s="23"/>
      <c r="I21" s="33"/>
      <c r="J21" s="33"/>
      <c r="K21" s="33"/>
      <c r="L21" s="42"/>
      <c r="R21" s="24" t="s">
        <v>13</v>
      </c>
      <c r="S21" s="3">
        <f t="shared" si="6"/>
        <v>23.099999999999994</v>
      </c>
    </row>
    <row r="22" spans="2:20" x14ac:dyDescent="0.55000000000000004">
      <c r="C22" s="23"/>
      <c r="I22" s="33"/>
      <c r="J22" s="33"/>
      <c r="K22" s="33"/>
      <c r="L22" s="42"/>
      <c r="R22" s="24" t="s">
        <v>15</v>
      </c>
      <c r="S22" s="3">
        <f t="shared" si="6"/>
        <v>-29</v>
      </c>
    </row>
    <row r="23" spans="2:20" x14ac:dyDescent="0.55000000000000004">
      <c r="C23" s="23"/>
      <c r="I23" s="33"/>
      <c r="J23" s="33"/>
      <c r="K23" s="33"/>
      <c r="L23" s="42"/>
      <c r="S23" s="3">
        <f>ABS(SUM(S19:S22))</f>
        <v>442.79999999999995</v>
      </c>
      <c r="T23" s="25" t="s">
        <v>64</v>
      </c>
    </row>
    <row r="24" spans="2:20" x14ac:dyDescent="0.55000000000000004">
      <c r="C24" s="23"/>
      <c r="I24" s="33"/>
      <c r="J24" s="33"/>
      <c r="K24" s="33"/>
      <c r="L24" s="42"/>
    </row>
    <row r="25" spans="2:20" x14ac:dyDescent="0.55000000000000004">
      <c r="C25" s="23"/>
      <c r="I25" s="33"/>
      <c r="J25" s="33"/>
      <c r="K25" s="33"/>
      <c r="L25" s="42"/>
    </row>
    <row r="26" spans="2:20" x14ac:dyDescent="0.55000000000000004">
      <c r="C26" s="23"/>
      <c r="I26" s="33"/>
      <c r="J26" s="33"/>
      <c r="K26" s="33"/>
      <c r="L26" s="42"/>
    </row>
    <row r="27" spans="2:20" x14ac:dyDescent="0.55000000000000004">
      <c r="C27" s="23"/>
      <c r="I27" s="33"/>
      <c r="J27" s="33"/>
      <c r="K27" s="33"/>
      <c r="L27" s="42"/>
    </row>
    <row r="33" spans="6:12" x14ac:dyDescent="0.55000000000000004">
      <c r="H33" s="4"/>
      <c r="K33" s="3"/>
      <c r="L33" s="47"/>
    </row>
    <row r="34" spans="6:12" x14ac:dyDescent="0.55000000000000004">
      <c r="H34" s="4"/>
      <c r="K34" s="3"/>
      <c r="L34" s="47"/>
    </row>
    <row r="35" spans="6:12" x14ac:dyDescent="0.55000000000000004">
      <c r="F35" s="4"/>
      <c r="G35" s="4"/>
      <c r="H35" s="4"/>
      <c r="I35" s="3"/>
      <c r="J35" s="3"/>
      <c r="K35" s="3"/>
      <c r="L35" s="47"/>
    </row>
  </sheetData>
  <mergeCells count="1">
    <mergeCell ref="S6:T6"/>
  </mergeCells>
  <dataValidations count="1">
    <dataValidation type="list" allowBlank="1" showInputMessage="1" showErrorMessage="1" sqref="S6:T6" xr:uid="{E4E37EDF-95A8-4CE7-AF09-ACA9E2CC4098}">
      <formula1>$G$21:$H$21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CBAF-9A2D-40A9-BDC1-DF0A34002AA9}">
  <dimension ref="A2:M48"/>
  <sheetViews>
    <sheetView workbookViewId="0">
      <selection activeCell="C27" sqref="C27:H27"/>
    </sheetView>
  </sheetViews>
  <sheetFormatPr defaultRowHeight="14.4" x14ac:dyDescent="0.55000000000000004"/>
  <cols>
    <col min="1" max="1" width="22.5234375" style="3" customWidth="1"/>
    <col min="2" max="2" width="24.7890625" style="3" customWidth="1"/>
    <col min="3" max="3" width="27.47265625" style="3" bestFit="1" customWidth="1"/>
    <col min="4" max="4" width="7.15625" style="3" bestFit="1" customWidth="1"/>
    <col min="5" max="5" width="7.05078125" style="3" bestFit="1" customWidth="1"/>
    <col min="6" max="6" width="14.05078125" style="3" bestFit="1" customWidth="1"/>
    <col min="7" max="8" width="14.26171875" style="3" bestFit="1" customWidth="1"/>
    <col min="9" max="9" width="11" style="3" bestFit="1" customWidth="1"/>
    <col min="10" max="10" width="8.5234375" style="3" bestFit="1" customWidth="1"/>
    <col min="11" max="11" width="5.83984375" style="4" bestFit="1" customWidth="1"/>
    <col min="12" max="12" width="7.05078125" style="4" bestFit="1" customWidth="1"/>
    <col min="13" max="13" width="8.83984375" style="4"/>
    <col min="14" max="16384" width="8.83984375" style="3"/>
  </cols>
  <sheetData>
    <row r="2" spans="1:13" x14ac:dyDescent="0.55000000000000004">
      <c r="C2" s="52" t="s">
        <v>41</v>
      </c>
      <c r="D2" s="52"/>
      <c r="E2" s="52"/>
      <c r="F2" s="52"/>
      <c r="G2" s="52"/>
    </row>
    <row r="3" spans="1:13" x14ac:dyDescent="0.55000000000000004">
      <c r="C3" s="52"/>
      <c r="D3" s="52"/>
      <c r="E3" s="52"/>
      <c r="F3" s="52"/>
      <c r="G3" s="52"/>
    </row>
    <row r="4" spans="1:13" x14ac:dyDescent="0.55000000000000004">
      <c r="C4" s="52"/>
      <c r="D4" s="52"/>
      <c r="E4" s="52"/>
      <c r="F4" s="52"/>
      <c r="G4" s="52"/>
    </row>
    <row r="7" spans="1:13" x14ac:dyDescent="0.55000000000000004">
      <c r="A7" s="2" t="s">
        <v>30</v>
      </c>
    </row>
    <row r="8" spans="1:13" x14ac:dyDescent="0.55000000000000004">
      <c r="B8" s="7"/>
      <c r="C8" s="7"/>
      <c r="D8" s="7" t="s">
        <v>15</v>
      </c>
      <c r="E8" s="7" t="s">
        <v>11</v>
      </c>
      <c r="F8" s="7" t="s">
        <v>12</v>
      </c>
      <c r="G8" s="7" t="s">
        <v>13</v>
      </c>
      <c r="H8" s="7" t="s">
        <v>16</v>
      </c>
      <c r="I8" s="7" t="s">
        <v>17</v>
      </c>
      <c r="J8" s="8" t="s">
        <v>18</v>
      </c>
      <c r="K8" s="8" t="s">
        <v>19</v>
      </c>
      <c r="L8" s="9" t="s">
        <v>20</v>
      </c>
      <c r="M8" s="3"/>
    </row>
    <row r="9" spans="1:13" x14ac:dyDescent="0.55000000000000004">
      <c r="B9" s="7" t="s">
        <v>26</v>
      </c>
      <c r="C9" s="1" t="s">
        <v>14</v>
      </c>
      <c r="D9" s="5">
        <f>VLOOKUP($C9, 'Macros and Food Info'!$I$6:$R$35, 2, 0)</f>
        <v>200</v>
      </c>
      <c r="E9" s="5">
        <f>VLOOKUP($C9, 'Macros and Food Info'!$I$6:$R$35, 3, 0)</f>
        <v>18.600000000000001</v>
      </c>
      <c r="F9" s="5">
        <f>VLOOKUP($C9, 'Macros and Food Info'!$I$6:$R$35, 4, 0)</f>
        <v>11.4</v>
      </c>
      <c r="G9" s="5">
        <f>VLOOKUP($C9, 'Macros and Food Info'!$I$6:$R$35, 5, 0)</f>
        <v>5.7</v>
      </c>
      <c r="H9" s="5">
        <f>VLOOKUP($C9, 'Macros and Food Info'!$I$6:$R$35, 6, 0)</f>
        <v>48.5</v>
      </c>
      <c r="I9" s="5">
        <f>VLOOKUP($C9, 'Macros and Food Info'!$I$6:$R$35, 7, 0)</f>
        <v>197.8</v>
      </c>
      <c r="J9" s="6">
        <f>VLOOKUP($C9, 'Macros and Food Info'!$I$6:$R$35, 8, 0)</f>
        <v>0.52100840336134457</v>
      </c>
      <c r="K9" s="6">
        <f>VLOOKUP($C9, 'Macros and Food Info'!$I$6:$R$35, 9, 0)</f>
        <v>0.31932773109243695</v>
      </c>
      <c r="L9" s="6">
        <f>VLOOKUP($C9, 'Macros and Food Info'!$I$6:$R$35, 10, 0)</f>
        <v>0.15966386554621848</v>
      </c>
      <c r="M9" s="3"/>
    </row>
    <row r="10" spans="1:13" x14ac:dyDescent="0.55000000000000004">
      <c r="B10" s="7" t="s">
        <v>27</v>
      </c>
      <c r="C10" s="1" t="s">
        <v>24</v>
      </c>
      <c r="D10" s="5">
        <f>VLOOKUP($C10, 'Macros and Food Info'!$I$6:$R$35, 2, 0)</f>
        <v>399</v>
      </c>
      <c r="E10" s="5">
        <f>VLOOKUP($C10, 'Macros and Food Info'!$I$6:$R$35, 3, 0)</f>
        <v>14.1</v>
      </c>
      <c r="F10" s="5">
        <f>VLOOKUP($C10, 'Macros and Food Info'!$I$6:$R$35, 4, 0)</f>
        <v>9.1</v>
      </c>
      <c r="G10" s="5">
        <f>VLOOKUP($C10, 'Macros and Food Info'!$I$6:$R$35, 5, 0)</f>
        <v>68</v>
      </c>
      <c r="H10" s="5">
        <f>VLOOKUP($C10, 'Macros and Food Info'!$I$6:$R$35, 6, 0)</f>
        <v>12.5</v>
      </c>
      <c r="I10" s="5">
        <f>VLOOKUP($C10, 'Macros and Food Info'!$I$6:$R$35, 7, 0)</f>
        <v>949.9</v>
      </c>
      <c r="J10" s="6">
        <f>VLOOKUP($C10, 'Macros and Food Info'!$I$6:$R$35, 8, 0)</f>
        <v>0.15460526315789472</v>
      </c>
      <c r="K10" s="6">
        <f>VLOOKUP($C10, 'Macros and Food Info'!$I$6:$R$35, 9, 0)</f>
        <v>9.9780701754385956E-2</v>
      </c>
      <c r="L10" s="6">
        <f>VLOOKUP($C10, 'Macros and Food Info'!$I$6:$R$35, 10, 0)</f>
        <v>0.74561403508771928</v>
      </c>
      <c r="M10" s="3"/>
    </row>
    <row r="16" spans="1:13" ht="14.4" customHeight="1" x14ac:dyDescent="0.55000000000000004">
      <c r="C16" s="52" t="s">
        <v>44</v>
      </c>
      <c r="D16" s="52"/>
      <c r="E16" s="52"/>
      <c r="F16" s="52"/>
      <c r="G16" s="52"/>
      <c r="H16" s="52"/>
      <c r="I16" s="52"/>
      <c r="J16" s="52"/>
    </row>
    <row r="17" spans="1:13" ht="14.4" customHeight="1" x14ac:dyDescent="0.55000000000000004">
      <c r="C17" s="52"/>
      <c r="D17" s="52"/>
      <c r="E17" s="52"/>
      <c r="F17" s="52"/>
      <c r="G17" s="52"/>
      <c r="H17" s="52"/>
      <c r="I17" s="52"/>
      <c r="J17" s="52"/>
    </row>
    <row r="18" spans="1:13" ht="14.4" customHeight="1" x14ac:dyDescent="0.55000000000000004">
      <c r="C18" s="52"/>
      <c r="D18" s="52"/>
      <c r="E18" s="52"/>
      <c r="F18" s="52"/>
      <c r="G18" s="52"/>
      <c r="H18" s="52"/>
      <c r="I18" s="52"/>
      <c r="J18" s="52"/>
    </row>
    <row r="20" spans="1:13" x14ac:dyDescent="0.55000000000000004">
      <c r="A20" s="2" t="s">
        <v>31</v>
      </c>
    </row>
    <row r="21" spans="1:13" x14ac:dyDescent="0.55000000000000004">
      <c r="G21" s="3" t="s">
        <v>35</v>
      </c>
      <c r="H21" s="3" t="s">
        <v>36</v>
      </c>
      <c r="J21" s="4"/>
      <c r="M21" s="3"/>
    </row>
    <row r="22" spans="1:13" x14ac:dyDescent="0.55000000000000004">
      <c r="C22" s="7" t="s">
        <v>28</v>
      </c>
      <c r="D22" s="17">
        <v>2</v>
      </c>
      <c r="F22" s="3" t="s">
        <v>34</v>
      </c>
      <c r="G22" s="51" t="s">
        <v>35</v>
      </c>
      <c r="H22" s="51"/>
      <c r="I22" s="11"/>
    </row>
    <row r="23" spans="1:13" x14ac:dyDescent="0.55000000000000004">
      <c r="C23" s="7" t="s">
        <v>29</v>
      </c>
      <c r="D23" s="17">
        <v>3</v>
      </c>
    </row>
    <row r="26" spans="1:13" x14ac:dyDescent="0.55000000000000004">
      <c r="C26" s="7" t="s">
        <v>15</v>
      </c>
      <c r="D26" s="7" t="s">
        <v>11</v>
      </c>
      <c r="E26" s="7" t="s">
        <v>12</v>
      </c>
      <c r="F26" s="7" t="s">
        <v>13</v>
      </c>
      <c r="G26" s="7" t="s">
        <v>16</v>
      </c>
      <c r="H26" s="7" t="s">
        <v>17</v>
      </c>
    </row>
    <row r="27" spans="1:13" x14ac:dyDescent="0.55000000000000004">
      <c r="B27" s="3" t="s">
        <v>37</v>
      </c>
      <c r="C27" s="12">
        <f>'Macros and Food Info'!$C$6</f>
        <v>3014</v>
      </c>
      <c r="D27" s="12">
        <f>'Macros and Food Info'!$C$7</f>
        <v>188</v>
      </c>
      <c r="E27" s="12">
        <f>IF($G$22 = "High Carb", 'Macros and Food Info'!$C$8,'Macros and Food Info'!$C$16)</f>
        <v>56</v>
      </c>
      <c r="F27" s="12">
        <f>IF($G$22 = "High Carb", 'Macros and Food Info'!$C$9,'Macros and Food Info'!$C$17)</f>
        <v>314</v>
      </c>
      <c r="G27" s="12" t="s">
        <v>38</v>
      </c>
      <c r="H27" s="12" t="s">
        <v>38</v>
      </c>
    </row>
    <row r="28" spans="1:13" ht="14.7" thickBot="1" x14ac:dyDescent="0.6">
      <c r="B28" s="10" t="s">
        <v>32</v>
      </c>
      <c r="C28" s="13">
        <f t="shared" ref="C28:H28" si="0">D9*$D$22+D10*$D$23</f>
        <v>1597</v>
      </c>
      <c r="D28" s="13">
        <f t="shared" si="0"/>
        <v>79.5</v>
      </c>
      <c r="E28" s="13">
        <f t="shared" si="0"/>
        <v>50.099999999999994</v>
      </c>
      <c r="F28" s="13">
        <f t="shared" si="0"/>
        <v>215.4</v>
      </c>
      <c r="G28" s="13">
        <f t="shared" si="0"/>
        <v>134.5</v>
      </c>
      <c r="H28" s="13">
        <f t="shared" si="0"/>
        <v>3245.2999999999997</v>
      </c>
    </row>
    <row r="29" spans="1:13" ht="14.7" thickBot="1" x14ac:dyDescent="0.6">
      <c r="B29" s="14" t="s">
        <v>33</v>
      </c>
      <c r="C29" s="15">
        <f>C27-C28</f>
        <v>1417</v>
      </c>
      <c r="D29" s="15">
        <f t="shared" ref="D29:F29" si="1">D27-D28</f>
        <v>108.5</v>
      </c>
      <c r="E29" s="15">
        <f t="shared" si="1"/>
        <v>5.9000000000000057</v>
      </c>
      <c r="F29" s="15">
        <f t="shared" si="1"/>
        <v>98.6</v>
      </c>
      <c r="G29" s="15"/>
      <c r="H29" s="16"/>
      <c r="I29" s="53" t="s">
        <v>42</v>
      </c>
      <c r="J29" s="54"/>
      <c r="K29" s="54"/>
      <c r="L29" s="54"/>
    </row>
    <row r="32" spans="1:13" x14ac:dyDescent="0.55000000000000004">
      <c r="A32" s="2" t="s">
        <v>39</v>
      </c>
    </row>
    <row r="33" spans="1:13" x14ac:dyDescent="0.55000000000000004">
      <c r="C33" s="8" t="s">
        <v>18</v>
      </c>
      <c r="D33" s="8" t="s">
        <v>19</v>
      </c>
      <c r="E33" s="9" t="s">
        <v>20</v>
      </c>
    </row>
    <row r="34" spans="1:13" ht="14.7" thickBot="1" x14ac:dyDescent="0.6">
      <c r="B34" s="3" t="s">
        <v>37</v>
      </c>
      <c r="C34" s="18">
        <f>'Macros and Food Info'!E7</f>
        <v>0.3</v>
      </c>
      <c r="D34" s="18">
        <f>IF(G22 = "High Carb", 'Macros and Food Info'!E8,'Macros and Food Info'!E16)</f>
        <v>0.2</v>
      </c>
      <c r="E34" s="18">
        <f>IF(G22 = "High Carb", 'Macros and Food Info'!E9,'Macros and Food Info'!E17)</f>
        <v>0.5</v>
      </c>
    </row>
    <row r="35" spans="1:13" ht="14.7" thickBot="1" x14ac:dyDescent="0.6">
      <c r="B35" s="14" t="s">
        <v>40</v>
      </c>
      <c r="C35" s="19"/>
      <c r="D35" s="19"/>
      <c r="E35" s="20"/>
      <c r="F35" s="53" t="s">
        <v>43</v>
      </c>
      <c r="G35" s="55"/>
      <c r="H35" s="55"/>
    </row>
    <row r="36" spans="1:13" x14ac:dyDescent="0.55000000000000004">
      <c r="G36" s="4"/>
      <c r="H36" s="4"/>
      <c r="I36" s="4"/>
      <c r="K36" s="3"/>
      <c r="L36" s="3"/>
      <c r="M36" s="3"/>
    </row>
    <row r="41" spans="1:13" x14ac:dyDescent="0.55000000000000004">
      <c r="A41" s="21" t="s">
        <v>45</v>
      </c>
      <c r="B41" s="22" t="s">
        <v>46</v>
      </c>
    </row>
    <row r="42" spans="1:13" x14ac:dyDescent="0.55000000000000004">
      <c r="A42" s="3" t="s">
        <v>47</v>
      </c>
      <c r="B42" s="23" t="s">
        <v>53</v>
      </c>
    </row>
    <row r="43" spans="1:13" x14ac:dyDescent="0.55000000000000004">
      <c r="A43" s="3" t="s">
        <v>48</v>
      </c>
      <c r="B43" s="23" t="s">
        <v>54</v>
      </c>
    </row>
    <row r="44" spans="1:13" x14ac:dyDescent="0.55000000000000004">
      <c r="A44" s="3" t="s">
        <v>49</v>
      </c>
      <c r="B44" s="23" t="s">
        <v>55</v>
      </c>
    </row>
    <row r="45" spans="1:13" x14ac:dyDescent="0.55000000000000004">
      <c r="A45" s="3" t="s">
        <v>50</v>
      </c>
      <c r="B45" s="23" t="s">
        <v>56</v>
      </c>
    </row>
    <row r="46" spans="1:13" x14ac:dyDescent="0.55000000000000004">
      <c r="A46" s="3" t="s">
        <v>51</v>
      </c>
      <c r="B46" s="23" t="s">
        <v>57</v>
      </c>
    </row>
    <row r="47" spans="1:13" x14ac:dyDescent="0.55000000000000004">
      <c r="A47" s="3" t="s">
        <v>52</v>
      </c>
      <c r="B47" s="23" t="s">
        <v>58</v>
      </c>
    </row>
    <row r="48" spans="1:13" x14ac:dyDescent="0.55000000000000004">
      <c r="B48" s="23" t="s">
        <v>59</v>
      </c>
    </row>
  </sheetData>
  <mergeCells count="5">
    <mergeCell ref="G22:H22"/>
    <mergeCell ref="C2:G4"/>
    <mergeCell ref="I29:L29"/>
    <mergeCell ref="F35:H35"/>
    <mergeCell ref="C16:J18"/>
  </mergeCells>
  <dataValidations count="1">
    <dataValidation type="list" allowBlank="1" showInputMessage="1" showErrorMessage="1" sqref="G22:H22" xr:uid="{B0DE77F7-0646-47E0-AC77-AB088B93D944}">
      <formula1>$G$21:$H$21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D80AC1-7E18-48FA-ABA2-7098FB195303}">
          <x14:formula1>
            <xm:f>'Macros and Food Info'!$I$6:$I$37</xm:f>
          </x14:formula1>
          <xm:sqref>C9:C10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Macros and Food Info</vt:lpstr>
      <vt:lpstr>Choose Foods for the day</vt:lpstr>
      <vt:lpstr>Choose Meals and Servings</vt:lpstr>
      <vt:lpstr>Create Meal 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Mr.</dc:creator>
  <cp:lastModifiedBy>Vincent Mr.</cp:lastModifiedBy>
  <dcterms:created xsi:type="dcterms:W3CDTF">2022-05-12T15:21:56Z</dcterms:created>
  <dcterms:modified xsi:type="dcterms:W3CDTF">2022-05-24T19:06:47Z</dcterms:modified>
</cp:coreProperties>
</file>