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Documents\Project Waste\"/>
    </mc:Choice>
  </mc:AlternateContent>
  <xr:revisionPtr revIDLastSave="0" documentId="13_ncr:1_{CE346389-72C2-4A80-A9A7-90FCDD4F6BC5}" xr6:coauthVersionLast="47" xr6:coauthVersionMax="47" xr10:uidLastSave="{00000000-0000-0000-0000-000000000000}"/>
  <bookViews>
    <workbookView xWindow="-108" yWindow="-108" windowWidth="23256" windowHeight="12456" activeTab="1" xr2:uid="{875EC5E4-E146-495E-99C1-45A6F4AD6169}"/>
  </bookViews>
  <sheets>
    <sheet name="Sheet1" sheetId="1" r:id="rId1"/>
    <sheet name="Sheet3" sheetId="3" r:id="rId2"/>
    <sheet name="Sheet2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3" l="1"/>
  <c r="G8" i="3"/>
  <c r="I8" i="3"/>
  <c r="K3" i="1"/>
  <c r="L3" i="1"/>
  <c r="I3" i="1"/>
  <c r="M3" i="1"/>
  <c r="K4" i="1"/>
  <c r="L4" i="1"/>
  <c r="I4" i="1"/>
  <c r="M4" i="1"/>
  <c r="K5" i="1"/>
  <c r="L5" i="1"/>
  <c r="I5" i="1"/>
  <c r="M5" i="1"/>
  <c r="K6" i="1"/>
  <c r="L6" i="1"/>
  <c r="I6" i="1"/>
  <c r="M6" i="1"/>
  <c r="K7" i="1"/>
  <c r="L7" i="1"/>
  <c r="I7" i="1"/>
  <c r="M7" i="1"/>
  <c r="K8" i="1"/>
  <c r="L8" i="1"/>
  <c r="I8" i="1"/>
  <c r="M8" i="1"/>
  <c r="K9" i="1"/>
  <c r="L9" i="1"/>
  <c r="I9" i="1"/>
  <c r="M9" i="1"/>
  <c r="K10" i="1"/>
  <c r="L10" i="1"/>
  <c r="I10" i="1"/>
  <c r="M10" i="1"/>
  <c r="K11" i="1"/>
  <c r="L11" i="1"/>
  <c r="I11" i="1"/>
  <c r="M11" i="1"/>
  <c r="K12" i="1"/>
  <c r="L12" i="1"/>
  <c r="I12" i="1"/>
  <c r="M12" i="1"/>
  <c r="K13" i="1"/>
  <c r="L13" i="1"/>
  <c r="I13" i="1"/>
  <c r="M13" i="1"/>
  <c r="K14" i="1"/>
  <c r="L14" i="1"/>
  <c r="I14" i="1"/>
  <c r="M14" i="1"/>
  <c r="K15" i="1"/>
  <c r="L15" i="1"/>
  <c r="I15" i="1"/>
  <c r="M15" i="1"/>
  <c r="K16" i="1"/>
  <c r="L16" i="1"/>
  <c r="I16" i="1"/>
  <c r="M16" i="1"/>
  <c r="K17" i="1"/>
  <c r="L17" i="1"/>
  <c r="I17" i="1"/>
  <c r="M17" i="1"/>
  <c r="K18" i="1"/>
  <c r="L18" i="1"/>
  <c r="I18" i="1"/>
  <c r="M18" i="1"/>
  <c r="K19" i="1"/>
  <c r="L19" i="1"/>
  <c r="I19" i="1"/>
  <c r="M19" i="1"/>
  <c r="K20" i="1"/>
  <c r="L20" i="1"/>
  <c r="I20" i="1"/>
  <c r="M20" i="1"/>
  <c r="K21" i="1"/>
  <c r="L21" i="1"/>
  <c r="I21" i="1"/>
  <c r="M21" i="1"/>
  <c r="K22" i="1"/>
  <c r="L22" i="1"/>
  <c r="I22" i="1"/>
  <c r="M22" i="1"/>
  <c r="K23" i="1"/>
  <c r="L23" i="1"/>
  <c r="I23" i="1"/>
  <c r="M23" i="1"/>
  <c r="K24" i="1"/>
  <c r="L24" i="1"/>
  <c r="I24" i="1"/>
  <c r="M24" i="1"/>
  <c r="K25" i="1"/>
  <c r="L25" i="1"/>
  <c r="I25" i="1"/>
  <c r="M25" i="1"/>
  <c r="K26" i="1"/>
  <c r="L26" i="1"/>
  <c r="I26" i="1"/>
  <c r="M26" i="1"/>
  <c r="K27" i="1"/>
  <c r="L27" i="1"/>
  <c r="I27" i="1"/>
  <c r="M27" i="1"/>
  <c r="K28" i="1"/>
  <c r="L28" i="1"/>
  <c r="I28" i="1"/>
  <c r="M28" i="1"/>
  <c r="K29" i="1"/>
  <c r="L29" i="1"/>
  <c r="I29" i="1"/>
  <c r="M29" i="1"/>
  <c r="K30" i="1"/>
  <c r="L30" i="1"/>
  <c r="I30" i="1"/>
  <c r="M30" i="1"/>
  <c r="K31" i="1"/>
  <c r="L31" i="1"/>
  <c r="I31" i="1"/>
  <c r="M31" i="1"/>
  <c r="K32" i="1"/>
  <c r="L32" i="1"/>
  <c r="I32" i="1"/>
  <c r="M32" i="1"/>
  <c r="K33" i="1"/>
  <c r="L33" i="1"/>
  <c r="I33" i="1"/>
  <c r="M33" i="1"/>
  <c r="K34" i="1"/>
  <c r="L34" i="1"/>
  <c r="I34" i="1"/>
  <c r="M34" i="1"/>
  <c r="M35" i="1"/>
  <c r="K2" i="1"/>
  <c r="L2" i="1"/>
  <c r="I2" i="1"/>
  <c r="M2" i="1"/>
  <c r="G3" i="1"/>
  <c r="J3" i="1"/>
  <c r="G10" i="3"/>
  <c r="G11" i="3"/>
  <c r="P3" i="1"/>
  <c r="Q3" i="1"/>
  <c r="G4" i="1"/>
  <c r="J4" i="1"/>
  <c r="P4" i="1"/>
  <c r="Q4" i="1"/>
  <c r="J5" i="1"/>
  <c r="P5" i="1"/>
  <c r="Q5" i="1"/>
  <c r="G6" i="1"/>
  <c r="J6" i="1"/>
  <c r="P6" i="1"/>
  <c r="Q6" i="1"/>
  <c r="G7" i="1"/>
  <c r="J7" i="1"/>
  <c r="P7" i="1"/>
  <c r="Q7" i="1"/>
  <c r="G8" i="1"/>
  <c r="J8" i="1"/>
  <c r="P8" i="1"/>
  <c r="Q8" i="1"/>
  <c r="G9" i="1"/>
  <c r="J9" i="1"/>
  <c r="P9" i="1"/>
  <c r="Q9" i="1"/>
  <c r="G10" i="1"/>
  <c r="J10" i="1"/>
  <c r="P10" i="1"/>
  <c r="Q10" i="1"/>
  <c r="G11" i="1"/>
  <c r="J11" i="1"/>
  <c r="P11" i="1"/>
  <c r="Q11" i="1"/>
  <c r="G12" i="1"/>
  <c r="J12" i="1"/>
  <c r="P12" i="1"/>
  <c r="Q12" i="1"/>
  <c r="G13" i="1"/>
  <c r="J13" i="1"/>
  <c r="P13" i="1"/>
  <c r="Q13" i="1"/>
  <c r="J14" i="1"/>
  <c r="P14" i="1"/>
  <c r="Q14" i="1"/>
  <c r="G15" i="1"/>
  <c r="J15" i="1"/>
  <c r="P15" i="1"/>
  <c r="Q15" i="1"/>
  <c r="G16" i="1"/>
  <c r="J16" i="1"/>
  <c r="P16" i="1"/>
  <c r="Q16" i="1"/>
  <c r="G17" i="1"/>
  <c r="J17" i="1"/>
  <c r="P17" i="1"/>
  <c r="Q17" i="1"/>
  <c r="G18" i="1"/>
  <c r="J18" i="1"/>
  <c r="P18" i="1"/>
  <c r="Q18" i="1"/>
  <c r="G19" i="1"/>
  <c r="J19" i="1"/>
  <c r="P19" i="1"/>
  <c r="Q19" i="1"/>
  <c r="J20" i="1"/>
  <c r="P20" i="1"/>
  <c r="Q20" i="1"/>
  <c r="G21" i="1"/>
  <c r="J21" i="1"/>
  <c r="P21" i="1"/>
  <c r="Q21" i="1"/>
  <c r="G22" i="1"/>
  <c r="J22" i="1"/>
  <c r="P22" i="1"/>
  <c r="Q22" i="1"/>
  <c r="P23" i="1"/>
  <c r="Q23" i="1"/>
  <c r="G24" i="1"/>
  <c r="J24" i="1"/>
  <c r="P24" i="1"/>
  <c r="Q24" i="1"/>
  <c r="G25" i="1"/>
  <c r="J25" i="1"/>
  <c r="P25" i="1"/>
  <c r="Q25" i="1"/>
  <c r="G26" i="1"/>
  <c r="J26" i="1"/>
  <c r="P26" i="1"/>
  <c r="Q26" i="1"/>
  <c r="J27" i="1"/>
  <c r="P27" i="1"/>
  <c r="Q27" i="1"/>
  <c r="J28" i="1"/>
  <c r="P28" i="1"/>
  <c r="Q28" i="1"/>
  <c r="J29" i="1"/>
  <c r="P29" i="1"/>
  <c r="Q29" i="1"/>
  <c r="J30" i="1"/>
  <c r="P30" i="1"/>
  <c r="Q30" i="1"/>
  <c r="G31" i="1"/>
  <c r="J31" i="1"/>
  <c r="P31" i="1"/>
  <c r="Q31" i="1"/>
  <c r="J32" i="1"/>
  <c r="P32" i="1"/>
  <c r="Q32" i="1"/>
  <c r="J33" i="1"/>
  <c r="P33" i="1"/>
  <c r="Q33" i="1"/>
  <c r="J34" i="1"/>
  <c r="P34" i="1"/>
  <c r="Q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F2" i="1"/>
  <c r="G2" i="1"/>
  <c r="J2" i="1"/>
  <c r="P2" i="1"/>
  <c r="Q2" i="1"/>
  <c r="O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  <c r="F3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2" i="1"/>
  <c r="J18" i="3"/>
  <c r="J17" i="3"/>
  <c r="J35" i="1"/>
  <c r="G13" i="3"/>
  <c r="D13" i="3"/>
  <c r="D8" i="3"/>
  <c r="D9" i="3"/>
  <c r="E11" i="3"/>
  <c r="E13" i="3"/>
  <c r="H10" i="3"/>
  <c r="P35" i="1"/>
  <c r="K35" i="1"/>
  <c r="G3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D18" i="3"/>
  <c r="D20" i="3"/>
  <c r="D21" i="3"/>
  <c r="H17" i="3"/>
  <c r="I16" i="3"/>
  <c r="I19" i="3"/>
  <c r="J16" i="3"/>
  <c r="L16" i="3"/>
  <c r="L19" i="3"/>
  <c r="L20" i="3"/>
  <c r="M19" i="3"/>
  <c r="L9" i="3"/>
  <c r="F16" i="3"/>
  <c r="D24" i="3"/>
  <c r="D12" i="3"/>
  <c r="D10" i="3"/>
  <c r="D11" i="3"/>
  <c r="I14" i="3"/>
  <c r="J14" i="3"/>
  <c r="G14" i="3"/>
</calcChain>
</file>

<file path=xl/sharedStrings.xml><?xml version="1.0" encoding="utf-8"?>
<sst xmlns="http://schemas.openxmlformats.org/spreadsheetml/2006/main" count="136" uniqueCount="112">
  <si>
    <t>ΔΗΜΟΙ</t>
  </si>
  <si>
    <t>Ν.ΦΙΛΑΔΕΛΦΕΙΑ</t>
  </si>
  <si>
    <t>ΑΓΙΟΣ ΔΗΜΗΤΡΙΟΣ</t>
  </si>
  <si>
    <t>ΜΑΡΑΘΩΝΑΣ</t>
  </si>
  <si>
    <t>ΓΛΥΦΑΔΑ</t>
  </si>
  <si>
    <t>Ν.ΙΟΝΙΑ</t>
  </si>
  <si>
    <t>ΗΛΙΟΥΠΟΛΗ</t>
  </si>
  <si>
    <t>ΝΕΑ ΣΜΥΡΝΗ</t>
  </si>
  <si>
    <t>ΓΑΛΑΤΣΙ</t>
  </si>
  <si>
    <t>ΧΟΛΑΡΓΟΣ</t>
  </si>
  <si>
    <t>ΒΡΙΛΗΣΙΑ</t>
  </si>
  <si>
    <t>ΤΟΠΟΥΛΟΓΛΟΥ ΓΙΑΝΝΗΣ</t>
  </si>
  <si>
    <t>ΜΑΜΑΛΑΚΗΣ ΣΤΕΛΙΟΣ</t>
  </si>
  <si>
    <t>ΣΤΕΡΓΙΟΣ ΤΣΙΓΓΑΣ</t>
  </si>
  <si>
    <t>ΠΑΠΑΝΙΚΟΛΑΟΥ ΓΙΩΡΓΟΣ</t>
  </si>
  <si>
    <t>ΜΑΝΟΥΡΗΣ ΠΑΝΑΓΙΩΤΗΣ</t>
  </si>
  <si>
    <t>ΨΗΡΟΠΟΥΛΟΣ</t>
  </si>
  <si>
    <t>ΚΟΥΤΕΛΑΚΗΣ ΓΙΩΡΓΟΣ</t>
  </si>
  <si>
    <t>ΜΠΑΚΟΠΟΥΛΟΣ ΓΙΩΡΓΟΣ</t>
  </si>
  <si>
    <t>ΑΠΟΣΤΟΛΟΠΟΥΛΟΣ ΗΛΙΑΣ</t>
  </si>
  <si>
    <t>ΠΙΣΗΜΗΣΗΣ ΓΙΑΝΝΗΣ</t>
  </si>
  <si>
    <t>ΚΑΛΑΜΑΤΑ</t>
  </si>
  <si>
    <t>ΒΑΣΙΛΟΠΟΥΛΟΣ ΑΘΑΝΑΣΙΟΣ</t>
  </si>
  <si>
    <t>1 ΑΠΟΤΕΛΕΣΜΑ</t>
  </si>
  <si>
    <t>ΟΝΟΜΑ</t>
  </si>
  <si>
    <t>ΤΗΛΕΦΩΝΟ</t>
  </si>
  <si>
    <t>Α</t>
  </si>
  <si>
    <t>DONE</t>
  </si>
  <si>
    <t>ΑΙΓΑΛΕΩ</t>
  </si>
  <si>
    <t>ΤΕΜΠΕΛΙΚΟΣ ΔΗΜΗΤΡΗΣ</t>
  </si>
  <si>
    <t>2 ΑΠΟΤΕΛΕΣΜΑ</t>
  </si>
  <si>
    <t>ΛΕΥΚΑΔΑ</t>
  </si>
  <si>
    <t>ΒΕΡΓΙΝΗΣ</t>
  </si>
  <si>
    <t>DONE ΕΊΝΑΙ ΘΕΤΙΚΟΣ</t>
  </si>
  <si>
    <t>DONE ΕΊΝΑΙ ΘΕΤΙΚΟΣ ΘΑ ΠΑΡΕΙ ΝΑ ΤΟ ΔΟΥΜΕ ΜΕ ΤΟΥΣ ΣΥΜΒΟΥΛΟΥΣ ΤΟΥ</t>
  </si>
  <si>
    <t>ΠΗΡΑ ΤΗΛ ΘΑ ΜΕ ΠΑΡΕΙ ΠΙΣΩ</t>
  </si>
  <si>
    <t xml:space="preserve">ΑΝΑΓΕΝΝΗΣΕΩΣ 44 ΜΕΤΑΜΟΡΦΩΣΗ ΔΕΣΤΟΥΝΗΣ ΧΡΗΣΤΟΣ 697800022 </t>
  </si>
  <si>
    <t>ΠΗΡΕ ΚΑΙ ΜΙΛΗΣΑΜΕ</t>
  </si>
  <si>
    <t xml:space="preserve">DONE ΕΝΔΙΑΦΕΡΟΝΤΑΙ </t>
  </si>
  <si>
    <t>sms</t>
  </si>
  <si>
    <t xml:space="preserve">μα  6973916179 μανωλης μιγαδακης  11 πμ την τεταρτη στο δημαρχείο </t>
  </si>
  <si>
    <t>DONE ΕΝΔΙΑΦΕΡΟΝΤΑΙ ΘΑ ΜΙΛΗΣΕΙ ΜΕ ΔΗΜΑΡΧΟ ΕΣΤΕΙΛΑ EMAIL</t>
  </si>
  <si>
    <t>ΑΜΑΡΟΥΣΙΟ</t>
  </si>
  <si>
    <t>ΑΜΠΑΤΖΟΓΛΟΥ</t>
  </si>
  <si>
    <t>ΠΕΡΙΣΤΕΡΙ</t>
  </si>
  <si>
    <t>ΚΑΡΔΙΤΣΑ</t>
  </si>
  <si>
    <t>TΣΙΑΚΟΣ ΒΑΣΙΛΗΣ</t>
  </si>
  <si>
    <t>ΑΓΙΑ ΠΑΡΑΣΚΕΥΗ</t>
  </si>
  <si>
    <t>ΙΩΑΝΝΗΣ ΜΥΛΟΝΑΚΗΣ</t>
  </si>
  <si>
    <t>ΠΑΛΛΗΝΗ</t>
  </si>
  <si>
    <t xml:space="preserve">ΛΑΡΙΣΑ </t>
  </si>
  <si>
    <t>ΤΣΑΚΑΣ</t>
  </si>
  <si>
    <t>ΑΙΔΩΝΗΣ</t>
  </si>
  <si>
    <t>ΤΣΙΩΤΑ ΜΑΡΙΑ</t>
  </si>
  <si>
    <t>ΚΑΤΕΡΙΝΗ</t>
  </si>
  <si>
    <t>ΝΤΟΥΜΟΣ</t>
  </si>
  <si>
    <t>Ν ΗΡΑΚΛΕΙΟ</t>
  </si>
  <si>
    <t xml:space="preserve">ΜΠΑΜΠΑΛΟΣ </t>
  </si>
  <si>
    <t>ΚΟΡΩΠΙ</t>
  </si>
  <si>
    <t>ΚΙΟΥΣΗΣ</t>
  </si>
  <si>
    <t>ΠΑΛΑΙΟ ΦΑΛΗΡΟ</t>
  </si>
  <si>
    <t>ΣΑΛΑΜΙΝΑ</t>
  </si>
  <si>
    <t>3Β</t>
  </si>
  <si>
    <t>ΑΧΑΡΝΑΙ</t>
  </si>
  <si>
    <t>ΑΘΗΝΑ</t>
  </si>
  <si>
    <t>ΚΑΛΛΙΘΕΑ</t>
  </si>
  <si>
    <t>ΑΛΙΜΟΣ</t>
  </si>
  <si>
    <t>ΠΕΙΡΑΙΑΣ</t>
  </si>
  <si>
    <t>ΒΡΕΤΟΣ</t>
  </si>
  <si>
    <t>ΝΙΚΟΣ</t>
  </si>
  <si>
    <t>ΦΩΣΤΗΡΟΠΟΥΛΟΣ</t>
  </si>
  <si>
    <t>ΠΑΝΑΓΟΠΟΥΛΟΣ</t>
  </si>
  <si>
    <t xml:space="preserve"> ΑΣΚΟΥΝΗΣ</t>
  </si>
  <si>
    <t>ΝΟ</t>
  </si>
  <si>
    <t>ΚΟΝΔΥΛΗΣ</t>
  </si>
  <si>
    <t>ΠΕΝΤΕΛΗ</t>
  </si>
  <si>
    <t>ΚΟΣΜΟΠΟΥΛΟΥ</t>
  </si>
  <si>
    <t>BABABALOSN@OTENET.GR ΝΑ ΣΤΕΙΛΩ ΕΜΑΙΛ</t>
  </si>
  <si>
    <t>DONE ΑΤΣΑΡΟΣ ΑΛΕΞΗΣ 6980370919</t>
  </si>
  <si>
    <t>ΚΟΣΤΟΣ</t>
  </si>
  <si>
    <t>ΠΩΛΗΣΗ</t>
  </si>
  <si>
    <t>ΚΕΡΔΗ ΠΡΟ ΦΟΡΩΝ</t>
  </si>
  <si>
    <t>ΠΡΟΜΗΘΕΙΑ</t>
  </si>
  <si>
    <t xml:space="preserve">ΚΑΔΟΙ </t>
  </si>
  <si>
    <t>ΣΥΝΟΛΟ</t>
  </si>
  <si>
    <t>pare pali</t>
  </si>
  <si>
    <t>ΑΓΡΙΝΙΟ</t>
  </si>
  <si>
    <t>ΤΡΙΠΟΛΗ</t>
  </si>
  <si>
    <t>ΠΑΠΑΝΑΣΤΑΣΙΟΥ ΓΕΩΡΓΙΟ</t>
  </si>
  <si>
    <t>ΤΖΙΟΥΜΗΣ ΚΩΣΤΑΣ</t>
  </si>
  <si>
    <t>Φόροι</t>
  </si>
  <si>
    <t>Προμήθεια</t>
  </si>
  <si>
    <t>Κέρδοι</t>
  </si>
  <si>
    <t>Λειτουργικά</t>
  </si>
  <si>
    <t>Εγγύηση</t>
  </si>
  <si>
    <t>ΚΩΝΣΤΑΝΤΕΛΟΣ</t>
  </si>
  <si>
    <t>ΚΗΦΙΣΙΑ</t>
  </si>
  <si>
    <t>ΑΡΓΥΡΟΥΠΟΛΗ</t>
  </si>
  <si>
    <t>ΚΑΔΟΙ</t>
  </si>
  <si>
    <t>PROFIT EBITA</t>
  </si>
  <si>
    <t>ραντεβού Γενικός  Την Τετάρτη  11 μμ Σαχιωτη</t>
  </si>
  <si>
    <t>τριτη 12 μμ ομηρου 6</t>
  </si>
  <si>
    <t>βουλιαγμενης 205 9:30</t>
  </si>
  <si>
    <t>10:30  stis 8/10</t>
  </si>
  <si>
    <t>ΚΕΡΔΗ ΜΕΤΑ ΦΟΡΩΝ</t>
  </si>
  <si>
    <t>Provision ΕΒΙΤΑ</t>
  </si>
  <si>
    <t>ΧΡΗΜΑΤΟ/ΣΗ *1000</t>
  </si>
  <si>
    <t>Κόστος παραγωγής</t>
  </si>
  <si>
    <t>Κέρδη Μετά Φόρων</t>
  </si>
  <si>
    <t>Μαρκετινγ2</t>
  </si>
  <si>
    <t>Μαρκετινγ1</t>
  </si>
  <si>
    <t>ΧΡΗΜ - VAT24%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</si>
</sst>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XDR&quot;_-;\-* #,##0.00\ &quot;XDR&quot;_-;_-* &quot;-&quot;??\ &quot;XDR&quot;_-;_-@_-"/>
    <numFmt numFmtId="164" formatCode="0.0%"/>
    <numFmt numFmtId="165" formatCode="_-[$€-2]\ * #,##0.00_-;\-[$€-2]\ * #,##0.00_-;_-[$€-2]\ * &quot;-&quot;??_-;_-@_-"/>
    <numFmt numFmtId="170" formatCode="_-[$€-2]\ * #,##0_-;\-[$€-2]\ * #,##0_-;_-[$€-2]\ * &quot;-&quot;??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16" fontId="0" fillId="2" borderId="1" xfId="0" applyNumberFormat="1" applyFill="1" applyBorder="1"/>
    <xf numFmtId="0" fontId="1" fillId="0" borderId="1" xfId="0" applyFont="1" applyBorder="1" applyAlignment="1">
      <alignment horizontal="right" vertical="center"/>
    </xf>
    <xf numFmtId="0" fontId="0" fillId="2" borderId="2" xfId="0" applyFill="1" applyBorder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" fontId="1" fillId="0" borderId="0" xfId="0" applyNumberFormat="1" applyFont="1"/>
    <xf numFmtId="164" fontId="5" fillId="0" borderId="0" xfId="2" applyNumberFormat="1" applyFont="1"/>
    <xf numFmtId="1" fontId="6" fillId="0" borderId="0" xfId="0" applyNumberFormat="1" applyFont="1"/>
    <xf numFmtId="165" fontId="1" fillId="0" borderId="0" xfId="0" applyNumberFormat="1" applyFont="1"/>
    <xf numFmtId="165" fontId="0" fillId="0" borderId="0" xfId="3" applyNumberFormat="1" applyFont="1"/>
    <xf numFmtId="165" fontId="0" fillId="0" borderId="0" xfId="0" applyNumberFormat="1"/>
    <xf numFmtId="0" fontId="0" fillId="4" borderId="1" xfId="0" applyFill="1" applyBorder="1"/>
    <xf numFmtId="0" fontId="2" fillId="2" borderId="3" xfId="0" applyFont="1" applyFill="1" applyBorder="1"/>
    <xf numFmtId="0" fontId="0" fillId="0" borderId="3" xfId="0" applyBorder="1"/>
    <xf numFmtId="0" fontId="0" fillId="3" borderId="1" xfId="0" applyFill="1" applyBorder="1"/>
    <xf numFmtId="0" fontId="3" fillId="3" borderId="1" xfId="1" applyFill="1" applyBorder="1"/>
    <xf numFmtId="0" fontId="0" fillId="5" borderId="0" xfId="0" applyFill="1"/>
    <xf numFmtId="0" fontId="0" fillId="3" borderId="2" xfId="0" applyFill="1" applyBorder="1"/>
    <xf numFmtId="0" fontId="0" fillId="4" borderId="1" xfId="0" applyNumberFormat="1" applyFill="1" applyBorder="1"/>
    <xf numFmtId="1" fontId="0" fillId="4" borderId="1" xfId="0" applyNumberFormat="1" applyFill="1" applyBorder="1"/>
    <xf numFmtId="1" fontId="0" fillId="0" borderId="0" xfId="0" applyNumberFormat="1"/>
    <xf numFmtId="165" fontId="0" fillId="4" borderId="1" xfId="0" applyNumberFormat="1" applyFill="1" applyBorder="1"/>
    <xf numFmtId="9" fontId="0" fillId="4" borderId="1" xfId="2" applyFont="1" applyFill="1" applyBorder="1"/>
    <xf numFmtId="1" fontId="1" fillId="4" borderId="1" xfId="0" applyNumberFormat="1" applyFont="1" applyFill="1" applyBorder="1"/>
    <xf numFmtId="1" fontId="5" fillId="4" borderId="1" xfId="0" applyNumberFormat="1" applyFont="1" applyFill="1" applyBorder="1"/>
    <xf numFmtId="0" fontId="0" fillId="6" borderId="0" xfId="0" applyFill="1"/>
    <xf numFmtId="165" fontId="1" fillId="6" borderId="0" xfId="0" applyNumberFormat="1" applyFont="1" applyFill="1"/>
    <xf numFmtId="9" fontId="0" fillId="6" borderId="1" xfId="2" applyFont="1" applyFill="1" applyBorder="1"/>
    <xf numFmtId="165" fontId="0" fillId="6" borderId="0" xfId="0" applyNumberFormat="1" applyFill="1"/>
    <xf numFmtId="0" fontId="1" fillId="5" borderId="1" xfId="0" applyFont="1" applyFill="1" applyBorder="1"/>
    <xf numFmtId="170" fontId="0" fillId="4" borderId="1" xfId="0" applyNumberFormat="1" applyFill="1" applyBorder="1"/>
    <xf numFmtId="170" fontId="0" fillId="0" borderId="0" xfId="3" applyNumberFormat="1" applyFont="1"/>
    <xf numFmtId="170" fontId="0" fillId="0" borderId="0" xfId="0" applyNumberFormat="1"/>
    <xf numFmtId="0" fontId="1" fillId="7" borderId="1" xfId="0" applyFont="1" applyFill="1" applyBorder="1"/>
    <xf numFmtId="170" fontId="0" fillId="7" borderId="1" xfId="0" applyNumberFormat="1" applyFill="1" applyBorder="1"/>
    <xf numFmtId="170" fontId="0" fillId="7" borderId="0" xfId="3" applyNumberFormat="1" applyFont="1" applyFill="1"/>
    <xf numFmtId="0" fontId="0" fillId="7" borderId="0" xfId="0" applyFill="1"/>
  </cellXfs>
  <cellStyles count="4">
    <cellStyle name="Currency" xfId="3" builtinId="4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BABALOSN@OTENET.GR%20&#925;&#913;%20&#931;&#932;&#917;&#921;&#923;&#937;%20&#917;&#924;&#913;&#921;&#92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A96C-ED9D-4FAE-A630-58C70EAA6C5D}">
  <dimension ref="A1:T38"/>
  <sheetViews>
    <sheetView topLeftCell="J20" zoomScale="140" zoomScaleNormal="140" workbookViewId="0">
      <selection activeCell="G35" sqref="G35"/>
    </sheetView>
  </sheetViews>
  <sheetFormatPr defaultRowHeight="14.4" x14ac:dyDescent="0.3"/>
  <cols>
    <col min="1" max="1" width="38.33203125" style="21" bestFit="1" customWidth="1"/>
    <col min="2" max="2" width="4.33203125" customWidth="1"/>
    <col min="3" max="3" width="16.21875" bestFit="1" customWidth="1"/>
    <col min="4" max="4" width="22" bestFit="1" customWidth="1"/>
    <col min="5" max="5" width="11.21875" bestFit="1" customWidth="1"/>
    <col min="6" max="6" width="18.109375" bestFit="1" customWidth="1"/>
    <col min="7" max="7" width="15.6640625" bestFit="1" customWidth="1"/>
    <col min="8" max="8" width="17.33203125" bestFit="1" customWidth="1"/>
    <col min="9" max="9" width="17.33203125" style="41" customWidth="1"/>
    <col min="10" max="10" width="14.109375" bestFit="1" customWidth="1"/>
    <col min="11" max="11" width="14.6640625" bestFit="1" customWidth="1"/>
    <col min="12" max="14" width="14.6640625" customWidth="1"/>
    <col min="15" max="15" width="14.6640625" style="30" customWidth="1"/>
    <col min="16" max="16" width="14.6640625" bestFit="1" customWidth="1"/>
    <col min="17" max="17" width="14.6640625" customWidth="1"/>
    <col min="18" max="19" width="62.44140625" bestFit="1" customWidth="1"/>
    <col min="20" max="20" width="42.77734375" bestFit="1" customWidth="1"/>
    <col min="21" max="21" width="13.33203125" bestFit="1" customWidth="1"/>
  </cols>
  <sheetData>
    <row r="1" spans="1:20" x14ac:dyDescent="0.3">
      <c r="B1" s="5" t="s">
        <v>26</v>
      </c>
      <c r="C1" s="2" t="s">
        <v>0</v>
      </c>
      <c r="D1" s="2" t="s">
        <v>24</v>
      </c>
      <c r="E1" s="2" t="s">
        <v>25</v>
      </c>
      <c r="F1" s="2" t="s">
        <v>106</v>
      </c>
      <c r="G1" s="2" t="s">
        <v>111</v>
      </c>
      <c r="H1" s="2" t="s">
        <v>107</v>
      </c>
      <c r="I1" s="38" t="s">
        <v>108</v>
      </c>
      <c r="J1" s="2" t="s">
        <v>98</v>
      </c>
      <c r="K1" s="2" t="s">
        <v>105</v>
      </c>
      <c r="L1" s="2" t="s">
        <v>110</v>
      </c>
      <c r="M1" s="2"/>
      <c r="N1" s="2" t="s">
        <v>109</v>
      </c>
      <c r="O1" s="34"/>
      <c r="P1" s="2" t="s">
        <v>99</v>
      </c>
      <c r="Q1" s="2"/>
      <c r="R1" s="2" t="s">
        <v>23</v>
      </c>
      <c r="S1" s="2" t="s">
        <v>30</v>
      </c>
    </row>
    <row r="2" spans="1:20" x14ac:dyDescent="0.3">
      <c r="B2" s="16">
        <v>1</v>
      </c>
      <c r="C2" s="16" t="s">
        <v>1</v>
      </c>
      <c r="D2" s="16" t="s">
        <v>11</v>
      </c>
      <c r="E2" s="16">
        <v>6944383886</v>
      </c>
      <c r="F2" s="16">
        <f>594</f>
        <v>594</v>
      </c>
      <c r="G2" s="24">
        <f>F2-(F2*1.24-F2)-50</f>
        <v>401.44000000000005</v>
      </c>
      <c r="H2" s="35">
        <f>J2*Sheet3!$G$5</f>
        <v>173957.33333333337</v>
      </c>
      <c r="I2" s="39">
        <f>J2*Sheet3!$G$8</f>
        <v>177436.48000000004</v>
      </c>
      <c r="J2" s="35">
        <f>G2*1000/Sheet3!G4</f>
        <v>223.02222222222227</v>
      </c>
      <c r="K2" s="35">
        <f>J2*Sheet3!$I$8</f>
        <v>51456.579200000007</v>
      </c>
      <c r="L2" s="35">
        <f>K2*Sheet3!$J$18</f>
        <v>20582.631680000006</v>
      </c>
      <c r="M2" s="27">
        <f>L2/I2</f>
        <v>0.11600000000000001</v>
      </c>
      <c r="N2" s="35">
        <f>K2*Sheet3!$J$17</f>
        <v>30873.947520000002</v>
      </c>
      <c r="O2" s="32">
        <f>K2/(I2)</f>
        <v>0.28999999999999998</v>
      </c>
      <c r="P2" s="26">
        <f>J2*Sheet3!$G$11</f>
        <v>125979.90080000002</v>
      </c>
      <c r="Q2" s="27">
        <f>P2/(I2)</f>
        <v>0.71</v>
      </c>
      <c r="R2" s="16" t="s">
        <v>33</v>
      </c>
      <c r="S2" s="17" t="s">
        <v>36</v>
      </c>
      <c r="T2" s="7"/>
    </row>
    <row r="3" spans="1:20" x14ac:dyDescent="0.3">
      <c r="B3" s="16">
        <f t="shared" ref="B3:B32" si="0">1+B2</f>
        <v>2</v>
      </c>
      <c r="C3" s="16" t="s">
        <v>2</v>
      </c>
      <c r="D3" s="16" t="s">
        <v>12</v>
      </c>
      <c r="E3" s="16">
        <v>6946622665</v>
      </c>
      <c r="F3" s="16">
        <v>911</v>
      </c>
      <c r="G3" s="24">
        <f t="shared" ref="G3:G31" si="1">F3-(F3*1.24-F3)-50</f>
        <v>642.3599999999999</v>
      </c>
      <c r="H3" s="35">
        <f>J3*Sheet3!$G$5</f>
        <v>278355.99999999994</v>
      </c>
      <c r="I3" s="39">
        <f>J3*Sheet3!$G$8</f>
        <v>283923.12</v>
      </c>
      <c r="J3" s="35">
        <f>G3*1000/Sheet3!G4</f>
        <v>356.86666666666662</v>
      </c>
      <c r="K3" s="35">
        <f>J3*Sheet3!$I$8</f>
        <v>82337.704799999978</v>
      </c>
      <c r="L3" s="35">
        <f>K3*Sheet3!$J$18</f>
        <v>32935.08191999999</v>
      </c>
      <c r="M3" s="27">
        <f t="shared" ref="M3:M35" si="2">L3/I3</f>
        <v>0.11599999999999996</v>
      </c>
      <c r="N3" s="35">
        <f>K3*Sheet3!$J$17</f>
        <v>49402.622879999988</v>
      </c>
      <c r="O3" s="32">
        <f>K3/(I3)</f>
        <v>0.28999999999999992</v>
      </c>
      <c r="P3" s="26">
        <f>J3*Sheet3!$G$11</f>
        <v>201585.41519999996</v>
      </c>
      <c r="Q3" s="27">
        <f>P3/(I3)</f>
        <v>0.70999999999999985</v>
      </c>
      <c r="R3" s="16" t="s">
        <v>34</v>
      </c>
      <c r="T3" s="7"/>
    </row>
    <row r="4" spans="1:20" x14ac:dyDescent="0.3">
      <c r="B4" s="16">
        <f t="shared" si="0"/>
        <v>3</v>
      </c>
      <c r="C4" s="16" t="s">
        <v>3</v>
      </c>
      <c r="D4" s="16" t="s">
        <v>13</v>
      </c>
      <c r="E4" s="16">
        <v>6944276498</v>
      </c>
      <c r="F4" s="16">
        <v>907</v>
      </c>
      <c r="G4" s="24">
        <f>F4-(F4*1.24-F4)-50</f>
        <v>639.31999999999994</v>
      </c>
      <c r="H4" s="35">
        <f>J4*Sheet3!$G$5</f>
        <v>277038.66666666663</v>
      </c>
      <c r="I4" s="39">
        <f>J4*Sheet3!$G$8</f>
        <v>282579.43999999994</v>
      </c>
      <c r="J4" s="35">
        <f>G4*1000/Sheet3!G4</f>
        <v>355.17777777777769</v>
      </c>
      <c r="K4" s="35">
        <f>J4*Sheet3!$I$8</f>
        <v>81948.037599999981</v>
      </c>
      <c r="L4" s="35">
        <f>K4*Sheet3!$J$18</f>
        <v>32779.215039999995</v>
      </c>
      <c r="M4" s="27">
        <f t="shared" si="2"/>
        <v>0.11600000000000001</v>
      </c>
      <c r="N4" s="35">
        <f>K4*Sheet3!$J$17</f>
        <v>49168.822559999986</v>
      </c>
      <c r="O4" s="32">
        <f>K4/(I4)</f>
        <v>0.28999999999999998</v>
      </c>
      <c r="P4" s="26">
        <f>J4*Sheet3!$G$11</f>
        <v>200631.40239999993</v>
      </c>
      <c r="Q4" s="27">
        <f>P4/(I4)</f>
        <v>0.70999999999999985</v>
      </c>
      <c r="R4" s="16" t="s">
        <v>33</v>
      </c>
    </row>
    <row r="5" spans="1:20" x14ac:dyDescent="0.3">
      <c r="B5" s="16">
        <f t="shared" si="0"/>
        <v>4</v>
      </c>
      <c r="C5" s="16" t="s">
        <v>4</v>
      </c>
      <c r="D5" s="16" t="s">
        <v>14</v>
      </c>
      <c r="E5" s="16"/>
      <c r="F5" s="16">
        <v>259</v>
      </c>
      <c r="G5" s="24">
        <v>0</v>
      </c>
      <c r="H5" s="35">
        <f>J5*Sheet3!$G$5</f>
        <v>0</v>
      </c>
      <c r="I5" s="39">
        <f>J5*Sheet3!$G$8</f>
        <v>0</v>
      </c>
      <c r="J5" s="35">
        <f>G5*1000/Sheet3!G4</f>
        <v>0</v>
      </c>
      <c r="K5" s="35">
        <f>J5*Sheet3!$I$8</f>
        <v>0</v>
      </c>
      <c r="L5" s="35">
        <f>K5*Sheet3!$J$18</f>
        <v>0</v>
      </c>
      <c r="M5" s="27" t="e">
        <f t="shared" si="2"/>
        <v>#DIV/0!</v>
      </c>
      <c r="N5" s="35">
        <f>K5*Sheet3!$J$17</f>
        <v>0</v>
      </c>
      <c r="O5" s="32" t="e">
        <f>K5/(I5)</f>
        <v>#DIV/0!</v>
      </c>
      <c r="P5" s="26">
        <f>J5*Sheet3!$G$11</f>
        <v>0</v>
      </c>
      <c r="Q5" s="27" t="e">
        <f>P5/(I5)</f>
        <v>#DIV/0!</v>
      </c>
      <c r="R5" s="16"/>
      <c r="S5" s="18"/>
    </row>
    <row r="6" spans="1:20" x14ac:dyDescent="0.3">
      <c r="B6" s="16">
        <f t="shared" si="0"/>
        <v>5</v>
      </c>
      <c r="C6" s="16" t="s">
        <v>5</v>
      </c>
      <c r="D6" s="16" t="s">
        <v>15</v>
      </c>
      <c r="E6" s="16">
        <v>6980431313</v>
      </c>
      <c r="F6" s="16">
        <v>698</v>
      </c>
      <c r="G6" s="24">
        <f t="shared" si="1"/>
        <v>480.48</v>
      </c>
      <c r="H6" s="35">
        <f>J6*Sheet3!$G$5</f>
        <v>208208</v>
      </c>
      <c r="I6" s="39">
        <f>J6*Sheet3!$G$8</f>
        <v>212372.16</v>
      </c>
      <c r="J6" s="35">
        <f>G6*1000/Sheet3!G4</f>
        <v>266.93333333333334</v>
      </c>
      <c r="K6" s="35">
        <f>J6*Sheet3!$I$8</f>
        <v>61587.926399999997</v>
      </c>
      <c r="L6" s="35">
        <f>K6*Sheet3!$J$18</f>
        <v>24635.170559999999</v>
      </c>
      <c r="M6" s="27">
        <f t="shared" si="2"/>
        <v>0.11599999999999999</v>
      </c>
      <c r="N6" s="35">
        <f>K6*Sheet3!$J$17</f>
        <v>36952.755839999998</v>
      </c>
      <c r="O6" s="32">
        <f>K6/(I6)</f>
        <v>0.28999999999999998</v>
      </c>
      <c r="P6" s="26">
        <f>J6*Sheet3!$G$11</f>
        <v>150784.23360000001</v>
      </c>
      <c r="Q6" s="27">
        <f>P6/(I6)</f>
        <v>0.71000000000000008</v>
      </c>
      <c r="R6" s="16" t="s">
        <v>27</v>
      </c>
      <c r="T6" t="s">
        <v>39</v>
      </c>
    </row>
    <row r="7" spans="1:20" x14ac:dyDescent="0.3">
      <c r="A7" s="21" t="s">
        <v>100</v>
      </c>
      <c r="B7" s="16">
        <f t="shared" si="0"/>
        <v>6</v>
      </c>
      <c r="C7" s="16" t="s">
        <v>6</v>
      </c>
      <c r="D7" s="16" t="s">
        <v>16</v>
      </c>
      <c r="E7" s="16">
        <v>6978518292</v>
      </c>
      <c r="F7" s="16">
        <v>979</v>
      </c>
      <c r="G7" s="24">
        <f t="shared" si="1"/>
        <v>694.04</v>
      </c>
      <c r="H7" s="35">
        <f>J7*Sheet3!$G$5</f>
        <v>300750.66666666669</v>
      </c>
      <c r="I7" s="39">
        <f>J7*Sheet3!$G$8</f>
        <v>306765.68</v>
      </c>
      <c r="J7" s="35">
        <f>G7*1000/Sheet3!G4</f>
        <v>385.57777777777778</v>
      </c>
      <c r="K7" s="35">
        <f>J7*Sheet3!$I$8</f>
        <v>88962.047200000001</v>
      </c>
      <c r="L7" s="35">
        <f>K7*Sheet3!$J$18</f>
        <v>35584.818879999999</v>
      </c>
      <c r="M7" s="27">
        <f t="shared" si="2"/>
        <v>0.11600000000000001</v>
      </c>
      <c r="N7" s="35">
        <f>K7*Sheet3!$J$17</f>
        <v>53377.228320000002</v>
      </c>
      <c r="O7" s="32">
        <f>K7/(I7)</f>
        <v>0.29000000000000004</v>
      </c>
      <c r="P7" s="26">
        <f>J7*Sheet3!$G$11</f>
        <v>217803.63279999999</v>
      </c>
      <c r="Q7" s="27">
        <f>P7/(I7)</f>
        <v>0.71</v>
      </c>
      <c r="R7" s="16" t="s">
        <v>41</v>
      </c>
    </row>
    <row r="8" spans="1:20" x14ac:dyDescent="0.3">
      <c r="A8" s="21" t="s">
        <v>102</v>
      </c>
      <c r="B8" s="16">
        <f t="shared" si="0"/>
        <v>7</v>
      </c>
      <c r="C8" s="16" t="s">
        <v>7</v>
      </c>
      <c r="D8" s="16" t="s">
        <v>17</v>
      </c>
      <c r="E8" s="16">
        <v>6974337000</v>
      </c>
      <c r="F8" s="16">
        <v>628</v>
      </c>
      <c r="G8" s="24">
        <f t="shared" si="1"/>
        <v>427.28</v>
      </c>
      <c r="H8" s="35">
        <f>J8*Sheet3!$G$5</f>
        <v>185154.66666666666</v>
      </c>
      <c r="I8" s="39">
        <f>J8*Sheet3!$G$8</f>
        <v>188857.76</v>
      </c>
      <c r="J8" s="35">
        <f>G8*1000/Sheet3!G4</f>
        <v>237.37777777777777</v>
      </c>
      <c r="K8" s="35">
        <f>J8*Sheet3!$I$8</f>
        <v>54768.750399999997</v>
      </c>
      <c r="L8" s="35">
        <f>K8*Sheet3!$J$18</f>
        <v>21907.50016</v>
      </c>
      <c r="M8" s="27">
        <f t="shared" si="2"/>
        <v>0.11599999999999999</v>
      </c>
      <c r="N8" s="35">
        <f>K8*Sheet3!$J$17</f>
        <v>32861.250239999994</v>
      </c>
      <c r="O8" s="32">
        <f>K8/(I8)</f>
        <v>0.28999999999999998</v>
      </c>
      <c r="P8" s="26">
        <f>J8*Sheet3!$G$11</f>
        <v>134089.00959999999</v>
      </c>
      <c r="Q8" s="27">
        <f>P8/(I8)</f>
        <v>0.71</v>
      </c>
      <c r="R8" s="16" t="s">
        <v>27</v>
      </c>
    </row>
    <row r="9" spans="1:20" x14ac:dyDescent="0.3">
      <c r="A9" t="s">
        <v>101</v>
      </c>
      <c r="B9" s="16">
        <f t="shared" si="0"/>
        <v>8</v>
      </c>
      <c r="C9" s="16" t="s">
        <v>8</v>
      </c>
      <c r="D9" s="16" t="s">
        <v>18</v>
      </c>
      <c r="E9" s="16">
        <v>6979977781</v>
      </c>
      <c r="F9" s="23">
        <v>959</v>
      </c>
      <c r="G9" s="24">
        <f t="shared" si="1"/>
        <v>678.83999999999992</v>
      </c>
      <c r="H9" s="35">
        <f>J9*Sheet3!$G$5</f>
        <v>294163.99999999994</v>
      </c>
      <c r="I9" s="39">
        <f>J9*Sheet3!$G$8</f>
        <v>300047.27999999997</v>
      </c>
      <c r="J9" s="35">
        <f>G9*1000/Sheet3!G4</f>
        <v>377.13333333333327</v>
      </c>
      <c r="K9" s="35">
        <f>J9*Sheet3!$I$8</f>
        <v>87013.711199999976</v>
      </c>
      <c r="L9" s="35">
        <f>K9*Sheet3!$J$18</f>
        <v>34805.484479999992</v>
      </c>
      <c r="M9" s="27">
        <f t="shared" si="2"/>
        <v>0.11599999999999998</v>
      </c>
      <c r="N9" s="35">
        <f>K9*Sheet3!$J$17</f>
        <v>52208.226719999984</v>
      </c>
      <c r="O9" s="32">
        <f>K9/(I9)</f>
        <v>0.28999999999999992</v>
      </c>
      <c r="P9" s="26">
        <f>J9*Sheet3!$G$11</f>
        <v>213033.56879999995</v>
      </c>
      <c r="Q9" s="27">
        <f>P9/(I9)</f>
        <v>0.70999999999999985</v>
      </c>
      <c r="R9" s="16" t="s">
        <v>27</v>
      </c>
      <c r="S9" s="18"/>
    </row>
    <row r="10" spans="1:20" x14ac:dyDescent="0.3">
      <c r="B10" s="16">
        <f t="shared" si="0"/>
        <v>9</v>
      </c>
      <c r="C10" s="16" t="s">
        <v>9</v>
      </c>
      <c r="D10" s="16" t="s">
        <v>19</v>
      </c>
      <c r="E10" s="16">
        <v>6932902090</v>
      </c>
      <c r="F10" s="16">
        <v>778</v>
      </c>
      <c r="G10" s="24">
        <f t="shared" si="1"/>
        <v>541.28</v>
      </c>
      <c r="H10" s="35">
        <f>J10*Sheet3!$G$5</f>
        <v>234554.66666666666</v>
      </c>
      <c r="I10" s="39">
        <f>J10*Sheet3!$G$8</f>
        <v>239245.76</v>
      </c>
      <c r="J10" s="35">
        <f>G10*1000/Sheet3!G4</f>
        <v>300.71111111111111</v>
      </c>
      <c r="K10" s="35">
        <f>J10*Sheet3!$I$8</f>
        <v>69381.270399999994</v>
      </c>
      <c r="L10" s="35">
        <f>K10*Sheet3!$J$18</f>
        <v>27752.508159999998</v>
      </c>
      <c r="M10" s="27">
        <f t="shared" si="2"/>
        <v>0.11599999999999999</v>
      </c>
      <c r="N10" s="35">
        <f>K10*Sheet3!$J$17</f>
        <v>41628.762239999996</v>
      </c>
      <c r="O10" s="32">
        <f>K10/(I10)</f>
        <v>0.28999999999999998</v>
      </c>
      <c r="P10" s="26">
        <f>J10*Sheet3!$G$11</f>
        <v>169864.4896</v>
      </c>
      <c r="Q10" s="27">
        <f>P10/(I10)</f>
        <v>0.71</v>
      </c>
      <c r="R10" s="16" t="s">
        <v>38</v>
      </c>
    </row>
    <row r="11" spans="1:20" x14ac:dyDescent="0.3">
      <c r="B11" s="16">
        <f t="shared" si="0"/>
        <v>10</v>
      </c>
      <c r="C11" s="16" t="s">
        <v>10</v>
      </c>
      <c r="D11" s="16" t="s">
        <v>20</v>
      </c>
      <c r="E11" s="16">
        <v>6932221396</v>
      </c>
      <c r="F11" s="16">
        <v>1036</v>
      </c>
      <c r="G11" s="24">
        <f t="shared" si="1"/>
        <v>737.3599999999999</v>
      </c>
      <c r="H11" s="35">
        <f>J11*Sheet3!$G$5</f>
        <v>319522.66666666663</v>
      </c>
      <c r="I11" s="39">
        <f>J11*Sheet3!$G$8</f>
        <v>325913.11999999994</v>
      </c>
      <c r="J11" s="35">
        <f>G11*1000/Sheet3!G4</f>
        <v>409.64444444444439</v>
      </c>
      <c r="K11" s="35">
        <f>J11*Sheet3!$I$8</f>
        <v>94514.804799999984</v>
      </c>
      <c r="L11" s="35">
        <f>K11*Sheet3!$J$18</f>
        <v>37805.921919999993</v>
      </c>
      <c r="M11" s="27">
        <f t="shared" si="2"/>
        <v>0.11600000000000001</v>
      </c>
      <c r="N11" s="35">
        <f>K11*Sheet3!$J$17</f>
        <v>56708.88287999999</v>
      </c>
      <c r="O11" s="32">
        <f>K11/(I11)</f>
        <v>0.28999999999999998</v>
      </c>
      <c r="P11" s="26">
        <f>J11*Sheet3!$G$11</f>
        <v>231398.31519999995</v>
      </c>
      <c r="Q11" s="27">
        <f>P11/(I11)</f>
        <v>0.71</v>
      </c>
      <c r="R11" s="16" t="s">
        <v>27</v>
      </c>
      <c r="S11" s="18" t="s">
        <v>40</v>
      </c>
    </row>
    <row r="12" spans="1:20" x14ac:dyDescent="0.3">
      <c r="B12" s="16">
        <f t="shared" si="0"/>
        <v>11</v>
      </c>
      <c r="C12" s="16" t="s">
        <v>21</v>
      </c>
      <c r="D12" s="16" t="s">
        <v>22</v>
      </c>
      <c r="E12" s="16">
        <v>6947995566</v>
      </c>
      <c r="F12" s="23">
        <v>894</v>
      </c>
      <c r="G12" s="24">
        <f t="shared" si="1"/>
        <v>629.44000000000005</v>
      </c>
      <c r="H12" s="35">
        <f>J12*Sheet3!$G$5</f>
        <v>272757.33333333331</v>
      </c>
      <c r="I12" s="39">
        <f>J12*Sheet3!$G$8</f>
        <v>278212.47999999998</v>
      </c>
      <c r="J12" s="35">
        <f>G12*1000/Sheet3!G4</f>
        <v>349.68888888888887</v>
      </c>
      <c r="K12" s="35">
        <f>J12*Sheet3!$I$8</f>
        <v>80681.619199999986</v>
      </c>
      <c r="L12" s="35">
        <f>K12*Sheet3!$J$18</f>
        <v>32272.647679999995</v>
      </c>
      <c r="M12" s="27">
        <f t="shared" si="2"/>
        <v>0.11599999999999999</v>
      </c>
      <c r="N12" s="35">
        <f>K12*Sheet3!$J$17</f>
        <v>48408.971519999992</v>
      </c>
      <c r="O12" s="32">
        <f>K12/(I12)</f>
        <v>0.28999999999999998</v>
      </c>
      <c r="P12" s="26">
        <f>J12*Sheet3!$G$11</f>
        <v>197530.86079999997</v>
      </c>
      <c r="Q12" s="27">
        <f>P12/(I12)</f>
        <v>0.71</v>
      </c>
      <c r="R12" s="16" t="s">
        <v>27</v>
      </c>
      <c r="S12" s="18"/>
    </row>
    <row r="13" spans="1:20" x14ac:dyDescent="0.3">
      <c r="B13" s="16">
        <f t="shared" si="0"/>
        <v>12</v>
      </c>
      <c r="C13" s="16" t="s">
        <v>42</v>
      </c>
      <c r="D13" s="16" t="s">
        <v>43</v>
      </c>
      <c r="E13" s="16">
        <v>6944441898</v>
      </c>
      <c r="F13" s="16">
        <v>609</v>
      </c>
      <c r="G13" s="24">
        <f>F13-(F13*1.24-F13)-50</f>
        <v>412.84000000000003</v>
      </c>
      <c r="H13" s="35">
        <f>J13*Sheet3!$G$5</f>
        <v>178897.33333333334</v>
      </c>
      <c r="I13" s="39">
        <f>J13*Sheet3!$G$8</f>
        <v>182475.28000000003</v>
      </c>
      <c r="J13" s="35">
        <f>G13*1000/Sheet3!G4</f>
        <v>229.35555555555558</v>
      </c>
      <c r="K13" s="35">
        <f>J13*Sheet3!$I$8</f>
        <v>52917.831200000001</v>
      </c>
      <c r="L13" s="35">
        <f>K13*Sheet3!$J$18</f>
        <v>21167.13248</v>
      </c>
      <c r="M13" s="27">
        <f t="shared" si="2"/>
        <v>0.11599999999999998</v>
      </c>
      <c r="N13" s="35">
        <f>K13*Sheet3!$J$17</f>
        <v>31750.69872</v>
      </c>
      <c r="O13" s="32">
        <f>K13/(I13)</f>
        <v>0.28999999999999998</v>
      </c>
      <c r="P13" s="26">
        <f>J13*Sheet3!$G$11</f>
        <v>129557.44880000001</v>
      </c>
      <c r="Q13" s="27">
        <f>P13/(I13)</f>
        <v>0.71</v>
      </c>
      <c r="R13" s="16" t="s">
        <v>27</v>
      </c>
    </row>
    <row r="14" spans="1:20" x14ac:dyDescent="0.3">
      <c r="B14" s="16">
        <f t="shared" si="0"/>
        <v>13</v>
      </c>
      <c r="C14" s="16" t="s">
        <v>44</v>
      </c>
      <c r="D14" s="16" t="s">
        <v>53</v>
      </c>
      <c r="E14" s="16">
        <v>6972666517</v>
      </c>
      <c r="F14" s="16">
        <v>718</v>
      </c>
      <c r="G14" s="24">
        <v>0</v>
      </c>
      <c r="H14" s="35">
        <f>J14*Sheet3!$G$5</f>
        <v>0</v>
      </c>
      <c r="I14" s="39">
        <f>J14*Sheet3!$G$8</f>
        <v>0</v>
      </c>
      <c r="J14" s="35">
        <f>G14*1000/Sheet3!G4</f>
        <v>0</v>
      </c>
      <c r="K14" s="35">
        <f>J14*Sheet3!$I$8</f>
        <v>0</v>
      </c>
      <c r="L14" s="35">
        <f>K14*Sheet3!$J$18</f>
        <v>0</v>
      </c>
      <c r="M14" s="27" t="e">
        <f t="shared" si="2"/>
        <v>#DIV/0!</v>
      </c>
      <c r="N14" s="35">
        <f>K14*Sheet3!$J$17</f>
        <v>0</v>
      </c>
      <c r="O14" s="32" t="e">
        <f>K14/(I14)</f>
        <v>#DIV/0!</v>
      </c>
      <c r="P14" s="26">
        <f>J14*Sheet3!$G$11</f>
        <v>0</v>
      </c>
      <c r="Q14" s="27" t="e">
        <f>P14/(I14)</f>
        <v>#DIV/0!</v>
      </c>
      <c r="R14" s="16" t="s">
        <v>27</v>
      </c>
    </row>
    <row r="15" spans="1:20" x14ac:dyDescent="0.3">
      <c r="B15" s="16">
        <f t="shared" si="0"/>
        <v>14</v>
      </c>
      <c r="C15" s="16" t="s">
        <v>45</v>
      </c>
      <c r="D15" s="16" t="s">
        <v>46</v>
      </c>
      <c r="E15" s="16">
        <v>6985151461</v>
      </c>
      <c r="F15" s="16">
        <v>827</v>
      </c>
      <c r="G15" s="24">
        <f t="shared" si="1"/>
        <v>578.52</v>
      </c>
      <c r="H15" s="35">
        <f>J15*Sheet3!$G$5</f>
        <v>250691.99999999997</v>
      </c>
      <c r="I15" s="39">
        <f>J15*Sheet3!$G$8</f>
        <v>255705.84</v>
      </c>
      <c r="J15" s="35">
        <f>G15*1000/Sheet3!G4</f>
        <v>321.39999999999998</v>
      </c>
      <c r="K15" s="35">
        <f>J15*Sheet3!$I$8</f>
        <v>74154.693599999984</v>
      </c>
      <c r="L15" s="35">
        <f>K15*Sheet3!$J$18</f>
        <v>29661.877439999997</v>
      </c>
      <c r="M15" s="27">
        <f t="shared" si="2"/>
        <v>0.11599999999999999</v>
      </c>
      <c r="N15" s="35">
        <f>K15*Sheet3!$J$17</f>
        <v>44492.816159999988</v>
      </c>
      <c r="O15" s="32">
        <f>K15/(I15)</f>
        <v>0.28999999999999992</v>
      </c>
      <c r="P15" s="26">
        <f>J15*Sheet3!$G$11</f>
        <v>181551.14639999997</v>
      </c>
      <c r="Q15" s="27">
        <f>P15/(I15)</f>
        <v>0.70999999999999985</v>
      </c>
      <c r="R15" s="16" t="s">
        <v>27</v>
      </c>
    </row>
    <row r="16" spans="1:20" x14ac:dyDescent="0.3">
      <c r="B16" s="16">
        <f t="shared" si="0"/>
        <v>15</v>
      </c>
      <c r="C16" s="16" t="s">
        <v>47</v>
      </c>
      <c r="D16" s="16" t="s">
        <v>48</v>
      </c>
      <c r="E16" s="16">
        <v>6944242021</v>
      </c>
      <c r="F16" s="16">
        <v>797</v>
      </c>
      <c r="G16" s="24">
        <f t="shared" si="1"/>
        <v>555.72</v>
      </c>
      <c r="H16" s="35">
        <f>J16*Sheet3!$G$5</f>
        <v>240812</v>
      </c>
      <c r="I16" s="39">
        <f>J16*Sheet3!$G$8</f>
        <v>245628.24000000002</v>
      </c>
      <c r="J16" s="35">
        <f>G16*1000/Sheet3!G4</f>
        <v>308.73333333333335</v>
      </c>
      <c r="K16" s="35">
        <f>J16*Sheet3!$I$8</f>
        <v>71232.189599999998</v>
      </c>
      <c r="L16" s="35">
        <f>K16*Sheet3!$J$18</f>
        <v>28492.875840000001</v>
      </c>
      <c r="M16" s="27">
        <f t="shared" si="2"/>
        <v>0.11599999999999999</v>
      </c>
      <c r="N16" s="35">
        <f>K16*Sheet3!$J$17</f>
        <v>42739.313759999997</v>
      </c>
      <c r="O16" s="32">
        <f>K16/(I16)</f>
        <v>0.28999999999999998</v>
      </c>
      <c r="P16" s="26">
        <f>J16*Sheet3!$G$11</f>
        <v>174396.05040000001</v>
      </c>
      <c r="Q16" s="27">
        <f>P16/(I16)</f>
        <v>0.71</v>
      </c>
      <c r="R16" s="16" t="s">
        <v>27</v>
      </c>
    </row>
    <row r="17" spans="1:18" x14ac:dyDescent="0.3">
      <c r="B17" s="16">
        <f t="shared" si="0"/>
        <v>16</v>
      </c>
      <c r="C17" s="16" t="s">
        <v>49</v>
      </c>
      <c r="D17" s="16" t="s">
        <v>52</v>
      </c>
      <c r="E17" s="16">
        <v>6973049414</v>
      </c>
      <c r="F17" s="16">
        <v>698</v>
      </c>
      <c r="G17" s="24">
        <f t="shared" si="1"/>
        <v>480.48</v>
      </c>
      <c r="H17" s="35">
        <f>J17*Sheet3!$G$5</f>
        <v>208208</v>
      </c>
      <c r="I17" s="39">
        <f>J17*Sheet3!$G$8</f>
        <v>212372.16</v>
      </c>
      <c r="J17" s="35">
        <f>G17*1000/Sheet3!G4</f>
        <v>266.93333333333334</v>
      </c>
      <c r="K17" s="35">
        <f>J17*Sheet3!$I$8</f>
        <v>61587.926399999997</v>
      </c>
      <c r="L17" s="35">
        <f>K17*Sheet3!$J$18</f>
        <v>24635.170559999999</v>
      </c>
      <c r="M17" s="27">
        <f t="shared" si="2"/>
        <v>0.11599999999999999</v>
      </c>
      <c r="N17" s="35">
        <f>K17*Sheet3!$J$17</f>
        <v>36952.755839999998</v>
      </c>
      <c r="O17" s="32">
        <f>K17/(I17)</f>
        <v>0.28999999999999998</v>
      </c>
      <c r="P17" s="26">
        <f>J17*Sheet3!$G$11</f>
        <v>150784.23360000001</v>
      </c>
      <c r="Q17" s="27">
        <f>P17/(I17)</f>
        <v>0.71000000000000008</v>
      </c>
      <c r="R17" s="16" t="s">
        <v>27</v>
      </c>
    </row>
    <row r="18" spans="1:18" x14ac:dyDescent="0.3">
      <c r="B18" s="16">
        <f t="shared" si="0"/>
        <v>17</v>
      </c>
      <c r="C18" s="16" t="s">
        <v>50</v>
      </c>
      <c r="D18" s="16" t="s">
        <v>51</v>
      </c>
      <c r="E18" s="16">
        <v>6945297490</v>
      </c>
      <c r="F18" s="16">
        <v>1037</v>
      </c>
      <c r="G18" s="24">
        <f t="shared" si="1"/>
        <v>738.12000000000012</v>
      </c>
      <c r="H18" s="35">
        <f>J18*Sheet3!$G$5</f>
        <v>319852.00000000006</v>
      </c>
      <c r="I18" s="39">
        <f>J18*Sheet3!$G$8</f>
        <v>326249.04000000004</v>
      </c>
      <c r="J18" s="35">
        <f>G18*1000/Sheet3!G4</f>
        <v>410.06666666666672</v>
      </c>
      <c r="K18" s="35">
        <f>J18*Sheet3!$I$8</f>
        <v>94612.221600000004</v>
      </c>
      <c r="L18" s="35">
        <f>K18*Sheet3!$J$18</f>
        <v>37844.888640000005</v>
      </c>
      <c r="M18" s="27">
        <f t="shared" si="2"/>
        <v>0.11600000000000001</v>
      </c>
      <c r="N18" s="35">
        <f>K18*Sheet3!$J$17</f>
        <v>56767.33296</v>
      </c>
      <c r="O18" s="32">
        <f>K18/(I18)</f>
        <v>0.28999999999999998</v>
      </c>
      <c r="P18" s="26">
        <f>J18*Sheet3!$G$11</f>
        <v>231636.81840000002</v>
      </c>
      <c r="Q18" s="27">
        <f>P18/(I18)</f>
        <v>0.71</v>
      </c>
      <c r="R18" s="16" t="s">
        <v>27</v>
      </c>
    </row>
    <row r="19" spans="1:18" x14ac:dyDescent="0.3">
      <c r="B19" s="16">
        <f t="shared" si="0"/>
        <v>18</v>
      </c>
      <c r="C19" s="16" t="s">
        <v>75</v>
      </c>
      <c r="D19" s="16" t="s">
        <v>76</v>
      </c>
      <c r="E19" s="16">
        <v>6944510738</v>
      </c>
      <c r="F19" s="16">
        <v>1014</v>
      </c>
      <c r="G19" s="24">
        <f t="shared" si="1"/>
        <v>720.6400000000001</v>
      </c>
      <c r="H19" s="35">
        <f>J19*Sheet3!$G$5</f>
        <v>312277.33333333337</v>
      </c>
      <c r="I19" s="39">
        <f>J19*Sheet3!$G$8</f>
        <v>318522.88000000006</v>
      </c>
      <c r="J19" s="35">
        <f>G19*1000/Sheet3!G4</f>
        <v>400.35555555555561</v>
      </c>
      <c r="K19" s="35">
        <f>J19*Sheet3!$I$8</f>
        <v>92371.635200000004</v>
      </c>
      <c r="L19" s="35">
        <f>K19*Sheet3!$J$18</f>
        <v>36948.65408</v>
      </c>
      <c r="M19" s="27">
        <f t="shared" si="2"/>
        <v>0.11599999999999998</v>
      </c>
      <c r="N19" s="35">
        <f>K19*Sheet3!$J$17</f>
        <v>55422.981120000004</v>
      </c>
      <c r="O19" s="32">
        <f>K19/(I19)</f>
        <v>0.28999999999999998</v>
      </c>
      <c r="P19" s="26">
        <f>J19*Sheet3!$G$11</f>
        <v>226151.24480000001</v>
      </c>
      <c r="Q19" s="27">
        <f>P19/(I19)</f>
        <v>0.70999999999999985</v>
      </c>
      <c r="R19" s="16" t="s">
        <v>27</v>
      </c>
    </row>
    <row r="20" spans="1:18" x14ac:dyDescent="0.3">
      <c r="B20" s="16">
        <f t="shared" si="0"/>
        <v>19</v>
      </c>
      <c r="C20" s="16" t="s">
        <v>54</v>
      </c>
      <c r="D20" s="16" t="s">
        <v>55</v>
      </c>
      <c r="E20" s="16">
        <v>6975860999</v>
      </c>
      <c r="F20" s="16">
        <v>961</v>
      </c>
      <c r="G20" s="24">
        <v>0</v>
      </c>
      <c r="H20" s="35">
        <f>J20*Sheet3!$G$5</f>
        <v>0</v>
      </c>
      <c r="I20" s="39">
        <f>J20*Sheet3!$G$8</f>
        <v>0</v>
      </c>
      <c r="J20" s="35">
        <f>G20*1000/Sheet3!G4</f>
        <v>0</v>
      </c>
      <c r="K20" s="35">
        <f>J20*Sheet3!$I$8</f>
        <v>0</v>
      </c>
      <c r="L20" s="35">
        <f>K20*Sheet3!$J$18</f>
        <v>0</v>
      </c>
      <c r="M20" s="27" t="e">
        <f t="shared" si="2"/>
        <v>#DIV/0!</v>
      </c>
      <c r="N20" s="35">
        <f>K20*Sheet3!$J$17</f>
        <v>0</v>
      </c>
      <c r="O20" s="32" t="e">
        <f>K20/(I20)</f>
        <v>#DIV/0!</v>
      </c>
      <c r="P20" s="26">
        <f>J20*Sheet3!$G$11</f>
        <v>0</v>
      </c>
      <c r="Q20" s="27" t="e">
        <f>P20/(I20)</f>
        <v>#DIV/0!</v>
      </c>
      <c r="R20" s="16" t="s">
        <v>27</v>
      </c>
    </row>
    <row r="21" spans="1:18" x14ac:dyDescent="0.3">
      <c r="B21" s="16">
        <f t="shared" si="0"/>
        <v>20</v>
      </c>
      <c r="C21" s="16" t="s">
        <v>58</v>
      </c>
      <c r="D21" s="16" t="s">
        <v>59</v>
      </c>
      <c r="E21" s="16">
        <v>6944720310</v>
      </c>
      <c r="F21" s="16">
        <v>674</v>
      </c>
      <c r="G21" s="24">
        <f t="shared" si="1"/>
        <v>462.24</v>
      </c>
      <c r="H21" s="35">
        <f>J21*Sheet3!$G$5</f>
        <v>200304</v>
      </c>
      <c r="I21" s="39">
        <f>J21*Sheet3!$G$8</f>
        <v>204310.08000000002</v>
      </c>
      <c r="J21" s="35">
        <f>G21*1000/Sheet3!G4</f>
        <v>256.8</v>
      </c>
      <c r="K21" s="35">
        <f>J21*Sheet3!$I$8</f>
        <v>59249.923199999997</v>
      </c>
      <c r="L21" s="35">
        <f>K21*Sheet3!$J$18</f>
        <v>23699.969280000001</v>
      </c>
      <c r="M21" s="27">
        <f t="shared" si="2"/>
        <v>0.11599999999999999</v>
      </c>
      <c r="N21" s="35">
        <f>K21*Sheet3!$J$17</f>
        <v>35549.95392</v>
      </c>
      <c r="O21" s="32">
        <f>K21/(I21)</f>
        <v>0.28999999999999998</v>
      </c>
      <c r="P21" s="26">
        <f>J21*Sheet3!$G$11</f>
        <v>145060.1568</v>
      </c>
      <c r="Q21" s="27">
        <f>P21/(I21)</f>
        <v>0.71</v>
      </c>
      <c r="R21" s="16" t="s">
        <v>27</v>
      </c>
    </row>
    <row r="22" spans="1:18" s="9" customFormat="1" x14ac:dyDescent="0.3">
      <c r="A22" s="21"/>
      <c r="B22" s="16">
        <f t="shared" si="0"/>
        <v>21</v>
      </c>
      <c r="C22" s="16" t="s">
        <v>61</v>
      </c>
      <c r="D22" s="16" t="s">
        <v>71</v>
      </c>
      <c r="E22" s="16">
        <v>6974645623</v>
      </c>
      <c r="F22" s="16">
        <v>1037</v>
      </c>
      <c r="G22" s="24">
        <f t="shared" si="1"/>
        <v>738.12000000000012</v>
      </c>
      <c r="H22" s="35">
        <f>J22*Sheet3!$G$5</f>
        <v>319852.00000000006</v>
      </c>
      <c r="I22" s="39">
        <f>J22*Sheet3!$G$8</f>
        <v>326249.04000000004</v>
      </c>
      <c r="J22" s="35">
        <f>G22*1000/Sheet3!G4</f>
        <v>410.06666666666672</v>
      </c>
      <c r="K22" s="35">
        <f>J22*Sheet3!$I$8</f>
        <v>94612.221600000004</v>
      </c>
      <c r="L22" s="35">
        <f>K22*Sheet3!$J$18</f>
        <v>37844.888640000005</v>
      </c>
      <c r="M22" s="27">
        <f t="shared" si="2"/>
        <v>0.11600000000000001</v>
      </c>
      <c r="N22" s="35">
        <f>K22*Sheet3!$J$17</f>
        <v>56767.33296</v>
      </c>
      <c r="O22" s="32">
        <f>K22/(I22)</f>
        <v>0.28999999999999998</v>
      </c>
      <c r="P22" s="26">
        <f>J22*Sheet3!$G$11</f>
        <v>231636.81840000002</v>
      </c>
      <c r="Q22" s="27">
        <f>P22/(I22)</f>
        <v>0.71</v>
      </c>
      <c r="R22" s="16" t="s">
        <v>27</v>
      </c>
    </row>
    <row r="23" spans="1:18" x14ac:dyDescent="0.3">
      <c r="B23" s="16">
        <f t="shared" si="0"/>
        <v>22</v>
      </c>
      <c r="C23" s="16" t="s">
        <v>62</v>
      </c>
      <c r="D23" s="16" t="s">
        <v>95</v>
      </c>
      <c r="E23" s="16"/>
      <c r="F23" s="16">
        <v>692</v>
      </c>
      <c r="G23" s="24">
        <v>692</v>
      </c>
      <c r="H23" s="35">
        <f>J23*Sheet3!$G$5</f>
        <v>539760</v>
      </c>
      <c r="I23" s="39">
        <f>J23*Sheet3!$G$8</f>
        <v>550555.20000000007</v>
      </c>
      <c r="J23" s="35">
        <v>692</v>
      </c>
      <c r="K23" s="35">
        <f>J23*Sheet3!$I$8</f>
        <v>159661.008</v>
      </c>
      <c r="L23" s="35">
        <f>K23*Sheet3!$J$18</f>
        <v>63864.403200000001</v>
      </c>
      <c r="M23" s="27">
        <f t="shared" si="2"/>
        <v>0.11599999999999999</v>
      </c>
      <c r="N23" s="35">
        <f>K23*Sheet3!$J$17</f>
        <v>95796.604800000001</v>
      </c>
      <c r="O23" s="32">
        <f>K23/(I23)</f>
        <v>0.28999999999999998</v>
      </c>
      <c r="P23" s="26">
        <f>J23*Sheet3!$G$11</f>
        <v>390894.19199999998</v>
      </c>
      <c r="Q23" s="27">
        <f>P23/(I23)</f>
        <v>0.70999999999999985</v>
      </c>
      <c r="R23" s="16" t="s">
        <v>27</v>
      </c>
    </row>
    <row r="24" spans="1:18" s="9" customFormat="1" x14ac:dyDescent="0.3">
      <c r="A24" s="21"/>
      <c r="B24" s="16">
        <f t="shared" si="0"/>
        <v>23</v>
      </c>
      <c r="C24" s="16" t="s">
        <v>65</v>
      </c>
      <c r="D24" s="16" t="s">
        <v>72</v>
      </c>
      <c r="E24" s="16">
        <v>6977621800</v>
      </c>
      <c r="F24" s="16">
        <v>1033</v>
      </c>
      <c r="G24" s="24">
        <f t="shared" si="1"/>
        <v>735.07999999999993</v>
      </c>
      <c r="H24" s="35">
        <f>J24*Sheet3!$G$5</f>
        <v>318534.66666666663</v>
      </c>
      <c r="I24" s="39">
        <f>J24*Sheet3!$G$8</f>
        <v>324905.36</v>
      </c>
      <c r="J24" s="35">
        <f>G24*1000/Sheet3!G4</f>
        <v>408.37777777777774</v>
      </c>
      <c r="K24" s="35">
        <f>J24*Sheet3!$I$8</f>
        <v>94222.554399999994</v>
      </c>
      <c r="L24" s="35">
        <f>K24*Sheet3!$J$18</f>
        <v>37689.021759999996</v>
      </c>
      <c r="M24" s="27">
        <f t="shared" si="2"/>
        <v>0.11599999999999999</v>
      </c>
      <c r="N24" s="35">
        <f>K24*Sheet3!$J$17</f>
        <v>56533.532639999998</v>
      </c>
      <c r="O24" s="32">
        <f>K24/(I24)</f>
        <v>0.28999999999999998</v>
      </c>
      <c r="P24" s="26">
        <f>J24*Sheet3!$G$11</f>
        <v>230682.80559999996</v>
      </c>
      <c r="Q24" s="27">
        <f>P24/(I24)</f>
        <v>0.71</v>
      </c>
      <c r="R24" s="16" t="s">
        <v>78</v>
      </c>
    </row>
    <row r="25" spans="1:18" x14ac:dyDescent="0.3">
      <c r="B25" s="16">
        <f t="shared" si="0"/>
        <v>24</v>
      </c>
      <c r="C25" s="16" t="s">
        <v>66</v>
      </c>
      <c r="D25" s="16" t="s">
        <v>74</v>
      </c>
      <c r="E25" s="16">
        <v>6974890417</v>
      </c>
      <c r="F25" s="16">
        <v>451</v>
      </c>
      <c r="G25" s="24">
        <f t="shared" si="1"/>
        <v>292.76</v>
      </c>
      <c r="H25" s="35">
        <f>J25*Sheet3!$G$5</f>
        <v>126862.66666666667</v>
      </c>
      <c r="I25" s="39">
        <f>J25*Sheet3!$G$8</f>
        <v>129399.92</v>
      </c>
      <c r="J25" s="35">
        <f>G25*1000/Sheet3!G4</f>
        <v>162.64444444444445</v>
      </c>
      <c r="K25" s="35">
        <f>J25*Sheet3!$I$8</f>
        <v>37525.976799999997</v>
      </c>
      <c r="L25" s="35">
        <f>K25*Sheet3!$J$18</f>
        <v>15010.390719999999</v>
      </c>
      <c r="M25" s="27">
        <f t="shared" si="2"/>
        <v>0.11599999999999999</v>
      </c>
      <c r="N25" s="35">
        <f>K25*Sheet3!$J$17</f>
        <v>22515.586079999997</v>
      </c>
      <c r="O25" s="32">
        <f>K25/(I25)</f>
        <v>0.28999999999999998</v>
      </c>
      <c r="P25" s="26">
        <f>J25*Sheet3!$G$11</f>
        <v>91873.943199999994</v>
      </c>
      <c r="Q25" s="27">
        <f>P25/(I25)</f>
        <v>0.71</v>
      </c>
      <c r="R25" s="16" t="s">
        <v>27</v>
      </c>
    </row>
    <row r="26" spans="1:18" x14ac:dyDescent="0.3">
      <c r="B26" s="16">
        <f t="shared" si="0"/>
        <v>25</v>
      </c>
      <c r="C26" s="16" t="s">
        <v>87</v>
      </c>
      <c r="D26" s="16" t="s">
        <v>89</v>
      </c>
      <c r="E26" s="16">
        <v>6944620243</v>
      </c>
      <c r="F26" s="16">
        <v>881</v>
      </c>
      <c r="G26" s="24">
        <f t="shared" si="1"/>
        <v>619.55999999999995</v>
      </c>
      <c r="H26" s="35">
        <f>J26*Sheet3!$G$5</f>
        <v>268476</v>
      </c>
      <c r="I26" s="39">
        <f>J26*Sheet3!$G$8</f>
        <v>273845.52</v>
      </c>
      <c r="J26" s="35">
        <f>G26*1000/Sheet3!G4</f>
        <v>344.2</v>
      </c>
      <c r="K26" s="35">
        <f>J26*Sheet3!$I$8</f>
        <v>79415.200799999991</v>
      </c>
      <c r="L26" s="35">
        <f>K26*Sheet3!$J$18</f>
        <v>31766.080319999997</v>
      </c>
      <c r="M26" s="27">
        <f t="shared" si="2"/>
        <v>0.11599999999999998</v>
      </c>
      <c r="N26" s="35">
        <f>K26*Sheet3!$J$17</f>
        <v>47649.12047999999</v>
      </c>
      <c r="O26" s="32">
        <f>K26/(I26)</f>
        <v>0.28999999999999992</v>
      </c>
      <c r="P26" s="26">
        <f>J26*Sheet3!$G$11</f>
        <v>194430.3192</v>
      </c>
      <c r="Q26" s="27">
        <f>P26/(I26)</f>
        <v>0.71</v>
      </c>
      <c r="R26" s="16" t="s">
        <v>27</v>
      </c>
    </row>
    <row r="27" spans="1:18" s="9" customFormat="1" x14ac:dyDescent="0.3">
      <c r="A27" s="21" t="s">
        <v>103</v>
      </c>
      <c r="B27" s="19">
        <f t="shared" si="0"/>
        <v>26</v>
      </c>
      <c r="C27" s="19" t="s">
        <v>56</v>
      </c>
      <c r="D27" s="19" t="s">
        <v>57</v>
      </c>
      <c r="E27" s="19">
        <v>6977222102</v>
      </c>
      <c r="F27" s="19">
        <v>911</v>
      </c>
      <c r="G27" s="24">
        <v>0</v>
      </c>
      <c r="H27" s="35">
        <f>J27*Sheet3!$G$5</f>
        <v>0</v>
      </c>
      <c r="I27" s="39">
        <f>J27*Sheet3!$G$8</f>
        <v>0</v>
      </c>
      <c r="J27" s="35">
        <f>G27*1000/Sheet3!G4</f>
        <v>0</v>
      </c>
      <c r="K27" s="35">
        <f>J27*Sheet3!$I$8</f>
        <v>0</v>
      </c>
      <c r="L27" s="35">
        <f>K27*Sheet3!$J$18</f>
        <v>0</v>
      </c>
      <c r="M27" s="27" t="e">
        <f t="shared" si="2"/>
        <v>#DIV/0!</v>
      </c>
      <c r="N27" s="35">
        <f>K27*Sheet3!$J$17</f>
        <v>0</v>
      </c>
      <c r="O27" s="32" t="e">
        <f>K27/(I27)</f>
        <v>#DIV/0!</v>
      </c>
      <c r="P27" s="26">
        <f>J27*Sheet3!$G$11</f>
        <v>0</v>
      </c>
      <c r="Q27" s="27" t="e">
        <f>P27/(I27)</f>
        <v>#DIV/0!</v>
      </c>
      <c r="R27" s="20" t="s">
        <v>77</v>
      </c>
    </row>
    <row r="28" spans="1:18" s="9" customFormat="1" x14ac:dyDescent="0.3">
      <c r="A28" s="21"/>
      <c r="B28" s="19">
        <f t="shared" si="0"/>
        <v>27</v>
      </c>
      <c r="C28" s="19" t="s">
        <v>63</v>
      </c>
      <c r="D28" s="19" t="s">
        <v>68</v>
      </c>
      <c r="E28" s="19">
        <v>6977137870</v>
      </c>
      <c r="F28" s="19">
        <v>908</v>
      </c>
      <c r="G28" s="24">
        <v>0</v>
      </c>
      <c r="H28" s="35">
        <f>J28*Sheet3!$G$5</f>
        <v>0</v>
      </c>
      <c r="I28" s="39">
        <f>J28*Sheet3!$G$8</f>
        <v>0</v>
      </c>
      <c r="J28" s="35">
        <f>G28*1000/Sheet3!G4</f>
        <v>0</v>
      </c>
      <c r="K28" s="35">
        <f>J28*Sheet3!$I$8</f>
        <v>0</v>
      </c>
      <c r="L28" s="35">
        <f>K28*Sheet3!$J$18</f>
        <v>0</v>
      </c>
      <c r="M28" s="27" t="e">
        <f t="shared" si="2"/>
        <v>#DIV/0!</v>
      </c>
      <c r="N28" s="35">
        <f>K28*Sheet3!$J$17</f>
        <v>0</v>
      </c>
      <c r="O28" s="32" t="e">
        <f>K28/(I28)</f>
        <v>#DIV/0!</v>
      </c>
      <c r="P28" s="26">
        <f>J28*Sheet3!$G$11</f>
        <v>0</v>
      </c>
      <c r="Q28" s="27" t="e">
        <f>P28/(I28)</f>
        <v>#DIV/0!</v>
      </c>
      <c r="R28" s="19" t="s">
        <v>85</v>
      </c>
    </row>
    <row r="29" spans="1:18" x14ac:dyDescent="0.3">
      <c r="B29" s="19">
        <f t="shared" si="0"/>
        <v>28</v>
      </c>
      <c r="C29" s="19" t="s">
        <v>67</v>
      </c>
      <c r="D29" s="19" t="s">
        <v>69</v>
      </c>
      <c r="E29" s="19"/>
      <c r="F29" s="19">
        <v>760</v>
      </c>
      <c r="G29" s="24">
        <v>0</v>
      </c>
      <c r="H29" s="35">
        <f>J29*Sheet3!$G$5</f>
        <v>0</v>
      </c>
      <c r="I29" s="39">
        <f>J29*Sheet3!$G$8</f>
        <v>0</v>
      </c>
      <c r="J29" s="35">
        <f>G29*1000/Sheet3!G4</f>
        <v>0</v>
      </c>
      <c r="K29" s="35">
        <f>J29*Sheet3!$I$8</f>
        <v>0</v>
      </c>
      <c r="L29" s="35">
        <f>K29*Sheet3!$J$18</f>
        <v>0</v>
      </c>
      <c r="M29" s="27" t="e">
        <f t="shared" si="2"/>
        <v>#DIV/0!</v>
      </c>
      <c r="N29" s="35">
        <f>K29*Sheet3!$J$17</f>
        <v>0</v>
      </c>
      <c r="O29" s="32" t="e">
        <f>K29/(I29)</f>
        <v>#DIV/0!</v>
      </c>
      <c r="P29" s="26">
        <f>J29*Sheet3!$G$11</f>
        <v>0</v>
      </c>
      <c r="Q29" s="27" t="e">
        <f>P29/(I29)</f>
        <v>#DIV/0!</v>
      </c>
      <c r="R29" s="19" t="s">
        <v>73</v>
      </c>
    </row>
    <row r="30" spans="1:18" s="7" customFormat="1" x14ac:dyDescent="0.3">
      <c r="A30" s="21"/>
      <c r="B30" s="19">
        <f t="shared" si="0"/>
        <v>29</v>
      </c>
      <c r="C30" s="19" t="s">
        <v>60</v>
      </c>
      <c r="D30" s="19" t="s">
        <v>70</v>
      </c>
      <c r="E30" s="19"/>
      <c r="F30" s="19">
        <v>929</v>
      </c>
      <c r="G30" s="24">
        <v>0</v>
      </c>
      <c r="H30" s="35">
        <f>J30*Sheet3!$G$5</f>
        <v>0</v>
      </c>
      <c r="I30" s="39">
        <f>J30*Sheet3!$G$8</f>
        <v>0</v>
      </c>
      <c r="J30" s="35">
        <f>G30*1000/Sheet3!G4</f>
        <v>0</v>
      </c>
      <c r="K30" s="35">
        <f>J30*Sheet3!$I$8</f>
        <v>0</v>
      </c>
      <c r="L30" s="35">
        <f>K30*Sheet3!$J$18</f>
        <v>0</v>
      </c>
      <c r="M30" s="27" t="e">
        <f t="shared" si="2"/>
        <v>#DIV/0!</v>
      </c>
      <c r="N30" s="35">
        <f>K30*Sheet3!$J$17</f>
        <v>0</v>
      </c>
      <c r="O30" s="32" t="e">
        <f>K30/(I30)</f>
        <v>#DIV/0!</v>
      </c>
      <c r="P30" s="26">
        <f>J30*Sheet3!$G$11</f>
        <v>0</v>
      </c>
      <c r="Q30" s="27" t="e">
        <f>P30/(I30)</f>
        <v>#DIV/0!</v>
      </c>
      <c r="R30" s="19" t="s">
        <v>73</v>
      </c>
    </row>
    <row r="31" spans="1:18" x14ac:dyDescent="0.3">
      <c r="B31" s="19">
        <f t="shared" si="0"/>
        <v>30</v>
      </c>
      <c r="C31" s="19" t="s">
        <v>64</v>
      </c>
      <c r="D31" s="19" t="s">
        <v>69</v>
      </c>
      <c r="E31" s="19"/>
      <c r="F31" s="19">
        <v>921</v>
      </c>
      <c r="G31" s="24">
        <f t="shared" si="1"/>
        <v>649.96</v>
      </c>
      <c r="H31" s="35">
        <f>J31*Sheet3!$G$5</f>
        <v>281649.33333333337</v>
      </c>
      <c r="I31" s="39">
        <f>J31*Sheet3!$G$8</f>
        <v>287282.32</v>
      </c>
      <c r="J31" s="35">
        <f>G31*1000/Sheet3!G4</f>
        <v>361.0888888888889</v>
      </c>
      <c r="K31" s="35">
        <f>J31*Sheet3!$I$8</f>
        <v>83311.872799999997</v>
      </c>
      <c r="L31" s="35">
        <f>K31*Sheet3!$J$18</f>
        <v>33324.74912</v>
      </c>
      <c r="M31" s="27">
        <f t="shared" si="2"/>
        <v>0.11599999999999999</v>
      </c>
      <c r="N31" s="35">
        <f>K31*Sheet3!$J$17</f>
        <v>49987.123679999997</v>
      </c>
      <c r="O31" s="32">
        <f>K31/(I31)</f>
        <v>0.28999999999999998</v>
      </c>
      <c r="P31" s="26">
        <f>J31*Sheet3!$G$11</f>
        <v>203970.4472</v>
      </c>
      <c r="Q31" s="27">
        <f>P31/(I31)</f>
        <v>0.71</v>
      </c>
      <c r="R31" s="19"/>
    </row>
    <row r="32" spans="1:18" x14ac:dyDescent="0.3">
      <c r="B32" s="19">
        <f t="shared" si="0"/>
        <v>31</v>
      </c>
      <c r="C32" s="19" t="s">
        <v>86</v>
      </c>
      <c r="D32" s="19" t="s">
        <v>88</v>
      </c>
      <c r="E32" s="19">
        <v>6944774496</v>
      </c>
      <c r="F32" s="19">
        <v>939</v>
      </c>
      <c r="G32" s="24"/>
      <c r="H32" s="35">
        <f>J32*Sheet3!$G$5</f>
        <v>0</v>
      </c>
      <c r="I32" s="39">
        <f>J32*Sheet3!$G$8</f>
        <v>0</v>
      </c>
      <c r="J32" s="35">
        <f>G32*1000/Sheet3!G4</f>
        <v>0</v>
      </c>
      <c r="K32" s="35">
        <f>J32*Sheet3!$I$8</f>
        <v>0</v>
      </c>
      <c r="L32" s="35">
        <f>K32*Sheet3!$J$18</f>
        <v>0</v>
      </c>
      <c r="M32" s="27" t="e">
        <f t="shared" si="2"/>
        <v>#DIV/0!</v>
      </c>
      <c r="N32" s="35">
        <f>K32*Sheet3!$J$17</f>
        <v>0</v>
      </c>
      <c r="O32" s="32" t="e">
        <f>K32/(I32)</f>
        <v>#DIV/0!</v>
      </c>
      <c r="P32" s="26">
        <f>J32*Sheet3!$G$11</f>
        <v>0</v>
      </c>
      <c r="Q32" s="27" t="e">
        <f>P32/(I32)</f>
        <v>#DIV/0!</v>
      </c>
      <c r="R32" s="19"/>
    </row>
    <row r="33" spans="3:17" x14ac:dyDescent="0.3">
      <c r="C33" s="22" t="s">
        <v>96</v>
      </c>
      <c r="F33">
        <v>700</v>
      </c>
      <c r="G33" s="24">
        <v>0</v>
      </c>
      <c r="H33" s="35">
        <f>J33*Sheet3!$G$5</f>
        <v>0</v>
      </c>
      <c r="I33" s="39">
        <f>J33*Sheet3!$G$8</f>
        <v>0</v>
      </c>
      <c r="J33" s="35">
        <f>G33*1000/Sheet3!G4</f>
        <v>0</v>
      </c>
      <c r="K33" s="35">
        <f>J33*Sheet3!$I$8</f>
        <v>0</v>
      </c>
      <c r="L33" s="35">
        <f>K33*Sheet3!$J$18</f>
        <v>0</v>
      </c>
      <c r="M33" s="27" t="e">
        <f t="shared" si="2"/>
        <v>#DIV/0!</v>
      </c>
      <c r="N33" s="35">
        <f>K33*Sheet3!$J$17</f>
        <v>0</v>
      </c>
      <c r="O33" s="32" t="e">
        <f>K33/(I33)</f>
        <v>#DIV/0!</v>
      </c>
      <c r="P33" s="26">
        <f>J33*Sheet3!$G$11</f>
        <v>0</v>
      </c>
      <c r="Q33" s="27" t="e">
        <f>P33/(I33)</f>
        <v>#DIV/0!</v>
      </c>
    </row>
    <row r="34" spans="3:17" x14ac:dyDescent="0.3">
      <c r="C34" s="22" t="s">
        <v>97</v>
      </c>
      <c r="F34">
        <v>869</v>
      </c>
      <c r="G34" s="24">
        <v>0</v>
      </c>
      <c r="H34" s="35">
        <f>J34*Sheet3!$G$5</f>
        <v>0</v>
      </c>
      <c r="I34" s="39">
        <f>J34*Sheet3!$G$8</f>
        <v>0</v>
      </c>
      <c r="J34" s="35">
        <f>G34*1000/Sheet3!G4</f>
        <v>0</v>
      </c>
      <c r="K34" s="35">
        <f>J34*Sheet3!$I$8</f>
        <v>0</v>
      </c>
      <c r="L34" s="35">
        <f>K34*Sheet3!$J$18</f>
        <v>0</v>
      </c>
      <c r="M34" s="27" t="e">
        <f t="shared" si="2"/>
        <v>#DIV/0!</v>
      </c>
      <c r="N34" s="35">
        <f>K34*Sheet3!$J$17</f>
        <v>0</v>
      </c>
      <c r="O34" s="32" t="e">
        <f>K34/(I34)</f>
        <v>#DIV/0!</v>
      </c>
      <c r="P34" s="26">
        <f>J34*Sheet3!$G$11</f>
        <v>0</v>
      </c>
      <c r="Q34" s="27" t="e">
        <f>P34/(I34)</f>
        <v>#DIV/0!</v>
      </c>
    </row>
    <row r="35" spans="3:17" x14ac:dyDescent="0.3">
      <c r="F35" s="14">
        <f>SUM(F2:F34)*1000</f>
        <v>27009000</v>
      </c>
      <c r="G35" s="14">
        <f>SUM(G2:G34)*1000</f>
        <v>13547880.000000002</v>
      </c>
      <c r="H35" s="36"/>
      <c r="I35" s="40"/>
      <c r="J35" s="37">
        <f>SUM(J2:J34)</f>
        <v>7834.1555555555551</v>
      </c>
      <c r="K35" s="37">
        <f>SUM(K2:K34)</f>
        <v>1807527.7064</v>
      </c>
      <c r="L35" s="37"/>
      <c r="M35" s="27" t="e">
        <f t="shared" si="2"/>
        <v>#DIV/0!</v>
      </c>
      <c r="N35" s="37"/>
      <c r="O35" s="33"/>
      <c r="P35" s="15">
        <f>SUM(P2:P34)</f>
        <v>4425326.4536000006</v>
      </c>
      <c r="Q35" s="15"/>
    </row>
    <row r="36" spans="3:17" x14ac:dyDescent="0.3">
      <c r="G36" s="25"/>
    </row>
    <row r="37" spans="3:17" x14ac:dyDescent="0.3">
      <c r="G37" s="25"/>
    </row>
    <row r="38" spans="3:17" x14ac:dyDescent="0.3">
      <c r="F38">
        <v>1000</v>
      </c>
    </row>
  </sheetData>
  <hyperlinks>
    <hyperlink ref="R27" r:id="rId1" xr:uid="{271F4A2C-A071-4033-86A1-949949A034B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B9F2-A6F8-4BA3-A009-AE6E36C95EA7}">
  <dimension ref="C4:M24"/>
  <sheetViews>
    <sheetView tabSelected="1" topLeftCell="A4" zoomScale="150" zoomScaleNormal="150" workbookViewId="0">
      <selection activeCell="D10" sqref="D10"/>
    </sheetView>
  </sheetViews>
  <sheetFormatPr defaultRowHeight="14.4" x14ac:dyDescent="0.3"/>
  <cols>
    <col min="3" max="3" width="10.88671875" bestFit="1" customWidth="1"/>
    <col min="4" max="4" width="15.5546875" bestFit="1" customWidth="1"/>
    <col min="5" max="5" width="14.5546875" bestFit="1" customWidth="1"/>
    <col min="6" max="6" width="18.6640625" bestFit="1" customWidth="1"/>
    <col min="7" max="7" width="15.77734375" bestFit="1" customWidth="1"/>
  </cols>
  <sheetData>
    <row r="4" spans="3:12" x14ac:dyDescent="0.3">
      <c r="F4" t="s">
        <v>80</v>
      </c>
      <c r="G4" s="10">
        <v>1800</v>
      </c>
    </row>
    <row r="5" spans="3:12" x14ac:dyDescent="0.3">
      <c r="F5" t="s">
        <v>79</v>
      </c>
      <c r="G5" s="10">
        <v>780</v>
      </c>
    </row>
    <row r="6" spans="3:12" x14ac:dyDescent="0.3">
      <c r="G6" s="10"/>
    </row>
    <row r="7" spans="3:12" x14ac:dyDescent="0.3">
      <c r="F7" s="16" t="s">
        <v>81</v>
      </c>
      <c r="G7" s="28">
        <f>G4-G5</f>
        <v>1020</v>
      </c>
    </row>
    <row r="8" spans="3:12" ht="21" x14ac:dyDescent="0.4">
      <c r="D8">
        <f>G7*0.22</f>
        <v>224.4</v>
      </c>
      <c r="F8" s="16" t="s">
        <v>104</v>
      </c>
      <c r="G8" s="29">
        <f>G7-G7*0.22</f>
        <v>795.6</v>
      </c>
      <c r="I8" s="12">
        <f>G8*J8</f>
        <v>230.72399999999999</v>
      </c>
      <c r="J8">
        <v>0.28999999999999998</v>
      </c>
    </row>
    <row r="9" spans="3:12" x14ac:dyDescent="0.3">
      <c r="D9">
        <f>0.8*D8</f>
        <v>179.52</v>
      </c>
      <c r="G9" s="10"/>
      <c r="I9">
        <v>160</v>
      </c>
      <c r="L9">
        <f>I9*D18</f>
        <v>50666.666666666672</v>
      </c>
    </row>
    <row r="10" spans="3:12" ht="21" x14ac:dyDescent="0.4">
      <c r="D10">
        <f>SUM(D8:D9)</f>
        <v>403.92</v>
      </c>
      <c r="F10" t="s">
        <v>82</v>
      </c>
      <c r="G10" s="10">
        <f>I8</f>
        <v>230.72399999999999</v>
      </c>
      <c r="H10" s="11">
        <f>G10/G8</f>
        <v>0.28999999999999998</v>
      </c>
      <c r="J10">
        <v>33</v>
      </c>
    </row>
    <row r="11" spans="3:12" x14ac:dyDescent="0.3">
      <c r="C11" t="s">
        <v>90</v>
      </c>
      <c r="D11" s="13">
        <f>G13*D10</f>
        <v>3164372.1119999997</v>
      </c>
      <c r="E11" s="15">
        <f>D9*G13</f>
        <v>1406387.6053333334</v>
      </c>
      <c r="G11" s="10">
        <f>G8-G10</f>
        <v>564.87599999999998</v>
      </c>
    </row>
    <row r="12" spans="3:12" x14ac:dyDescent="0.3">
      <c r="C12" t="s">
        <v>91</v>
      </c>
      <c r="D12" s="14">
        <f>G13*G10</f>
        <v>1807527.7063999998</v>
      </c>
      <c r="F12" t="s">
        <v>84</v>
      </c>
      <c r="G12" s="10"/>
    </row>
    <row r="13" spans="3:12" x14ac:dyDescent="0.3">
      <c r="C13" t="s">
        <v>92</v>
      </c>
      <c r="D13" s="15">
        <f>G11*G13</f>
        <v>4425326.4535999997</v>
      </c>
      <c r="E13" s="15">
        <f>D13-E11</f>
        <v>3018938.8482666663</v>
      </c>
      <c r="F13" t="s">
        <v>83</v>
      </c>
      <c r="G13" s="10">
        <f>Sheet1!J35</f>
        <v>7834.1555555555551</v>
      </c>
    </row>
    <row r="14" spans="3:12" x14ac:dyDescent="0.3">
      <c r="C14" t="s">
        <v>93</v>
      </c>
      <c r="D14" s="15">
        <v>600000</v>
      </c>
      <c r="F14" s="30" t="s">
        <v>82</v>
      </c>
      <c r="G14" s="31">
        <f>G13*G10</f>
        <v>1807527.7063999998</v>
      </c>
      <c r="I14">
        <f>I8*G13</f>
        <v>1807527.7063999998</v>
      </c>
      <c r="J14">
        <f>I14/E16</f>
        <v>100418.2059111111</v>
      </c>
    </row>
    <row r="15" spans="3:12" x14ac:dyDescent="0.3">
      <c r="C15" t="s">
        <v>94</v>
      </c>
      <c r="D15">
        <v>100000</v>
      </c>
    </row>
    <row r="16" spans="3:12" x14ac:dyDescent="0.3">
      <c r="D16" t="s">
        <v>0</v>
      </c>
      <c r="E16">
        <v>18</v>
      </c>
      <c r="F16">
        <f>D18*E16</f>
        <v>5700</v>
      </c>
      <c r="I16">
        <f>G8*D18</f>
        <v>251940.00000000003</v>
      </c>
      <c r="J16">
        <f>I16-I19</f>
        <v>176940.00000000003</v>
      </c>
      <c r="L16">
        <f>J16*E16</f>
        <v>3184920.0000000005</v>
      </c>
    </row>
    <row r="17" spans="4:13" x14ac:dyDescent="0.3">
      <c r="H17">
        <f>G10*D18</f>
        <v>73062.600000000006</v>
      </c>
      <c r="I17">
        <v>45000</v>
      </c>
      <c r="J17">
        <f>I17/I19</f>
        <v>0.6</v>
      </c>
    </row>
    <row r="18" spans="4:13" x14ac:dyDescent="0.3">
      <c r="D18">
        <f>570000/G4</f>
        <v>316.66666666666669</v>
      </c>
      <c r="I18">
        <v>30000</v>
      </c>
      <c r="J18">
        <f>I18/I19</f>
        <v>0.4</v>
      </c>
    </row>
    <row r="19" spans="4:13" x14ac:dyDescent="0.3">
      <c r="I19">
        <f>SUM(I17:I18)</f>
        <v>75000</v>
      </c>
      <c r="L19">
        <f>I19*E16</f>
        <v>1350000</v>
      </c>
      <c r="M19">
        <f>L19/L20</f>
        <v>0.2976899261728983</v>
      </c>
    </row>
    <row r="20" spans="4:13" x14ac:dyDescent="0.3">
      <c r="D20">
        <f>750*1.24-750</f>
        <v>180</v>
      </c>
      <c r="L20">
        <f>L19+L16</f>
        <v>4534920</v>
      </c>
    </row>
    <row r="21" spans="4:13" x14ac:dyDescent="0.3">
      <c r="D21">
        <f>750-D20</f>
        <v>570</v>
      </c>
    </row>
    <row r="24" spans="4:13" x14ac:dyDescent="0.3">
      <c r="D24">
        <f>710*1.24-710</f>
        <v>170.39999999999998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055A-1E2A-48E3-A642-825BCDDF5B0A}">
  <dimension ref="B1:L2"/>
  <sheetViews>
    <sheetView workbookViewId="0">
      <selection sqref="A1:XFD2"/>
    </sheetView>
  </sheetViews>
  <sheetFormatPr defaultRowHeight="14.4" x14ac:dyDescent="0.3"/>
  <sheetData>
    <row r="1" spans="2:12" x14ac:dyDescent="0.3">
      <c r="B1" s="3">
        <v>12</v>
      </c>
      <c r="C1" s="3"/>
      <c r="D1" s="3" t="s">
        <v>28</v>
      </c>
      <c r="E1" s="3" t="s">
        <v>29</v>
      </c>
      <c r="F1" s="3">
        <v>6977258663</v>
      </c>
      <c r="G1" s="4">
        <v>45425</v>
      </c>
      <c r="H1" s="3"/>
      <c r="I1" s="3"/>
      <c r="J1" s="3" t="s">
        <v>27</v>
      </c>
      <c r="K1" s="1"/>
    </row>
    <row r="2" spans="2:12" x14ac:dyDescent="0.3">
      <c r="B2" s="7">
        <v>13</v>
      </c>
      <c r="C2" s="7"/>
      <c r="D2" s="6" t="s">
        <v>31</v>
      </c>
      <c r="E2" s="6" t="s">
        <v>32</v>
      </c>
      <c r="F2" s="7"/>
      <c r="G2" s="7"/>
      <c r="H2" s="7"/>
      <c r="I2" s="8">
        <v>45463</v>
      </c>
      <c r="J2" s="6" t="s">
        <v>27</v>
      </c>
      <c r="K2" t="s">
        <v>35</v>
      </c>
      <c r="L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CHATZATOGLOU</dc:creator>
  <cp:lastModifiedBy>VASILIOS CHATZATOGLOU</cp:lastModifiedBy>
  <dcterms:created xsi:type="dcterms:W3CDTF">2024-05-31T10:56:03Z</dcterms:created>
  <dcterms:modified xsi:type="dcterms:W3CDTF">2024-10-04T15:06:05Z</dcterms:modified>
</cp:coreProperties>
</file>