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ogelheating.sharepoint.com/sites/vogel/Bldg Env/Pricing Files/"/>
    </mc:Choice>
  </mc:AlternateContent>
  <xr:revisionPtr revIDLastSave="186" documentId="8_{2D0A2AB0-64E3-471D-BA33-2150478FF96D}" xr6:coauthVersionLast="47" xr6:coauthVersionMax="47" xr10:uidLastSave="{FC786650-59B3-4D10-ACE4-F009D384C200}"/>
  <bookViews>
    <workbookView xWindow="-120" yWindow="-120" windowWidth="29040" windowHeight="15840" tabRatio="791" activeTab="1" xr2:uid="{00000000-000D-0000-FFFF-FFFF00000000}"/>
  </bookViews>
  <sheets>
    <sheet name="Financing" sheetId="66" r:id="rId1"/>
    <sheet name="Insulation" sheetId="67" r:id="rId2"/>
    <sheet name="Windows" sheetId="65" r:id="rId3"/>
    <sheet name="Simplified" sheetId="69" r:id="rId4"/>
    <sheet name="Restoration" sheetId="38" r:id="rId5"/>
    <sheet name="Aeris" sheetId="62" r:id="rId6"/>
  </sheets>
  <definedNames>
    <definedName name="CreditCardCover">#REF!</definedName>
    <definedName name="FileName">#REF!</definedName>
    <definedName name="LaborRate">#REF!</definedName>
    <definedName name="SalesTax">#REF!</definedName>
  </definedNames>
  <calcPr calcId="191029"/>
  <fileRecoveryPr repairLoad="1"/>
</workbook>
</file>

<file path=xl/calcChain.xml><?xml version="1.0" encoding="utf-8"?>
<calcChain xmlns="http://schemas.openxmlformats.org/spreadsheetml/2006/main">
  <c r="C4" i="67" l="1"/>
  <c r="J22" i="65"/>
  <c r="I22" i="65"/>
  <c r="H22" i="65"/>
  <c r="G22" i="65"/>
  <c r="F22" i="65"/>
  <c r="E22" i="65"/>
  <c r="D22" i="65"/>
  <c r="C22" i="65"/>
  <c r="F20" i="65"/>
  <c r="E20" i="65"/>
  <c r="E16" i="65"/>
  <c r="D16" i="65"/>
  <c r="C16" i="65"/>
  <c r="B25" i="67"/>
  <c r="B18" i="67"/>
  <c r="B12" i="67"/>
  <c r="H12" i="67"/>
  <c r="M4" i="67"/>
  <c r="L4" i="67"/>
  <c r="J4" i="67"/>
  <c r="I4" i="67"/>
  <c r="H4" i="67"/>
  <c r="G4" i="67"/>
  <c r="F4" i="67"/>
  <c r="E4" i="67"/>
  <c r="D4" i="67"/>
  <c r="M56" i="62"/>
  <c r="M55" i="62"/>
  <c r="M54" i="62"/>
  <c r="O56" i="62"/>
  <c r="O55" i="62"/>
  <c r="O54" i="62"/>
  <c r="Q56" i="62"/>
  <c r="Q55" i="62"/>
  <c r="Q50" i="62" s="1"/>
  <c r="Q54" i="62"/>
  <c r="S56" i="62"/>
  <c r="S55" i="62"/>
  <c r="S54" i="62"/>
  <c r="U56" i="62"/>
  <c r="U55" i="62"/>
  <c r="U54" i="62"/>
  <c r="U50" i="62" s="1"/>
  <c r="W56" i="62"/>
  <c r="W50" i="62" s="1"/>
  <c r="W55" i="62"/>
  <c r="W54" i="62"/>
  <c r="Y56" i="62"/>
  <c r="Y55" i="62"/>
  <c r="Y54" i="62"/>
  <c r="Y50" i="62" s="1"/>
  <c r="AA56" i="62"/>
  <c r="AA55" i="62"/>
  <c r="AA54" i="62"/>
  <c r="AA50" i="62" s="1"/>
  <c r="AC56" i="62"/>
  <c r="AC55" i="62"/>
  <c r="AC54" i="62"/>
  <c r="AE56" i="62"/>
  <c r="AE55" i="62"/>
  <c r="AE54" i="62"/>
  <c r="AG56" i="62"/>
  <c r="AG55" i="62"/>
  <c r="AG54" i="62"/>
  <c r="AI56" i="62"/>
  <c r="AI55" i="62"/>
  <c r="AI54" i="62"/>
  <c r="AK56" i="62"/>
  <c r="AK55" i="62"/>
  <c r="AK54" i="62"/>
  <c r="AK50" i="62" s="1"/>
  <c r="AK10" i="62"/>
  <c r="AK9" i="62"/>
  <c r="AK8" i="62"/>
  <c r="AK7" i="62"/>
  <c r="AK21" i="62"/>
  <c r="AK20" i="62"/>
  <c r="AK19" i="62"/>
  <c r="AK18" i="62"/>
  <c r="AK17" i="62"/>
  <c r="AK16" i="62"/>
  <c r="AK30" i="62"/>
  <c r="AK29" i="62"/>
  <c r="AK28" i="62"/>
  <c r="AK27" i="62"/>
  <c r="AK39" i="62"/>
  <c r="AK38" i="62"/>
  <c r="AK37" i="62"/>
  <c r="AK32" i="62" s="1"/>
  <c r="AK36" i="62"/>
  <c r="AK48" i="62"/>
  <c r="AK47" i="62"/>
  <c r="AK46" i="62"/>
  <c r="AK45" i="62"/>
  <c r="AK41" i="62" s="1"/>
  <c r="AI48" i="62"/>
  <c r="AI47" i="62"/>
  <c r="AI46" i="62"/>
  <c r="AI41" i="62" s="1"/>
  <c r="AI45" i="62"/>
  <c r="AG48" i="62"/>
  <c r="AG47" i="62"/>
  <c r="AG46" i="62"/>
  <c r="AG45" i="62"/>
  <c r="AE48" i="62"/>
  <c r="AE47" i="62"/>
  <c r="AE46" i="62"/>
  <c r="AE41" i="62" s="1"/>
  <c r="AE45" i="62"/>
  <c r="AC48" i="62"/>
  <c r="AC47" i="62"/>
  <c r="AC46" i="62"/>
  <c r="AC45" i="62"/>
  <c r="AA48" i="62"/>
  <c r="AA47" i="62"/>
  <c r="AA46" i="62"/>
  <c r="AA45" i="62"/>
  <c r="Y48" i="62"/>
  <c r="Y47" i="62"/>
  <c r="Y46" i="62"/>
  <c r="Y45" i="62"/>
  <c r="Y41" i="62" s="1"/>
  <c r="W48" i="62"/>
  <c r="W47" i="62"/>
  <c r="W46" i="62"/>
  <c r="W41" i="62" s="1"/>
  <c r="W45" i="62"/>
  <c r="U48" i="62"/>
  <c r="U47" i="62"/>
  <c r="U46" i="62"/>
  <c r="U45" i="62"/>
  <c r="U41" i="62" s="1"/>
  <c r="S48" i="62"/>
  <c r="S47" i="62"/>
  <c r="S46" i="62"/>
  <c r="S41" i="62" s="1"/>
  <c r="S45" i="62"/>
  <c r="Q48" i="62"/>
  <c r="Q47" i="62"/>
  <c r="Q46" i="62"/>
  <c r="Q45" i="62"/>
  <c r="Q41" i="62" s="1"/>
  <c r="O48" i="62"/>
  <c r="O47" i="62"/>
  <c r="O46" i="62"/>
  <c r="O41" i="62" s="1"/>
  <c r="O45" i="62"/>
  <c r="M48" i="62"/>
  <c r="M47" i="62"/>
  <c r="M46" i="62"/>
  <c r="M45" i="62"/>
  <c r="O39" i="62"/>
  <c r="O38" i="62"/>
  <c r="O37" i="62"/>
  <c r="O32" i="62" s="1"/>
  <c r="O36" i="62"/>
  <c r="M39" i="62"/>
  <c r="M38" i="62"/>
  <c r="M37" i="62"/>
  <c r="M36" i="62"/>
  <c r="U39" i="62"/>
  <c r="U38" i="62"/>
  <c r="U37" i="62"/>
  <c r="U32" i="62" s="1"/>
  <c r="U36" i="62"/>
  <c r="S39" i="62"/>
  <c r="S38" i="62"/>
  <c r="S37" i="62"/>
  <c r="S36" i="62"/>
  <c r="S32" i="62" s="1"/>
  <c r="Q39" i="62"/>
  <c r="Q38" i="62"/>
  <c r="Q37" i="62"/>
  <c r="Q32" i="62" s="1"/>
  <c r="Q36" i="62"/>
  <c r="W39" i="62"/>
  <c r="W38" i="62"/>
  <c r="W37" i="62"/>
  <c r="W36" i="62"/>
  <c r="Y39" i="62"/>
  <c r="Y38" i="62"/>
  <c r="Y37" i="62"/>
  <c r="Y32" i="62" s="1"/>
  <c r="Y36" i="62"/>
  <c r="AA39" i="62"/>
  <c r="AA38" i="62"/>
  <c r="AA37" i="62"/>
  <c r="AA36" i="62"/>
  <c r="AC39" i="62"/>
  <c r="AC38" i="62"/>
  <c r="AC37" i="62"/>
  <c r="AC36" i="62"/>
  <c r="AE39" i="62"/>
  <c r="AE38" i="62"/>
  <c r="AE37" i="62"/>
  <c r="AE36" i="62"/>
  <c r="AE32" i="62" s="1"/>
  <c r="AG39" i="62"/>
  <c r="AG38" i="62"/>
  <c r="AG37" i="62"/>
  <c r="AG32" i="62" s="1"/>
  <c r="AG36" i="62"/>
  <c r="AI39" i="62"/>
  <c r="AI38" i="62"/>
  <c r="AI37" i="62"/>
  <c r="AI36" i="62"/>
  <c r="AI32" i="62" s="1"/>
  <c r="AI30" i="62"/>
  <c r="AI29" i="62"/>
  <c r="AI28" i="62"/>
  <c r="AI23" i="62" s="1"/>
  <c r="AI27" i="62"/>
  <c r="AG30" i="62"/>
  <c r="AG29" i="62"/>
  <c r="AG28" i="62"/>
  <c r="AG27" i="62"/>
  <c r="AE30" i="62"/>
  <c r="AE29" i="62"/>
  <c r="AE28" i="62"/>
  <c r="AE27" i="62"/>
  <c r="AE21" i="62"/>
  <c r="AE20" i="62"/>
  <c r="AE19" i="62"/>
  <c r="AE18" i="62"/>
  <c r="AE17" i="62"/>
  <c r="AE16" i="62"/>
  <c r="AG21" i="62"/>
  <c r="AG20" i="62"/>
  <c r="AG19" i="62"/>
  <c r="AG18" i="62"/>
  <c r="AG17" i="62"/>
  <c r="AG16" i="62"/>
  <c r="AI21" i="62"/>
  <c r="AI20" i="62"/>
  <c r="AI19" i="62"/>
  <c r="AI18" i="62"/>
  <c r="AI17" i="62"/>
  <c r="AI16" i="62"/>
  <c r="AI10" i="62"/>
  <c r="AI9" i="62"/>
  <c r="AI8" i="62"/>
  <c r="AI7" i="62"/>
  <c r="AG10" i="62"/>
  <c r="AG9" i="62"/>
  <c r="AG8" i="62"/>
  <c r="AG7" i="62"/>
  <c r="AE10" i="62"/>
  <c r="AE9" i="62"/>
  <c r="AE8" i="62"/>
  <c r="AE7" i="62"/>
  <c r="AC30" i="62"/>
  <c r="AC23" i="62" s="1"/>
  <c r="AC29" i="62"/>
  <c r="AC28" i="62"/>
  <c r="AC27" i="62"/>
  <c r="AC21" i="62"/>
  <c r="AC20" i="62"/>
  <c r="AC19" i="62"/>
  <c r="AC18" i="62"/>
  <c r="AC17" i="62"/>
  <c r="AC16" i="62"/>
  <c r="AC10" i="62"/>
  <c r="AC9" i="62"/>
  <c r="AC8" i="62"/>
  <c r="AC7" i="62"/>
  <c r="AA30" i="62"/>
  <c r="AA29" i="62"/>
  <c r="AA28" i="62"/>
  <c r="AA23" i="62" s="1"/>
  <c r="AA27" i="62"/>
  <c r="AA21" i="62"/>
  <c r="AA20" i="62"/>
  <c r="AA19" i="62"/>
  <c r="AA18" i="62"/>
  <c r="AA17" i="62"/>
  <c r="AA16" i="62"/>
  <c r="AA10" i="62"/>
  <c r="AA9" i="62"/>
  <c r="AA8" i="62"/>
  <c r="AA7" i="62"/>
  <c r="Y10" i="62"/>
  <c r="Y9" i="62"/>
  <c r="Y8" i="62"/>
  <c r="Y7" i="62"/>
  <c r="Y21" i="62"/>
  <c r="Y20" i="62"/>
  <c r="Y19" i="62"/>
  <c r="Y18" i="62"/>
  <c r="Y17" i="62"/>
  <c r="Y16" i="62"/>
  <c r="Y30" i="62"/>
  <c r="Y29" i="62"/>
  <c r="Y28" i="62"/>
  <c r="Y23" i="62" s="1"/>
  <c r="Y27" i="62"/>
  <c r="W30" i="62"/>
  <c r="W29" i="62"/>
  <c r="W28" i="62"/>
  <c r="W27" i="62"/>
  <c r="W23" i="62" s="1"/>
  <c r="U30" i="62"/>
  <c r="U29" i="62"/>
  <c r="U28" i="62"/>
  <c r="U23" i="62" s="1"/>
  <c r="U27" i="62"/>
  <c r="Q30" i="62"/>
  <c r="Q29" i="62"/>
  <c r="Q28" i="62"/>
  <c r="Q27" i="62"/>
  <c r="S30" i="62"/>
  <c r="S29" i="62"/>
  <c r="S28" i="62"/>
  <c r="S23" i="62" s="1"/>
  <c r="S27" i="62"/>
  <c r="O30" i="62"/>
  <c r="O29" i="62"/>
  <c r="O28" i="62"/>
  <c r="O27" i="62"/>
  <c r="M30" i="62"/>
  <c r="M29" i="62"/>
  <c r="M28" i="62"/>
  <c r="M23" i="62" s="1"/>
  <c r="M27" i="62"/>
  <c r="M21" i="62"/>
  <c r="M20" i="62"/>
  <c r="M19" i="62"/>
  <c r="M18" i="62"/>
  <c r="M17" i="62"/>
  <c r="M16" i="62"/>
  <c r="O21" i="62"/>
  <c r="O20" i="62"/>
  <c r="O19" i="62"/>
  <c r="O18" i="62"/>
  <c r="O17" i="62"/>
  <c r="O16" i="62"/>
  <c r="Q21" i="62"/>
  <c r="Q20" i="62"/>
  <c r="Q19" i="62"/>
  <c r="Q18" i="62"/>
  <c r="Q17" i="62"/>
  <c r="Q16" i="62"/>
  <c r="S21" i="62"/>
  <c r="S20" i="62"/>
  <c r="S19" i="62"/>
  <c r="S18" i="62"/>
  <c r="S17" i="62"/>
  <c r="S16" i="62"/>
  <c r="U21" i="62"/>
  <c r="U20" i="62"/>
  <c r="U19" i="62"/>
  <c r="U18" i="62"/>
  <c r="U17" i="62"/>
  <c r="U16" i="62"/>
  <c r="W21" i="62"/>
  <c r="W20" i="62"/>
  <c r="W19" i="62"/>
  <c r="W18" i="62"/>
  <c r="W17" i="62"/>
  <c r="W16" i="62"/>
  <c r="W10" i="62"/>
  <c r="W9" i="62"/>
  <c r="W8" i="62"/>
  <c r="W7" i="62"/>
  <c r="U10" i="62"/>
  <c r="U9" i="62"/>
  <c r="U8" i="62"/>
  <c r="U7" i="62"/>
  <c r="S10" i="62"/>
  <c r="S9" i="62"/>
  <c r="S8" i="62"/>
  <c r="S7" i="62"/>
  <c r="Q10" i="62"/>
  <c r="Q9" i="62"/>
  <c r="Q8" i="62"/>
  <c r="Q7" i="62"/>
  <c r="O10" i="62"/>
  <c r="O9" i="62"/>
  <c r="O8" i="62"/>
  <c r="O7" i="62"/>
  <c r="M10" i="62"/>
  <c r="M9" i="62"/>
  <c r="M8" i="62"/>
  <c r="M7" i="62"/>
  <c r="M3" i="62" s="1"/>
  <c r="M50" i="62"/>
  <c r="O50" i="62"/>
  <c r="S50" i="62"/>
  <c r="AC50" i="62"/>
  <c r="AE50" i="62"/>
  <c r="AG50" i="62"/>
  <c r="AI50" i="62"/>
  <c r="AG41" i="62"/>
  <c r="AC41" i="62"/>
  <c r="AA41" i="62"/>
  <c r="M41" i="62"/>
  <c r="M32" i="62"/>
  <c r="W32" i="62"/>
  <c r="AA32" i="62"/>
  <c r="AC32" i="62"/>
  <c r="AK23" i="62"/>
  <c r="AG23" i="62"/>
  <c r="AE23" i="62"/>
  <c r="Q23" i="62"/>
  <c r="O23" i="62"/>
  <c r="P57" i="69"/>
  <c r="AH56" i="38"/>
  <c r="AH55" i="38"/>
  <c r="AH54" i="38"/>
  <c r="AD56" i="38"/>
  <c r="AD55" i="38"/>
  <c r="AD54" i="38"/>
  <c r="AB56" i="38"/>
  <c r="AB55" i="38"/>
  <c r="AB54" i="38"/>
  <c r="X55" i="38"/>
  <c r="X56" i="38"/>
  <c r="P55" i="38"/>
  <c r="P56" i="38"/>
  <c r="X54" i="38"/>
  <c r="X48" i="38"/>
  <c r="X47" i="38"/>
  <c r="X46" i="38"/>
  <c r="X45" i="38"/>
  <c r="V56" i="38"/>
  <c r="W56" i="38" s="1"/>
  <c r="V55" i="38"/>
  <c r="P54" i="38"/>
  <c r="V54" i="38"/>
  <c r="V48" i="38"/>
  <c r="V47" i="38"/>
  <c r="V46" i="38"/>
  <c r="V45" i="38"/>
  <c r="V39" i="38"/>
  <c r="V38" i="38"/>
  <c r="V37" i="38"/>
  <c r="V36" i="38"/>
  <c r="V30" i="38"/>
  <c r="V29" i="38"/>
  <c r="V28" i="38"/>
  <c r="V27" i="38"/>
  <c r="V7" i="38"/>
  <c r="V10" i="38"/>
  <c r="V9" i="38"/>
  <c r="V8" i="38"/>
  <c r="V21" i="38"/>
  <c r="V20" i="38"/>
  <c r="V19" i="38"/>
  <c r="V18" i="38"/>
  <c r="V17" i="38"/>
  <c r="V16" i="38"/>
  <c r="N56" i="38"/>
  <c r="O56" i="38" s="1"/>
  <c r="N55" i="38"/>
  <c r="O55" i="38" s="1"/>
  <c r="L56" i="38"/>
  <c r="Q56" i="38" s="1"/>
  <c r="L55" i="38"/>
  <c r="T55" i="38" s="1"/>
  <c r="U55" i="38" s="1"/>
  <c r="L54" i="38"/>
  <c r="N54" i="38" s="1"/>
  <c r="O54" i="38" s="1"/>
  <c r="AK41" i="38"/>
  <c r="AA41" i="38"/>
  <c r="U41" i="38"/>
  <c r="S41" i="38"/>
  <c r="Q41" i="38"/>
  <c r="O41" i="38"/>
  <c r="M41" i="38"/>
  <c r="AK32" i="38"/>
  <c r="AA32" i="38"/>
  <c r="Y32" i="38"/>
  <c r="U32" i="38"/>
  <c r="S32" i="38"/>
  <c r="Q32" i="38"/>
  <c r="O32" i="38"/>
  <c r="M32" i="38"/>
  <c r="AK23" i="38"/>
  <c r="AA23" i="38"/>
  <c r="Y23" i="38"/>
  <c r="U23" i="38"/>
  <c r="S23" i="38"/>
  <c r="Q23" i="38"/>
  <c r="O23" i="38"/>
  <c r="M23" i="38"/>
  <c r="AK12" i="38"/>
  <c r="AA12" i="38"/>
  <c r="Y12" i="38"/>
  <c r="U12" i="38"/>
  <c r="S12" i="38"/>
  <c r="Q12" i="38"/>
  <c r="O12" i="38"/>
  <c r="M12" i="38"/>
  <c r="AK3" i="38"/>
  <c r="AA3" i="38"/>
  <c r="Y3" i="38"/>
  <c r="U3" i="38"/>
  <c r="S3" i="38"/>
  <c r="Q3" i="38"/>
  <c r="O3" i="38"/>
  <c r="M3" i="38"/>
  <c r="P45" i="38"/>
  <c r="N47" i="38"/>
  <c r="O47" i="38" s="1"/>
  <c r="N46" i="38"/>
  <c r="O46" i="38" s="1"/>
  <c r="N45" i="38"/>
  <c r="O1" i="69"/>
  <c r="Q1" i="69"/>
  <c r="S1" i="69"/>
  <c r="U1" i="69"/>
  <c r="W1" i="69"/>
  <c r="Y1" i="69"/>
  <c r="AA1" i="69"/>
  <c r="AC1" i="69"/>
  <c r="AE1" i="69"/>
  <c r="AG1" i="69"/>
  <c r="AI1" i="69"/>
  <c r="AK1" i="69"/>
  <c r="E3" i="69"/>
  <c r="F3" i="69"/>
  <c r="G3" i="69"/>
  <c r="H3" i="69"/>
  <c r="I3" i="69"/>
  <c r="K6" i="69"/>
  <c r="D7" i="69"/>
  <c r="M7" i="69"/>
  <c r="O7" i="69"/>
  <c r="O3" i="69" s="1"/>
  <c r="P7" i="69"/>
  <c r="Q7" i="69" s="1"/>
  <c r="R7" i="69"/>
  <c r="S7" i="69"/>
  <c r="T7" i="69"/>
  <c r="U7" i="69"/>
  <c r="V7" i="69"/>
  <c r="W7" i="69"/>
  <c r="W3" i="69" s="1"/>
  <c r="Y7" i="69"/>
  <c r="AA7" i="69"/>
  <c r="AC7" i="69"/>
  <c r="AE7" i="69"/>
  <c r="AE3" i="69" s="1"/>
  <c r="AG7" i="69"/>
  <c r="AG3" i="69" s="1"/>
  <c r="AI7" i="69"/>
  <c r="AI3" i="69" s="1"/>
  <c r="AJ7" i="69"/>
  <c r="AK7" i="69"/>
  <c r="AK3" i="69" s="1"/>
  <c r="D8" i="69"/>
  <c r="M8" i="69"/>
  <c r="O8" i="69"/>
  <c r="P8" i="69"/>
  <c r="Q8" i="69" s="1"/>
  <c r="R8" i="69"/>
  <c r="S8" i="69" s="1"/>
  <c r="T8" i="69"/>
  <c r="U8" i="69" s="1"/>
  <c r="V8" i="69"/>
  <c r="W8" i="69"/>
  <c r="Y8" i="69"/>
  <c r="Y3" i="69" s="1"/>
  <c r="AA8" i="69"/>
  <c r="AC8" i="69"/>
  <c r="AC3" i="69" s="1"/>
  <c r="AE8" i="69"/>
  <c r="AG8" i="69"/>
  <c r="AI8" i="69"/>
  <c r="AJ8" i="69"/>
  <c r="AK8" i="69"/>
  <c r="D9" i="69"/>
  <c r="M9" i="69"/>
  <c r="O9" i="69"/>
  <c r="P9" i="69"/>
  <c r="Q9" i="69"/>
  <c r="R9" i="69"/>
  <c r="S9" i="69" s="1"/>
  <c r="T9" i="69"/>
  <c r="U9" i="69"/>
  <c r="V9" i="69"/>
  <c r="W9" i="69"/>
  <c r="Y9" i="69"/>
  <c r="AA9" i="69"/>
  <c r="AA3" i="69" s="1"/>
  <c r="AC9" i="69"/>
  <c r="AE9" i="69"/>
  <c r="AG9" i="69"/>
  <c r="AI9" i="69"/>
  <c r="AJ9" i="69"/>
  <c r="AK9" i="69"/>
  <c r="D10" i="69"/>
  <c r="M10" i="69"/>
  <c r="M3" i="69" s="1"/>
  <c r="O10" i="69"/>
  <c r="P10" i="69"/>
  <c r="Q10" i="69"/>
  <c r="R10" i="69"/>
  <c r="S10" i="69" s="1"/>
  <c r="T10" i="69"/>
  <c r="U10" i="69" s="1"/>
  <c r="V10" i="69"/>
  <c r="W10" i="69" s="1"/>
  <c r="Y10" i="69"/>
  <c r="AA10" i="69"/>
  <c r="AC10" i="69"/>
  <c r="AE10" i="69"/>
  <c r="AG10" i="69"/>
  <c r="AI10" i="69"/>
  <c r="AJ10" i="69"/>
  <c r="AK10" i="69" s="1"/>
  <c r="E12" i="69"/>
  <c r="F12" i="69"/>
  <c r="G12" i="69"/>
  <c r="H12" i="69"/>
  <c r="K15" i="69"/>
  <c r="I12" i="69" s="1"/>
  <c r="D16" i="69"/>
  <c r="M16" i="69"/>
  <c r="M12" i="69" s="1"/>
  <c r="O16" i="69"/>
  <c r="P16" i="69"/>
  <c r="Q16" i="69" s="1"/>
  <c r="R16" i="69"/>
  <c r="S16" i="69"/>
  <c r="T16" i="69"/>
  <c r="U16" i="69" s="1"/>
  <c r="V16" i="69"/>
  <c r="W16" i="69" s="1"/>
  <c r="Y16" i="69"/>
  <c r="Y12" i="69" s="1"/>
  <c r="AA16" i="69"/>
  <c r="AC16" i="69"/>
  <c r="AE16" i="69"/>
  <c r="AG16" i="69"/>
  <c r="AG12" i="69" s="1"/>
  <c r="AI16" i="69"/>
  <c r="AI12" i="69" s="1"/>
  <c r="AJ16" i="69"/>
  <c r="AK16" i="69" s="1"/>
  <c r="D17" i="69"/>
  <c r="M17" i="69"/>
  <c r="O17" i="69"/>
  <c r="P17" i="69"/>
  <c r="Q17" i="69"/>
  <c r="R17" i="69"/>
  <c r="S17" i="69"/>
  <c r="T17" i="69"/>
  <c r="U17" i="69"/>
  <c r="V17" i="69"/>
  <c r="W17" i="69"/>
  <c r="Y17" i="69"/>
  <c r="AA17" i="69"/>
  <c r="AA12" i="69" s="1"/>
  <c r="AC17" i="69"/>
  <c r="AE17" i="69"/>
  <c r="AG17" i="69"/>
  <c r="AI17" i="69"/>
  <c r="AJ17" i="69"/>
  <c r="AK17" i="69"/>
  <c r="D18" i="69"/>
  <c r="M18" i="69"/>
  <c r="O18" i="69"/>
  <c r="P18" i="69"/>
  <c r="Q18" i="69" s="1"/>
  <c r="R18" i="69"/>
  <c r="S18" i="69" s="1"/>
  <c r="T18" i="69"/>
  <c r="U18" i="69"/>
  <c r="V18" i="69"/>
  <c r="W18" i="69" s="1"/>
  <c r="Y18" i="69"/>
  <c r="AA18" i="69"/>
  <c r="AC18" i="69"/>
  <c r="AC12" i="69" s="1"/>
  <c r="AE18" i="69"/>
  <c r="AG18" i="69"/>
  <c r="AI18" i="69"/>
  <c r="AJ18" i="69"/>
  <c r="AK18" i="69" s="1"/>
  <c r="D19" i="69"/>
  <c r="M19" i="69"/>
  <c r="O19" i="69"/>
  <c r="O12" i="69" s="1"/>
  <c r="P19" i="69"/>
  <c r="Q19" i="69"/>
  <c r="R19" i="69"/>
  <c r="S19" i="69"/>
  <c r="T19" i="69"/>
  <c r="U19" i="69"/>
  <c r="V19" i="69"/>
  <c r="W19" i="69"/>
  <c r="Y19" i="69"/>
  <c r="AA19" i="69"/>
  <c r="AC19" i="69"/>
  <c r="AE19" i="69"/>
  <c r="AE12" i="69" s="1"/>
  <c r="AG19" i="69"/>
  <c r="AI19" i="69"/>
  <c r="AJ19" i="69"/>
  <c r="AK19" i="69"/>
  <c r="D20" i="69"/>
  <c r="M20" i="69"/>
  <c r="O20" i="69"/>
  <c r="P20" i="69"/>
  <c r="Q20" i="69" s="1"/>
  <c r="R20" i="69"/>
  <c r="S20" i="69" s="1"/>
  <c r="T20" i="69"/>
  <c r="U20" i="69" s="1"/>
  <c r="V20" i="69"/>
  <c r="W20" i="69"/>
  <c r="Y20" i="69"/>
  <c r="AA20" i="69"/>
  <c r="AC20" i="69"/>
  <c r="AE20" i="69"/>
  <c r="AG20" i="69"/>
  <c r="AI20" i="69"/>
  <c r="AJ20" i="69"/>
  <c r="AK20" i="69"/>
  <c r="D21" i="69"/>
  <c r="M21" i="69"/>
  <c r="O21" i="69"/>
  <c r="P21" i="69"/>
  <c r="Q21" i="69"/>
  <c r="R21" i="69"/>
  <c r="S21" i="69"/>
  <c r="T21" i="69"/>
  <c r="U21" i="69"/>
  <c r="V21" i="69"/>
  <c r="W21" i="69"/>
  <c r="Y21" i="69"/>
  <c r="AA21" i="69"/>
  <c r="AC21" i="69"/>
  <c r="AE21" i="69"/>
  <c r="AG21" i="69"/>
  <c r="AI21" i="69"/>
  <c r="AJ21" i="69"/>
  <c r="AK21" i="69"/>
  <c r="E23" i="69"/>
  <c r="F23" i="69"/>
  <c r="G23" i="69"/>
  <c r="H23" i="69"/>
  <c r="I23" i="69"/>
  <c r="K26" i="69"/>
  <c r="D27" i="69"/>
  <c r="L27" i="69"/>
  <c r="T27" i="69" s="1"/>
  <c r="U27" i="69" s="1"/>
  <c r="M27" i="69"/>
  <c r="O27" i="69"/>
  <c r="O23" i="69" s="1"/>
  <c r="P27" i="69"/>
  <c r="Q27" i="69" s="1"/>
  <c r="Q23" i="69" s="1"/>
  <c r="R27" i="69"/>
  <c r="S27" i="69" s="1"/>
  <c r="V27" i="69"/>
  <c r="W27" i="69" s="1"/>
  <c r="Y27" i="69"/>
  <c r="Y23" i="69" s="1"/>
  <c r="AA27" i="69"/>
  <c r="AA23" i="69" s="1"/>
  <c r="AC27" i="69"/>
  <c r="AC23" i="69" s="1"/>
  <c r="AE27" i="69"/>
  <c r="AE23" i="69" s="1"/>
  <c r="AG27" i="69"/>
  <c r="AI27" i="69"/>
  <c r="AI23" i="69" s="1"/>
  <c r="AK27" i="69"/>
  <c r="D28" i="69"/>
  <c r="M28" i="69"/>
  <c r="O28" i="69"/>
  <c r="P28" i="69"/>
  <c r="Q28" i="69" s="1"/>
  <c r="R28" i="69"/>
  <c r="S28" i="69"/>
  <c r="T28" i="69"/>
  <c r="U28" i="69" s="1"/>
  <c r="V28" i="69"/>
  <c r="W28" i="69" s="1"/>
  <c r="Y28" i="69"/>
  <c r="AA28" i="69"/>
  <c r="AC28" i="69"/>
  <c r="AE28" i="69"/>
  <c r="AG28" i="69"/>
  <c r="AG23" i="69" s="1"/>
  <c r="AI28" i="69"/>
  <c r="AK28" i="69"/>
  <c r="D29" i="69"/>
  <c r="M29" i="69"/>
  <c r="M23" i="69" s="1"/>
  <c r="O29" i="69"/>
  <c r="P29" i="69"/>
  <c r="Q29" i="69"/>
  <c r="R29" i="69"/>
  <c r="S29" i="69" s="1"/>
  <c r="T29" i="69"/>
  <c r="U29" i="69" s="1"/>
  <c r="V29" i="69"/>
  <c r="W29" i="69" s="1"/>
  <c r="Y29" i="69"/>
  <c r="AA29" i="69"/>
  <c r="AC29" i="69"/>
  <c r="AE29" i="69"/>
  <c r="AG29" i="69"/>
  <c r="AI29" i="69"/>
  <c r="AK29" i="69"/>
  <c r="AK23" i="69" s="1"/>
  <c r="D30" i="69"/>
  <c r="M30" i="69"/>
  <c r="O30" i="69"/>
  <c r="P30" i="69"/>
  <c r="Q30" i="69" s="1"/>
  <c r="R30" i="69"/>
  <c r="S30" i="69" s="1"/>
  <c r="T30" i="69"/>
  <c r="U30" i="69" s="1"/>
  <c r="V30" i="69"/>
  <c r="W30" i="69"/>
  <c r="Y30" i="69"/>
  <c r="AA30" i="69"/>
  <c r="AC30" i="69"/>
  <c r="AE30" i="69"/>
  <c r="AG30" i="69"/>
  <c r="AI30" i="69"/>
  <c r="AK30" i="69"/>
  <c r="E32" i="69"/>
  <c r="F32" i="69"/>
  <c r="G32" i="69"/>
  <c r="H32" i="69"/>
  <c r="I32" i="69"/>
  <c r="M32" i="69"/>
  <c r="Y32" i="69"/>
  <c r="AC32" i="69"/>
  <c r="AK32" i="69"/>
  <c r="K35" i="69"/>
  <c r="D36" i="69"/>
  <c r="M36" i="69"/>
  <c r="O36" i="69"/>
  <c r="O32" i="69" s="1"/>
  <c r="P36" i="69"/>
  <c r="Q36" i="69"/>
  <c r="Q32" i="69" s="1"/>
  <c r="R36" i="69"/>
  <c r="S36" i="69"/>
  <c r="S32" i="69" s="1"/>
  <c r="T36" i="69"/>
  <c r="U36" i="69"/>
  <c r="U32" i="69" s="1"/>
  <c r="V36" i="69"/>
  <c r="W36" i="69"/>
  <c r="W32" i="69" s="1"/>
  <c r="Y36" i="69"/>
  <c r="AA36" i="69"/>
  <c r="AC36" i="69"/>
  <c r="AE36" i="69"/>
  <c r="AE32" i="69" s="1"/>
  <c r="AG36" i="69"/>
  <c r="AI36" i="69"/>
  <c r="AI32" i="69" s="1"/>
  <c r="AK36" i="69"/>
  <c r="D37" i="69"/>
  <c r="M37" i="69"/>
  <c r="O37" i="69"/>
  <c r="P37" i="69"/>
  <c r="Q37" i="69"/>
  <c r="R37" i="69"/>
  <c r="S37" i="69"/>
  <c r="T37" i="69"/>
  <c r="U37" i="69"/>
  <c r="V37" i="69"/>
  <c r="W37" i="69"/>
  <c r="Y37" i="69"/>
  <c r="AA37" i="69"/>
  <c r="AA32" i="69" s="1"/>
  <c r="AC37" i="69"/>
  <c r="AE37" i="69"/>
  <c r="AG37" i="69"/>
  <c r="AG32" i="69" s="1"/>
  <c r="AI37" i="69"/>
  <c r="AK37" i="69"/>
  <c r="D38" i="69"/>
  <c r="M38" i="69"/>
  <c r="O38" i="69"/>
  <c r="P38" i="69"/>
  <c r="Q38" i="69"/>
  <c r="R38" i="69"/>
  <c r="S38" i="69"/>
  <c r="T38" i="69"/>
  <c r="U38" i="69"/>
  <c r="V38" i="69"/>
  <c r="W38" i="69"/>
  <c r="Y38" i="69"/>
  <c r="AA38" i="69"/>
  <c r="AC38" i="69"/>
  <c r="AE38" i="69"/>
  <c r="AG38" i="69"/>
  <c r="AI38" i="69"/>
  <c r="AK38" i="69"/>
  <c r="D39" i="69"/>
  <c r="M39" i="69"/>
  <c r="O39" i="69"/>
  <c r="P39" i="69"/>
  <c r="Q39" i="69"/>
  <c r="R39" i="69"/>
  <c r="S39" i="69"/>
  <c r="T39" i="69"/>
  <c r="U39" i="69"/>
  <c r="V39" i="69"/>
  <c r="W39" i="69"/>
  <c r="Y39" i="69"/>
  <c r="AA39" i="69"/>
  <c r="AC39" i="69"/>
  <c r="AE39" i="69"/>
  <c r="AG39" i="69"/>
  <c r="AI39" i="69"/>
  <c r="AK39" i="69"/>
  <c r="D40" i="69"/>
  <c r="M40" i="69"/>
  <c r="O40" i="69"/>
  <c r="P40" i="69"/>
  <c r="Q40" i="69"/>
  <c r="R40" i="69"/>
  <c r="S40" i="69"/>
  <c r="T40" i="69"/>
  <c r="U40" i="69"/>
  <c r="V40" i="69"/>
  <c r="W40" i="69"/>
  <c r="Y40" i="69"/>
  <c r="AA40" i="69"/>
  <c r="AC40" i="69"/>
  <c r="AE40" i="69"/>
  <c r="AG40" i="69"/>
  <c r="AI40" i="69"/>
  <c r="AK40" i="69"/>
  <c r="E42" i="69"/>
  <c r="F42" i="69"/>
  <c r="G42" i="69"/>
  <c r="H42" i="69"/>
  <c r="I42" i="69"/>
  <c r="K45" i="69"/>
  <c r="D46" i="69"/>
  <c r="M46" i="69"/>
  <c r="O46" i="69"/>
  <c r="P46" i="69"/>
  <c r="Q46" i="69" s="1"/>
  <c r="R46" i="69"/>
  <c r="S46" i="69" s="1"/>
  <c r="T46" i="69"/>
  <c r="U46" i="69" s="1"/>
  <c r="V46" i="69"/>
  <c r="W46" i="69" s="1"/>
  <c r="Y46" i="69"/>
  <c r="Y42" i="69" s="1"/>
  <c r="AA46" i="69"/>
  <c r="AC46" i="69"/>
  <c r="AE46" i="69"/>
  <c r="AG46" i="69"/>
  <c r="AI46" i="69"/>
  <c r="AK46" i="69"/>
  <c r="D47" i="69"/>
  <c r="M47" i="69"/>
  <c r="O47" i="69"/>
  <c r="P47" i="69"/>
  <c r="Q47" i="69" s="1"/>
  <c r="R47" i="69"/>
  <c r="S47" i="69"/>
  <c r="T47" i="69"/>
  <c r="U47" i="69" s="1"/>
  <c r="V47" i="69"/>
  <c r="W47" i="69" s="1"/>
  <c r="Y47" i="69"/>
  <c r="AA47" i="69"/>
  <c r="AA42" i="69" s="1"/>
  <c r="AC47" i="69"/>
  <c r="AE47" i="69"/>
  <c r="AG47" i="69"/>
  <c r="AI47" i="69"/>
  <c r="AK47" i="69"/>
  <c r="D48" i="69"/>
  <c r="M48" i="69"/>
  <c r="O48" i="69"/>
  <c r="O42" i="69" s="1"/>
  <c r="P48" i="69"/>
  <c r="Q48" i="69" s="1"/>
  <c r="R48" i="69"/>
  <c r="S48" i="69" s="1"/>
  <c r="T48" i="69"/>
  <c r="U48" i="69" s="1"/>
  <c r="V48" i="69"/>
  <c r="W48" i="69" s="1"/>
  <c r="Y48" i="69"/>
  <c r="AA48" i="69"/>
  <c r="AC48" i="69"/>
  <c r="AE48" i="69"/>
  <c r="AG48" i="69"/>
  <c r="AI48" i="69"/>
  <c r="AK48" i="69"/>
  <c r="D49" i="69"/>
  <c r="M49" i="69"/>
  <c r="O49" i="69"/>
  <c r="P49" i="69"/>
  <c r="Q49" i="69" s="1"/>
  <c r="R49" i="69"/>
  <c r="S49" i="69" s="1"/>
  <c r="T49" i="69"/>
  <c r="U49" i="69" s="1"/>
  <c r="V49" i="69"/>
  <c r="W49" i="69" s="1"/>
  <c r="Y49" i="69"/>
  <c r="AA49" i="69"/>
  <c r="AC49" i="69"/>
  <c r="AE49" i="69"/>
  <c r="AG49" i="69"/>
  <c r="AI49" i="69"/>
  <c r="AK49" i="69"/>
  <c r="E51" i="69"/>
  <c r="F51" i="69"/>
  <c r="H51" i="69"/>
  <c r="J52" i="69"/>
  <c r="J53" i="69"/>
  <c r="K54" i="69" s="1"/>
  <c r="I51" i="69" s="1"/>
  <c r="D55" i="69"/>
  <c r="L55" i="69"/>
  <c r="T55" i="69" s="1"/>
  <c r="U55" i="69" s="1"/>
  <c r="O55" i="69"/>
  <c r="Y55" i="69"/>
  <c r="AA55" i="69"/>
  <c r="AC55" i="69"/>
  <c r="AE55" i="69"/>
  <c r="AG55" i="69"/>
  <c r="AI55" i="69"/>
  <c r="AK55" i="69"/>
  <c r="D56" i="69"/>
  <c r="L56" i="69"/>
  <c r="P56" i="69" s="1"/>
  <c r="Q56" i="69" s="1"/>
  <c r="O56" i="69"/>
  <c r="Y56" i="69"/>
  <c r="AA56" i="69"/>
  <c r="AA51" i="69" s="1"/>
  <c r="AC56" i="69"/>
  <c r="AE56" i="69"/>
  <c r="AG56" i="69"/>
  <c r="AI56" i="69"/>
  <c r="AI51" i="69" s="1"/>
  <c r="AK56" i="69"/>
  <c r="D57" i="69"/>
  <c r="L57" i="69"/>
  <c r="M57" i="69"/>
  <c r="O57" i="69"/>
  <c r="V57" i="69"/>
  <c r="W57" i="69" s="1"/>
  <c r="Y57" i="69"/>
  <c r="AA57" i="69"/>
  <c r="AC57" i="69"/>
  <c r="AC51" i="69" s="1"/>
  <c r="AE57" i="69"/>
  <c r="AG57" i="69"/>
  <c r="AI57" i="69"/>
  <c r="AK57" i="69"/>
  <c r="AK51" i="69" s="1"/>
  <c r="W55" i="38"/>
  <c r="R55" i="38"/>
  <c r="S55" i="38" s="1"/>
  <c r="T54" i="38"/>
  <c r="U54" i="38" s="1"/>
  <c r="R54" i="38"/>
  <c r="S54" i="38" s="1"/>
  <c r="W48" i="38"/>
  <c r="T48" i="38"/>
  <c r="U48" i="38" s="1"/>
  <c r="R48" i="38"/>
  <c r="S48" i="38" s="1"/>
  <c r="P48" i="38"/>
  <c r="Q48" i="38" s="1"/>
  <c r="O48" i="38"/>
  <c r="M48" i="38"/>
  <c r="W47" i="38"/>
  <c r="T47" i="38"/>
  <c r="U47" i="38" s="1"/>
  <c r="R47" i="38"/>
  <c r="S47" i="38" s="1"/>
  <c r="P47" i="38"/>
  <c r="Q47" i="38" s="1"/>
  <c r="M47" i="38"/>
  <c r="W46" i="38"/>
  <c r="T46" i="38"/>
  <c r="U46" i="38" s="1"/>
  <c r="R46" i="38"/>
  <c r="S46" i="38" s="1"/>
  <c r="P46" i="38"/>
  <c r="Q46" i="38" s="1"/>
  <c r="M46" i="38"/>
  <c r="W45" i="38"/>
  <c r="T45" i="38"/>
  <c r="U45" i="38" s="1"/>
  <c r="R45" i="38"/>
  <c r="S45" i="38" s="1"/>
  <c r="Q45" i="38"/>
  <c r="O45" i="38"/>
  <c r="M45" i="38"/>
  <c r="K53" i="38"/>
  <c r="K44" i="38"/>
  <c r="K35" i="38"/>
  <c r="K26" i="38"/>
  <c r="K15" i="38"/>
  <c r="K6" i="38"/>
  <c r="Q57" i="69" l="1"/>
  <c r="W41" i="38"/>
  <c r="T56" i="38"/>
  <c r="U56" i="38" s="1"/>
  <c r="M56" i="38"/>
  <c r="U50" i="38"/>
  <c r="O50" i="38"/>
  <c r="M55" i="38"/>
  <c r="M50" i="38" s="1"/>
  <c r="Q55" i="38"/>
  <c r="W42" i="69"/>
  <c r="T57" i="69"/>
  <c r="U57" i="69" s="1"/>
  <c r="AE42" i="69"/>
  <c r="R57" i="69"/>
  <c r="S57" i="69" s="1"/>
  <c r="AC42" i="69"/>
  <c r="AK42" i="69"/>
  <c r="AE51" i="69"/>
  <c r="O51" i="69"/>
  <c r="M42" i="69"/>
  <c r="AG51" i="69"/>
  <c r="Y51" i="69"/>
  <c r="AI42" i="69"/>
  <c r="R55" i="69"/>
  <c r="S55" i="69" s="1"/>
  <c r="P55" i="69"/>
  <c r="Q55" i="69" s="1"/>
  <c r="M55" i="69"/>
  <c r="V55" i="69"/>
  <c r="W55" i="69" s="1"/>
  <c r="AG42" i="69"/>
  <c r="W12" i="69"/>
  <c r="AK12" i="69"/>
  <c r="S12" i="69"/>
  <c r="U23" i="69"/>
  <c r="U12" i="69"/>
  <c r="S3" i="69"/>
  <c r="U42" i="69"/>
  <c r="W23" i="69"/>
  <c r="Q12" i="69"/>
  <c r="Q3" i="69"/>
  <c r="S42" i="69"/>
  <c r="S23" i="69"/>
  <c r="Q42" i="69"/>
  <c r="U3" i="69"/>
  <c r="V56" i="69"/>
  <c r="W56" i="69" s="1"/>
  <c r="W51" i="69" s="1"/>
  <c r="M56" i="69"/>
  <c r="M51" i="69" s="1"/>
  <c r="G51" i="69"/>
  <c r="T56" i="69"/>
  <c r="U56" i="69" s="1"/>
  <c r="R56" i="69"/>
  <c r="S56" i="69" s="1"/>
  <c r="S51" i="69" s="1"/>
  <c r="M54" i="38"/>
  <c r="W54" i="38"/>
  <c r="W50" i="38" s="1"/>
  <c r="Q54" i="38"/>
  <c r="R56" i="38"/>
  <c r="S56" i="38" s="1"/>
  <c r="S50" i="38" s="1"/>
  <c r="Q51" i="69" l="1"/>
  <c r="Q50" i="38"/>
  <c r="U51" i="69"/>
  <c r="O7" i="38" l="1"/>
  <c r="X39" i="38"/>
  <c r="X38" i="38"/>
  <c r="X37" i="38"/>
  <c r="X36" i="38"/>
  <c r="T39" i="38"/>
  <c r="T38" i="38"/>
  <c r="T37" i="38"/>
  <c r="T36" i="38"/>
  <c r="R39" i="38"/>
  <c r="R38" i="38"/>
  <c r="R37" i="38"/>
  <c r="R36" i="38"/>
  <c r="P39" i="38"/>
  <c r="P38" i="38"/>
  <c r="P37" i="38"/>
  <c r="P36" i="38"/>
  <c r="N39" i="38"/>
  <c r="N38" i="38"/>
  <c r="N37" i="38"/>
  <c r="N36" i="38"/>
  <c r="X30" i="38"/>
  <c r="X29" i="38"/>
  <c r="X28" i="38"/>
  <c r="X27" i="38"/>
  <c r="T30" i="38"/>
  <c r="T29" i="38"/>
  <c r="T28" i="38"/>
  <c r="T27" i="38"/>
  <c r="R30" i="38"/>
  <c r="R29" i="38"/>
  <c r="R28" i="38"/>
  <c r="R27" i="38"/>
  <c r="P30" i="38"/>
  <c r="P29" i="38"/>
  <c r="P28" i="38"/>
  <c r="P27" i="38"/>
  <c r="N30" i="38"/>
  <c r="N29" i="38"/>
  <c r="N28" i="38"/>
  <c r="N27" i="38"/>
  <c r="AJ16" i="38"/>
  <c r="AJ21" i="38"/>
  <c r="AJ20" i="38"/>
  <c r="AJ19" i="38"/>
  <c r="AJ18" i="38"/>
  <c r="AJ17" i="38"/>
  <c r="X21" i="38"/>
  <c r="X20" i="38"/>
  <c r="X19" i="38"/>
  <c r="X18" i="38"/>
  <c r="X17" i="38"/>
  <c r="X16" i="38"/>
  <c r="T21" i="38"/>
  <c r="T20" i="38"/>
  <c r="T19" i="38"/>
  <c r="T18" i="38"/>
  <c r="T17" i="38"/>
  <c r="T16" i="38"/>
  <c r="R21" i="38"/>
  <c r="R20" i="38"/>
  <c r="R19" i="38"/>
  <c r="R18" i="38"/>
  <c r="R17" i="38"/>
  <c r="R16" i="38"/>
  <c r="P21" i="38"/>
  <c r="P20" i="38"/>
  <c r="P19" i="38"/>
  <c r="P18" i="38"/>
  <c r="P17" i="38"/>
  <c r="P16" i="38"/>
  <c r="N21" i="38"/>
  <c r="N20" i="38"/>
  <c r="N19" i="38"/>
  <c r="N18" i="38"/>
  <c r="N17" i="38"/>
  <c r="N16" i="38"/>
  <c r="AJ10" i="38"/>
  <c r="AJ9" i="38"/>
  <c r="AJ8" i="38"/>
  <c r="AJ7" i="38"/>
  <c r="X10" i="38"/>
  <c r="X9" i="38"/>
  <c r="X8" i="38"/>
  <c r="X7" i="38"/>
  <c r="T10" i="38"/>
  <c r="T9" i="38"/>
  <c r="T8" i="38"/>
  <c r="T7" i="38"/>
  <c r="R10" i="38"/>
  <c r="R9" i="38"/>
  <c r="R8" i="38"/>
  <c r="R7" i="38"/>
  <c r="P10" i="38"/>
  <c r="P9" i="38"/>
  <c r="P8" i="38"/>
  <c r="P7" i="38"/>
  <c r="N10" i="38"/>
  <c r="N8" i="38"/>
  <c r="N9" i="38"/>
  <c r="N7" i="38"/>
  <c r="D56" i="38"/>
  <c r="D55" i="38"/>
  <c r="D54" i="38"/>
  <c r="D48" i="38"/>
  <c r="D47" i="38"/>
  <c r="D46" i="38"/>
  <c r="D45" i="38"/>
  <c r="D39" i="38"/>
  <c r="D38" i="38"/>
  <c r="D37" i="38"/>
  <c r="D36" i="38"/>
  <c r="D30" i="38"/>
  <c r="D29" i="38"/>
  <c r="D28" i="38"/>
  <c r="D27" i="38"/>
  <c r="D21" i="38"/>
  <c r="D20" i="38"/>
  <c r="D19" i="38"/>
  <c r="D18" i="38"/>
  <c r="D17" i="38"/>
  <c r="D16" i="38"/>
  <c r="D8" i="38"/>
  <c r="D9" i="38"/>
  <c r="D10" i="38"/>
  <c r="D7" i="38"/>
  <c r="D21" i="67" l="1"/>
  <c r="E15" i="67"/>
  <c r="AI12" i="62"/>
  <c r="AG12" i="62"/>
  <c r="AE12" i="62"/>
  <c r="AC12" i="62"/>
  <c r="AG3" i="62"/>
  <c r="AC3" i="62"/>
  <c r="AI56" i="38"/>
  <c r="AI55" i="38"/>
  <c r="AI54" i="38"/>
  <c r="AG56" i="38"/>
  <c r="AG55" i="38"/>
  <c r="AG54" i="38"/>
  <c r="AE56" i="38"/>
  <c r="AE55" i="38"/>
  <c r="AE54" i="38"/>
  <c r="AC56" i="38"/>
  <c r="AC55" i="38"/>
  <c r="AC54" i="38"/>
  <c r="AI48" i="38"/>
  <c r="AI47" i="38"/>
  <c r="AI46" i="38"/>
  <c r="AI45" i="38"/>
  <c r="AG48" i="38"/>
  <c r="AG47" i="38"/>
  <c r="AG46" i="38"/>
  <c r="AG45" i="38"/>
  <c r="AE48" i="38"/>
  <c r="AE47" i="38"/>
  <c r="AE46" i="38"/>
  <c r="AE45" i="38"/>
  <c r="AC48" i="38"/>
  <c r="AC47" i="38"/>
  <c r="AC46" i="38"/>
  <c r="AC45" i="38"/>
  <c r="AI39" i="38"/>
  <c r="AI38" i="38"/>
  <c r="AI37" i="38"/>
  <c r="AI36" i="38"/>
  <c r="AG39" i="38"/>
  <c r="AG38" i="38"/>
  <c r="AG37" i="38"/>
  <c r="AG36" i="38"/>
  <c r="AE39" i="38"/>
  <c r="AE38" i="38"/>
  <c r="AE37" i="38"/>
  <c r="AE36" i="38"/>
  <c r="AC39" i="38"/>
  <c r="AC38" i="38"/>
  <c r="AC37" i="38"/>
  <c r="AC36" i="38"/>
  <c r="AI30" i="38"/>
  <c r="AI29" i="38"/>
  <c r="AI28" i="38"/>
  <c r="AI27" i="38"/>
  <c r="AG30" i="38"/>
  <c r="AG29" i="38"/>
  <c r="AG28" i="38"/>
  <c r="AG27" i="38"/>
  <c r="AE30" i="38"/>
  <c r="AE29" i="38"/>
  <c r="AE28" i="38"/>
  <c r="AE27" i="38"/>
  <c r="AC30" i="38"/>
  <c r="AC29" i="38"/>
  <c r="AC28" i="38"/>
  <c r="AC27" i="38"/>
  <c r="AC23" i="38" s="1"/>
  <c r="AI21" i="38"/>
  <c r="AI20" i="38"/>
  <c r="AI19" i="38"/>
  <c r="AI18" i="38"/>
  <c r="AI17" i="38"/>
  <c r="AI16" i="38"/>
  <c r="AG21" i="38"/>
  <c r="AG20" i="38"/>
  <c r="AG19" i="38"/>
  <c r="AG18" i="38"/>
  <c r="AG17" i="38"/>
  <c r="AG16" i="38"/>
  <c r="AE21" i="38"/>
  <c r="AE20" i="38"/>
  <c r="AE19" i="38"/>
  <c r="AE18" i="38"/>
  <c r="AE17" i="38"/>
  <c r="AE16" i="38"/>
  <c r="AC21" i="38"/>
  <c r="AC20" i="38"/>
  <c r="AC19" i="38"/>
  <c r="AC18" i="38"/>
  <c r="AC17" i="38"/>
  <c r="AC16" i="38"/>
  <c r="AI10" i="38"/>
  <c r="AI9" i="38"/>
  <c r="AI8" i="38"/>
  <c r="AI7" i="38"/>
  <c r="AI3" i="38" s="1"/>
  <c r="AG10" i="38"/>
  <c r="AG9" i="38"/>
  <c r="AG8" i="38"/>
  <c r="AG7" i="38"/>
  <c r="AG3" i="38" s="1"/>
  <c r="AE10" i="38"/>
  <c r="AE9" i="38"/>
  <c r="AE8" i="38"/>
  <c r="AE7" i="38"/>
  <c r="AC10" i="38"/>
  <c r="AC9" i="38"/>
  <c r="AC8" i="38"/>
  <c r="AC7" i="38"/>
  <c r="AK12" i="62"/>
  <c r="Y12" i="62"/>
  <c r="W12" i="62"/>
  <c r="Q12" i="62"/>
  <c r="O12" i="62"/>
  <c r="Y3" i="62"/>
  <c r="U3" i="62"/>
  <c r="Q3" i="62"/>
  <c r="AK56" i="38"/>
  <c r="AK55" i="38"/>
  <c r="AK54" i="38"/>
  <c r="AK48" i="38"/>
  <c r="AK47" i="38"/>
  <c r="AK46" i="38"/>
  <c r="AK45" i="38"/>
  <c r="AK39" i="38"/>
  <c r="AK38" i="38"/>
  <c r="AK37" i="38"/>
  <c r="AK36" i="38"/>
  <c r="AK30" i="38"/>
  <c r="AK29" i="38"/>
  <c r="AK28" i="38"/>
  <c r="AK27" i="38"/>
  <c r="AK21" i="38"/>
  <c r="AK20" i="38"/>
  <c r="AK19" i="38"/>
  <c r="AK18" i="38"/>
  <c r="AK17" i="38"/>
  <c r="AK16" i="38"/>
  <c r="AK10" i="38"/>
  <c r="AK9" i="38"/>
  <c r="AK8" i="38"/>
  <c r="AK7" i="38"/>
  <c r="AA56" i="38"/>
  <c r="AA55" i="38"/>
  <c r="AA54" i="38"/>
  <c r="Y56" i="38"/>
  <c r="Y55" i="38"/>
  <c r="Y50" i="38" s="1"/>
  <c r="Y54" i="38"/>
  <c r="AA48" i="38"/>
  <c r="AA47" i="38"/>
  <c r="AA46" i="38"/>
  <c r="AA45" i="38"/>
  <c r="Y48" i="38"/>
  <c r="Y47" i="38"/>
  <c r="Y46" i="38"/>
  <c r="Y45" i="38"/>
  <c r="AA39" i="38"/>
  <c r="AA38" i="38"/>
  <c r="AA37" i="38"/>
  <c r="AA36" i="38"/>
  <c r="Y39" i="38"/>
  <c r="Y38" i="38"/>
  <c r="Y37" i="38"/>
  <c r="Y36" i="38"/>
  <c r="W39" i="38"/>
  <c r="W38" i="38"/>
  <c r="W37" i="38"/>
  <c r="W36" i="38"/>
  <c r="U39" i="38"/>
  <c r="U38" i="38"/>
  <c r="U37" i="38"/>
  <c r="U36" i="38"/>
  <c r="S39" i="38"/>
  <c r="S38" i="38"/>
  <c r="S37" i="38"/>
  <c r="S36" i="38"/>
  <c r="AA30" i="38"/>
  <c r="AA29" i="38"/>
  <c r="AA28" i="38"/>
  <c r="AA27" i="38"/>
  <c r="Y30" i="38"/>
  <c r="Y29" i="38"/>
  <c r="Y28" i="38"/>
  <c r="Y27" i="38"/>
  <c r="W30" i="38"/>
  <c r="W29" i="38"/>
  <c r="W28" i="38"/>
  <c r="W27" i="38"/>
  <c r="U30" i="38"/>
  <c r="U29" i="38"/>
  <c r="U28" i="38"/>
  <c r="U27" i="38"/>
  <c r="S30" i="38"/>
  <c r="S29" i="38"/>
  <c r="S28" i="38"/>
  <c r="S27" i="38"/>
  <c r="AA21" i="38"/>
  <c r="AA20" i="38"/>
  <c r="AA19" i="38"/>
  <c r="AA18" i="38"/>
  <c r="AA17" i="38"/>
  <c r="AA16" i="38"/>
  <c r="Y21" i="38"/>
  <c r="Y20" i="38"/>
  <c r="Y19" i="38"/>
  <c r="Y18" i="38"/>
  <c r="Y17" i="38"/>
  <c r="Y16" i="38"/>
  <c r="W21" i="38"/>
  <c r="W20" i="38"/>
  <c r="W19" i="38"/>
  <c r="W18" i="38"/>
  <c r="W17" i="38"/>
  <c r="W16" i="38"/>
  <c r="U21" i="38"/>
  <c r="U20" i="38"/>
  <c r="U19" i="38"/>
  <c r="U18" i="38"/>
  <c r="U17" i="38"/>
  <c r="U16" i="38"/>
  <c r="S21" i="38"/>
  <c r="S20" i="38"/>
  <c r="S19" i="38"/>
  <c r="S18" i="38"/>
  <c r="S17" i="38"/>
  <c r="S16" i="38"/>
  <c r="AA10" i="38"/>
  <c r="AA9" i="38"/>
  <c r="AA8" i="38"/>
  <c r="AA7" i="38"/>
  <c r="Y10" i="38"/>
  <c r="Y9" i="38"/>
  <c r="Y8" i="38"/>
  <c r="Y7" i="38"/>
  <c r="W10" i="38"/>
  <c r="W9" i="38"/>
  <c r="W8" i="38"/>
  <c r="W7" i="38"/>
  <c r="U10" i="38"/>
  <c r="U9" i="38"/>
  <c r="U8" i="38"/>
  <c r="U7" i="38"/>
  <c r="S10" i="38"/>
  <c r="S9" i="38"/>
  <c r="S8" i="38"/>
  <c r="S7" i="38"/>
  <c r="Q39" i="38"/>
  <c r="Q38" i="38"/>
  <c r="Q37" i="38"/>
  <c r="Q36" i="38"/>
  <c r="Q30" i="38"/>
  <c r="Q29" i="38"/>
  <c r="Q28" i="38"/>
  <c r="Q27" i="38"/>
  <c r="Q21" i="38"/>
  <c r="Q20" i="38"/>
  <c r="Q19" i="38"/>
  <c r="Q18" i="38"/>
  <c r="Q17" i="38"/>
  <c r="Q16" i="38"/>
  <c r="Q10" i="38"/>
  <c r="Q9" i="38"/>
  <c r="Q8" i="38"/>
  <c r="Q7" i="38"/>
  <c r="O39" i="38"/>
  <c r="O38" i="38"/>
  <c r="O37" i="38"/>
  <c r="O36" i="38"/>
  <c r="O30" i="38"/>
  <c r="O29" i="38"/>
  <c r="O28" i="38"/>
  <c r="O27" i="38"/>
  <c r="O21" i="38"/>
  <c r="O20" i="38"/>
  <c r="O19" i="38"/>
  <c r="O18" i="38"/>
  <c r="O17" i="38"/>
  <c r="O16" i="38"/>
  <c r="O10" i="38"/>
  <c r="O9" i="38"/>
  <c r="O8" i="38"/>
  <c r="AK1" i="62"/>
  <c r="AI1" i="62"/>
  <c r="AG1" i="62"/>
  <c r="AE1" i="62"/>
  <c r="AC1" i="62"/>
  <c r="AA1" i="62"/>
  <c r="Y1" i="62"/>
  <c r="W1" i="62"/>
  <c r="U1" i="62"/>
  <c r="S1" i="62"/>
  <c r="Q1" i="62"/>
  <c r="O1" i="62"/>
  <c r="AK1" i="38"/>
  <c r="AI1" i="38"/>
  <c r="AG1" i="38"/>
  <c r="AE1" i="38"/>
  <c r="AC1" i="38"/>
  <c r="AA1" i="38"/>
  <c r="Y1" i="38"/>
  <c r="W1" i="38"/>
  <c r="U1" i="38"/>
  <c r="S1" i="38"/>
  <c r="Q1" i="38"/>
  <c r="O1" i="38"/>
  <c r="B3" i="65"/>
  <c r="I50" i="62"/>
  <c r="H50" i="62"/>
  <c r="G50" i="62"/>
  <c r="F50" i="62"/>
  <c r="E50" i="62"/>
  <c r="I41" i="62"/>
  <c r="H41" i="62"/>
  <c r="G41" i="62"/>
  <c r="F41" i="62"/>
  <c r="E41" i="62"/>
  <c r="I32" i="62"/>
  <c r="H32" i="62"/>
  <c r="G32" i="62"/>
  <c r="F32" i="62"/>
  <c r="E32" i="62"/>
  <c r="I23" i="62"/>
  <c r="H23" i="62"/>
  <c r="G23" i="62"/>
  <c r="F23" i="62"/>
  <c r="E23" i="62"/>
  <c r="M12" i="62"/>
  <c r="I12" i="62"/>
  <c r="H12" i="62"/>
  <c r="G12" i="62"/>
  <c r="F12" i="62"/>
  <c r="E12" i="62"/>
  <c r="I3" i="62"/>
  <c r="H3" i="62"/>
  <c r="G3" i="62"/>
  <c r="F3" i="62"/>
  <c r="E3" i="62"/>
  <c r="I50" i="38"/>
  <c r="H50" i="38"/>
  <c r="G50" i="38"/>
  <c r="F50" i="38"/>
  <c r="E50" i="38"/>
  <c r="I41" i="38"/>
  <c r="H41" i="38"/>
  <c r="G41" i="38"/>
  <c r="F41" i="38"/>
  <c r="E41" i="38"/>
  <c r="M39" i="38"/>
  <c r="M38" i="38"/>
  <c r="M37" i="38"/>
  <c r="M36" i="38"/>
  <c r="I32" i="38"/>
  <c r="H32" i="38"/>
  <c r="G32" i="38"/>
  <c r="F32" i="38"/>
  <c r="E32" i="38"/>
  <c r="M30" i="38"/>
  <c r="M29" i="38"/>
  <c r="M28" i="38"/>
  <c r="M27" i="38"/>
  <c r="I23" i="38"/>
  <c r="H23" i="38"/>
  <c r="G23" i="38"/>
  <c r="F23" i="38"/>
  <c r="E23" i="38"/>
  <c r="M21" i="38"/>
  <c r="M20" i="38"/>
  <c r="M19" i="38"/>
  <c r="M18" i="38"/>
  <c r="M17" i="38"/>
  <c r="M16" i="38"/>
  <c r="M8" i="38"/>
  <c r="I12" i="38"/>
  <c r="H12" i="38"/>
  <c r="G12" i="38"/>
  <c r="F12" i="38"/>
  <c r="E12" i="38"/>
  <c r="I3" i="38"/>
  <c r="H3" i="38"/>
  <c r="G3" i="38"/>
  <c r="F3" i="38"/>
  <c r="E3" i="38"/>
  <c r="M10" i="38"/>
  <c r="M9" i="38"/>
  <c r="M7" i="38"/>
  <c r="O3" i="62" l="1"/>
  <c r="S3" i="62"/>
  <c r="W3" i="62"/>
  <c r="AA3" i="62"/>
  <c r="AE3" i="62"/>
  <c r="AK3" i="62"/>
  <c r="AI3" i="62"/>
  <c r="S12" i="62"/>
  <c r="U12" i="62"/>
  <c r="AA12" i="62"/>
  <c r="AI50" i="38"/>
  <c r="AI32" i="38"/>
  <c r="AI23" i="38"/>
  <c r="AI12" i="38"/>
  <c r="AG32" i="38"/>
  <c r="AG23" i="38"/>
  <c r="AG12" i="38"/>
  <c r="AE3" i="38"/>
  <c r="AE12" i="38"/>
  <c r="AE23" i="38"/>
  <c r="AE32" i="38"/>
  <c r="AE41" i="38"/>
  <c r="AG41" i="38"/>
  <c r="AI41" i="38"/>
  <c r="AE50" i="38"/>
  <c r="AC41" i="38"/>
  <c r="AC32" i="38"/>
  <c r="AC12" i="38"/>
  <c r="AC3" i="38"/>
  <c r="Y41" i="38"/>
  <c r="W32" i="38"/>
  <c r="W23" i="38"/>
  <c r="W12" i="38"/>
  <c r="W3" i="38"/>
  <c r="AA50" i="38"/>
  <c r="AK50" i="38"/>
  <c r="AC50" i="38"/>
  <c r="AG50" i="3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Vogel</author>
  </authors>
  <commentList>
    <comment ref="A1" authorId="0" shapeId="0" xr:uid="{C2EF72BC-65EA-46ED-9444-1F28F490832A}">
      <text>
        <r>
          <rPr>
            <b/>
            <sz val="9"/>
            <color indexed="81"/>
            <rFont val="Tahoma"/>
            <family val="2"/>
          </rPr>
          <t>Insulation Pricing (beeinsul)
layout:
Margin - Margin control over insulation
Labor - Labor table (Setup like beewin?)
Options - 1x5 list:
    row1 = name of option. Set as property name in quoter
    row2 = rate/constant price for option
    row3 = type of rate/constant to calc price
              (sq) multiply the price by square foot
              (per) multiply the price by number of that option
    row3 = special rules to decide price (not strategy)
    row4 = description
Packages - 1x5 list with the first item on list holding package info
    packinfo:
        row1 = Package name
        row2 = rate/constant price for package
        row3 = type of rate/constant to calc price
              (sq) multiply the price by square foot
              (insq) multiply the price by inches of depth, then multiply by square foot
    packoptions:
        row1 = name of package option (may/not relate to options table)
        row2 = rate/constant if price is itemized
        row3 = type of rate/constant to calc price
        row4 = quantity limit for rate/constant
        row5 = reference to option table after limit</t>
        </r>
      </text>
    </comment>
    <comment ref="B4" authorId="0" shapeId="0" xr:uid="{53BF5B7E-D308-4C0F-AB92-83F1D48A4A75}">
      <text>
        <r>
          <rPr>
            <b/>
            <sz val="9"/>
            <color indexed="81"/>
            <rFont val="Tahoma"/>
            <family val="2"/>
          </rPr>
          <t>price for a option. Price works with the below value to figure price.</t>
        </r>
      </text>
    </comment>
    <comment ref="B5" authorId="0" shapeId="0" xr:uid="{DCC34FBA-21FE-48F4-9C1B-22BFBA6125D8}">
      <text>
        <r>
          <rPr>
            <b/>
            <sz val="9"/>
            <color indexed="81"/>
            <rFont val="Tahoma"/>
            <family val="2"/>
          </rPr>
          <t>row to decide how the option price is used.
-sq (per square foot) - uses the provide square foot for the space.
-per (per quantity of 1) - needs a quantity per option</t>
        </r>
      </text>
    </comment>
    <comment ref="B6" authorId="0" shapeId="0" xr:uid="{F4F50DD6-D5D6-4BD5-B09B-E8C9F96ED3A9}">
      <text>
        <r>
          <rPr>
            <b/>
            <sz val="9"/>
            <color indexed="81"/>
            <rFont val="Tahoma"/>
            <family val="2"/>
          </rPr>
          <t>Here for any special option rules for pricing. There are no set rules for this, and will be programmed in the application</t>
        </r>
      </text>
    </comment>
    <comment ref="B7" authorId="0" shapeId="0" xr:uid="{649D77D3-C5FA-429A-9435-B1C055073BDD}">
      <text>
        <r>
          <rPr>
            <b/>
            <sz val="9"/>
            <color indexed="81"/>
            <rFont val="Tahoma"/>
            <family val="2"/>
          </rPr>
          <t xml:space="preserve">Descriptions / Notes for the option
</t>
        </r>
      </text>
    </comment>
    <comment ref="B10" authorId="0" shapeId="0" xr:uid="{CD9B81AC-8832-4FCC-A3D2-AF26D2858AD7}">
      <text>
        <r>
          <rPr>
            <b/>
            <sz val="9"/>
            <color indexed="81"/>
            <rFont val="Tahoma"/>
            <family val="2"/>
          </rPr>
          <t xml:space="preserve">This column describes the package itself. Below is the layout and descriptions for the package info fields
packinfo:
     row1 = Package name
     row2 = rate/constant price for package
     row3 = type of rate/constant to calc price
           (sq) multiply the price by square foot
           (insq) multiply the price by inches of depth, then multiply by square foot
</t>
        </r>
      </text>
    </comment>
    <comment ref="C10" authorId="0" shapeId="0" xr:uid="{5E584CB3-1924-4142-87F1-2322918179E0}">
      <text>
        <r>
          <rPr>
            <b/>
            <sz val="9"/>
            <color indexed="81"/>
            <rFont val="Tahoma"/>
            <family val="2"/>
          </rPr>
          <t>Here on are the options include in the package. Below are the field descriptions for each items. Items will display in the order they are inputed here (right -&gt; left).
packoptions:
     row1 = name of package option (may/not relate to options table)
     row2 = rate/constant if price is itemized
     row3 = type of rate/constant to calc price
     row4 = quantity limit for rate/constant
     row5 = reference to option table after limit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Vogel</author>
  </authors>
  <commentList>
    <comment ref="B5" authorId="0" shapeId="0" xr:uid="{30A31D67-9739-43FC-BF7A-F602E71D7B89}">
      <text>
        <r>
          <rPr>
            <b/>
            <sz val="9"/>
            <color indexed="81"/>
            <rFont val="Tahoma"/>
            <family val="2"/>
          </rPr>
          <t xml:space="preserve">Margin
</t>
        </r>
      </text>
    </comment>
    <comment ref="E6" authorId="0" shapeId="0" xr:uid="{189CF45C-B9CF-40DF-A9D9-B8AEF89A76D1}">
      <text>
        <r>
          <rPr>
            <b/>
            <sz val="9"/>
            <color indexed="81"/>
            <rFont val="Tahoma"/>
            <family val="2"/>
          </rPr>
          <t xml:space="preserve">Size levels
The top value is the united inch of the level that requires time. The bottom value holds the + hours required to install that size more than the base time. 
</t>
        </r>
      </text>
    </comment>
    <comment ref="B7" authorId="0" shapeId="0" xr:uid="{D102DF1E-5E7C-45AF-9418-631F2CB53A90}">
      <text>
        <r>
          <rPr>
            <b/>
            <sz val="9"/>
            <color indexed="81"/>
            <rFont val="Tahoma"/>
            <family val="2"/>
          </rPr>
          <t xml:space="preserve">Labor Table
To start there is the labor rate and the base hours for one window. With only those we have a price. From there we have the different adders.
-Size
-Elevation
-Trim
Each of the above sections have values describing the hours extra need to the obstacle. Built this way, each item that qualifies gets added to the base time. 
</t>
        </r>
      </text>
    </comment>
    <comment ref="D7" authorId="0" shapeId="0" xr:uid="{AF4A1972-BD74-4607-ADF2-F47A7814487D}">
      <text>
        <r>
          <rPr>
            <b/>
            <sz val="9"/>
            <color indexed="81"/>
            <rFont val="Tahoma"/>
            <family val="2"/>
          </rPr>
          <t>Base time to install one normal window</t>
        </r>
      </text>
    </comment>
    <comment ref="G7" authorId="0" shapeId="0" xr:uid="{B7D319FA-40C0-46C6-8E69-A490011A0DEA}">
      <text>
        <r>
          <rPr>
            <b/>
            <sz val="9"/>
            <color indexed="81"/>
            <rFont val="Tahoma"/>
            <family val="2"/>
          </rPr>
          <t>Elevated is the time increase per level of elevation (stories).
Stories will be add when quoting.</t>
        </r>
      </text>
    </comment>
    <comment ref="H7" authorId="0" shapeId="0" xr:uid="{1FF96AD6-D8BD-4500-AB06-7708DD9CD1E5}">
      <text>
        <r>
          <rPr>
            <b/>
            <sz val="9"/>
            <color indexed="81"/>
            <rFont val="Tahoma"/>
            <family val="2"/>
          </rPr>
          <t>Trim is time had for ANY trim package, and is either added or not depending on quote.</t>
        </r>
      </text>
    </comment>
    <comment ref="B11" authorId="0" shapeId="0" xr:uid="{C6CD9826-2FBF-486D-87BA-775C03E24237}">
      <text>
        <r>
          <rPr>
            <b/>
            <sz val="9"/>
            <color indexed="81"/>
            <rFont val="Tahoma"/>
            <family val="2"/>
          </rPr>
          <t>Row to declare the measurement an option uses for cost</t>
        </r>
      </text>
    </comment>
    <comment ref="B12" authorId="0" shapeId="0" xr:uid="{1EB32F73-AF0F-4574-8764-62B236DC0BF1}">
      <text>
        <r>
          <rPr>
            <b/>
            <sz val="9"/>
            <color indexed="81"/>
            <rFont val="Tahoma"/>
            <family val="2"/>
          </rPr>
          <t>Row to tell whether or not the option gets "upgraded" in the case it is not available.
y=does get upgraded.
n=does not get upgraded.
If 'n' then the window will be quoted as is, WITH-OUT the options cost included.
If 'y' then the window will be upgraded to the next tier, and the cost will be included in window price.</t>
        </r>
      </text>
    </comment>
    <comment ref="B15" authorId="0" shapeId="0" xr:uid="{EC00C52A-A3E6-4967-A3AF-60A7F8974B13}">
      <text>
        <r>
          <rPr>
            <b/>
            <sz val="9"/>
            <color indexed="81"/>
            <rFont val="Tahoma"/>
            <family val="2"/>
          </rPr>
          <t>This table has all of the trim packages available to quote with a united inch value ($) to figure if quoted.</t>
        </r>
      </text>
    </comment>
    <comment ref="F18" authorId="0" shapeId="0" xr:uid="{02382F50-7312-488D-90FB-C8FC7FBFE1A9}">
      <text>
        <r>
          <rPr>
            <b/>
            <sz val="9"/>
            <color indexed="81"/>
            <rFont val="Tahoma"/>
            <family val="2"/>
          </rPr>
          <t>Glass Block Pricing
This section works similar to the labor table, but the base cost is the start, and any size increase overides the base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Grant Vogel</author>
  </authors>
  <commentList>
    <comment ref="W2" authorId="0" shapeId="0" xr:uid="{30F41145-C19E-424A-8F2B-FB9E5E928D13}">
      <text>
        <r>
          <rPr>
            <b/>
            <sz val="9"/>
            <color indexed="81"/>
            <rFont val="Tahoma"/>
            <charset val="1"/>
          </rPr>
          <t>Grant Vogel:</t>
        </r>
        <r>
          <rPr>
            <sz val="9"/>
            <color indexed="81"/>
            <rFont val="Tahoma"/>
            <charset val="1"/>
          </rPr>
          <t xml:space="preserve">
Two Tone Rectangular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Grant Vogel</author>
  </authors>
  <commentList>
    <comment ref="W2" authorId="0" shapeId="0" xr:uid="{61BCF3D0-CC82-439A-B411-1F6D57234D53}">
      <text>
        <r>
          <rPr>
            <b/>
            <sz val="9"/>
            <color indexed="81"/>
            <rFont val="Tahoma"/>
            <charset val="1"/>
          </rPr>
          <t>Grant Vogel:</t>
        </r>
        <r>
          <rPr>
            <sz val="9"/>
            <color indexed="81"/>
            <rFont val="Tahoma"/>
            <charset val="1"/>
          </rPr>
          <t xml:space="preserve">
Two Tone Rectangular</t>
        </r>
      </text>
    </comment>
    <comment ref="AG2" authorId="0" shapeId="0" xr:uid="{AE9846A4-9B70-4F9C-9A73-7C0EAE58BF39}">
      <text>
        <r>
          <rPr>
            <b/>
            <sz val="9"/>
            <color indexed="81"/>
            <rFont val="Tahoma"/>
            <charset val="1"/>
          </rPr>
          <t>Grant Vogel:</t>
        </r>
        <r>
          <rPr>
            <sz val="9"/>
            <color indexed="81"/>
            <rFont val="Tahoma"/>
            <charset val="1"/>
          </rPr>
          <t xml:space="preserve">
This is the same as the painted column to the right so we are just leaving it blank</t>
        </r>
      </text>
    </comment>
    <comment ref="AD7" authorId="0" shapeId="0" xr:uid="{CFB71ACE-20D3-4565-9FA9-5CF2437CFCC7}">
      <text>
        <r>
          <rPr>
            <b/>
            <sz val="9"/>
            <color indexed="81"/>
            <rFont val="Tahoma"/>
            <charset val="1"/>
          </rPr>
          <t>Grant Vogel:</t>
        </r>
        <r>
          <rPr>
            <sz val="9"/>
            <color indexed="81"/>
            <rFont val="Tahoma"/>
            <charset val="1"/>
          </rPr>
          <t xml:space="preserve">
white interior, sandstone exterior</t>
        </r>
      </text>
    </comment>
  </commentList>
</comments>
</file>

<file path=xl/sharedStrings.xml><?xml version="1.0" encoding="utf-8"?>
<sst xmlns="http://schemas.openxmlformats.org/spreadsheetml/2006/main" count="409" uniqueCount="146">
  <si>
    <t>wininfo</t>
  </si>
  <si>
    <t>val</t>
  </si>
  <si>
    <t>info</t>
  </si>
  <si>
    <t>Date</t>
  </si>
  <si>
    <t>date</t>
  </si>
  <si>
    <t>margin</t>
  </si>
  <si>
    <t>United Inches</t>
  </si>
  <si>
    <t>labtab</t>
  </si>
  <si>
    <t>Labor Table</t>
  </si>
  <si>
    <t>rate</t>
  </si>
  <si>
    <t>base</t>
  </si>
  <si>
    <t>elevated</t>
  </si>
  <si>
    <t>trim</t>
  </si>
  <si>
    <t>opttab</t>
  </si>
  <si>
    <t>Option Tables</t>
  </si>
  <si>
    <t>Triple Glass</t>
  </si>
  <si>
    <t>Upgrade Low-E</t>
  </si>
  <si>
    <t>Tempered</t>
  </si>
  <si>
    <t>Obscure</t>
  </si>
  <si>
    <t>Internal Grids</t>
  </si>
  <si>
    <t>Simulated Divided Light</t>
  </si>
  <si>
    <t>Internal Blinds</t>
  </si>
  <si>
    <t>Interior Faux Laminate</t>
  </si>
  <si>
    <t>Beige or Sandstone Base Color</t>
  </si>
  <si>
    <t>Bronze Base Color</t>
  </si>
  <si>
    <t>Painted Exterior</t>
  </si>
  <si>
    <t>Full Screen</t>
  </si>
  <si>
    <t>sq</t>
  </si>
  <si>
    <t>ui</t>
  </si>
  <si>
    <t>trimtab</t>
  </si>
  <si>
    <t>Trim Table</t>
  </si>
  <si>
    <t xml:space="preserve">United Inches </t>
  </si>
  <si>
    <t>glassblocktab</t>
  </si>
  <si>
    <t>Glass Block Table</t>
  </si>
  <si>
    <t>maxuinch</t>
  </si>
  <si>
    <t>glassblockopts</t>
  </si>
  <si>
    <t>Glass Block Options</t>
  </si>
  <si>
    <t>Dryer Vent</t>
  </si>
  <si>
    <t>Window Vent</t>
  </si>
  <si>
    <t>Exterior Trim</t>
  </si>
  <si>
    <t>Window Well</t>
  </si>
  <si>
    <t>Water Proofing</t>
  </si>
  <si>
    <t>Arches</t>
  </si>
  <si>
    <t>Lead Safe Work</t>
  </si>
  <si>
    <t>Blind Stop Install</t>
  </si>
  <si>
    <t>wintier</t>
  </si>
  <si>
    <t>brand</t>
  </si>
  <si>
    <t>model</t>
  </si>
  <si>
    <t>style</t>
  </si>
  <si>
    <t>minw</t>
  </si>
  <si>
    <t>minh</t>
  </si>
  <si>
    <t>maxw</t>
  </si>
  <si>
    <t>maxh</t>
  </si>
  <si>
    <t>width</t>
  </si>
  <si>
    <t>height</t>
  </si>
  <si>
    <t>uinch</t>
  </si>
  <si>
    <t>Base</t>
  </si>
  <si>
    <t>Provia</t>
  </si>
  <si>
    <t>Width</t>
  </si>
  <si>
    <t>Height</t>
  </si>
  <si>
    <t>United IN$ &gt;</t>
  </si>
  <si>
    <t>Window Cost</t>
  </si>
  <si>
    <t>SQ IN$ &gt;</t>
  </si>
  <si>
    <t>Upgraded Low-E</t>
  </si>
  <si>
    <t>Temperered Glass</t>
  </si>
  <si>
    <t>Obscure Glass</t>
  </si>
  <si>
    <t>United IN $&gt;</t>
  </si>
  <si>
    <t>DH</t>
  </si>
  <si>
    <t>MIN</t>
  </si>
  <si>
    <t>MAX</t>
  </si>
  <si>
    <t>MAX UNICH</t>
  </si>
  <si>
    <t>2LS</t>
  </si>
  <si>
    <t>3LS</t>
  </si>
  <si>
    <t>PIC</t>
  </si>
  <si>
    <t>CASE</t>
  </si>
  <si>
    <t>TWIN CASE</t>
  </si>
  <si>
    <t>Good</t>
  </si>
  <si>
    <t>Best</t>
  </si>
  <si>
    <t>Aeris</t>
  </si>
  <si>
    <t>Window Price</t>
  </si>
  <si>
    <t>y</t>
  </si>
  <si>
    <t>n</t>
  </si>
  <si>
    <t>beefin</t>
  </si>
  <si>
    <t>code</t>
  </si>
  <si>
    <t>drate</t>
  </si>
  <si>
    <t>inrate</t>
  </si>
  <si>
    <t>title</t>
  </si>
  <si>
    <t>plan</t>
  </si>
  <si>
    <t>beew</t>
  </si>
  <si>
    <t>0% For 18 Months</t>
  </si>
  <si>
    <t>Financing</t>
  </si>
  <si>
    <t>term</t>
  </si>
  <si>
    <t>fadrate</t>
  </si>
  <si>
    <t>Painted</t>
  </si>
  <si>
    <t>Oak Stained</t>
  </si>
  <si>
    <t>Premium</t>
  </si>
  <si>
    <t>beeinsul</t>
  </si>
  <si>
    <t>Options Table</t>
  </si>
  <si>
    <t>Upgrade to R-60</t>
  </si>
  <si>
    <t>Additional Can Light Cover</t>
  </si>
  <si>
    <t>Fold down attic stair conver R-20</t>
  </si>
  <si>
    <t>Attic scuttle cover R-20</t>
  </si>
  <si>
    <t>Insulated storage deck</t>
  </si>
  <si>
    <t>per</t>
  </si>
  <si>
    <t>Whole house attic fan cover R-20</t>
  </si>
  <si>
    <t>Insulate attic hatch with 4in Silverglo</t>
  </si>
  <si>
    <t>glue foam board to drywall hatch</t>
  </si>
  <si>
    <t>62X30.5 12in tall</t>
  </si>
  <si>
    <t>30.5X30.5 12in tall</t>
  </si>
  <si>
    <t>44.25 X 44.25 22in tall</t>
  </si>
  <si>
    <t>Under 4 foot attic space</t>
  </si>
  <si>
    <t>200=7.50</t>
  </si>
  <si>
    <t>CAZ Testing</t>
  </si>
  <si>
    <t>Premium Package</t>
  </si>
  <si>
    <t>Remove existing insulation and dispose</t>
  </si>
  <si>
    <t>Air seal all penetrations (plumnbing, electrical, and HVAC) and wall plates</t>
  </si>
  <si>
    <t>Install soffit venting baffles where necessary</t>
  </si>
  <si>
    <t>Blow in 14in of Trusoft cellulose insulation to achieve R-49</t>
  </si>
  <si>
    <t>Job site dumpster</t>
  </si>
  <si>
    <t>Basic air seal. Seal accessible elctric and plumbing penetrations</t>
  </si>
  <si>
    <t>Top off existing insulation to R-49</t>
  </si>
  <si>
    <t>Base Package</t>
  </si>
  <si>
    <t>Blow in on top of existing insulation</t>
  </si>
  <si>
    <t>insq</t>
  </si>
  <si>
    <t>pactab</t>
  </si>
  <si>
    <t>-</t>
  </si>
  <si>
    <t>Better Package</t>
  </si>
  <si>
    <t>price</t>
  </si>
  <si>
    <t>rules</t>
  </si>
  <si>
    <t>notes</t>
  </si>
  <si>
    <t>Furnace Flue Cover</t>
  </si>
  <si>
    <t>Spray Foam</t>
  </si>
  <si>
    <t>Install rock wool covers over all can lights and seal (10)</t>
  </si>
  <si>
    <t>Install rock wool covers over all can lights and seal (5)</t>
  </si>
  <si>
    <t>Sunrise</t>
  </si>
  <si>
    <t>Simplified</t>
  </si>
  <si>
    <t>Restoration</t>
  </si>
  <si>
    <t>Black Base Color</t>
  </si>
  <si>
    <t>Internal grids on all changed to two tone rectangular</t>
  </si>
  <si>
    <t>CONCERNS</t>
  </si>
  <si>
    <t>Max united inch totals don't make sense on the old pricing.  They don't add up to the max width + max height.  Check my numbers.</t>
  </si>
  <si>
    <t>Tempered Glass</t>
  </si>
  <si>
    <t>twin casement vs casement sizes look unusual</t>
  </si>
  <si>
    <t>Black Exterior Base Color</t>
  </si>
  <si>
    <t>1.07</t>
  </si>
  <si>
    <t>Price Adjuster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</si>
</sst>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164" formatCode="\$#,##0.00"/>
    <numFmt numFmtId="165" formatCode="_(\$* #,##0.00_);_(\$* \(#,##0.00\);_(\$* \-??_);_(@_)"/>
    <numFmt numFmtId="166" formatCode="0.0"/>
    <numFmt numFmtId="167" formatCode="&quot;$&quot;#,##0.00"/>
    <numFmt numFmtId="168" formatCode="_(\$* #,##0.000_);_(\$* \(#,##0.000\);_(\$* \-??_);_(@_)"/>
  </numFmts>
  <fonts count="41" x14ac:knownFonts="1">
    <font>
      <sz val="8"/>
      <name val="Arial Nov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2"/>
      <name val="Arial Black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0"/>
      <name val="Arial Black"/>
      <family val="2"/>
    </font>
    <font>
      <b/>
      <sz val="9"/>
      <color theme="0"/>
      <name val="Arial"/>
      <family val="2"/>
    </font>
    <font>
      <sz val="8"/>
      <name val="Arial Nova"/>
      <family val="2"/>
    </font>
    <font>
      <b/>
      <sz val="8"/>
      <name val="Arial Nova"/>
      <family val="2"/>
    </font>
    <font>
      <b/>
      <sz val="8"/>
      <color theme="0"/>
      <name val="Arial Nova"/>
      <family val="2"/>
    </font>
    <font>
      <i/>
      <sz val="8"/>
      <name val="Arial Nova"/>
      <family val="2"/>
    </font>
    <font>
      <sz val="8"/>
      <color theme="1"/>
      <name val="Arial Nova"/>
      <family val="2"/>
    </font>
    <font>
      <b/>
      <sz val="12"/>
      <name val="Arial Nova"/>
      <family val="2"/>
    </font>
    <font>
      <b/>
      <sz val="14"/>
      <color theme="0"/>
      <name val="Arial Nova"/>
      <family val="2"/>
    </font>
    <font>
      <b/>
      <sz val="11"/>
      <color theme="0"/>
      <name val="Arial Nov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indexed="24"/>
        <bgColor indexed="44"/>
      </patternFill>
    </fill>
    <fill>
      <patternFill patternType="solid">
        <fgColor indexed="29"/>
        <bgColor indexed="45"/>
      </patternFill>
    </fill>
    <fill>
      <patternFill patternType="solid">
        <fgColor indexed="26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indexed="41"/>
        <bgColor indexed="24"/>
      </patternFill>
    </fill>
    <fill>
      <patternFill patternType="solid">
        <fgColor indexed="43"/>
        <bgColor indexed="26"/>
      </patternFill>
    </fill>
    <fill>
      <patternFill patternType="solid">
        <fgColor indexed="45"/>
        <bgColor indexed="46"/>
      </patternFill>
    </fill>
    <fill>
      <patternFill patternType="solid">
        <fgColor indexed="61"/>
        <bgColor indexed="23"/>
      </patternFill>
    </fill>
    <fill>
      <patternFill patternType="solid">
        <fgColor indexed="50"/>
        <bgColor indexed="19"/>
      </patternFill>
    </fill>
    <fill>
      <patternFill patternType="solid">
        <fgColor indexed="48"/>
        <bgColor indexed="32"/>
      </patternFill>
    </fill>
    <fill>
      <patternFill patternType="solid">
        <fgColor indexed="54"/>
        <bgColor indexed="23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55"/>
        <bgColor indexed="23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BEDD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5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41"/>
      </bottom>
      <diagonal/>
    </border>
    <border>
      <left/>
      <right/>
      <top/>
      <bottom style="medium">
        <color indexed="41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4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4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73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7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8" borderId="0" applyNumberFormat="0" applyBorder="0" applyAlignment="0" applyProtection="0"/>
    <xf numFmtId="0" fontId="7" fillId="6" borderId="0" applyNumberFormat="0" applyBorder="0" applyAlignment="0" applyProtection="0"/>
    <xf numFmtId="0" fontId="7" fillId="3" borderId="0" applyNumberFormat="0" applyBorder="0" applyAlignment="0" applyProtection="0"/>
    <xf numFmtId="0" fontId="7" fillId="11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0" applyNumberFormat="0" applyBorder="0" applyAlignment="0" applyProtection="0"/>
    <xf numFmtId="0" fontId="9" fillId="16" borderId="1" applyNumberFormat="0" applyAlignment="0" applyProtection="0"/>
    <xf numFmtId="0" fontId="10" fillId="17" borderId="2" applyNumberFormat="0" applyAlignment="0" applyProtection="0"/>
    <xf numFmtId="165" fontId="22" fillId="0" borderId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7" borderId="0" applyNumberFormat="0" applyBorder="0" applyAlignment="0" applyProtection="0"/>
    <xf numFmtId="0" fontId="22" fillId="4" borderId="7" applyNumberFormat="0" applyAlignment="0" applyProtection="0"/>
    <xf numFmtId="0" fontId="19" fillId="16" borderId="8" applyNumberFormat="0" applyAlignment="0" applyProtection="0"/>
    <xf numFmtId="9" fontId="22" fillId="0" borderId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23" fillId="0" borderId="10" applyBorder="0" applyAlignment="0">
      <alignment vertical="center" wrapText="1" shrinkToFit="1"/>
    </xf>
    <xf numFmtId="0" fontId="23" fillId="0" borderId="11" applyBorder="0" applyAlignment="0">
      <alignment horizontal="right" vertical="center" wrapText="1" shrinkToFit="1"/>
    </xf>
    <xf numFmtId="0" fontId="28" fillId="18" borderId="0">
      <alignment horizontal="left" vertical="center" wrapText="1"/>
    </xf>
    <xf numFmtId="0" fontId="27" fillId="19" borderId="0">
      <alignment vertical="center"/>
    </xf>
    <xf numFmtId="0" fontId="27" fillId="0" borderId="0">
      <alignment vertical="center"/>
    </xf>
    <xf numFmtId="0" fontId="23" fillId="0" borderId="14">
      <alignment horizontal="center" vertical="center" wrapText="1"/>
    </xf>
    <xf numFmtId="49" fontId="23" fillId="0" borderId="14">
      <alignment horizontal="center" vertical="center" wrapText="1"/>
    </xf>
    <xf numFmtId="49" fontId="23" fillId="0" borderId="14">
      <alignment horizontal="center" vertical="center" wrapText="1"/>
    </xf>
    <xf numFmtId="0" fontId="23" fillId="0" borderId="14">
      <alignment horizontal="center" vertical="center" wrapText="1"/>
    </xf>
    <xf numFmtId="0" fontId="24" fillId="0" borderId="16">
      <alignment horizontal="center" vertical="center" wrapText="1"/>
    </xf>
    <xf numFmtId="0" fontId="24" fillId="0" borderId="16">
      <alignment vertical="center" wrapText="1"/>
    </xf>
    <xf numFmtId="8" fontId="23" fillId="0" borderId="17">
      <alignment horizontal="right" vertical="center" wrapText="1"/>
    </xf>
    <xf numFmtId="49" fontId="24" fillId="0" borderId="16">
      <alignment horizontal="center" vertical="center" wrapText="1"/>
    </xf>
    <xf numFmtId="0" fontId="23" fillId="0" borderId="17">
      <alignment horizontal="center" vertical="center" wrapText="1"/>
    </xf>
    <xf numFmtId="0" fontId="27" fillId="0" borderId="16">
      <alignment vertical="center"/>
    </xf>
    <xf numFmtId="0" fontId="27" fillId="0" borderId="14">
      <alignment horizontal="center" vertical="center"/>
    </xf>
    <xf numFmtId="0" fontId="29" fillId="18" borderId="17">
      <alignment horizontal="right" vertical="center"/>
    </xf>
    <xf numFmtId="0" fontId="22" fillId="0" borderId="0"/>
    <xf numFmtId="0" fontId="22" fillId="0" borderId="0"/>
    <xf numFmtId="0" fontId="26" fillId="0" borderId="0"/>
    <xf numFmtId="0" fontId="5" fillId="0" borderId="0"/>
    <xf numFmtId="0" fontId="5" fillId="0" borderId="0"/>
    <xf numFmtId="9" fontId="22" fillId="0" borderId="0" applyFont="0" applyFill="0" applyBorder="0" applyAlignment="0" applyProtection="0"/>
    <xf numFmtId="0" fontId="25" fillId="0" borderId="0">
      <alignment horizontal="left" vertical="center" wrapText="1"/>
    </xf>
    <xf numFmtId="0" fontId="15" fillId="0" borderId="18" applyNumberFormat="0" applyFill="0" applyAlignment="0" applyProtection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30" applyNumberFormat="0" applyFill="0" applyAlignment="0" applyProtection="0"/>
    <xf numFmtId="0" fontId="9" fillId="16" borderId="22" applyNumberFormat="0" applyAlignment="0" applyProtection="0"/>
    <xf numFmtId="0" fontId="15" fillId="0" borderId="23" applyNumberFormat="0" applyFill="0" applyAlignment="0" applyProtection="0"/>
    <xf numFmtId="0" fontId="16" fillId="7" borderId="22" applyNumberFormat="0" applyAlignment="0" applyProtection="0"/>
    <xf numFmtId="0" fontId="22" fillId="4" borderId="24" applyNumberFormat="0" applyAlignment="0" applyProtection="0"/>
    <xf numFmtId="0" fontId="19" fillId="16" borderId="25" applyNumberFormat="0" applyAlignment="0" applyProtection="0"/>
    <xf numFmtId="0" fontId="21" fillId="0" borderId="26" applyNumberFormat="0" applyFill="0" applyAlignment="0" applyProtection="0"/>
    <xf numFmtId="0" fontId="23" fillId="0" borderId="27" applyBorder="0" applyAlignment="0">
      <alignment vertical="center" wrapText="1" shrinkToFit="1"/>
    </xf>
    <xf numFmtId="0" fontId="23" fillId="0" borderId="28" applyBorder="0" applyAlignment="0">
      <alignment horizontal="right" vertical="center" wrapText="1" shrinkToFit="1"/>
    </xf>
    <xf numFmtId="0" fontId="23" fillId="0" borderId="19">
      <alignment horizontal="center" vertical="center" wrapText="1"/>
    </xf>
    <xf numFmtId="49" fontId="23" fillId="0" borderId="19">
      <alignment horizontal="center" vertical="center" wrapText="1"/>
    </xf>
    <xf numFmtId="49" fontId="23" fillId="0" borderId="19">
      <alignment horizontal="center" vertical="center" wrapText="1"/>
    </xf>
    <xf numFmtId="0" fontId="23" fillId="0" borderId="19">
      <alignment horizontal="center" vertical="center" wrapText="1"/>
    </xf>
    <xf numFmtId="0" fontId="24" fillId="0" borderId="29">
      <alignment horizontal="center" vertical="center" wrapText="1"/>
    </xf>
    <xf numFmtId="0" fontId="24" fillId="0" borderId="29">
      <alignment vertical="center" wrapText="1"/>
    </xf>
    <xf numFmtId="8" fontId="23" fillId="0" borderId="20">
      <alignment horizontal="right" vertical="center" wrapText="1"/>
    </xf>
    <xf numFmtId="49" fontId="24" fillId="0" borderId="29">
      <alignment horizontal="center" vertical="center" wrapText="1"/>
    </xf>
    <xf numFmtId="0" fontId="23" fillId="0" borderId="20">
      <alignment horizontal="center" vertical="center" wrapText="1"/>
    </xf>
    <xf numFmtId="0" fontId="27" fillId="0" borderId="29">
      <alignment vertical="center"/>
    </xf>
    <xf numFmtId="0" fontId="27" fillId="0" borderId="19">
      <alignment horizontal="center" vertical="center"/>
    </xf>
    <xf numFmtId="0" fontId="29" fillId="18" borderId="20">
      <alignment horizontal="right"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23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30" applyNumberFormat="0" applyFill="0" applyAlignment="0" applyProtection="0"/>
    <xf numFmtId="0" fontId="23" fillId="0" borderId="39" applyBorder="0" applyAlignment="0">
      <alignment horizontal="right" vertical="center" wrapText="1" shrinkToFit="1"/>
    </xf>
    <xf numFmtId="0" fontId="23" fillId="0" borderId="38" applyBorder="0" applyAlignment="0">
      <alignment vertical="center" wrapText="1" shrinkToFit="1"/>
    </xf>
    <xf numFmtId="0" fontId="21" fillId="0" borderId="37" applyNumberFormat="0" applyFill="0" applyAlignment="0" applyProtection="0"/>
    <xf numFmtId="0" fontId="19" fillId="16" borderId="36" applyNumberFormat="0" applyAlignment="0" applyProtection="0"/>
    <xf numFmtId="0" fontId="22" fillId="4" borderId="35" applyNumberFormat="0" applyAlignment="0" applyProtection="0"/>
    <xf numFmtId="0" fontId="16" fillId="7" borderId="33" applyNumberFormat="0" applyAlignment="0" applyProtection="0"/>
    <xf numFmtId="0" fontId="15" fillId="0" borderId="34" applyNumberFormat="0" applyFill="0" applyAlignment="0" applyProtection="0"/>
    <xf numFmtId="0" fontId="23" fillId="0" borderId="32" applyBorder="0" applyAlignment="0">
      <alignment vertical="center" wrapText="1" shrinkToFit="1"/>
    </xf>
    <xf numFmtId="0" fontId="23" fillId="0" borderId="31" applyBorder="0" applyAlignment="0">
      <alignment horizontal="right" vertical="center" wrapText="1" shrinkToFit="1"/>
    </xf>
    <xf numFmtId="0" fontId="9" fillId="16" borderId="3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30" applyNumberFormat="0" applyFill="0" applyAlignment="0" applyProtection="0"/>
    <xf numFmtId="0" fontId="23" fillId="0" borderId="32" applyBorder="0" applyAlignment="0">
      <alignment vertical="center" wrapText="1" shrinkToFit="1"/>
    </xf>
    <xf numFmtId="0" fontId="23" fillId="0" borderId="31" applyBorder="0" applyAlignment="0">
      <alignment horizontal="right" vertical="center" wrapText="1" shrinkToFi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30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34" applyNumberFormat="0" applyFill="0" applyAlignment="0" applyProtection="0"/>
    <xf numFmtId="0" fontId="9" fillId="16" borderId="33" applyNumberFormat="0" applyAlignment="0" applyProtection="0"/>
    <xf numFmtId="0" fontId="15" fillId="0" borderId="34" applyNumberFormat="0" applyFill="0" applyAlignment="0" applyProtection="0"/>
    <xf numFmtId="0" fontId="16" fillId="7" borderId="33" applyNumberFormat="0" applyAlignment="0" applyProtection="0"/>
    <xf numFmtId="0" fontId="22" fillId="4" borderId="35" applyNumberFormat="0" applyAlignment="0" applyProtection="0"/>
    <xf numFmtId="0" fontId="19" fillId="16" borderId="36" applyNumberFormat="0" applyAlignment="0" applyProtection="0"/>
    <xf numFmtId="0" fontId="21" fillId="0" borderId="37" applyNumberFormat="0" applyFill="0" applyAlignment="0" applyProtection="0"/>
    <xf numFmtId="0" fontId="23" fillId="0" borderId="38" applyBorder="0" applyAlignment="0">
      <alignment vertical="center" wrapText="1" shrinkToFit="1"/>
    </xf>
    <xf numFmtId="0" fontId="23" fillId="0" borderId="39" applyBorder="0" applyAlignment="0">
      <alignment horizontal="right" vertical="center" wrapText="1" shrinkToFit="1"/>
    </xf>
    <xf numFmtId="0" fontId="15" fillId="0" borderId="34" applyNumberFormat="0" applyFill="0" applyAlignment="0" applyProtection="0"/>
    <xf numFmtId="0" fontId="15" fillId="0" borderId="34" applyNumberFormat="0" applyFill="0" applyAlignment="0" applyProtection="0"/>
    <xf numFmtId="0" fontId="30" fillId="0" borderId="0"/>
    <xf numFmtId="165" fontId="22" fillId="0" borderId="0" applyFill="0" applyBorder="0" applyAlignment="0" applyProtection="0"/>
  </cellStyleXfs>
  <cellXfs count="298">
    <xf numFmtId="0" fontId="0" fillId="0" borderId="0" xfId="0"/>
    <xf numFmtId="0" fontId="31" fillId="0" borderId="0" xfId="0" applyFont="1" applyAlignment="1">
      <alignment horizontal="center" vertical="center"/>
    </xf>
    <xf numFmtId="0" fontId="31" fillId="21" borderId="0" xfId="0" applyFont="1" applyFill="1" applyAlignment="1">
      <alignment horizontal="right" vertical="center"/>
    </xf>
    <xf numFmtId="0" fontId="31" fillId="22" borderId="40" xfId="0" applyFont="1" applyFill="1" applyBorder="1" applyAlignment="1">
      <alignment horizontal="right" vertical="center"/>
    </xf>
    <xf numFmtId="0" fontId="31" fillId="22" borderId="0" xfId="0" applyFont="1" applyFill="1" applyAlignment="1">
      <alignment horizontal="right" vertical="center"/>
    </xf>
    <xf numFmtId="0" fontId="31" fillId="24" borderId="40" xfId="0" applyFont="1" applyFill="1" applyBorder="1" applyAlignment="1">
      <alignment horizontal="right" vertical="center"/>
    </xf>
    <xf numFmtId="0" fontId="31" fillId="24" borderId="0" xfId="0" applyFont="1" applyFill="1" applyAlignment="1">
      <alignment horizontal="right" vertical="center"/>
    </xf>
    <xf numFmtId="0" fontId="3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2" borderId="0" xfId="0" applyFill="1" applyAlignment="1">
      <alignment vertical="center"/>
    </xf>
    <xf numFmtId="0" fontId="0" fillId="22" borderId="0" xfId="0" applyFill="1" applyAlignment="1">
      <alignment horizontal="center" vertical="center"/>
    </xf>
    <xf numFmtId="0" fontId="0" fillId="22" borderId="40" xfId="0" applyFill="1" applyBorder="1" applyAlignment="1">
      <alignment vertical="center"/>
    </xf>
    <xf numFmtId="0" fontId="0" fillId="24" borderId="0" xfId="0" applyFill="1" applyAlignment="1">
      <alignment vertical="center"/>
    </xf>
    <xf numFmtId="0" fontId="0" fillId="24" borderId="0" xfId="0" applyFill="1" applyAlignment="1">
      <alignment horizontal="center" vertical="center"/>
    </xf>
    <xf numFmtId="0" fontId="0" fillId="24" borderId="40" xfId="0" applyFill="1" applyBorder="1" applyAlignment="1">
      <alignment vertical="center"/>
    </xf>
    <xf numFmtId="0" fontId="0" fillId="0" borderId="0" xfId="0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>
      <alignment horizontal="center"/>
    </xf>
    <xf numFmtId="165" fontId="0" fillId="0" borderId="0" xfId="28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49" fontId="0" fillId="0" borderId="0" xfId="0" applyNumberFormat="1"/>
    <xf numFmtId="0" fontId="31" fillId="21" borderId="0" xfId="0" applyFont="1" applyFill="1" applyAlignment="1">
      <alignment horizontal="left" vertical="center"/>
    </xf>
    <xf numFmtId="12" fontId="0" fillId="25" borderId="41" xfId="0" applyNumberFormat="1" applyFill="1" applyBorder="1" applyAlignment="1">
      <alignment horizontal="center" vertical="center"/>
    </xf>
    <xf numFmtId="12" fontId="31" fillId="21" borderId="0" xfId="0" applyNumberFormat="1" applyFont="1" applyFill="1" applyAlignment="1">
      <alignment horizontal="left" vertical="center"/>
    </xf>
    <xf numFmtId="49" fontId="0" fillId="0" borderId="0" xfId="0" applyNumberFormat="1" applyAlignment="1">
      <alignment horizontal="center" wrapText="1"/>
    </xf>
    <xf numFmtId="0" fontId="0" fillId="24" borderId="42" xfId="0" applyFill="1" applyBorder="1" applyAlignment="1">
      <alignment horizontal="center" vertical="center"/>
    </xf>
    <xf numFmtId="0" fontId="36" fillId="26" borderId="0" xfId="0" applyFont="1" applyFill="1" applyAlignment="1">
      <alignment horizontal="center" vertical="center"/>
    </xf>
    <xf numFmtId="49" fontId="36" fillId="26" borderId="0" xfId="0" applyNumberFormat="1" applyFont="1" applyFill="1" applyAlignment="1">
      <alignment horizontal="center" vertical="center"/>
    </xf>
    <xf numFmtId="49" fontId="32" fillId="26" borderId="0" xfId="0" applyNumberFormat="1" applyFont="1" applyFill="1" applyAlignment="1">
      <alignment horizontal="center" vertical="center" wrapText="1"/>
    </xf>
    <xf numFmtId="0" fontId="32" fillId="26" borderId="0" xfId="0" applyFont="1" applyFill="1" applyAlignment="1">
      <alignment horizontal="center" vertical="center" wrapText="1"/>
    </xf>
    <xf numFmtId="0" fontId="32" fillId="26" borderId="0" xfId="0" applyFont="1" applyFill="1" applyAlignment="1" applyProtection="1">
      <alignment horizontal="center" vertical="center" wrapText="1"/>
      <protection locked="0"/>
    </xf>
    <xf numFmtId="0" fontId="32" fillId="26" borderId="0" xfId="0" applyFont="1" applyFill="1" applyAlignment="1">
      <alignment horizontal="center" vertical="center"/>
    </xf>
    <xf numFmtId="49" fontId="0" fillId="26" borderId="0" xfId="0" applyNumberFormat="1" applyFill="1"/>
    <xf numFmtId="0" fontId="0" fillId="26" borderId="0" xfId="0" applyFill="1" applyAlignment="1">
      <alignment horizontal="center"/>
    </xf>
    <xf numFmtId="0" fontId="0" fillId="26" borderId="0" xfId="0" applyFill="1"/>
    <xf numFmtId="164" fontId="34" fillId="26" borderId="0" xfId="0" applyNumberFormat="1" applyFont="1" applyFill="1" applyAlignment="1">
      <alignment horizontal="center" vertical="center"/>
    </xf>
    <xf numFmtId="0" fontId="34" fillId="26" borderId="0" xfId="0" applyFont="1" applyFill="1" applyAlignment="1">
      <alignment horizontal="center"/>
    </xf>
    <xf numFmtId="49" fontId="31" fillId="22" borderId="0" xfId="0" applyNumberFormat="1" applyFont="1" applyFill="1" applyAlignment="1">
      <alignment horizontal="left" vertical="center"/>
    </xf>
    <xf numFmtId="0" fontId="31" fillId="22" borderId="0" xfId="0" applyFont="1" applyFill="1" applyAlignment="1">
      <alignment horizontal="left" vertical="center"/>
    </xf>
    <xf numFmtId="0" fontId="35" fillId="22" borderId="0" xfId="0" applyFont="1" applyFill="1" applyAlignment="1">
      <alignment horizontal="left" vertical="center"/>
    </xf>
    <xf numFmtId="49" fontId="0" fillId="22" borderId="0" xfId="0" applyNumberFormat="1" applyFill="1" applyAlignment="1">
      <alignment vertical="center"/>
    </xf>
    <xf numFmtId="164" fontId="34" fillId="22" borderId="0" xfId="0" applyNumberFormat="1" applyFont="1" applyFill="1" applyAlignment="1">
      <alignment horizontal="center" vertical="center"/>
    </xf>
    <xf numFmtId="0" fontId="34" fillId="22" borderId="0" xfId="0" applyFont="1" applyFill="1" applyAlignment="1">
      <alignment horizontal="center"/>
    </xf>
    <xf numFmtId="12" fontId="31" fillId="22" borderId="0" xfId="0" applyNumberFormat="1" applyFont="1" applyFill="1" applyAlignment="1">
      <alignment horizontal="left" vertical="center"/>
    </xf>
    <xf numFmtId="12" fontId="31" fillId="0" borderId="0" xfId="0" applyNumberFormat="1" applyFont="1" applyAlignment="1">
      <alignment horizontal="left" vertical="center"/>
    </xf>
    <xf numFmtId="49" fontId="0" fillId="22" borderId="0" xfId="0" applyNumberFormat="1" applyFill="1"/>
    <xf numFmtId="0" fontId="0" fillId="22" borderId="0" xfId="0" applyFill="1"/>
    <xf numFmtId="0" fontId="36" fillId="27" borderId="0" xfId="0" applyFont="1" applyFill="1" applyAlignment="1">
      <alignment horizontal="center" vertical="center"/>
    </xf>
    <xf numFmtId="49" fontId="36" fillId="27" borderId="0" xfId="0" applyNumberFormat="1" applyFont="1" applyFill="1" applyAlignment="1">
      <alignment horizontal="center" vertical="center"/>
    </xf>
    <xf numFmtId="49" fontId="32" fillId="27" borderId="0" xfId="0" applyNumberFormat="1" applyFont="1" applyFill="1" applyAlignment="1">
      <alignment horizontal="center" vertical="center" wrapText="1"/>
    </xf>
    <xf numFmtId="0" fontId="32" fillId="27" borderId="0" xfId="0" applyFont="1" applyFill="1" applyAlignment="1">
      <alignment horizontal="center" vertical="center" wrapText="1"/>
    </xf>
    <xf numFmtId="0" fontId="32" fillId="27" borderId="0" xfId="0" applyFont="1" applyFill="1" applyAlignment="1" applyProtection="1">
      <alignment horizontal="center" vertical="center" wrapText="1"/>
      <protection locked="0"/>
    </xf>
    <xf numFmtId="0" fontId="32" fillId="27" borderId="0" xfId="0" applyFont="1" applyFill="1" applyAlignment="1">
      <alignment horizontal="center" vertical="center"/>
    </xf>
    <xf numFmtId="49" fontId="0" fillId="27" borderId="0" xfId="0" applyNumberFormat="1" applyFill="1"/>
    <xf numFmtId="0" fontId="0" fillId="27" borderId="0" xfId="0" applyFill="1" applyAlignment="1">
      <alignment horizontal="center"/>
    </xf>
    <xf numFmtId="0" fontId="0" fillId="27" borderId="0" xfId="0" applyFill="1"/>
    <xf numFmtId="164" fontId="34" fillId="27" borderId="0" xfId="0" applyNumberFormat="1" applyFont="1" applyFill="1" applyAlignment="1">
      <alignment horizontal="center" vertical="center"/>
    </xf>
    <xf numFmtId="0" fontId="34" fillId="27" borderId="0" xfId="0" applyFont="1" applyFill="1" applyAlignment="1">
      <alignment horizontal="center"/>
    </xf>
    <xf numFmtId="49" fontId="31" fillId="24" borderId="0" xfId="0" applyNumberFormat="1" applyFont="1" applyFill="1" applyAlignment="1">
      <alignment horizontal="left" vertical="center"/>
    </xf>
    <xf numFmtId="0" fontId="31" fillId="24" borderId="0" xfId="0" applyFont="1" applyFill="1" applyAlignment="1">
      <alignment horizontal="left" vertical="center"/>
    </xf>
    <xf numFmtId="0" fontId="35" fillId="24" borderId="0" xfId="0" applyFont="1" applyFill="1" applyAlignment="1">
      <alignment horizontal="left" vertical="center"/>
    </xf>
    <xf numFmtId="49" fontId="0" fillId="24" borderId="0" xfId="0" applyNumberFormat="1" applyFill="1" applyAlignment="1">
      <alignment vertical="center"/>
    </xf>
    <xf numFmtId="164" fontId="34" fillId="24" borderId="0" xfId="0" applyNumberFormat="1" applyFont="1" applyFill="1" applyAlignment="1">
      <alignment horizontal="center" vertical="center"/>
    </xf>
    <xf numFmtId="0" fontId="34" fillId="24" borderId="0" xfId="0" applyFont="1" applyFill="1" applyAlignment="1">
      <alignment horizontal="center"/>
    </xf>
    <xf numFmtId="49" fontId="0" fillId="24" borderId="0" xfId="0" applyNumberFormat="1" applyFill="1"/>
    <xf numFmtId="0" fontId="0" fillId="24" borderId="0" xfId="0" applyFill="1"/>
    <xf numFmtId="0" fontId="36" fillId="26" borderId="0" xfId="0" applyFont="1" applyFill="1" applyAlignment="1">
      <alignment horizontal="center" vertical="center" wrapText="1"/>
    </xf>
    <xf numFmtId="0" fontId="37" fillId="26" borderId="0" xfId="0" applyFont="1" applyFill="1" applyAlignment="1">
      <alignment horizontal="center" vertical="center" wrapText="1"/>
    </xf>
    <xf numFmtId="0" fontId="37" fillId="27" borderId="0" xfId="0" applyFont="1" applyFill="1" applyAlignment="1">
      <alignment horizontal="center" vertical="center" wrapText="1"/>
    </xf>
    <xf numFmtId="0" fontId="0" fillId="24" borderId="12" xfId="0" applyFill="1" applyBorder="1" applyAlignment="1">
      <alignment vertical="center"/>
    </xf>
    <xf numFmtId="0" fontId="31" fillId="24" borderId="40" xfId="0" applyFont="1" applyFill="1" applyBorder="1" applyAlignment="1">
      <alignment horizontal="left" vertical="center"/>
    </xf>
    <xf numFmtId="12" fontId="30" fillId="25" borderId="15" xfId="28" applyNumberFormat="1" applyFont="1" applyFill="1" applyBorder="1" applyAlignment="1">
      <alignment horizontal="center"/>
    </xf>
    <xf numFmtId="12" fontId="0" fillId="25" borderId="15" xfId="0" applyNumberFormat="1" applyFill="1" applyBorder="1" applyAlignment="1">
      <alignment horizontal="center" vertical="center"/>
    </xf>
    <xf numFmtId="0" fontId="0" fillId="25" borderId="42" xfId="0" applyFill="1" applyBorder="1" applyAlignment="1">
      <alignment horizontal="center" vertical="center"/>
    </xf>
    <xf numFmtId="165" fontId="31" fillId="24" borderId="40" xfId="28" applyFont="1" applyFill="1" applyBorder="1" applyAlignment="1">
      <alignment horizontal="left" vertical="center"/>
    </xf>
    <xf numFmtId="0" fontId="33" fillId="24" borderId="40" xfId="0" applyFont="1" applyFill="1" applyBorder="1" applyAlignment="1">
      <alignment vertical="center"/>
    </xf>
    <xf numFmtId="0" fontId="0" fillId="24" borderId="40" xfId="0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left" vertical="center" indent="2"/>
    </xf>
    <xf numFmtId="0" fontId="0" fillId="24" borderId="12" xfId="0" applyFill="1" applyBorder="1" applyAlignment="1">
      <alignment horizontal="center" vertical="center"/>
    </xf>
    <xf numFmtId="0" fontId="31" fillId="24" borderId="12" xfId="0" applyFont="1" applyFill="1" applyBorder="1" applyAlignment="1">
      <alignment horizontal="right" vertical="center"/>
    </xf>
    <xf numFmtId="0" fontId="33" fillId="24" borderId="12" xfId="0" applyFont="1" applyFill="1" applyBorder="1" applyAlignment="1">
      <alignment vertical="center"/>
    </xf>
    <xf numFmtId="165" fontId="0" fillId="0" borderId="46" xfId="28" applyFont="1" applyBorder="1"/>
    <xf numFmtId="0" fontId="0" fillId="24" borderId="43" xfId="0" applyFill="1" applyBorder="1" applyAlignment="1">
      <alignment horizontal="center" vertical="center"/>
    </xf>
    <xf numFmtId="165" fontId="0" fillId="0" borderId="48" xfId="28" applyFont="1" applyBorder="1"/>
    <xf numFmtId="0" fontId="0" fillId="22" borderId="12" xfId="0" applyFill="1" applyBorder="1" applyAlignment="1">
      <alignment vertical="center"/>
    </xf>
    <xf numFmtId="0" fontId="31" fillId="22" borderId="12" xfId="0" applyFont="1" applyFill="1" applyBorder="1" applyAlignment="1">
      <alignment horizontal="right" vertical="center"/>
    </xf>
    <xf numFmtId="0" fontId="33" fillId="22" borderId="12" xfId="0" applyFont="1" applyFill="1" applyBorder="1" applyAlignment="1">
      <alignment vertical="center"/>
    </xf>
    <xf numFmtId="0" fontId="0" fillId="22" borderId="12" xfId="0" applyFill="1" applyBorder="1" applyAlignment="1">
      <alignment horizontal="center" vertical="center"/>
    </xf>
    <xf numFmtId="0" fontId="31" fillId="22" borderId="40" xfId="0" applyFont="1" applyFill="1" applyBorder="1" applyAlignment="1">
      <alignment horizontal="center" vertical="center"/>
    </xf>
    <xf numFmtId="0" fontId="31" fillId="22" borderId="40" xfId="0" applyFont="1" applyFill="1" applyBorder="1" applyAlignment="1">
      <alignment horizontal="left" vertical="center" indent="2"/>
    </xf>
    <xf numFmtId="0" fontId="31" fillId="22" borderId="40" xfId="0" applyFont="1" applyFill="1" applyBorder="1" applyAlignment="1">
      <alignment horizontal="left" vertical="center"/>
    </xf>
    <xf numFmtId="0" fontId="0" fillId="22" borderId="40" xfId="0" applyFill="1" applyBorder="1" applyAlignment="1">
      <alignment horizontal="center" vertical="center"/>
    </xf>
    <xf numFmtId="165" fontId="31" fillId="22" borderId="40" xfId="28" applyFont="1" applyFill="1" applyBorder="1" applyAlignment="1">
      <alignment horizontal="left" vertical="center"/>
    </xf>
    <xf numFmtId="0" fontId="33" fillId="22" borderId="40" xfId="0" applyFont="1" applyFill="1" applyBorder="1" applyAlignment="1">
      <alignment vertical="center"/>
    </xf>
    <xf numFmtId="0" fontId="0" fillId="0" borderId="13" xfId="0" applyBorder="1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40" applyFont="1" applyAlignment="1">
      <alignment horizontal="center"/>
    </xf>
    <xf numFmtId="0" fontId="0" fillId="0" borderId="0" xfId="0" applyAlignment="1">
      <alignment wrapText="1"/>
    </xf>
    <xf numFmtId="165" fontId="0" fillId="0" borderId="0" xfId="28" applyFont="1" applyFill="1" applyBorder="1" applyAlignment="1">
      <alignment horizontal="center" wrapText="1"/>
    </xf>
    <xf numFmtId="165" fontId="0" fillId="0" borderId="0" xfId="28" applyFont="1" applyBorder="1" applyAlignment="1">
      <alignment horizontal="center"/>
    </xf>
    <xf numFmtId="0" fontId="0" fillId="0" borderId="21" xfId="0" applyBorder="1" applyAlignment="1">
      <alignment horizontal="center"/>
    </xf>
    <xf numFmtId="49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29" borderId="13" xfId="0" applyFill="1" applyBorder="1" applyAlignment="1">
      <alignment horizontal="center"/>
    </xf>
    <xf numFmtId="0" fontId="0" fillId="28" borderId="45" xfId="0" applyFill="1" applyBorder="1" applyAlignment="1">
      <alignment horizontal="center"/>
    </xf>
    <xf numFmtId="0" fontId="0" fillId="0" borderId="21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49" xfId="0" applyBorder="1" applyAlignment="1">
      <alignment wrapText="1"/>
    </xf>
    <xf numFmtId="0" fontId="0" fillId="0" borderId="49" xfId="0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24" borderId="50" xfId="0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24" borderId="51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 vertical="center"/>
    </xf>
    <xf numFmtId="0" fontId="0" fillId="0" borderId="38" xfId="0" applyBorder="1" applyAlignment="1">
      <alignment horizontal="center" wrapText="1"/>
    </xf>
    <xf numFmtId="0" fontId="0" fillId="0" borderId="52" xfId="0" applyBorder="1" applyAlignment="1">
      <alignment horizontal="center" wrapText="1"/>
    </xf>
    <xf numFmtId="165" fontId="0" fillId="0" borderId="40" xfId="28" applyFont="1" applyBorder="1"/>
    <xf numFmtId="165" fontId="0" fillId="0" borderId="12" xfId="28" applyFont="1" applyBorder="1"/>
    <xf numFmtId="165" fontId="0" fillId="0" borderId="53" xfId="28" applyFont="1" applyBorder="1"/>
    <xf numFmtId="165" fontId="0" fillId="0" borderId="54" xfId="28" applyFont="1" applyBorder="1"/>
    <xf numFmtId="0" fontId="0" fillId="0" borderId="40" xfId="0" applyBorder="1" applyAlignment="1">
      <alignment horizontal="center"/>
    </xf>
    <xf numFmtId="0" fontId="0" fillId="0" borderId="12" xfId="0" applyBorder="1" applyAlignment="1">
      <alignment horizontal="center"/>
    </xf>
    <xf numFmtId="165" fontId="0" fillId="0" borderId="12" xfId="28" applyFont="1" applyFill="1" applyBorder="1" applyAlignment="1">
      <alignment horizontal="center"/>
    </xf>
    <xf numFmtId="0" fontId="0" fillId="0" borderId="40" xfId="0" applyBorder="1"/>
    <xf numFmtId="0" fontId="0" fillId="0" borderId="12" xfId="0" applyBorder="1"/>
    <xf numFmtId="0" fontId="37" fillId="26" borderId="40" xfId="0" applyFont="1" applyFill="1" applyBorder="1" applyAlignment="1">
      <alignment horizontal="right" wrapText="1"/>
    </xf>
    <xf numFmtId="0" fontId="37" fillId="26" borderId="12" xfId="0" applyFont="1" applyFill="1" applyBorder="1" applyAlignment="1">
      <alignment horizontal="center" vertical="center" wrapText="1"/>
    </xf>
    <xf numFmtId="0" fontId="0" fillId="26" borderId="40" xfId="0" applyFill="1" applyBorder="1" applyAlignment="1">
      <alignment horizontal="center"/>
    </xf>
    <xf numFmtId="0" fontId="0" fillId="26" borderId="12" xfId="0" applyFill="1" applyBorder="1" applyAlignment="1">
      <alignment horizontal="center"/>
    </xf>
    <xf numFmtId="165" fontId="0" fillId="26" borderId="40" xfId="28" applyFont="1" applyFill="1" applyBorder="1"/>
    <xf numFmtId="165" fontId="0" fillId="26" borderId="54" xfId="28" applyFont="1" applyFill="1" applyBorder="1"/>
    <xf numFmtId="166" fontId="0" fillId="26" borderId="40" xfId="0" applyNumberFormat="1" applyFill="1" applyBorder="1" applyAlignment="1">
      <alignment horizontal="center"/>
    </xf>
    <xf numFmtId="166" fontId="0" fillId="26" borderId="12" xfId="0" applyNumberFormat="1" applyFill="1" applyBorder="1" applyAlignment="1">
      <alignment horizontal="center"/>
    </xf>
    <xf numFmtId="167" fontId="0" fillId="26" borderId="12" xfId="28" applyNumberFormat="1" applyFont="1" applyFill="1" applyBorder="1" applyAlignment="1">
      <alignment horizontal="right"/>
    </xf>
    <xf numFmtId="167" fontId="0" fillId="26" borderId="40" xfId="28" applyNumberFormat="1" applyFont="1" applyFill="1" applyBorder="1" applyAlignment="1">
      <alignment horizontal="right"/>
    </xf>
    <xf numFmtId="165" fontId="0" fillId="26" borderId="12" xfId="28" applyFont="1" applyFill="1" applyBorder="1" applyAlignment="1">
      <alignment horizontal="center"/>
    </xf>
    <xf numFmtId="0" fontId="0" fillId="26" borderId="40" xfId="0" applyFill="1" applyBorder="1"/>
    <xf numFmtId="0" fontId="0" fillId="26" borderId="12" xfId="0" applyFill="1" applyBorder="1"/>
    <xf numFmtId="164" fontId="31" fillId="22" borderId="40" xfId="0" applyNumberFormat="1" applyFont="1" applyFill="1" applyBorder="1" applyAlignment="1">
      <alignment horizontal="right" vertical="center"/>
    </xf>
    <xf numFmtId="164" fontId="31" fillId="22" borderId="12" xfId="0" applyNumberFormat="1" applyFont="1" applyFill="1" applyBorder="1" applyAlignment="1">
      <alignment horizontal="right" vertical="center"/>
    </xf>
    <xf numFmtId="44" fontId="0" fillId="0" borderId="48" xfId="0" applyNumberFormat="1" applyBorder="1"/>
    <xf numFmtId="44" fontId="0" fillId="0" borderId="40" xfId="0" applyNumberFormat="1" applyBorder="1"/>
    <xf numFmtId="44" fontId="0" fillId="0" borderId="53" xfId="0" applyNumberFormat="1" applyBorder="1"/>
    <xf numFmtId="164" fontId="0" fillId="26" borderId="40" xfId="0" applyNumberFormat="1" applyFill="1" applyBorder="1"/>
    <xf numFmtId="164" fontId="0" fillId="26" borderId="12" xfId="0" applyNumberFormat="1" applyFill="1" applyBorder="1"/>
    <xf numFmtId="0" fontId="37" fillId="27" borderId="40" xfId="0" applyFont="1" applyFill="1" applyBorder="1" applyAlignment="1">
      <alignment horizontal="center" wrapText="1"/>
    </xf>
    <xf numFmtId="0" fontId="37" fillId="27" borderId="12" xfId="0" applyFont="1" applyFill="1" applyBorder="1" applyAlignment="1">
      <alignment horizontal="center" vertical="center" wrapText="1"/>
    </xf>
    <xf numFmtId="0" fontId="0" fillId="27" borderId="40" xfId="0" applyFill="1" applyBorder="1" applyAlignment="1">
      <alignment horizontal="center"/>
    </xf>
    <xf numFmtId="0" fontId="0" fillId="27" borderId="12" xfId="0" applyFill="1" applyBorder="1" applyAlignment="1">
      <alignment horizontal="center"/>
    </xf>
    <xf numFmtId="165" fontId="0" fillId="27" borderId="40" xfId="28" applyFont="1" applyFill="1" applyBorder="1"/>
    <xf numFmtId="165" fontId="0" fillId="27" borderId="54" xfId="28" applyFont="1" applyFill="1" applyBorder="1"/>
    <xf numFmtId="166" fontId="0" fillId="27" borderId="40" xfId="0" applyNumberFormat="1" applyFill="1" applyBorder="1" applyAlignment="1">
      <alignment horizontal="center"/>
    </xf>
    <xf numFmtId="166" fontId="0" fillId="27" borderId="12" xfId="0" applyNumberFormat="1" applyFill="1" applyBorder="1" applyAlignment="1">
      <alignment horizontal="center"/>
    </xf>
    <xf numFmtId="167" fontId="0" fillId="27" borderId="12" xfId="28" applyNumberFormat="1" applyFont="1" applyFill="1" applyBorder="1" applyAlignment="1">
      <alignment horizontal="right"/>
    </xf>
    <xf numFmtId="167" fontId="0" fillId="27" borderId="40" xfId="28" applyNumberFormat="1" applyFont="1" applyFill="1" applyBorder="1" applyAlignment="1">
      <alignment horizontal="right"/>
    </xf>
    <xf numFmtId="165" fontId="0" fillId="27" borderId="12" xfId="28" applyFont="1" applyFill="1" applyBorder="1" applyAlignment="1">
      <alignment horizontal="center"/>
    </xf>
    <xf numFmtId="0" fontId="0" fillId="27" borderId="40" xfId="0" applyFill="1" applyBorder="1"/>
    <xf numFmtId="0" fontId="0" fillId="27" borderId="12" xfId="0" applyFill="1" applyBorder="1"/>
    <xf numFmtId="164" fontId="31" fillId="24" borderId="40" xfId="0" applyNumberFormat="1" applyFont="1" applyFill="1" applyBorder="1" applyAlignment="1">
      <alignment horizontal="right" vertical="center"/>
    </xf>
    <xf numFmtId="164" fontId="31" fillId="24" borderId="12" xfId="0" applyNumberFormat="1" applyFont="1" applyFill="1" applyBorder="1" applyAlignment="1">
      <alignment horizontal="right" vertical="center"/>
    </xf>
    <xf numFmtId="0" fontId="0" fillId="0" borderId="48" xfId="0" applyBorder="1"/>
    <xf numFmtId="0" fontId="0" fillId="0" borderId="53" xfId="0" applyBorder="1"/>
    <xf numFmtId="164" fontId="0" fillId="27" borderId="40" xfId="0" applyNumberFormat="1" applyFill="1" applyBorder="1"/>
    <xf numFmtId="164" fontId="0" fillId="27" borderId="12" xfId="0" applyNumberFormat="1" applyFill="1" applyBorder="1"/>
    <xf numFmtId="0" fontId="0" fillId="24" borderId="19" xfId="0" applyFill="1" applyBorder="1" applyAlignment="1">
      <alignment horizontal="center" vertical="center" wrapText="1"/>
    </xf>
    <xf numFmtId="0" fontId="0" fillId="30" borderId="19" xfId="0" applyFill="1" applyBorder="1" applyAlignment="1">
      <alignment horizontal="center" vertical="center" wrapText="1"/>
    </xf>
    <xf numFmtId="0" fontId="0" fillId="24" borderId="19" xfId="0" applyFill="1" applyBorder="1" applyAlignment="1">
      <alignment horizontal="center" vertical="center"/>
    </xf>
    <xf numFmtId="0" fontId="0" fillId="29" borderId="19" xfId="0" applyFill="1" applyBorder="1" applyAlignment="1">
      <alignment horizontal="center" vertical="center"/>
    </xf>
    <xf numFmtId="0" fontId="0" fillId="31" borderId="19" xfId="0" applyFill="1" applyBorder="1" applyAlignment="1">
      <alignment horizontal="center" vertical="center" wrapText="1"/>
    </xf>
    <xf numFmtId="0" fontId="0" fillId="32" borderId="19" xfId="0" applyFill="1" applyBorder="1" applyAlignment="1">
      <alignment horizontal="center" vertical="center" wrapText="1"/>
    </xf>
    <xf numFmtId="0" fontId="0" fillId="23" borderId="19" xfId="0" applyFill="1" applyBorder="1" applyAlignment="1">
      <alignment horizontal="center" vertical="center" wrapText="1"/>
    </xf>
    <xf numFmtId="0" fontId="0" fillId="23" borderId="19" xfId="0" applyFill="1" applyBorder="1" applyAlignment="1">
      <alignment horizontal="center" vertical="center"/>
    </xf>
    <xf numFmtId="0" fontId="0" fillId="33" borderId="19" xfId="0" applyFill="1" applyBorder="1" applyAlignment="1">
      <alignment horizontal="center" vertical="center"/>
    </xf>
    <xf numFmtId="0" fontId="0" fillId="21" borderId="19" xfId="0" applyFill="1" applyBorder="1" applyAlignment="1">
      <alignment horizontal="center" vertical="center" wrapText="1"/>
    </xf>
    <xf numFmtId="0" fontId="0" fillId="21" borderId="19" xfId="0" applyFill="1" applyBorder="1" applyAlignment="1">
      <alignment horizontal="center" vertical="center"/>
    </xf>
    <xf numFmtId="0" fontId="0" fillId="34" borderId="19" xfId="0" applyFill="1" applyBorder="1" applyAlignment="1">
      <alignment horizontal="center" vertical="center"/>
    </xf>
    <xf numFmtId="9" fontId="22" fillId="0" borderId="0" xfId="40"/>
    <xf numFmtId="0" fontId="0" fillId="24" borderId="29" xfId="0" applyFill="1" applyBorder="1" applyAlignment="1">
      <alignment horizontal="center" vertical="center"/>
    </xf>
    <xf numFmtId="0" fontId="0" fillId="24" borderId="2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3" borderId="20" xfId="0" applyFill="1" applyBorder="1" applyAlignment="1">
      <alignment horizontal="center" vertical="center"/>
    </xf>
    <xf numFmtId="0" fontId="0" fillId="21" borderId="20" xfId="0" applyFill="1" applyBorder="1" applyAlignment="1">
      <alignment horizontal="center" vertical="center"/>
    </xf>
    <xf numFmtId="0" fontId="0" fillId="23" borderId="29" xfId="0" applyFill="1" applyBorder="1" applyAlignment="1">
      <alignment horizontal="center" vertical="center"/>
    </xf>
    <xf numFmtId="0" fontId="0" fillId="23" borderId="29" xfId="0" quotePrefix="1" applyFill="1" applyBorder="1" applyAlignment="1">
      <alignment horizontal="center" vertical="center"/>
    </xf>
    <xf numFmtId="0" fontId="0" fillId="23" borderId="29" xfId="0" applyFill="1" applyBorder="1" applyAlignment="1">
      <alignment horizontal="center" vertical="center" wrapText="1"/>
    </xf>
    <xf numFmtId="0" fontId="0" fillId="21" borderId="29" xfId="0" applyFill="1" applyBorder="1" applyAlignment="1">
      <alignment horizontal="center" vertical="center"/>
    </xf>
    <xf numFmtId="0" fontId="0" fillId="21" borderId="29" xfId="0" applyFill="1" applyBorder="1" applyAlignment="1">
      <alignment horizontal="center" vertical="center" wrapText="1"/>
    </xf>
    <xf numFmtId="0" fontId="0" fillId="36" borderId="19" xfId="0" applyFill="1" applyBorder="1" applyAlignment="1">
      <alignment horizontal="center" vertical="center" wrapText="1"/>
    </xf>
    <xf numFmtId="0" fontId="0" fillId="37" borderId="19" xfId="0" applyFill="1" applyBorder="1" applyAlignment="1">
      <alignment horizontal="center" vertical="center" wrapText="1"/>
    </xf>
    <xf numFmtId="0" fontId="0" fillId="35" borderId="19" xfId="0" applyFill="1" applyBorder="1" applyAlignment="1">
      <alignment horizontal="center" vertical="center"/>
    </xf>
    <xf numFmtId="0" fontId="0" fillId="36" borderId="19" xfId="0" applyFill="1" applyBorder="1" applyAlignment="1">
      <alignment horizontal="center" vertical="center"/>
    </xf>
    <xf numFmtId="0" fontId="0" fillId="35" borderId="19" xfId="0" applyFill="1" applyBorder="1" applyAlignment="1">
      <alignment horizontal="center" vertical="center" wrapText="1"/>
    </xf>
    <xf numFmtId="0" fontId="34" fillId="22" borderId="0" xfId="0" applyFont="1" applyFill="1" applyAlignment="1">
      <alignment horizontal="center" vertical="center"/>
    </xf>
    <xf numFmtId="168" fontId="31" fillId="25" borderId="47" xfId="28" applyNumberFormat="1" applyFont="1" applyFill="1" applyBorder="1" applyAlignment="1">
      <alignment horizontal="left" vertical="center"/>
    </xf>
    <xf numFmtId="0" fontId="30" fillId="0" borderId="0" xfId="171"/>
    <xf numFmtId="0" fontId="30" fillId="0" borderId="0" xfId="171" applyAlignment="1">
      <alignment horizontal="center"/>
    </xf>
    <xf numFmtId="0" fontId="30" fillId="0" borderId="12" xfId="171" applyBorder="1" applyAlignment="1">
      <alignment horizontal="center"/>
    </xf>
    <xf numFmtId="0" fontId="30" fillId="0" borderId="40" xfId="171" applyBorder="1" applyAlignment="1">
      <alignment horizontal="center"/>
    </xf>
    <xf numFmtId="0" fontId="30" fillId="0" borderId="12" xfId="171" applyBorder="1"/>
    <xf numFmtId="0" fontId="30" fillId="0" borderId="40" xfId="171" applyBorder="1"/>
    <xf numFmtId="165" fontId="0" fillId="0" borderId="12" xfId="172" applyFont="1" applyFill="1" applyBorder="1" applyAlignment="1">
      <alignment horizontal="center"/>
    </xf>
    <xf numFmtId="0" fontId="30" fillId="0" borderId="0" xfId="171" applyAlignment="1">
      <alignment horizontal="center" vertical="center"/>
    </xf>
    <xf numFmtId="49" fontId="30" fillId="0" borderId="0" xfId="171" applyNumberFormat="1"/>
    <xf numFmtId="165" fontId="0" fillId="0" borderId="54" xfId="172" applyFont="1" applyBorder="1"/>
    <xf numFmtId="165" fontId="0" fillId="0" borderId="53" xfId="172" applyFont="1" applyBorder="1"/>
    <xf numFmtId="0" fontId="30" fillId="0" borderId="44" xfId="171" applyBorder="1" applyAlignment="1">
      <alignment horizontal="center" vertical="center"/>
    </xf>
    <xf numFmtId="0" fontId="30" fillId="0" borderId="51" xfId="171" applyBorder="1" applyAlignment="1">
      <alignment horizontal="center" vertical="center"/>
    </xf>
    <xf numFmtId="0" fontId="34" fillId="0" borderId="0" xfId="171" applyFont="1" applyAlignment="1">
      <alignment horizontal="center"/>
    </xf>
    <xf numFmtId="0" fontId="34" fillId="21" borderId="0" xfId="171" applyFont="1" applyFill="1" applyAlignment="1">
      <alignment horizontal="center" vertical="center"/>
    </xf>
    <xf numFmtId="0" fontId="34" fillId="21" borderId="0" xfId="171" applyFont="1" applyFill="1" applyAlignment="1">
      <alignment horizontal="center"/>
    </xf>
    <xf numFmtId="164" fontId="34" fillId="21" borderId="0" xfId="171" applyNumberFormat="1" applyFont="1" applyFill="1" applyAlignment="1">
      <alignment horizontal="center" vertical="center"/>
    </xf>
    <xf numFmtId="165" fontId="0" fillId="0" borderId="12" xfId="172" applyFont="1" applyBorder="1"/>
    <xf numFmtId="165" fontId="0" fillId="0" borderId="40" xfId="172" applyFont="1" applyBorder="1"/>
    <xf numFmtId="0" fontId="30" fillId="0" borderId="50" xfId="171" applyBorder="1" applyAlignment="1">
      <alignment horizontal="center" vertical="center"/>
    </xf>
    <xf numFmtId="165" fontId="0" fillId="0" borderId="46" xfId="172" applyFont="1" applyBorder="1"/>
    <xf numFmtId="165" fontId="0" fillId="0" borderId="48" xfId="172" applyFont="1" applyBorder="1"/>
    <xf numFmtId="0" fontId="30" fillId="0" borderId="43" xfId="171" applyBorder="1" applyAlignment="1">
      <alignment horizontal="center" vertical="center"/>
    </xf>
    <xf numFmtId="0" fontId="30" fillId="0" borderId="42" xfId="171" applyBorder="1" applyAlignment="1">
      <alignment horizontal="center" vertical="center"/>
    </xf>
    <xf numFmtId="0" fontId="30" fillId="21" borderId="12" xfId="171" applyFill="1" applyBorder="1" applyAlignment="1">
      <alignment vertical="center"/>
    </xf>
    <xf numFmtId="0" fontId="30" fillId="21" borderId="40" xfId="171" applyFill="1" applyBorder="1" applyAlignment="1">
      <alignment horizontal="center" vertical="center"/>
    </xf>
    <xf numFmtId="0" fontId="33" fillId="21" borderId="12" xfId="171" applyFont="1" applyFill="1" applyBorder="1" applyAlignment="1">
      <alignment vertical="center"/>
    </xf>
    <xf numFmtId="0" fontId="31" fillId="21" borderId="40" xfId="171" applyFont="1" applyFill="1" applyBorder="1" applyAlignment="1">
      <alignment horizontal="right" vertical="center"/>
    </xf>
    <xf numFmtId="164" fontId="31" fillId="21" borderId="12" xfId="171" applyNumberFormat="1" applyFont="1" applyFill="1" applyBorder="1" applyAlignment="1">
      <alignment horizontal="right" vertical="center"/>
    </xf>
    <xf numFmtId="164" fontId="31" fillId="21" borderId="40" xfId="171" applyNumberFormat="1" applyFont="1" applyFill="1" applyBorder="1" applyAlignment="1">
      <alignment horizontal="right" vertical="center"/>
    </xf>
    <xf numFmtId="0" fontId="30" fillId="21" borderId="12" xfId="171" applyFill="1" applyBorder="1" applyAlignment="1">
      <alignment horizontal="center" vertical="center"/>
    </xf>
    <xf numFmtId="0" fontId="33" fillId="21" borderId="40" xfId="171" applyFont="1" applyFill="1" applyBorder="1" applyAlignment="1">
      <alignment vertical="center"/>
    </xf>
    <xf numFmtId="0" fontId="31" fillId="21" borderId="12" xfId="171" applyFont="1" applyFill="1" applyBorder="1" applyAlignment="1">
      <alignment horizontal="right" vertical="center"/>
    </xf>
    <xf numFmtId="0" fontId="31" fillId="21" borderId="40" xfId="171" applyFont="1" applyFill="1" applyBorder="1" applyAlignment="1">
      <alignment horizontal="left" vertical="center" indent="2"/>
    </xf>
    <xf numFmtId="12" fontId="30" fillId="25" borderId="42" xfId="171" applyNumberFormat="1" applyFill="1" applyBorder="1" applyAlignment="1">
      <alignment horizontal="center" vertical="center"/>
    </xf>
    <xf numFmtId="0" fontId="30" fillId="21" borderId="0" xfId="171" applyFill="1" applyAlignment="1">
      <alignment horizontal="center" vertical="center"/>
    </xf>
    <xf numFmtId="0" fontId="31" fillId="21" borderId="0" xfId="171" applyFont="1" applyFill="1" applyAlignment="1">
      <alignment horizontal="right" vertical="center"/>
    </xf>
    <xf numFmtId="0" fontId="31" fillId="21" borderId="0" xfId="171" applyFont="1" applyFill="1" applyAlignment="1">
      <alignment horizontal="center" vertical="center"/>
    </xf>
    <xf numFmtId="0" fontId="30" fillId="21" borderId="0" xfId="171" applyFill="1" applyAlignment="1">
      <alignment vertical="center"/>
    </xf>
    <xf numFmtId="49" fontId="30" fillId="21" borderId="0" xfId="171" applyNumberFormat="1" applyFill="1" applyAlignment="1">
      <alignment vertical="center"/>
    </xf>
    <xf numFmtId="0" fontId="30" fillId="21" borderId="40" xfId="171" applyFill="1" applyBorder="1" applyAlignment="1">
      <alignment vertical="center"/>
    </xf>
    <xf numFmtId="12" fontId="30" fillId="25" borderId="15" xfId="171" applyNumberFormat="1" applyFill="1" applyBorder="1" applyAlignment="1">
      <alignment horizontal="center" vertical="center"/>
    </xf>
    <xf numFmtId="12" fontId="30" fillId="25" borderId="41" xfId="171" applyNumberFormat="1" applyFill="1" applyBorder="1" applyAlignment="1">
      <alignment horizontal="center" vertical="center"/>
    </xf>
    <xf numFmtId="12" fontId="30" fillId="25" borderId="15" xfId="172" applyNumberFormat="1" applyFont="1" applyFill="1" applyBorder="1" applyAlignment="1">
      <alignment horizontal="center"/>
    </xf>
    <xf numFmtId="168" fontId="31" fillId="25" borderId="47" xfId="172" applyNumberFormat="1" applyFont="1" applyFill="1" applyBorder="1" applyAlignment="1">
      <alignment horizontal="left" vertical="center"/>
    </xf>
    <xf numFmtId="0" fontId="31" fillId="21" borderId="40" xfId="171" applyFont="1" applyFill="1" applyBorder="1" applyAlignment="1">
      <alignment horizontal="left" vertical="center"/>
    </xf>
    <xf numFmtId="165" fontId="31" fillId="21" borderId="40" xfId="172" applyFont="1" applyFill="1" applyBorder="1" applyAlignment="1">
      <alignment horizontal="left" vertical="center"/>
    </xf>
    <xf numFmtId="0" fontId="31" fillId="21" borderId="40" xfId="171" applyFont="1" applyFill="1" applyBorder="1" applyAlignment="1">
      <alignment horizontal="center" vertical="center"/>
    </xf>
    <xf numFmtId="0" fontId="31" fillId="21" borderId="0" xfId="171" applyFont="1" applyFill="1" applyAlignment="1">
      <alignment horizontal="left" vertical="center"/>
    </xf>
    <xf numFmtId="12" fontId="31" fillId="21" borderId="0" xfId="171" applyNumberFormat="1" applyFont="1" applyFill="1" applyAlignment="1">
      <alignment horizontal="left" vertical="center"/>
    </xf>
    <xf numFmtId="0" fontId="35" fillId="21" borderId="0" xfId="171" applyFont="1" applyFill="1" applyAlignment="1">
      <alignment horizontal="center" vertical="center"/>
    </xf>
    <xf numFmtId="49" fontId="31" fillId="21" borderId="0" xfId="171" applyNumberFormat="1" applyFont="1" applyFill="1" applyAlignment="1">
      <alignment horizontal="left" vertical="center"/>
    </xf>
    <xf numFmtId="0" fontId="30" fillId="20" borderId="0" xfId="171" applyFill="1"/>
    <xf numFmtId="0" fontId="30" fillId="20" borderId="0" xfId="171" applyFill="1" applyAlignment="1">
      <alignment horizontal="center"/>
    </xf>
    <xf numFmtId="0" fontId="30" fillId="20" borderId="12" xfId="171" applyFill="1" applyBorder="1" applyAlignment="1">
      <alignment horizontal="center"/>
    </xf>
    <xf numFmtId="0" fontId="30" fillId="20" borderId="40" xfId="171" applyFill="1" applyBorder="1" applyAlignment="1">
      <alignment horizontal="center"/>
    </xf>
    <xf numFmtId="0" fontId="30" fillId="20" borderId="12" xfId="171" applyFill="1" applyBorder="1"/>
    <xf numFmtId="0" fontId="30" fillId="20" borderId="40" xfId="171" applyFill="1" applyBorder="1"/>
    <xf numFmtId="165" fontId="0" fillId="20" borderId="12" xfId="172" applyFont="1" applyFill="1" applyBorder="1" applyAlignment="1">
      <alignment horizontal="center"/>
    </xf>
    <xf numFmtId="0" fontId="30" fillId="20" borderId="0" xfId="171" applyFill="1" applyAlignment="1">
      <alignment horizontal="center" vertical="center"/>
    </xf>
    <xf numFmtId="49" fontId="30" fillId="20" borderId="0" xfId="171" applyNumberFormat="1" applyFill="1"/>
    <xf numFmtId="0" fontId="30" fillId="24" borderId="44" xfId="171" applyFill="1" applyBorder="1" applyAlignment="1">
      <alignment horizontal="center" vertical="center"/>
    </xf>
    <xf numFmtId="0" fontId="30" fillId="24" borderId="51" xfId="171" applyFill="1" applyBorder="1" applyAlignment="1">
      <alignment horizontal="center" vertical="center"/>
    </xf>
    <xf numFmtId="0" fontId="30" fillId="24" borderId="0" xfId="171" applyFill="1" applyAlignment="1">
      <alignment horizontal="center" vertical="center"/>
    </xf>
    <xf numFmtId="0" fontId="30" fillId="24" borderId="50" xfId="171" applyFill="1" applyBorder="1" applyAlignment="1">
      <alignment horizontal="center" vertical="center"/>
    </xf>
    <xf numFmtId="0" fontId="30" fillId="24" borderId="43" xfId="171" applyFill="1" applyBorder="1" applyAlignment="1">
      <alignment horizontal="center" vertical="center"/>
    </xf>
    <xf numFmtId="0" fontId="30" fillId="24" borderId="42" xfId="171" applyFill="1" applyBorder="1" applyAlignment="1">
      <alignment horizontal="center" vertical="center"/>
    </xf>
    <xf numFmtId="165" fontId="0" fillId="20" borderId="54" xfId="172" applyFont="1" applyFill="1" applyBorder="1"/>
    <xf numFmtId="165" fontId="0" fillId="20" borderId="40" xfId="172" applyFont="1" applyFill="1" applyBorder="1"/>
    <xf numFmtId="0" fontId="34" fillId="20" borderId="0" xfId="171" applyFont="1" applyFill="1" applyAlignment="1">
      <alignment horizontal="center"/>
    </xf>
    <xf numFmtId="0" fontId="34" fillId="20" borderId="0" xfId="171" applyFont="1" applyFill="1" applyAlignment="1">
      <alignment horizontal="center" vertical="center"/>
    </xf>
    <xf numFmtId="164" fontId="34" fillId="20" borderId="0" xfId="171" applyNumberFormat="1" applyFont="1" applyFill="1" applyAlignment="1">
      <alignment horizontal="center" vertical="center"/>
    </xf>
    <xf numFmtId="0" fontId="30" fillId="0" borderId="0" xfId="171" applyAlignment="1">
      <alignment vertical="center"/>
    </xf>
    <xf numFmtId="166" fontId="30" fillId="20" borderId="12" xfId="171" applyNumberFormat="1" applyFill="1" applyBorder="1" applyAlignment="1">
      <alignment horizontal="center"/>
    </xf>
    <xf numFmtId="166" fontId="30" fillId="20" borderId="40" xfId="171" applyNumberFormat="1" applyFill="1" applyBorder="1" applyAlignment="1">
      <alignment horizontal="center"/>
    </xf>
    <xf numFmtId="164" fontId="30" fillId="20" borderId="12" xfId="171" applyNumberFormat="1" applyFill="1" applyBorder="1"/>
    <xf numFmtId="164" fontId="30" fillId="20" borderId="40" xfId="171" applyNumberFormat="1" applyFill="1" applyBorder="1"/>
    <xf numFmtId="167" fontId="0" fillId="20" borderId="12" xfId="172" applyNumberFormat="1" applyFont="1" applyFill="1" applyBorder="1" applyAlignment="1">
      <alignment horizontal="right"/>
    </xf>
    <xf numFmtId="167" fontId="0" fillId="20" borderId="40" xfId="172" applyNumberFormat="1" applyFont="1" applyFill="1" applyBorder="1" applyAlignment="1">
      <alignment horizontal="right"/>
    </xf>
    <xf numFmtId="0" fontId="30" fillId="21" borderId="0" xfId="171" applyFill="1"/>
    <xf numFmtId="49" fontId="30" fillId="21" borderId="0" xfId="171" applyNumberFormat="1" applyFill="1"/>
    <xf numFmtId="0" fontId="32" fillId="20" borderId="0" xfId="171" applyFont="1" applyFill="1" applyAlignment="1">
      <alignment horizontal="center" vertical="center"/>
    </xf>
    <xf numFmtId="0" fontId="32" fillId="20" borderId="0" xfId="171" applyFont="1" applyFill="1" applyAlignment="1" applyProtection="1">
      <alignment horizontal="center" vertical="center" wrapText="1"/>
      <protection locked="0"/>
    </xf>
    <xf numFmtId="0" fontId="32" fillId="20" borderId="0" xfId="171" applyFont="1" applyFill="1" applyAlignment="1">
      <alignment horizontal="center" vertical="center" wrapText="1"/>
    </xf>
    <xf numFmtId="0" fontId="37" fillId="20" borderId="12" xfId="171" applyFont="1" applyFill="1" applyBorder="1" applyAlignment="1">
      <alignment horizontal="center" vertical="center" wrapText="1"/>
    </xf>
    <xf numFmtId="0" fontId="37" fillId="20" borderId="40" xfId="171" applyFont="1" applyFill="1" applyBorder="1" applyAlignment="1">
      <alignment horizontal="right" wrapText="1"/>
    </xf>
    <xf numFmtId="0" fontId="37" fillId="20" borderId="0" xfId="171" applyFont="1" applyFill="1" applyAlignment="1">
      <alignment horizontal="center" vertical="center" wrapText="1"/>
    </xf>
    <xf numFmtId="49" fontId="37" fillId="20" borderId="0" xfId="171" applyNumberFormat="1" applyFont="1" applyFill="1" applyAlignment="1">
      <alignment horizontal="center" vertical="center" wrapText="1"/>
    </xf>
    <xf numFmtId="0" fontId="36" fillId="20" borderId="0" xfId="171" applyFont="1" applyFill="1" applyAlignment="1">
      <alignment horizontal="center" vertical="center"/>
    </xf>
    <xf numFmtId="49" fontId="36" fillId="20" borderId="0" xfId="171" applyNumberFormat="1" applyFont="1" applyFill="1" applyAlignment="1">
      <alignment horizontal="center" vertical="center"/>
    </xf>
    <xf numFmtId="0" fontId="30" fillId="0" borderId="0" xfId="171" applyAlignment="1">
      <alignment horizontal="center" wrapText="1"/>
    </xf>
    <xf numFmtId="0" fontId="30" fillId="0" borderId="0" xfId="171" applyAlignment="1" applyProtection="1">
      <alignment horizontal="center" wrapText="1"/>
      <protection locked="0"/>
    </xf>
    <xf numFmtId="0" fontId="30" fillId="0" borderId="52" xfId="171" applyBorder="1" applyAlignment="1">
      <alignment horizontal="center" wrapText="1"/>
    </xf>
    <xf numFmtId="0" fontId="30" fillId="0" borderId="38" xfId="171" applyBorder="1" applyAlignment="1">
      <alignment horizontal="center" wrapText="1"/>
    </xf>
    <xf numFmtId="49" fontId="30" fillId="0" borderId="0" xfId="171" applyNumberFormat="1" applyAlignment="1">
      <alignment horizontal="center" wrapText="1"/>
    </xf>
    <xf numFmtId="49" fontId="30" fillId="0" borderId="0" xfId="171" applyNumberFormat="1" applyAlignment="1">
      <alignment horizontal="center" vertical="center" wrapText="1"/>
    </xf>
    <xf numFmtId="165" fontId="0" fillId="0" borderId="48" xfId="28" applyFont="1" applyFill="1" applyBorder="1"/>
    <xf numFmtId="0" fontId="0" fillId="0" borderId="20" xfId="0" applyBorder="1" applyAlignment="1">
      <alignment horizontal="center"/>
    </xf>
    <xf numFmtId="0" fontId="0" fillId="0" borderId="29" xfId="0" applyBorder="1" applyAlignment="1">
      <alignment horizontal="center"/>
    </xf>
  </cellXfs>
  <cellStyles count="17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ddress - Left" xfId="44" xr:uid="{00000000-0005-0000-0000-000018000000}"/>
    <cellStyle name="Address - Left 2" xfId="88" xr:uid="{00000000-0005-0000-0000-000019000000}"/>
    <cellStyle name="Address - Left 2 2" xfId="143" xr:uid="{92DABA6D-55F9-4151-B976-860855361245}"/>
    <cellStyle name="Address - Left 2 3" xfId="167" xr:uid="{AC04C208-5BAD-415E-9436-6E869BF112E8}"/>
    <cellStyle name="Address - Left 3" xfId="125" xr:uid="{8D5918C6-54E0-45FC-ABBB-36E31E1E5F62}"/>
    <cellStyle name="Address - Left 4" xfId="119" xr:uid="{A45F4987-5F49-4197-AA70-D789C4637291}"/>
    <cellStyle name="Address - Right" xfId="45" xr:uid="{00000000-0005-0000-0000-00001A000000}"/>
    <cellStyle name="Address - Right 2" xfId="89" xr:uid="{00000000-0005-0000-0000-00001B000000}"/>
    <cellStyle name="Address - Right 2 2" xfId="144" xr:uid="{0A1E8F9F-4636-4D0F-B4CD-6524DC2EEAE4}"/>
    <cellStyle name="Address - Right 2 3" xfId="168" xr:uid="{4D1D01F3-7B4B-4DDE-9F09-6D43D2F8EFC3}"/>
    <cellStyle name="Address - Right 3" xfId="126" xr:uid="{5DE5F6F5-46DA-4CA7-B984-F206B139CC93}"/>
    <cellStyle name="Address - Right 4" xfId="118" xr:uid="{3ED22FD0-3319-4284-851D-8ABE909660E6}"/>
    <cellStyle name="Bad" xfId="25" builtinId="27" customBuiltin="1"/>
    <cellStyle name="Banner - Black" xfId="46" xr:uid="{00000000-0005-0000-0000-00001D000000}"/>
    <cellStyle name="Banner - Gray" xfId="47" xr:uid="{00000000-0005-0000-0000-00001E000000}"/>
    <cellStyle name="Banner - Sub" xfId="48" xr:uid="{00000000-0005-0000-0000-00001F000000}"/>
    <cellStyle name="Calculation" xfId="26" builtinId="22" customBuiltin="1"/>
    <cellStyle name="Calculation 2" xfId="82" xr:uid="{00000000-0005-0000-0000-000021000000}"/>
    <cellStyle name="Calculation 2 2" xfId="161" xr:uid="{C986517B-4A57-4632-9B98-708D6D08EF91}"/>
    <cellStyle name="Calculation 3" xfId="127" xr:uid="{F175FDA9-2CCD-4705-BF03-314B582734F2}"/>
    <cellStyle name="Check Cell" xfId="27" builtinId="23" customBuiltin="1"/>
    <cellStyle name="Currency" xfId="28" builtinId="4"/>
    <cellStyle name="Currency 2" xfId="172" xr:uid="{A7335EE7-2028-4D9B-93C5-BBA6CF7E88D3}"/>
    <cellStyle name="Data - Catalog" xfId="49" xr:uid="{00000000-0005-0000-0000-000025000000}"/>
    <cellStyle name="Data - Catalog 2" xfId="50" xr:uid="{00000000-0005-0000-0000-000026000000}"/>
    <cellStyle name="Data - Catalog 2 2" xfId="51" xr:uid="{00000000-0005-0000-0000-000027000000}"/>
    <cellStyle name="Data - Catalog 2 2 2" xfId="92" xr:uid="{00000000-0005-0000-0000-000028000000}"/>
    <cellStyle name="Data - Catalog 2 3" xfId="52" xr:uid="{00000000-0005-0000-0000-000029000000}"/>
    <cellStyle name="Data - Catalog 2 3 2" xfId="93" xr:uid="{00000000-0005-0000-0000-00002A000000}"/>
    <cellStyle name="Data - Catalog 2 4" xfId="91" xr:uid="{00000000-0005-0000-0000-00002B000000}"/>
    <cellStyle name="Data - Catalog 3" xfId="90" xr:uid="{00000000-0005-0000-0000-00002C000000}"/>
    <cellStyle name="Data - Center" xfId="53" xr:uid="{00000000-0005-0000-0000-00002D000000}"/>
    <cellStyle name="Data - Center 2" xfId="94" xr:uid="{00000000-0005-0000-0000-00002E000000}"/>
    <cellStyle name="Data - Model" xfId="54" xr:uid="{00000000-0005-0000-0000-00002F000000}"/>
    <cellStyle name="Data - Model 2" xfId="95" xr:uid="{00000000-0005-0000-0000-000030000000}"/>
    <cellStyle name="Data - Price" xfId="55" xr:uid="{00000000-0005-0000-0000-000031000000}"/>
    <cellStyle name="Data - Price 2" xfId="96" xr:uid="{00000000-0005-0000-0000-000032000000}"/>
    <cellStyle name="Data - SEER" xfId="56" xr:uid="{00000000-0005-0000-0000-000033000000}"/>
    <cellStyle name="Data - SEER 2" xfId="97" xr:uid="{00000000-0005-0000-0000-000034000000}"/>
    <cellStyle name="Data - Stocked" xfId="57" xr:uid="{00000000-0005-0000-0000-000035000000}"/>
    <cellStyle name="Data - Stocked 2" xfId="98" xr:uid="{00000000-0005-0000-0000-000036000000}"/>
    <cellStyle name="Explanatory Text" xfId="29" builtinId="53" customBuiltin="1"/>
    <cellStyle name="Good" xfId="30" builtinId="26" customBuiltin="1"/>
    <cellStyle name="Head - Model" xfId="58" xr:uid="{00000000-0005-0000-0000-000039000000}"/>
    <cellStyle name="Head - Model 2" xfId="99" xr:uid="{00000000-0005-0000-0000-00003A000000}"/>
    <cellStyle name="Head - Order" xfId="59" xr:uid="{00000000-0005-0000-0000-00003B000000}"/>
    <cellStyle name="Head - Order 2" xfId="100" xr:uid="{00000000-0005-0000-0000-00003C000000}"/>
    <cellStyle name="Head Price" xfId="60" xr:uid="{00000000-0005-0000-0000-00003D000000}"/>
    <cellStyle name="Head Price 2" xfId="101" xr:uid="{00000000-0005-0000-0000-00003E000000}"/>
    <cellStyle name="Heading 1" xfId="31" builtinId="16" customBuiltin="1"/>
    <cellStyle name="Heading 2" xfId="32" builtinId="17" customBuiltin="1"/>
    <cellStyle name="Heading 3" xfId="33" builtinId="18" customBuiltin="1"/>
    <cellStyle name="Heading 3 2" xfId="68" xr:uid="{00000000-0005-0000-0000-000042000000}"/>
    <cellStyle name="Heading 3 2 2" xfId="106" xr:uid="{00000000-0005-0000-0000-000043000000}"/>
    <cellStyle name="Heading 3 2 2 2" xfId="149" xr:uid="{B26C0A81-E238-4896-8A09-23747218F079}"/>
    <cellStyle name="Heading 3 2 2 3" xfId="169" xr:uid="{FA3F5856-3D94-4149-B395-D62F378D5DEB}"/>
    <cellStyle name="Heading 3 2 3" xfId="117" xr:uid="{00000000-0005-0000-0000-000044000000}"/>
    <cellStyle name="Heading 3 2 3 2" xfId="170" xr:uid="{8E4DBBE5-CA06-4A19-9C86-6CC8EB01CD5B}"/>
    <cellStyle name="Heading 3 3" xfId="83" xr:uid="{00000000-0005-0000-0000-000045000000}"/>
    <cellStyle name="Heading 3 3 2" xfId="142" xr:uid="{6C5F5AAB-6FBD-4C2B-B397-02DA9976A4A5}"/>
    <cellStyle name="Heading 3 3 3" xfId="162" xr:uid="{BEFCC429-AB72-4CC1-8D7D-56C757FA08E7}"/>
    <cellStyle name="Heading 3 4" xfId="81" xr:uid="{00000000-0005-0000-0000-000046000000}"/>
    <cellStyle name="Heading 3 4 2" xfId="160" xr:uid="{10B8A743-BA72-495A-8743-16FAE96D31DE}"/>
    <cellStyle name="Heading 3 5" xfId="124" xr:uid="{B867AE4F-3D01-4DEA-A35C-2D7A5A9CFAC4}"/>
    <cellStyle name="Heading 4" xfId="34" builtinId="19" customBuiltin="1"/>
    <cellStyle name="Input" xfId="35" builtinId="20" customBuiltin="1"/>
    <cellStyle name="Input 2" xfId="84" xr:uid="{00000000-0005-0000-0000-000049000000}"/>
    <cellStyle name="Input 2 2" xfId="163" xr:uid="{55514D7B-7583-4739-979D-AA1D0A274EC1}"/>
    <cellStyle name="Input 3" xfId="123" xr:uid="{0DC7B4C6-BCDE-4B70-9B67-2140B163C13A}"/>
    <cellStyle name="Linked Cell" xfId="36" builtinId="24" customBuiltin="1"/>
    <cellStyle name="Neutral" xfId="37" builtinId="28" customBuiltin="1"/>
    <cellStyle name="Normal" xfId="0" builtinId="0" customBuiltin="1"/>
    <cellStyle name="Normal 2" xfId="61" xr:uid="{00000000-0005-0000-0000-00004D000000}"/>
    <cellStyle name="Normal 2 2" xfId="62" xr:uid="{00000000-0005-0000-0000-00004E000000}"/>
    <cellStyle name="Normal 2 3" xfId="171" xr:uid="{9B7BE7A5-8AAE-464E-BCBF-497D7B779CE7}"/>
    <cellStyle name="Normal 3" xfId="63" xr:uid="{00000000-0005-0000-0000-00004F000000}"/>
    <cellStyle name="Normal 4" xfId="64" xr:uid="{00000000-0005-0000-0000-000050000000}"/>
    <cellStyle name="Normal 4 2" xfId="69" xr:uid="{00000000-0005-0000-0000-000051000000}"/>
    <cellStyle name="Normal 4 2 2" xfId="79" xr:uid="{00000000-0005-0000-0000-000052000000}"/>
    <cellStyle name="Normal 4 2 2 2" xfId="111" xr:uid="{00000000-0005-0000-0000-000053000000}"/>
    <cellStyle name="Normal 4 2 2 2 2" xfId="154" xr:uid="{3ED78CB1-5D2A-4898-AB5C-DA0EBD53140B}"/>
    <cellStyle name="Normal 4 2 2 3" xfId="140" xr:uid="{385B0257-3146-4F25-BE13-4F397E82344D}"/>
    <cellStyle name="Normal 4 2 3" xfId="75" xr:uid="{00000000-0005-0000-0000-000054000000}"/>
    <cellStyle name="Normal 4 2 3 2" xfId="115" xr:uid="{00000000-0005-0000-0000-000055000000}"/>
    <cellStyle name="Normal 4 2 3 2 2" xfId="158" xr:uid="{DABBE489-FC51-45D9-970F-F25D4536E39F}"/>
    <cellStyle name="Normal 4 2 3 3" xfId="136" xr:uid="{73B8D988-4AF8-4A17-8C83-5F4197ECC672}"/>
    <cellStyle name="Normal 4 2 4" xfId="107" xr:uid="{00000000-0005-0000-0000-000056000000}"/>
    <cellStyle name="Normal 4 2 4 2" xfId="150" xr:uid="{54B94C87-3FD4-444C-BF99-795F1542F2D9}"/>
    <cellStyle name="Normal 4 2 5" xfId="130" xr:uid="{5E46C66C-9E52-44D5-B92D-4DCDEDDC4869}"/>
    <cellStyle name="Normal 4 3" xfId="73" xr:uid="{00000000-0005-0000-0000-000057000000}"/>
    <cellStyle name="Normal 4 3 2" xfId="104" xr:uid="{00000000-0005-0000-0000-000058000000}"/>
    <cellStyle name="Normal 4 3 2 2" xfId="147" xr:uid="{A3DF28A1-D369-44A5-940A-4C7C4109061A}"/>
    <cellStyle name="Normal 4 3 3" xfId="134" xr:uid="{1ACA9288-6E6D-4E29-8F12-2A1AA2F619AA}"/>
    <cellStyle name="Normal 4 4" xfId="77" xr:uid="{00000000-0005-0000-0000-000059000000}"/>
    <cellStyle name="Normal 4 4 2" xfId="109" xr:uid="{00000000-0005-0000-0000-00005A000000}"/>
    <cellStyle name="Normal 4 4 2 2" xfId="152" xr:uid="{F1D2AD83-7E93-4F73-9B20-9BA206430361}"/>
    <cellStyle name="Normal 4 4 3" xfId="138" xr:uid="{93600B0C-01ED-4DEE-AB79-DC05EFFD3937}"/>
    <cellStyle name="Normal 4 5" xfId="71" xr:uid="{00000000-0005-0000-0000-00005B000000}"/>
    <cellStyle name="Normal 4 5 2" xfId="113" xr:uid="{00000000-0005-0000-0000-00005C000000}"/>
    <cellStyle name="Normal 4 5 2 2" xfId="156" xr:uid="{48F368BF-1B0B-49C4-AB2E-EE56F454C3A6}"/>
    <cellStyle name="Normal 4 5 3" xfId="132" xr:uid="{1D3B2B35-AC7D-48AB-94C2-03B4B8FB4634}"/>
    <cellStyle name="Normal 4 6" xfId="102" xr:uid="{00000000-0005-0000-0000-00005D000000}"/>
    <cellStyle name="Normal 4 6 2" xfId="145" xr:uid="{BDD50E4E-1614-4C53-A023-C75C5D306177}"/>
    <cellStyle name="Normal 4 7" xfId="128" xr:uid="{73D47426-D4C2-4164-ABFB-936226D41A28}"/>
    <cellStyle name="Normal 5" xfId="65" xr:uid="{00000000-0005-0000-0000-00005E000000}"/>
    <cellStyle name="Normal 5 2" xfId="70" xr:uid="{00000000-0005-0000-0000-00005F000000}"/>
    <cellStyle name="Normal 5 2 2" xfId="80" xr:uid="{00000000-0005-0000-0000-000060000000}"/>
    <cellStyle name="Normal 5 2 2 2" xfId="112" xr:uid="{00000000-0005-0000-0000-000061000000}"/>
    <cellStyle name="Normal 5 2 2 2 2" xfId="155" xr:uid="{685C3BC0-44C9-448E-B75D-AA4C910F5C10}"/>
    <cellStyle name="Normal 5 2 2 3" xfId="141" xr:uid="{F373264D-D796-4498-B0B4-D80FF9F26011}"/>
    <cellStyle name="Normal 5 2 3" xfId="76" xr:uid="{00000000-0005-0000-0000-000062000000}"/>
    <cellStyle name="Normal 5 2 3 2" xfId="116" xr:uid="{00000000-0005-0000-0000-000063000000}"/>
    <cellStyle name="Normal 5 2 3 2 2" xfId="159" xr:uid="{58A8A388-3844-414B-8404-424395340450}"/>
    <cellStyle name="Normal 5 2 3 3" xfId="137" xr:uid="{1734843E-A9E4-4A31-AABC-D40DE57404CE}"/>
    <cellStyle name="Normal 5 2 4" xfId="108" xr:uid="{00000000-0005-0000-0000-000064000000}"/>
    <cellStyle name="Normal 5 2 4 2" xfId="151" xr:uid="{D2F89759-DB9F-43F3-BDC2-6C6DE9FDF9B8}"/>
    <cellStyle name="Normal 5 2 5" xfId="131" xr:uid="{92F6266E-B8E0-465A-B749-021467AD0C87}"/>
    <cellStyle name="Normal 5 3" xfId="74" xr:uid="{00000000-0005-0000-0000-000065000000}"/>
    <cellStyle name="Normal 5 3 2" xfId="105" xr:uid="{00000000-0005-0000-0000-000066000000}"/>
    <cellStyle name="Normal 5 3 2 2" xfId="148" xr:uid="{382E5283-BD0A-4C22-8A82-180272BE8B3B}"/>
    <cellStyle name="Normal 5 3 3" xfId="135" xr:uid="{4DCD0A8C-68DE-49CA-8ED7-5D446BA5273A}"/>
    <cellStyle name="Normal 5 4" xfId="78" xr:uid="{00000000-0005-0000-0000-000067000000}"/>
    <cellStyle name="Normal 5 4 2" xfId="110" xr:uid="{00000000-0005-0000-0000-000068000000}"/>
    <cellStyle name="Normal 5 4 2 2" xfId="153" xr:uid="{0FB6014E-7316-4BBA-BFD7-7739D8599844}"/>
    <cellStyle name="Normal 5 4 3" xfId="139" xr:uid="{74BA3FFD-368D-4D84-88E9-6FFC4CC7EF1E}"/>
    <cellStyle name="Normal 5 5" xfId="72" xr:uid="{00000000-0005-0000-0000-000069000000}"/>
    <cellStyle name="Normal 5 5 2" xfId="114" xr:uid="{00000000-0005-0000-0000-00006A000000}"/>
    <cellStyle name="Normal 5 5 2 2" xfId="157" xr:uid="{E273E7D8-3D7D-4A7A-98FF-D4E9AD000BAA}"/>
    <cellStyle name="Normal 5 5 3" xfId="133" xr:uid="{4DB7032A-EE7B-42A3-8A63-EC7D34575EE0}"/>
    <cellStyle name="Normal 5 6" xfId="103" xr:uid="{00000000-0005-0000-0000-00006B000000}"/>
    <cellStyle name="Normal 5 6 2" xfId="146" xr:uid="{691B3196-E35D-49E9-B141-ECCC2AB4BC77}"/>
    <cellStyle name="Normal 5 7" xfId="129" xr:uid="{42872935-2DF4-47BA-B43A-D20B6B265251}"/>
    <cellStyle name="Note" xfId="38" builtinId="10" customBuiltin="1"/>
    <cellStyle name="Note 2" xfId="85" xr:uid="{00000000-0005-0000-0000-00006D000000}"/>
    <cellStyle name="Note 2 2" xfId="164" xr:uid="{6BA4DD72-5E95-4307-8185-B799D28CDF28}"/>
    <cellStyle name="Note 3" xfId="122" xr:uid="{D8186CFE-9A01-4252-9FB7-170BB8C7A1CD}"/>
    <cellStyle name="Output" xfId="39" builtinId="21" customBuiltin="1"/>
    <cellStyle name="Output 2" xfId="86" xr:uid="{00000000-0005-0000-0000-00006F000000}"/>
    <cellStyle name="Output 2 2" xfId="165" xr:uid="{36A1C57E-5D72-43F5-87B0-7B2D4342BCEF}"/>
    <cellStyle name="Output 3" xfId="121" xr:uid="{A97595B5-80B7-4846-B5A2-B5CEBA9E07E5}"/>
    <cellStyle name="Percent" xfId="40" builtinId="5"/>
    <cellStyle name="Percent 2" xfId="66" xr:uid="{00000000-0005-0000-0000-000071000000}"/>
    <cellStyle name="PRICE BOOK" xfId="67" xr:uid="{00000000-0005-0000-0000-000072000000}"/>
    <cellStyle name="Title" xfId="41" builtinId="15" customBuiltin="1"/>
    <cellStyle name="Total" xfId="42" builtinId="25" customBuiltin="1"/>
    <cellStyle name="Total 2" xfId="87" xr:uid="{00000000-0005-0000-0000-000075000000}"/>
    <cellStyle name="Total 2 2" xfId="166" xr:uid="{81953FB7-EEAC-4D1A-9099-BF328FE37FEC}"/>
    <cellStyle name="Total 3" xfId="120" xr:uid="{547C0977-E993-4DEC-8366-A1C3F2F7BC59}"/>
    <cellStyle name="Warning Text" xfId="43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3DEB3D"/>
      <rgbColor rgb="00800000"/>
      <rgbColor rgb="00008000"/>
      <rgbColor rgb="00000080"/>
      <rgbColor rgb="00808000"/>
      <rgbColor rgb="00800080"/>
      <rgbColor rgb="00336666"/>
      <rgbColor rgb="00C0C0C0"/>
      <rgbColor rgb="00808080"/>
      <rgbColor rgb="00A6CAF0"/>
      <rgbColor rgb="00993366"/>
      <rgbColor rgb="00FFFFC0"/>
      <rgbColor rgb="00E6E6E6"/>
      <rgbColor rgb="00660066"/>
      <rgbColor rgb="00FF8080"/>
      <rgbColor rgb="000047FF"/>
      <rgbColor rgb="00CCCCFF"/>
      <rgbColor rgb="002323DC"/>
      <rgbColor rgb="00FF00FF"/>
      <rgbColor rgb="00E6E64C"/>
      <rgbColor rgb="0000FFFF"/>
      <rgbColor rgb="0094006B"/>
      <rgbColor rgb="00800000"/>
      <rgbColor rgb="00008080"/>
      <rgbColor rgb="002300DC"/>
      <rgbColor rgb="0000CCFF"/>
      <rgbColor rgb="00A0E0E0"/>
      <rgbColor rgb="00E3E3E3"/>
      <rgbColor rgb="00FFFF99"/>
      <rgbColor rgb="0099CCFF"/>
      <rgbColor rgb="00CC9CCC"/>
      <rgbColor rgb="00CC99FF"/>
      <rgbColor rgb="00FFCC99"/>
      <rgbColor rgb="003333CC"/>
      <rgbColor rgb="0033CCCC"/>
      <rgbColor rgb="00999933"/>
      <rgbColor rgb="00FFCC00"/>
      <rgbColor rgb="00FF9900"/>
      <rgbColor rgb="00FF6600"/>
      <rgbColor rgb="00666699"/>
      <rgbColor rgb="00969696"/>
      <rgbColor rgb="00003366"/>
      <rgbColor rgb="0033CC66"/>
      <rgbColor rgb="00003300"/>
      <rgbColor rgb="00314004"/>
      <rgbColor rgb="00993300"/>
      <rgbColor rgb="00996666"/>
      <rgbColor rgb="00333399"/>
      <rgbColor rgb="00424242"/>
    </indexedColors>
    <mruColors>
      <color rgb="FFFBEDD1"/>
      <color rgb="FFFFFF99"/>
      <color rgb="FF01FF74"/>
      <color rgb="FFA898C2"/>
      <color rgb="FFDA9694"/>
      <color rgb="FF2C5800"/>
      <color rgb="FF336600"/>
      <color rgb="FF0000FF"/>
      <color rgb="FF244800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B6404-2D66-4993-B1BF-D3EDBC449B6D}">
  <sheetPr>
    <tabColor theme="3" tint="0.59999389629810485"/>
  </sheetPr>
  <dimension ref="A1:H3"/>
  <sheetViews>
    <sheetView topLeftCell="B1" workbookViewId="0">
      <selection activeCell="G19" sqref="G19"/>
    </sheetView>
  </sheetViews>
  <sheetFormatPr defaultRowHeight="11.25" x14ac:dyDescent="0.2"/>
  <cols>
    <col min="1" max="1" width="9.33203125" hidden="1" customWidth="1"/>
  </cols>
  <sheetData>
    <row r="1" spans="1:8" x14ac:dyDescent="0.2">
      <c r="A1" t="s">
        <v>82</v>
      </c>
      <c r="B1" t="s">
        <v>83</v>
      </c>
      <c r="C1" t="s">
        <v>87</v>
      </c>
      <c r="D1" t="s">
        <v>86</v>
      </c>
      <c r="E1" t="s">
        <v>91</v>
      </c>
      <c r="F1" t="s">
        <v>84</v>
      </c>
      <c r="G1" t="s">
        <v>92</v>
      </c>
      <c r="H1" t="s">
        <v>85</v>
      </c>
    </row>
    <row r="2" spans="1:8" hidden="1" x14ac:dyDescent="0.2">
      <c r="A2" t="s">
        <v>90</v>
      </c>
    </row>
    <row r="3" spans="1:8" x14ac:dyDescent="0.2">
      <c r="B3" t="s">
        <v>88</v>
      </c>
      <c r="C3">
        <v>1066</v>
      </c>
      <c r="D3" t="s">
        <v>89</v>
      </c>
      <c r="E3">
        <v>18</v>
      </c>
      <c r="F3">
        <v>5.9900000000000002E-2</v>
      </c>
      <c r="G3">
        <v>0</v>
      </c>
      <c r="H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8CE2F-D2DF-4626-804B-20FED4AE047C}">
  <sheetPr>
    <tabColor theme="3" tint="0.59999389629810485"/>
  </sheetPr>
  <dimension ref="A1:M28"/>
  <sheetViews>
    <sheetView showGridLines="0" tabSelected="1" topLeftCell="B1" zoomScale="123" zoomScaleNormal="85" workbookViewId="0">
      <selection activeCell="M4" sqref="M4"/>
    </sheetView>
  </sheetViews>
  <sheetFormatPr defaultRowHeight="11.25" x14ac:dyDescent="0.2"/>
  <cols>
    <col min="1" max="1" width="8.83203125" hidden="1" customWidth="1"/>
    <col min="2" max="2" width="12.1640625" bestFit="1" customWidth="1"/>
    <col min="3" max="11" width="18.6640625" customWidth="1"/>
  </cols>
  <sheetData>
    <row r="1" spans="1:13" x14ac:dyDescent="0.2">
      <c r="A1" t="s">
        <v>96</v>
      </c>
      <c r="B1" t="s">
        <v>1</v>
      </c>
      <c r="C1" t="s">
        <v>145</v>
      </c>
    </row>
    <row r="2" spans="1:13" ht="12.75" x14ac:dyDescent="0.2">
      <c r="A2" t="s">
        <v>5</v>
      </c>
      <c r="B2" s="181">
        <v>0</v>
      </c>
      <c r="C2">
        <v>1.1000000000000001</v>
      </c>
    </row>
    <row r="3" spans="1:13" s="192" customFormat="1" ht="33.75" x14ac:dyDescent="0.2">
      <c r="A3" s="192" t="s">
        <v>13</v>
      </c>
      <c r="B3" s="193" t="s">
        <v>97</v>
      </c>
      <c r="C3" s="192" t="s">
        <v>98</v>
      </c>
      <c r="D3" s="192" t="s">
        <v>99</v>
      </c>
      <c r="E3" s="192" t="s">
        <v>105</v>
      </c>
      <c r="F3" s="192" t="s">
        <v>100</v>
      </c>
      <c r="G3" s="192" t="s">
        <v>101</v>
      </c>
      <c r="H3" s="192" t="s">
        <v>104</v>
      </c>
      <c r="I3" s="192" t="s">
        <v>102</v>
      </c>
      <c r="J3" s="192" t="s">
        <v>110</v>
      </c>
      <c r="K3" s="192" t="s">
        <v>112</v>
      </c>
      <c r="L3" s="192" t="s">
        <v>130</v>
      </c>
      <c r="M3" s="192" t="s">
        <v>131</v>
      </c>
    </row>
    <row r="4" spans="1:13" s="194" customFormat="1" x14ac:dyDescent="0.2">
      <c r="B4" s="195" t="s">
        <v>127</v>
      </c>
      <c r="C4" s="194">
        <f>0.4*C2</f>
        <v>0.44000000000000006</v>
      </c>
      <c r="D4" s="194">
        <f>50*C2</f>
        <v>55.000000000000007</v>
      </c>
      <c r="E4" s="194">
        <f>95*C2</f>
        <v>104.50000000000001</v>
      </c>
      <c r="F4" s="194">
        <f>395*C2</f>
        <v>434.50000000000006</v>
      </c>
      <c r="G4" s="194">
        <f>255*C2</f>
        <v>280.5</v>
      </c>
      <c r="H4" s="194">
        <f>395*C2</f>
        <v>434.50000000000006</v>
      </c>
      <c r="I4" s="194">
        <f>10*C2</f>
        <v>11</v>
      </c>
      <c r="J4" s="194">
        <f>1000*C2</f>
        <v>1100</v>
      </c>
      <c r="K4" s="194">
        <v>450</v>
      </c>
      <c r="L4" s="194">
        <f>65*C2</f>
        <v>71.5</v>
      </c>
      <c r="M4" s="194">
        <f>9*C2</f>
        <v>9.9</v>
      </c>
    </row>
    <row r="5" spans="1:13" s="194" customFormat="1" x14ac:dyDescent="0.2">
      <c r="B5" s="195" t="s">
        <v>9</v>
      </c>
      <c r="C5" s="194" t="s">
        <v>27</v>
      </c>
      <c r="D5" s="194" t="s">
        <v>103</v>
      </c>
      <c r="E5" s="194" t="s">
        <v>103</v>
      </c>
      <c r="F5" s="194" t="s">
        <v>103</v>
      </c>
      <c r="G5" s="194" t="s">
        <v>103</v>
      </c>
      <c r="H5" s="194" t="s">
        <v>103</v>
      </c>
      <c r="I5" s="194" t="s">
        <v>103</v>
      </c>
      <c r="J5" s="194" t="s">
        <v>103</v>
      </c>
      <c r="K5" s="194" t="s">
        <v>103</v>
      </c>
      <c r="L5" s="194" t="s">
        <v>103</v>
      </c>
      <c r="M5" s="194" t="s">
        <v>103</v>
      </c>
    </row>
    <row r="6" spans="1:13" s="194" customFormat="1" x14ac:dyDescent="0.2">
      <c r="B6" s="195" t="s">
        <v>128</v>
      </c>
      <c r="C6" s="194" t="s">
        <v>125</v>
      </c>
      <c r="D6" s="194" t="s">
        <v>125</v>
      </c>
      <c r="E6" s="194" t="s">
        <v>125</v>
      </c>
      <c r="F6" s="194" t="s">
        <v>125</v>
      </c>
      <c r="G6" s="194" t="s">
        <v>125</v>
      </c>
      <c r="H6" s="194" t="s">
        <v>125</v>
      </c>
      <c r="I6" s="194" t="s">
        <v>111</v>
      </c>
      <c r="J6" s="194" t="s">
        <v>125</v>
      </c>
      <c r="K6" s="194" t="s">
        <v>125</v>
      </c>
      <c r="L6" s="194" t="s">
        <v>125</v>
      </c>
      <c r="M6" s="194" t="s">
        <v>125</v>
      </c>
    </row>
    <row r="7" spans="1:13" s="196" customFormat="1" ht="22.5" x14ac:dyDescent="0.2">
      <c r="B7" s="192" t="s">
        <v>129</v>
      </c>
      <c r="C7" s="196" t="s">
        <v>125</v>
      </c>
      <c r="D7" s="196" t="s">
        <v>125</v>
      </c>
      <c r="E7" s="196" t="s">
        <v>106</v>
      </c>
      <c r="F7" s="196" t="s">
        <v>107</v>
      </c>
      <c r="G7" s="196" t="s">
        <v>108</v>
      </c>
      <c r="H7" s="196" t="s">
        <v>109</v>
      </c>
      <c r="I7" s="196" t="s">
        <v>125</v>
      </c>
      <c r="J7" s="196" t="s">
        <v>125</v>
      </c>
      <c r="K7" s="196" t="s">
        <v>125</v>
      </c>
      <c r="L7" s="196" t="s">
        <v>125</v>
      </c>
      <c r="M7" s="196" t="s">
        <v>125</v>
      </c>
    </row>
    <row r="8" spans="1:13" s="9" customFormat="1" x14ac:dyDescent="0.2"/>
    <row r="9" spans="1:13" s="9" customFormat="1" x14ac:dyDescent="0.2"/>
    <row r="10" spans="1:13" s="9" customFormat="1" x14ac:dyDescent="0.2"/>
    <row r="11" spans="1:13" s="169" customFormat="1" ht="67.5" x14ac:dyDescent="0.2">
      <c r="A11" s="169" t="s">
        <v>124</v>
      </c>
      <c r="B11" s="170" t="s">
        <v>113</v>
      </c>
      <c r="C11" s="169" t="s">
        <v>114</v>
      </c>
      <c r="D11" s="169" t="s">
        <v>115</v>
      </c>
      <c r="E11" s="169" t="s">
        <v>132</v>
      </c>
      <c r="F11" s="169" t="s">
        <v>116</v>
      </c>
      <c r="G11" s="169" t="s">
        <v>117</v>
      </c>
      <c r="H11" s="169" t="s">
        <v>118</v>
      </c>
    </row>
    <row r="12" spans="1:13" s="171" customFormat="1" x14ac:dyDescent="0.2">
      <c r="B12" s="172">
        <f>5*C2</f>
        <v>5.5</v>
      </c>
      <c r="C12" s="171" t="s">
        <v>125</v>
      </c>
      <c r="D12" s="182" t="s">
        <v>125</v>
      </c>
      <c r="E12" s="171" t="s">
        <v>125</v>
      </c>
      <c r="F12" s="171" t="s">
        <v>125</v>
      </c>
      <c r="G12" s="171" t="s">
        <v>125</v>
      </c>
      <c r="H12" s="171">
        <f>425*C2</f>
        <v>467.50000000000006</v>
      </c>
    </row>
    <row r="13" spans="1:13" s="171" customFormat="1" x14ac:dyDescent="0.2">
      <c r="B13" s="172" t="s">
        <v>27</v>
      </c>
      <c r="C13" s="171" t="s">
        <v>125</v>
      </c>
      <c r="D13" s="182" t="s">
        <v>125</v>
      </c>
      <c r="E13" s="171" t="s">
        <v>125</v>
      </c>
      <c r="F13" s="171" t="s">
        <v>125</v>
      </c>
      <c r="G13" s="171" t="s">
        <v>125</v>
      </c>
      <c r="H13" s="171" t="s">
        <v>125</v>
      </c>
    </row>
    <row r="14" spans="1:13" s="171" customFormat="1" x14ac:dyDescent="0.2">
      <c r="B14" s="9"/>
      <c r="C14" s="171" t="s">
        <v>125</v>
      </c>
      <c r="D14" s="182" t="s">
        <v>125</v>
      </c>
      <c r="E14" s="171">
        <v>10</v>
      </c>
      <c r="F14" s="171" t="s">
        <v>125</v>
      </c>
      <c r="G14" s="171" t="s">
        <v>125</v>
      </c>
      <c r="H14" s="171" t="s">
        <v>125</v>
      </c>
    </row>
    <row r="15" spans="1:13" s="169" customFormat="1" ht="22.5" x14ac:dyDescent="0.2">
      <c r="B15" s="184"/>
      <c r="C15" s="169" t="s">
        <v>125</v>
      </c>
      <c r="D15" s="183" t="s">
        <v>125</v>
      </c>
      <c r="E15" s="169" t="str">
        <f>D3</f>
        <v>Additional Can Light Cover</v>
      </c>
      <c r="F15" s="171" t="s">
        <v>125</v>
      </c>
      <c r="G15" s="171" t="s">
        <v>125</v>
      </c>
      <c r="H15" s="171" t="s">
        <v>125</v>
      </c>
    </row>
    <row r="16" spans="1:13" s="9" customFormat="1" x14ac:dyDescent="0.2"/>
    <row r="17" spans="1:6" s="175" customFormat="1" ht="45" x14ac:dyDescent="0.2">
      <c r="A17" s="175" t="s">
        <v>124</v>
      </c>
      <c r="B17" s="173" t="s">
        <v>126</v>
      </c>
      <c r="C17" s="175" t="s">
        <v>119</v>
      </c>
      <c r="D17" s="175" t="s">
        <v>133</v>
      </c>
      <c r="E17" s="175" t="s">
        <v>116</v>
      </c>
      <c r="F17" s="175" t="s">
        <v>120</v>
      </c>
    </row>
    <row r="18" spans="1:6" s="176" customFormat="1" x14ac:dyDescent="0.2">
      <c r="A18" s="185"/>
      <c r="B18" s="177">
        <f>3*C2</f>
        <v>3.3000000000000003</v>
      </c>
      <c r="C18" s="187" t="s">
        <v>125</v>
      </c>
      <c r="D18" s="187" t="s">
        <v>125</v>
      </c>
      <c r="E18" s="176" t="s">
        <v>125</v>
      </c>
      <c r="F18" s="176" t="s">
        <v>125</v>
      </c>
    </row>
    <row r="19" spans="1:6" s="176" customFormat="1" x14ac:dyDescent="0.2">
      <c r="A19" s="185"/>
      <c r="B19" s="177" t="s">
        <v>27</v>
      </c>
      <c r="C19" s="188" t="s">
        <v>125</v>
      </c>
      <c r="D19" s="187" t="s">
        <v>125</v>
      </c>
      <c r="E19" s="176" t="s">
        <v>125</v>
      </c>
      <c r="F19" s="176" t="s">
        <v>125</v>
      </c>
    </row>
    <row r="20" spans="1:6" s="176" customFormat="1" x14ac:dyDescent="0.2">
      <c r="B20" s="9"/>
      <c r="C20" s="176" t="s">
        <v>125</v>
      </c>
      <c r="D20" s="187">
        <v>5</v>
      </c>
      <c r="E20" s="176" t="s">
        <v>125</v>
      </c>
      <c r="F20" s="176" t="s">
        <v>125</v>
      </c>
    </row>
    <row r="21" spans="1:6" s="175" customFormat="1" ht="22.5" x14ac:dyDescent="0.2">
      <c r="B21" s="184"/>
      <c r="C21" s="175" t="s">
        <v>125</v>
      </c>
      <c r="D21" s="189" t="str">
        <f>D3</f>
        <v>Additional Can Light Cover</v>
      </c>
      <c r="E21" s="175" t="s">
        <v>125</v>
      </c>
      <c r="F21" s="175" t="s">
        <v>125</v>
      </c>
    </row>
    <row r="22" spans="1:6" s="9" customFormat="1" x14ac:dyDescent="0.2"/>
    <row r="23" spans="1:6" s="9" customFormat="1" x14ac:dyDescent="0.2"/>
    <row r="24" spans="1:6" s="178" customFormat="1" ht="33.75" x14ac:dyDescent="0.2">
      <c r="A24" s="178" t="s">
        <v>124</v>
      </c>
      <c r="B24" s="174" t="s">
        <v>121</v>
      </c>
      <c r="C24" s="178" t="s">
        <v>122</v>
      </c>
      <c r="D24" s="178" t="s">
        <v>116</v>
      </c>
    </row>
    <row r="25" spans="1:6" s="179" customFormat="1" x14ac:dyDescent="0.2">
      <c r="B25" s="180">
        <f>0.24*C2</f>
        <v>0.26400000000000001</v>
      </c>
      <c r="C25" s="179" t="s">
        <v>125</v>
      </c>
      <c r="D25" s="190" t="s">
        <v>125</v>
      </c>
    </row>
    <row r="26" spans="1:6" s="179" customFormat="1" x14ac:dyDescent="0.2">
      <c r="A26" s="186"/>
      <c r="B26" s="180" t="s">
        <v>123</v>
      </c>
      <c r="C26" s="190" t="s">
        <v>125</v>
      </c>
      <c r="D26" s="190" t="s">
        <v>125</v>
      </c>
    </row>
    <row r="27" spans="1:6" s="179" customFormat="1" x14ac:dyDescent="0.2">
      <c r="B27" s="9"/>
      <c r="C27" s="179" t="s">
        <v>125</v>
      </c>
      <c r="D27" s="190" t="s">
        <v>125</v>
      </c>
    </row>
    <row r="28" spans="1:6" s="178" customFormat="1" x14ac:dyDescent="0.2">
      <c r="B28" s="184"/>
      <c r="C28" s="178" t="s">
        <v>125</v>
      </c>
      <c r="D28" s="191" t="s">
        <v>125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C7F88-F45C-41E2-A100-B42727E9A1FF}">
  <sheetPr codeName="Sheet1">
    <tabColor theme="3" tint="0.59999389629810485"/>
  </sheetPr>
  <dimension ref="A1:AI22"/>
  <sheetViews>
    <sheetView showGridLines="0" topLeftCell="A2" zoomScale="145" zoomScaleNormal="145" workbookViewId="0">
      <selection activeCell="H7" sqref="H7"/>
    </sheetView>
  </sheetViews>
  <sheetFormatPr defaultColWidth="20.6640625" defaultRowHeight="11.25" x14ac:dyDescent="0.2"/>
  <cols>
    <col min="1" max="1" width="12.6640625" customWidth="1"/>
    <col min="2" max="2" width="17.5" style="21" bestFit="1" customWidth="1"/>
    <col min="3" max="3" width="12.6640625" customWidth="1"/>
    <col min="4" max="4" width="11.1640625" customWidth="1"/>
    <col min="5" max="5" width="13.5" style="18" customWidth="1"/>
    <col min="6" max="6" width="15.6640625" style="18" customWidth="1"/>
    <col min="7" max="7" width="12.1640625" style="18" customWidth="1"/>
    <col min="8" max="8" width="15.6640625" style="18" customWidth="1"/>
    <col min="9" max="9" width="14.33203125" style="18" customWidth="1"/>
    <col min="10" max="10" width="15.6640625" style="18" customWidth="1"/>
    <col min="11" max="11" width="12.1640625" style="18" customWidth="1"/>
    <col min="12" max="12" width="15.6640625" style="18" customWidth="1"/>
    <col min="13" max="13" width="12.1640625" style="18" customWidth="1"/>
    <col min="14" max="14" width="15.6640625" style="19" customWidth="1"/>
    <col min="15" max="15" width="12.1640625" customWidth="1"/>
    <col min="16" max="16" width="15.6640625" customWidth="1"/>
    <col min="17" max="17" width="12.1640625" customWidth="1"/>
    <col min="18" max="18" width="15.6640625" customWidth="1"/>
    <col min="22" max="22" width="20.6640625" style="18"/>
    <col min="23" max="33" width="0" hidden="1" customWidth="1"/>
    <col min="34" max="34" width="0" style="18" hidden="1" customWidth="1"/>
    <col min="35" max="35" width="0" hidden="1" customWidth="1"/>
  </cols>
  <sheetData>
    <row r="1" spans="1:35" ht="10.15" hidden="1" customHeight="1" x14ac:dyDescent="0.2">
      <c r="A1" t="s">
        <v>0</v>
      </c>
      <c r="B1" s="21" t="s">
        <v>1</v>
      </c>
    </row>
    <row r="2" spans="1:35" ht="10.15" customHeight="1" x14ac:dyDescent="0.2">
      <c r="A2" t="s">
        <v>2</v>
      </c>
      <c r="B2" s="96" t="s">
        <v>3</v>
      </c>
      <c r="C2" t="s">
        <v>145</v>
      </c>
      <c r="D2" s="18"/>
      <c r="M2" s="19"/>
      <c r="N2"/>
      <c r="U2" s="18"/>
      <c r="V2"/>
      <c r="AG2" s="18"/>
      <c r="AH2"/>
    </row>
    <row r="3" spans="1:35" x14ac:dyDescent="0.2">
      <c r="A3" t="s">
        <v>4</v>
      </c>
      <c r="B3" s="97">
        <f ca="1">NOW()</f>
        <v>44976.401362384262</v>
      </c>
      <c r="C3">
        <v>1.1000000000000001</v>
      </c>
      <c r="D3" s="101"/>
      <c r="M3" s="19"/>
      <c r="N3"/>
      <c r="U3" s="18"/>
      <c r="V3"/>
      <c r="AG3" s="18"/>
      <c r="AH3"/>
    </row>
    <row r="4" spans="1:35" x14ac:dyDescent="0.2">
      <c r="B4" s="97"/>
      <c r="C4" s="98"/>
      <c r="E4" s="101"/>
    </row>
    <row r="5" spans="1:35" x14ac:dyDescent="0.2">
      <c r="A5" t="s">
        <v>5</v>
      </c>
      <c r="B5" s="98">
        <v>0.4</v>
      </c>
      <c r="C5" s="98"/>
    </row>
    <row r="6" spans="1:35" x14ac:dyDescent="0.2">
      <c r="B6" s="18"/>
      <c r="C6" s="18"/>
      <c r="D6" s="18"/>
      <c r="E6" s="296" t="s">
        <v>6</v>
      </c>
      <c r="F6" s="297"/>
    </row>
    <row r="7" spans="1:35" x14ac:dyDescent="0.2">
      <c r="A7" t="s">
        <v>7</v>
      </c>
      <c r="B7" s="18" t="s">
        <v>8</v>
      </c>
      <c r="C7" s="102" t="s">
        <v>9</v>
      </c>
      <c r="D7" s="96" t="s">
        <v>10</v>
      </c>
      <c r="E7" s="106">
        <v>101</v>
      </c>
      <c r="F7" s="106">
        <v>150</v>
      </c>
      <c r="G7" s="96" t="s">
        <v>11</v>
      </c>
      <c r="H7" s="96" t="s">
        <v>12</v>
      </c>
      <c r="N7" s="18"/>
      <c r="O7" s="19"/>
      <c r="V7"/>
      <c r="W7" s="18"/>
      <c r="AH7"/>
      <c r="AI7" s="18"/>
    </row>
    <row r="8" spans="1:35" x14ac:dyDescent="0.2">
      <c r="B8" s="18"/>
      <c r="C8" s="18">
        <v>65</v>
      </c>
      <c r="D8" s="18">
        <v>2.5</v>
      </c>
      <c r="E8" s="18">
        <v>0.5</v>
      </c>
      <c r="F8" s="18">
        <v>1</v>
      </c>
      <c r="G8" s="18">
        <v>0.5</v>
      </c>
      <c r="H8" s="18">
        <v>1.5</v>
      </c>
      <c r="N8" s="18"/>
      <c r="O8" s="19"/>
      <c r="V8"/>
      <c r="W8" s="18"/>
      <c r="AH8"/>
      <c r="AI8" s="18"/>
    </row>
    <row r="9" spans="1:35" x14ac:dyDescent="0.2">
      <c r="B9" s="18"/>
      <c r="C9" s="18"/>
      <c r="D9" s="18"/>
      <c r="N9" s="18"/>
      <c r="O9" s="19"/>
      <c r="V9"/>
      <c r="W9" s="18"/>
      <c r="AH9"/>
      <c r="AI9" s="18"/>
    </row>
    <row r="10" spans="1:35" ht="33.75" x14ac:dyDescent="0.2">
      <c r="A10" t="s">
        <v>13</v>
      </c>
      <c r="B10" s="18" t="s">
        <v>14</v>
      </c>
      <c r="C10" s="107" t="s">
        <v>15</v>
      </c>
      <c r="D10" s="108" t="s">
        <v>16</v>
      </c>
      <c r="E10" s="108" t="s">
        <v>17</v>
      </c>
      <c r="F10" s="108" t="s">
        <v>18</v>
      </c>
      <c r="G10" s="108" t="s">
        <v>19</v>
      </c>
      <c r="H10" s="108" t="s">
        <v>20</v>
      </c>
      <c r="I10" s="108" t="s">
        <v>21</v>
      </c>
      <c r="J10" s="108" t="s">
        <v>22</v>
      </c>
      <c r="K10" s="108" t="s">
        <v>23</v>
      </c>
      <c r="L10" s="108" t="s">
        <v>24</v>
      </c>
      <c r="M10" s="109" t="s">
        <v>25</v>
      </c>
      <c r="N10" s="110" t="s">
        <v>26</v>
      </c>
      <c r="O10" s="19"/>
      <c r="V10"/>
      <c r="W10" s="18"/>
      <c r="AH10"/>
      <c r="AI10" s="18"/>
    </row>
    <row r="11" spans="1:35" x14ac:dyDescent="0.2">
      <c r="B11" s="18"/>
      <c r="C11" t="s">
        <v>27</v>
      </c>
      <c r="D11" t="s">
        <v>27</v>
      </c>
      <c r="E11" s="99" t="s">
        <v>27</v>
      </c>
      <c r="F11" s="99" t="s">
        <v>27</v>
      </c>
      <c r="G11" s="99" t="s">
        <v>27</v>
      </c>
      <c r="H11" s="99" t="s">
        <v>27</v>
      </c>
      <c r="I11" s="99" t="s">
        <v>27</v>
      </c>
      <c r="J11" s="99" t="s">
        <v>28</v>
      </c>
      <c r="K11" t="s">
        <v>28</v>
      </c>
      <c r="L11" t="s">
        <v>28</v>
      </c>
      <c r="M11" t="s">
        <v>28</v>
      </c>
      <c r="N11" s="18" t="s">
        <v>27</v>
      </c>
      <c r="O11" s="19"/>
      <c r="V11"/>
      <c r="W11" s="18"/>
      <c r="AH11"/>
      <c r="AI11" s="18"/>
    </row>
    <row r="12" spans="1:35" x14ac:dyDescent="0.2">
      <c r="B12" s="18"/>
      <c r="C12" s="99" t="s">
        <v>81</v>
      </c>
      <c r="D12" s="99" t="s">
        <v>80</v>
      </c>
      <c r="E12" s="99" t="s">
        <v>80</v>
      </c>
      <c r="F12" s="99" t="s">
        <v>80</v>
      </c>
      <c r="G12" s="99" t="s">
        <v>80</v>
      </c>
      <c r="H12" s="99" t="s">
        <v>81</v>
      </c>
      <c r="I12" s="99" t="s">
        <v>80</v>
      </c>
      <c r="J12" s="99" t="s">
        <v>81</v>
      </c>
      <c r="K12" s="99" t="s">
        <v>81</v>
      </c>
      <c r="L12" s="99" t="s">
        <v>81</v>
      </c>
      <c r="M12" s="99" t="s">
        <v>81</v>
      </c>
      <c r="N12" s="99" t="s">
        <v>80</v>
      </c>
      <c r="O12" s="19"/>
      <c r="V12"/>
      <c r="W12" s="18"/>
      <c r="AH12"/>
      <c r="AI12" s="18"/>
    </row>
    <row r="13" spans="1:35" x14ac:dyDescent="0.2">
      <c r="B13" s="18"/>
      <c r="C13" s="18"/>
      <c r="D13" s="18"/>
      <c r="N13" s="18"/>
      <c r="O13" s="19"/>
      <c r="V13"/>
      <c r="W13" s="18"/>
      <c r="AH13"/>
      <c r="AI13" s="18"/>
    </row>
    <row r="14" spans="1:35" x14ac:dyDescent="0.2">
      <c r="B14" s="18"/>
      <c r="C14" s="18"/>
    </row>
    <row r="15" spans="1:35" s="99" customFormat="1" x14ac:dyDescent="0.2">
      <c r="A15" s="99" t="s">
        <v>29</v>
      </c>
      <c r="B15" s="16" t="s">
        <v>30</v>
      </c>
      <c r="C15" s="102" t="s">
        <v>93</v>
      </c>
      <c r="D15" s="96" t="s">
        <v>94</v>
      </c>
      <c r="E15" s="96" t="s">
        <v>95</v>
      </c>
      <c r="F15" s="16"/>
      <c r="G15" s="16"/>
      <c r="H15" s="16"/>
      <c r="I15" s="16"/>
      <c r="J15" s="16"/>
      <c r="K15" s="16"/>
      <c r="L15" s="16"/>
      <c r="M15" s="16"/>
      <c r="N15" s="100"/>
      <c r="V15" s="16"/>
      <c r="AH15" s="16"/>
    </row>
    <row r="16" spans="1:35" x14ac:dyDescent="0.2">
      <c r="B16" s="18"/>
      <c r="C16" s="18">
        <f>2.75*C3</f>
        <v>3.0250000000000004</v>
      </c>
      <c r="D16" s="18">
        <f>3.5*C3</f>
        <v>3.8500000000000005</v>
      </c>
      <c r="E16" s="18">
        <f>5.15*C3</f>
        <v>5.6650000000000009</v>
      </c>
    </row>
    <row r="17" spans="1:35" x14ac:dyDescent="0.2">
      <c r="B17" s="103"/>
    </row>
    <row r="18" spans="1:35" x14ac:dyDescent="0.2">
      <c r="B18" s="103"/>
      <c r="E18"/>
      <c r="F18" s="18" t="s">
        <v>31</v>
      </c>
    </row>
    <row r="19" spans="1:35" x14ac:dyDescent="0.2">
      <c r="A19" t="s">
        <v>32</v>
      </c>
      <c r="B19" s="103" t="s">
        <v>33</v>
      </c>
      <c r="C19" s="102" t="s">
        <v>5</v>
      </c>
      <c r="D19" s="96" t="s">
        <v>34</v>
      </c>
      <c r="E19" s="96" t="s">
        <v>10</v>
      </c>
      <c r="F19" s="105">
        <v>51</v>
      </c>
      <c r="N19" s="18"/>
      <c r="O19" s="19"/>
      <c r="V19"/>
      <c r="W19" s="18"/>
      <c r="AH19"/>
      <c r="AI19" s="18"/>
    </row>
    <row r="20" spans="1:35" x14ac:dyDescent="0.2">
      <c r="B20" s="103"/>
      <c r="C20" s="104">
        <v>0.3</v>
      </c>
      <c r="D20" s="18">
        <v>85</v>
      </c>
      <c r="E20" s="18">
        <f>5.33*C3</f>
        <v>5.8630000000000004</v>
      </c>
      <c r="F20" s="18">
        <f>4.91*C3</f>
        <v>5.4010000000000007</v>
      </c>
      <c r="G20"/>
      <c r="H20"/>
      <c r="I20"/>
      <c r="J20"/>
      <c r="N20" s="18"/>
      <c r="O20" s="19"/>
      <c r="V20"/>
      <c r="W20" s="18"/>
      <c r="AH20"/>
      <c r="AI20" s="18"/>
    </row>
    <row r="21" spans="1:35" x14ac:dyDescent="0.2">
      <c r="A21" t="s">
        <v>35</v>
      </c>
      <c r="B21" s="103" t="s">
        <v>36</v>
      </c>
      <c r="C21" s="102" t="s">
        <v>37</v>
      </c>
      <c r="D21" s="96" t="s">
        <v>38</v>
      </c>
      <c r="E21" s="96" t="s">
        <v>39</v>
      </c>
      <c r="F21" s="96" t="s">
        <v>40</v>
      </c>
      <c r="G21" s="96" t="s">
        <v>41</v>
      </c>
      <c r="H21" s="96" t="s">
        <v>42</v>
      </c>
      <c r="I21" s="96" t="s">
        <v>43</v>
      </c>
      <c r="J21" s="96" t="s">
        <v>44</v>
      </c>
    </row>
    <row r="22" spans="1:35" x14ac:dyDescent="0.2">
      <c r="C22" s="18">
        <f>20*C3</f>
        <v>22</v>
      </c>
      <c r="D22" s="18">
        <f>40*C3</f>
        <v>44</v>
      </c>
      <c r="E22" s="18">
        <f>80*C3</f>
        <v>88</v>
      </c>
      <c r="F22" s="18">
        <f>25*C3</f>
        <v>27.500000000000004</v>
      </c>
      <c r="G22" s="18">
        <f>40*C3</f>
        <v>44</v>
      </c>
      <c r="H22" s="18">
        <f>25*C3</f>
        <v>27.500000000000004</v>
      </c>
      <c r="I22" s="18">
        <f>40*C3</f>
        <v>44</v>
      </c>
      <c r="J22" s="18">
        <f>40*C3</f>
        <v>44</v>
      </c>
    </row>
  </sheetData>
  <mergeCells count="1">
    <mergeCell ref="E6:F6"/>
  </mergeCells>
  <pageMargins left="0.45" right="0.7" top="0.25" bottom="0.5" header="0.3" footer="0.3"/>
  <pageSetup scale="8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8012C-4359-4A24-B670-1ABDEA7D316F}">
  <sheetPr>
    <tabColor theme="3" tint="0.59999389629810485"/>
  </sheetPr>
  <dimension ref="A1:AU62"/>
  <sheetViews>
    <sheetView showGridLines="0" zoomScaleNormal="100" workbookViewId="0">
      <pane xSplit="11" ySplit="2" topLeftCell="L12" activePane="bottomRight" state="frozen"/>
      <selection activeCell="A2" sqref="A2"/>
      <selection pane="topRight" activeCell="L2" sqref="L2"/>
      <selection pane="bottomLeft" activeCell="A3" sqref="A3"/>
      <selection pane="bottomRight" activeCell="P18" sqref="P18"/>
    </sheetView>
  </sheetViews>
  <sheetFormatPr defaultColWidth="20.6640625" defaultRowHeight="11.25" x14ac:dyDescent="0.2"/>
  <cols>
    <col min="1" max="1" width="9.6640625" style="207" customWidth="1"/>
    <col min="2" max="2" width="12.5" style="199" bestFit="1" customWidth="1"/>
    <col min="3" max="3" width="16" style="199" bestFit="1" customWidth="1"/>
    <col min="4" max="4" width="10.33203125" style="206" customWidth="1"/>
    <col min="5" max="9" width="10.33203125" style="199" hidden="1" customWidth="1"/>
    <col min="10" max="10" width="13.5" style="199" customWidth="1"/>
    <col min="11" max="11" width="13.5" style="200" customWidth="1"/>
    <col min="12" max="12" width="12.1640625" style="202" customWidth="1"/>
    <col min="13" max="13" width="15.6640625" style="201" customWidth="1"/>
    <col min="14" max="14" width="12.1640625" style="202" customWidth="1"/>
    <col min="15" max="15" width="15.6640625" style="201" customWidth="1"/>
    <col min="16" max="16" width="12.1640625" style="202" customWidth="1"/>
    <col min="17" max="17" width="15.6640625" style="201" customWidth="1"/>
    <col min="18" max="18" width="13.6640625" style="202" customWidth="1"/>
    <col min="19" max="19" width="15.6640625" style="201" customWidth="1"/>
    <col min="20" max="20" width="12.1640625" style="202" customWidth="1"/>
    <col min="21" max="21" width="15.6640625" style="201" customWidth="1"/>
    <col min="22" max="22" width="12.1640625" style="202" customWidth="1"/>
    <col min="23" max="23" width="15.6640625" style="205" customWidth="1"/>
    <col min="24" max="24" width="12.1640625" style="204" customWidth="1"/>
    <col min="25" max="25" width="15.6640625" style="203" customWidth="1"/>
    <col min="26" max="26" width="12.1640625" style="204" customWidth="1"/>
    <col min="27" max="27" width="15.6640625" style="203" customWidth="1"/>
    <col min="28" max="28" width="12.1640625" style="202" customWidth="1"/>
    <col min="29" max="29" width="15.6640625" style="201" customWidth="1"/>
    <col min="30" max="30" width="12.1640625" style="202" customWidth="1"/>
    <col min="31" max="31" width="15.6640625" style="201" customWidth="1"/>
    <col min="32" max="32" width="12.1640625" style="202" customWidth="1"/>
    <col min="33" max="33" width="15.6640625" style="201" customWidth="1"/>
    <col min="34" max="34" width="12.1640625" style="202" customWidth="1"/>
    <col min="35" max="35" width="15.6640625" style="201" customWidth="1"/>
    <col min="36" max="36" width="12.1640625" style="202" customWidth="1"/>
    <col min="37" max="37" width="15.6640625" style="201" customWidth="1"/>
    <col min="38" max="42" width="20.6640625" style="199" customWidth="1"/>
    <col min="43" max="43" width="20.6640625" style="200" customWidth="1"/>
    <col min="44" max="44" width="20.6640625" style="199" customWidth="1"/>
    <col min="45" max="16384" width="20.6640625" style="199"/>
  </cols>
  <sheetData>
    <row r="1" spans="1:47" s="289" customFormat="1" ht="26.25" hidden="1" customHeight="1" x14ac:dyDescent="0.2">
      <c r="A1" s="289" t="s">
        <v>45</v>
      </c>
      <c r="B1" s="289" t="s">
        <v>46</v>
      </c>
      <c r="C1" s="289" t="s">
        <v>47</v>
      </c>
      <c r="D1" s="294" t="s">
        <v>48</v>
      </c>
      <c r="E1" s="293" t="s">
        <v>49</v>
      </c>
      <c r="F1" s="293" t="s">
        <v>50</v>
      </c>
      <c r="G1" s="293" t="s">
        <v>51</v>
      </c>
      <c r="H1" s="293" t="s">
        <v>52</v>
      </c>
      <c r="I1" s="293" t="s">
        <v>34</v>
      </c>
      <c r="J1" s="289" t="s">
        <v>53</v>
      </c>
      <c r="K1" s="289" t="s">
        <v>54</v>
      </c>
      <c r="L1" s="292"/>
      <c r="M1" s="291" t="s">
        <v>55</v>
      </c>
      <c r="N1" s="292"/>
      <c r="O1" s="291" t="str">
        <f>Windows!C10</f>
        <v>Triple Glass</v>
      </c>
      <c r="P1" s="292"/>
      <c r="Q1" s="291" t="str">
        <f>Windows!D10</f>
        <v>Upgrade Low-E</v>
      </c>
      <c r="R1" s="292"/>
      <c r="S1" s="291" t="str">
        <f>Windows!E10</f>
        <v>Tempered</v>
      </c>
      <c r="T1" s="292"/>
      <c r="U1" s="291" t="str">
        <f>Windows!F10</f>
        <v>Obscure</v>
      </c>
      <c r="V1" s="292"/>
      <c r="W1" s="291" t="str">
        <f>Windows!G10</f>
        <v>Internal Grids</v>
      </c>
      <c r="X1" s="292"/>
      <c r="Y1" s="291" t="str">
        <f>Windows!H10</f>
        <v>Simulated Divided Light</v>
      </c>
      <c r="Z1" s="292"/>
      <c r="AA1" s="291" t="str">
        <f>Windows!I10</f>
        <v>Internal Blinds</v>
      </c>
      <c r="AB1" s="292"/>
      <c r="AC1" s="291" t="str">
        <f>Windows!J10</f>
        <v>Interior Faux Laminate</v>
      </c>
      <c r="AD1" s="292"/>
      <c r="AE1" s="291" t="str">
        <f>Windows!K10</f>
        <v>Beige or Sandstone Base Color</v>
      </c>
      <c r="AF1" s="292"/>
      <c r="AG1" s="291" t="str">
        <f>Windows!L10</f>
        <v>Bronze Base Color</v>
      </c>
      <c r="AH1" s="292"/>
      <c r="AI1" s="291" t="str">
        <f>Windows!M10</f>
        <v>Painted Exterior</v>
      </c>
      <c r="AJ1" s="292"/>
      <c r="AK1" s="291" t="str">
        <f>Windows!N10</f>
        <v>Full Screen</v>
      </c>
      <c r="AT1" s="290"/>
      <c r="AU1" s="290"/>
    </row>
    <row r="2" spans="1:47" s="280" customFormat="1" ht="55.5" customHeight="1" thickBot="1" x14ac:dyDescent="0.25">
      <c r="A2" s="287" t="s">
        <v>56</v>
      </c>
      <c r="B2" s="288" t="s">
        <v>134</v>
      </c>
      <c r="C2" s="287" t="s">
        <v>135</v>
      </c>
      <c r="D2" s="286"/>
      <c r="E2" s="286"/>
      <c r="F2" s="286"/>
      <c r="G2" s="286"/>
      <c r="H2" s="286"/>
      <c r="I2" s="286"/>
      <c r="J2" s="285" t="s">
        <v>58</v>
      </c>
      <c r="K2" s="285" t="s">
        <v>59</v>
      </c>
      <c r="L2" s="284" t="s">
        <v>60</v>
      </c>
      <c r="M2" s="283" t="s">
        <v>61</v>
      </c>
      <c r="N2" s="284" t="s">
        <v>62</v>
      </c>
      <c r="O2" s="283" t="s">
        <v>15</v>
      </c>
      <c r="P2" s="284" t="s">
        <v>62</v>
      </c>
      <c r="Q2" s="283" t="s">
        <v>63</v>
      </c>
      <c r="R2" s="284" t="s">
        <v>62</v>
      </c>
      <c r="S2" s="283" t="s">
        <v>141</v>
      </c>
      <c r="T2" s="284" t="s">
        <v>62</v>
      </c>
      <c r="U2" s="283" t="s">
        <v>65</v>
      </c>
      <c r="V2" s="284" t="s">
        <v>62</v>
      </c>
      <c r="W2" s="283" t="s">
        <v>19</v>
      </c>
      <c r="X2" s="284" t="s">
        <v>62</v>
      </c>
      <c r="Y2" s="283" t="s">
        <v>20</v>
      </c>
      <c r="Z2" s="284" t="s">
        <v>62</v>
      </c>
      <c r="AA2" s="283" t="s">
        <v>21</v>
      </c>
      <c r="AB2" s="284" t="s">
        <v>66</v>
      </c>
      <c r="AC2" s="283" t="s">
        <v>22</v>
      </c>
      <c r="AD2" s="284" t="s">
        <v>66</v>
      </c>
      <c r="AE2" s="283" t="s">
        <v>23</v>
      </c>
      <c r="AF2" s="284" t="s">
        <v>66</v>
      </c>
      <c r="AG2" s="283" t="s">
        <v>137</v>
      </c>
      <c r="AH2" s="284" t="s">
        <v>66</v>
      </c>
      <c r="AI2" s="283" t="s">
        <v>25</v>
      </c>
      <c r="AJ2" s="284" t="s">
        <v>62</v>
      </c>
      <c r="AK2" s="283" t="s">
        <v>26</v>
      </c>
      <c r="AL2" s="282"/>
      <c r="AM2" s="282"/>
      <c r="AN2" s="282"/>
      <c r="AO2" s="282"/>
      <c r="AP2" s="282"/>
      <c r="AQ2" s="282"/>
      <c r="AR2" s="281"/>
      <c r="AS2" s="281"/>
    </row>
    <row r="3" spans="1:47" s="247" customFormat="1" ht="15.75" customHeight="1" thickBot="1" x14ac:dyDescent="0.25">
      <c r="A3" s="250"/>
      <c r="B3" s="250"/>
      <c r="D3" s="249" t="s">
        <v>67</v>
      </c>
      <c r="E3" s="248">
        <f>J4</f>
        <v>13.75</v>
      </c>
      <c r="F3" s="248">
        <f>K4</f>
        <v>22.5</v>
      </c>
      <c r="G3" s="248">
        <f>J5</f>
        <v>52.75</v>
      </c>
      <c r="H3" s="248">
        <f>K5</f>
        <v>96</v>
      </c>
      <c r="I3" s="247">
        <f>K6</f>
        <v>148.75</v>
      </c>
      <c r="L3" s="246"/>
      <c r="M3" s="243">
        <f>AVERAGE(M7:M10)</f>
        <v>3.4364884641873283</v>
      </c>
      <c r="N3" s="244"/>
      <c r="O3" s="243">
        <f>AVERAGE(O7:O10)</f>
        <v>0</v>
      </c>
      <c r="P3" s="244"/>
      <c r="Q3" s="243">
        <f>AVERAGE(Q7:Q10)</f>
        <v>1.3932736420869334E-2</v>
      </c>
      <c r="R3" s="244"/>
      <c r="S3" s="243">
        <f>AVERAGE(S7:S10)</f>
        <v>3.4591621458710066E-2</v>
      </c>
      <c r="T3" s="244"/>
      <c r="U3" s="243">
        <f>AVERAGE(U7:U10)</f>
        <v>1.5374053981648917E-2</v>
      </c>
      <c r="V3" s="244"/>
      <c r="W3" s="243">
        <f>AVERAGE(W7:W10)</f>
        <v>2.4021959346326435E-2</v>
      </c>
      <c r="X3" s="245"/>
      <c r="Y3" s="243">
        <f>AVERAGE(Y7:Y10)</f>
        <v>0</v>
      </c>
      <c r="Z3" s="244"/>
      <c r="AA3" s="243">
        <f>AVERAGE(AA7:AA10)</f>
        <v>0</v>
      </c>
      <c r="AB3" s="244"/>
      <c r="AC3" s="243">
        <f>AVERAGE(AC7:AC10)</f>
        <v>0</v>
      </c>
      <c r="AD3" s="244"/>
      <c r="AE3" s="243">
        <f>AVERAGE(AE7:AE10)</f>
        <v>0</v>
      </c>
      <c r="AF3" s="244"/>
      <c r="AG3" s="243">
        <f>AVERAGE(AG7:AG10)</f>
        <v>0</v>
      </c>
      <c r="AH3" s="244"/>
      <c r="AI3" s="243">
        <f>AVERAGE(AI7:AI10)</f>
        <v>0</v>
      </c>
      <c r="AJ3" s="244"/>
      <c r="AK3" s="243">
        <f>AVERAGE(AK7:AK10)</f>
        <v>4.3239526823387582E-3</v>
      </c>
      <c r="AQ3" s="236"/>
      <c r="AR3" s="236"/>
    </row>
    <row r="4" spans="1:47" s="271" customFormat="1" ht="12" thickBot="1" x14ac:dyDescent="0.25">
      <c r="A4" s="238"/>
      <c r="B4" s="238"/>
      <c r="C4" s="235"/>
      <c r="D4" s="236"/>
      <c r="E4" s="235"/>
      <c r="F4" s="235"/>
      <c r="G4" s="235"/>
      <c r="H4" s="235"/>
      <c r="I4" s="235"/>
      <c r="J4" s="241">
        <v>13.75</v>
      </c>
      <c r="K4" s="242">
        <v>22.5</v>
      </c>
      <c r="L4" s="232" t="s">
        <v>68</v>
      </c>
      <c r="M4" s="223"/>
      <c r="N4" s="239"/>
      <c r="O4" s="223"/>
      <c r="P4" s="239"/>
      <c r="Q4" s="223"/>
      <c r="R4" s="239"/>
      <c r="S4" s="223"/>
      <c r="T4" s="239"/>
      <c r="U4" s="229"/>
      <c r="V4" s="239"/>
      <c r="W4" s="229"/>
      <c r="X4" s="239"/>
      <c r="Y4" s="223"/>
      <c r="Z4" s="228"/>
      <c r="AA4" s="227"/>
      <c r="AB4" s="224"/>
      <c r="AC4" s="223"/>
      <c r="AD4" s="224"/>
      <c r="AE4" s="223"/>
      <c r="AF4" s="224"/>
      <c r="AG4" s="223"/>
      <c r="AH4" s="224"/>
      <c r="AI4" s="223"/>
      <c r="AJ4" s="239"/>
      <c r="AK4" s="223"/>
      <c r="AL4" s="206"/>
      <c r="AM4" s="206"/>
      <c r="AN4" s="206"/>
      <c r="AO4" s="206"/>
      <c r="AP4" s="206"/>
      <c r="AQ4" s="206"/>
      <c r="AR4" s="206"/>
      <c r="AS4" s="206"/>
    </row>
    <row r="5" spans="1:47" s="271" customFormat="1" ht="12" thickBot="1" x14ac:dyDescent="0.25">
      <c r="A5" s="238"/>
      <c r="B5" s="238"/>
      <c r="C5" s="235"/>
      <c r="D5" s="236"/>
      <c r="E5" s="235"/>
      <c r="F5" s="235"/>
      <c r="G5" s="235"/>
      <c r="H5" s="235"/>
      <c r="I5" s="235"/>
      <c r="J5" s="241">
        <v>52.75</v>
      </c>
      <c r="K5" s="240">
        <v>96</v>
      </c>
      <c r="L5" s="232" t="s">
        <v>69</v>
      </c>
      <c r="M5" s="231"/>
      <c r="N5" s="226"/>
      <c r="O5" s="223"/>
      <c r="P5" s="226"/>
      <c r="Q5" s="223"/>
      <c r="R5" s="226"/>
      <c r="S5" s="223"/>
      <c r="T5" s="226"/>
      <c r="U5" s="223"/>
      <c r="V5" s="226"/>
      <c r="W5" s="231"/>
      <c r="X5" s="239"/>
      <c r="Y5" s="231"/>
      <c r="Z5" s="228"/>
      <c r="AA5" s="227"/>
      <c r="AB5" s="226"/>
      <c r="AC5" s="223"/>
      <c r="AD5" s="226"/>
      <c r="AE5" s="223"/>
      <c r="AF5" s="226"/>
      <c r="AG5" s="223"/>
      <c r="AH5" s="226"/>
      <c r="AI5" s="223"/>
      <c r="AJ5" s="226"/>
      <c r="AK5" s="223"/>
      <c r="AL5" s="206"/>
      <c r="AM5" s="206"/>
      <c r="AN5" s="206"/>
      <c r="AO5" s="206"/>
      <c r="AP5" s="206"/>
      <c r="AQ5" s="206"/>
      <c r="AR5" s="206"/>
      <c r="AS5" s="206"/>
    </row>
    <row r="6" spans="1:47" s="271" customFormat="1" ht="12" thickBot="1" x14ac:dyDescent="0.25">
      <c r="A6" s="238"/>
      <c r="B6" s="238"/>
      <c r="C6" s="237"/>
      <c r="D6" s="236"/>
      <c r="E6" s="235"/>
      <c r="F6" s="235"/>
      <c r="G6" s="235"/>
      <c r="H6" s="235"/>
      <c r="I6" s="235"/>
      <c r="J6" s="234"/>
      <c r="K6" s="233">
        <f>K5+J5</f>
        <v>148.75</v>
      </c>
      <c r="L6" s="232" t="s">
        <v>70</v>
      </c>
      <c r="M6" s="231"/>
      <c r="N6" s="224"/>
      <c r="O6" s="223"/>
      <c r="P6" s="224"/>
      <c r="Q6" s="223"/>
      <c r="R6" s="224"/>
      <c r="S6" s="223"/>
      <c r="T6" s="226"/>
      <c r="U6" s="223"/>
      <c r="V6" s="226"/>
      <c r="W6" s="231"/>
      <c r="X6" s="230"/>
      <c r="Y6" s="229"/>
      <c r="Z6" s="228"/>
      <c r="AA6" s="227"/>
      <c r="AB6" s="226"/>
      <c r="AC6" s="225"/>
      <c r="AD6" s="226"/>
      <c r="AE6" s="225"/>
      <c r="AF6" s="226"/>
      <c r="AG6" s="225"/>
      <c r="AH6" s="226"/>
      <c r="AI6" s="225"/>
      <c r="AJ6" s="224"/>
      <c r="AK6" s="223"/>
      <c r="AL6" s="206"/>
      <c r="AM6" s="206"/>
      <c r="AN6" s="206"/>
      <c r="AO6" s="206"/>
      <c r="AP6" s="206"/>
      <c r="AQ6" s="206"/>
      <c r="AR6" s="206"/>
      <c r="AS6" s="206"/>
    </row>
    <row r="7" spans="1:47" x14ac:dyDescent="0.2">
      <c r="A7" s="215"/>
      <c r="B7" s="215"/>
      <c r="C7" s="214"/>
      <c r="D7" s="213">
        <f>SUM(J7:K7)</f>
        <v>72</v>
      </c>
      <c r="E7" s="212"/>
      <c r="F7" s="212"/>
      <c r="G7" s="212"/>
      <c r="H7" s="212"/>
      <c r="I7" s="212"/>
      <c r="J7" s="222">
        <v>36</v>
      </c>
      <c r="K7" s="221">
        <v>36</v>
      </c>
      <c r="L7" s="220">
        <v>249</v>
      </c>
      <c r="M7" s="219">
        <f>L7/($J7+$K7)</f>
        <v>3.4583333333333335</v>
      </c>
      <c r="N7" s="220">
        <v>0</v>
      </c>
      <c r="O7" s="219">
        <f>IF(N7=0,0,(N7-$L7)/($J7*$K7))</f>
        <v>0</v>
      </c>
      <c r="P7" s="220">
        <f>L7+29</f>
        <v>278</v>
      </c>
      <c r="Q7" s="219">
        <f>IF(P7=0,0,(P7-$L7)/($J7*$K7))</f>
        <v>2.2376543209876542E-2</v>
      </c>
      <c r="R7" s="220">
        <f>L7+36+36</f>
        <v>321</v>
      </c>
      <c r="S7" s="219">
        <f>IF(R7=0,0,(R7-$L7)/($J7*$K7))</f>
        <v>5.5555555555555552E-2</v>
      </c>
      <c r="T7" s="220">
        <f>L7+16+16</f>
        <v>281</v>
      </c>
      <c r="U7" s="219">
        <f>IF(T7=0,0,(T7-$L7)/($J7*$K7))</f>
        <v>2.4691358024691357E-2</v>
      </c>
      <c r="V7" s="220">
        <f>L7+25+25</f>
        <v>299</v>
      </c>
      <c r="W7" s="219">
        <f>IF(V7=0,0,(V7-$L7)/($J7*$K7))</f>
        <v>3.8580246913580245E-2</v>
      </c>
      <c r="X7" s="220">
        <v>0</v>
      </c>
      <c r="Y7" s="219">
        <f>IF(X7=0,0,(X7-$L7)/($J7*$K7))</f>
        <v>0</v>
      </c>
      <c r="Z7" s="220">
        <v>0</v>
      </c>
      <c r="AA7" s="219">
        <f>IF(Z7=0,0,(Z7-$L7)/($J7*$K7))</f>
        <v>0</v>
      </c>
      <c r="AB7" s="220">
        <v>0</v>
      </c>
      <c r="AC7" s="219">
        <f>IF(AB7 = 0, 0,(AB7-$L7)/($J7+$K7))</f>
        <v>0</v>
      </c>
      <c r="AD7" s="220">
        <v>0</v>
      </c>
      <c r="AE7" s="219">
        <f>IF(AD7 = 0, 0,(AD7-$L7)/($J7+$K7))</f>
        <v>0</v>
      </c>
      <c r="AF7" s="220">
        <v>0</v>
      </c>
      <c r="AG7" s="219">
        <f>IF(AF7 = 0, 0,(AF7-$L7)/($J7+$K7))</f>
        <v>0</v>
      </c>
      <c r="AH7" s="220">
        <v>0</v>
      </c>
      <c r="AI7" s="219">
        <f>IF(AH7 = 0, 0,(AH7-$L7)/($J7+$K7))</f>
        <v>0</v>
      </c>
      <c r="AJ7" s="220">
        <f>L7+9</f>
        <v>258</v>
      </c>
      <c r="AK7" s="219">
        <f>IF(AJ7=0,0,(AJ7-$L7)/($J7*$K7))</f>
        <v>6.9444444444444441E-3</v>
      </c>
      <c r="AQ7" s="199"/>
      <c r="AR7" s="200"/>
    </row>
    <row r="8" spans="1:47" x14ac:dyDescent="0.2">
      <c r="A8" s="215"/>
      <c r="B8" s="215"/>
      <c r="C8" s="214"/>
      <c r="D8" s="213">
        <f>SUM(J8:K8)</f>
        <v>96</v>
      </c>
      <c r="E8" s="212"/>
      <c r="F8" s="212"/>
      <c r="G8" s="212"/>
      <c r="H8" s="212"/>
      <c r="I8" s="212"/>
      <c r="J8" s="263">
        <v>36</v>
      </c>
      <c r="K8" s="262">
        <v>60</v>
      </c>
      <c r="L8" s="217">
        <v>317</v>
      </c>
      <c r="M8" s="216">
        <f>L8/($J8+$K8)</f>
        <v>3.3020833333333335</v>
      </c>
      <c r="N8" s="217">
        <v>0</v>
      </c>
      <c r="O8" s="216">
        <f>IF(N8=0,0,(N8-$L8)/($J8*$K8))</f>
        <v>0</v>
      </c>
      <c r="P8" s="217">
        <f>L8+29</f>
        <v>346</v>
      </c>
      <c r="Q8" s="216">
        <f>IF(P8=0,0,(P8-$L8)/($J8*$K8))</f>
        <v>1.3425925925925926E-2</v>
      </c>
      <c r="R8" s="217">
        <f>L8+36+36</f>
        <v>389</v>
      </c>
      <c r="S8" s="216">
        <f>IF(R8=0,0,(R8-$L8)/($J8*$K8))</f>
        <v>3.3333333333333333E-2</v>
      </c>
      <c r="T8" s="217">
        <f>L8+16+16</f>
        <v>349</v>
      </c>
      <c r="U8" s="216">
        <f>IF(T8=0,0,(T8-$L8)/($J8*$K8))</f>
        <v>1.4814814814814815E-2</v>
      </c>
      <c r="V8" s="217">
        <f>L8+25+25</f>
        <v>367</v>
      </c>
      <c r="W8" s="216">
        <f>IF(V8=0,0,(V8-$L8)/($J8*$K8))</f>
        <v>2.3148148148148147E-2</v>
      </c>
      <c r="X8" s="217">
        <v>0</v>
      </c>
      <c r="Y8" s="216">
        <f>IF(X8=0,0,(X8-$L8)/($J8*$K8))</f>
        <v>0</v>
      </c>
      <c r="Z8" s="217">
        <v>0</v>
      </c>
      <c r="AA8" s="216">
        <f>IF(Z8=0,0,(Z8-$L8)/($J8*$K8))</f>
        <v>0</v>
      </c>
      <c r="AB8" s="217">
        <v>0</v>
      </c>
      <c r="AC8" s="216">
        <f>IF(AB8 = 0, 0,(AB8-$L8)/($J8+$K8))</f>
        <v>0</v>
      </c>
      <c r="AD8" s="217">
        <v>0</v>
      </c>
      <c r="AE8" s="216">
        <f>IF(AD8 = 0, 0,(AD8-$L8)/($J8+$K8))</f>
        <v>0</v>
      </c>
      <c r="AF8" s="217">
        <v>0</v>
      </c>
      <c r="AG8" s="216">
        <f>IF(AF8 = 0, 0,(AF8-$L8)/($J8+$K8))</f>
        <v>0</v>
      </c>
      <c r="AH8" s="217">
        <v>0</v>
      </c>
      <c r="AI8" s="216">
        <f>IF(AH8 = 0, 0,(AH8-$L8)/($J8+$K8))</f>
        <v>0</v>
      </c>
      <c r="AJ8" s="217">
        <f>L8+9</f>
        <v>326</v>
      </c>
      <c r="AK8" s="216">
        <f>IF(AJ8=0,0,(AJ8-$L8)/($J8*$K8))</f>
        <v>4.1666666666666666E-3</v>
      </c>
      <c r="AQ8" s="199"/>
      <c r="AR8" s="200"/>
    </row>
    <row r="9" spans="1:47" x14ac:dyDescent="0.2">
      <c r="A9" s="215"/>
      <c r="B9" s="215"/>
      <c r="C9" s="214"/>
      <c r="D9" s="213">
        <f>SUM(J9:K9)</f>
        <v>108</v>
      </c>
      <c r="E9" s="212"/>
      <c r="F9" s="212"/>
      <c r="G9" s="212"/>
      <c r="H9" s="212"/>
      <c r="I9" s="212"/>
      <c r="J9" s="263">
        <v>36</v>
      </c>
      <c r="K9" s="262">
        <v>72</v>
      </c>
      <c r="L9" s="217">
        <v>351</v>
      </c>
      <c r="M9" s="216">
        <f>L9/($J9+$K9)</f>
        <v>3.25</v>
      </c>
      <c r="N9" s="217">
        <v>0</v>
      </c>
      <c r="O9" s="216">
        <f>IF(N9=0,0,(N9-$L9)/($J9*$K9))</f>
        <v>0</v>
      </c>
      <c r="P9" s="217">
        <f>L9+29</f>
        <v>380</v>
      </c>
      <c r="Q9" s="216">
        <f>IF(P9=0,0,(P9-$L9)/($J9*$K9))</f>
        <v>1.1188271604938271E-2</v>
      </c>
      <c r="R9" s="217">
        <f>L9+36+36</f>
        <v>423</v>
      </c>
      <c r="S9" s="216">
        <f>IF(R9=0,0,(R9-$L9)/($J9*$K9))</f>
        <v>2.7777777777777776E-2</v>
      </c>
      <c r="T9" s="217">
        <f>L9+16+16</f>
        <v>383</v>
      </c>
      <c r="U9" s="216">
        <f>IF(T9=0,0,(T9-$L9)/($J9*$K9))</f>
        <v>1.2345679012345678E-2</v>
      </c>
      <c r="V9" s="217">
        <f>L9+25+25</f>
        <v>401</v>
      </c>
      <c r="W9" s="216">
        <f>IF(V9=0,0,(V9-$L9)/($J9*$K9))</f>
        <v>1.9290123456790122E-2</v>
      </c>
      <c r="X9" s="217">
        <v>0</v>
      </c>
      <c r="Y9" s="216">
        <f>IF(X9=0,0,(X9-$L9)/($J9*$K9))</f>
        <v>0</v>
      </c>
      <c r="Z9" s="217">
        <v>0</v>
      </c>
      <c r="AA9" s="216">
        <f>IF(Z9=0,0,(Z9-$L9)/($J9*$K9))</f>
        <v>0</v>
      </c>
      <c r="AB9" s="217">
        <v>0</v>
      </c>
      <c r="AC9" s="216">
        <f>IF(AB9 = 0, 0,(AB9-$L9)/($J9+$K9))</f>
        <v>0</v>
      </c>
      <c r="AD9" s="217">
        <v>0</v>
      </c>
      <c r="AE9" s="216">
        <f>IF(AD9 = 0, 0,(AD9-$L9)/($J9+$K9))</f>
        <v>0</v>
      </c>
      <c r="AF9" s="217">
        <v>0</v>
      </c>
      <c r="AG9" s="216">
        <f>IF(AF9 = 0, 0,(AF9-$L9)/($J9+$K9))</f>
        <v>0</v>
      </c>
      <c r="AH9" s="217">
        <v>0</v>
      </c>
      <c r="AI9" s="216">
        <f>IF(AH9 = 0, 0,(AH9-$L9)/($J9+$K9))</f>
        <v>0</v>
      </c>
      <c r="AJ9" s="217">
        <f>L9+9</f>
        <v>360</v>
      </c>
      <c r="AK9" s="216">
        <f>IF(AJ9=0,0,(AJ9-$L9)/($J9*$K9))</f>
        <v>3.472222222222222E-3</v>
      </c>
      <c r="AQ9" s="199"/>
      <c r="AR9" s="200"/>
    </row>
    <row r="10" spans="1:47" ht="12" thickBot="1" x14ac:dyDescent="0.25">
      <c r="A10" s="215"/>
      <c r="B10" s="215"/>
      <c r="C10" s="214"/>
      <c r="D10" s="213">
        <f>SUM(J10:K10)</f>
        <v>121</v>
      </c>
      <c r="E10" s="212"/>
      <c r="F10" s="212"/>
      <c r="G10" s="212"/>
      <c r="H10" s="212"/>
      <c r="I10" s="212"/>
      <c r="J10" s="211">
        <v>42</v>
      </c>
      <c r="K10" s="210">
        <v>79</v>
      </c>
      <c r="L10" s="209">
        <v>452</v>
      </c>
      <c r="M10" s="208">
        <f>L10/($J10+$K10)</f>
        <v>3.7355371900826446</v>
      </c>
      <c r="N10" s="209">
        <v>0</v>
      </c>
      <c r="O10" s="208">
        <f>IF(N10=0,0,(N10-$L10)/($J10*$K10))</f>
        <v>0</v>
      </c>
      <c r="P10" s="209">
        <f>L10+29</f>
        <v>481</v>
      </c>
      <c r="Q10" s="208">
        <f>IF(P10=0,0,(P10-$L10)/($J10*$K10))</f>
        <v>8.7402049427365881E-3</v>
      </c>
      <c r="R10" s="209">
        <f>L10+36+36</f>
        <v>524</v>
      </c>
      <c r="S10" s="208">
        <f>IF(R10=0,0,(R10-$L10)/($J10*$K10))</f>
        <v>2.1699819168173599E-2</v>
      </c>
      <c r="T10" s="209">
        <f>L10+16+16</f>
        <v>484</v>
      </c>
      <c r="U10" s="208">
        <f>IF(T10=0,0,(T10-$L10)/($J10*$K10))</f>
        <v>9.6443640747438213E-3</v>
      </c>
      <c r="V10" s="209">
        <f>L10+25+25</f>
        <v>502</v>
      </c>
      <c r="W10" s="208">
        <f>IF(V10=0,0,(V10-$L10)/($J10*$K10))</f>
        <v>1.5069318866787222E-2</v>
      </c>
      <c r="X10" s="209">
        <v>0</v>
      </c>
      <c r="Y10" s="208">
        <f>IF(X10=0,0,(X10-$L10)/($J10*$K10))</f>
        <v>0</v>
      </c>
      <c r="Z10" s="209">
        <v>0</v>
      </c>
      <c r="AA10" s="208">
        <f>IF(Z10=0,0,(Z10-$L10)/($J10*$K10))</f>
        <v>0</v>
      </c>
      <c r="AB10" s="209">
        <v>0</v>
      </c>
      <c r="AC10" s="208">
        <f>IF(AB10 = 0, 0,(AB10-$L10)/($J10+$K10))</f>
        <v>0</v>
      </c>
      <c r="AD10" s="209">
        <v>0</v>
      </c>
      <c r="AE10" s="208">
        <f>IF(AD10 = 0, 0,(AD10-$L10)/($J10+$K10))</f>
        <v>0</v>
      </c>
      <c r="AF10" s="209">
        <v>0</v>
      </c>
      <c r="AG10" s="208">
        <f>IF(AF10 = 0, 0,(AF10-$L10)/($J10+$K10))</f>
        <v>0</v>
      </c>
      <c r="AH10" s="209">
        <v>0</v>
      </c>
      <c r="AI10" s="208">
        <f>IF(AH10 = 0, 0,(AH10-$L10)/($J10+$K10))</f>
        <v>0</v>
      </c>
      <c r="AJ10" s="209">
        <f>L10+9</f>
        <v>461</v>
      </c>
      <c r="AK10" s="208">
        <f>IF(AJ10=0,0,(AJ10-$L10)/($J10*$K10))</f>
        <v>2.7124773960216998E-3</v>
      </c>
      <c r="AQ10" s="199"/>
      <c r="AR10" s="200"/>
    </row>
    <row r="11" spans="1:47" s="251" customFormat="1" ht="12" thickBot="1" x14ac:dyDescent="0.25">
      <c r="A11" s="259"/>
      <c r="B11" s="259"/>
      <c r="C11" s="252"/>
      <c r="D11" s="258"/>
      <c r="E11" s="252"/>
      <c r="F11" s="252"/>
      <c r="G11" s="252"/>
      <c r="H11" s="252"/>
      <c r="I11" s="252"/>
      <c r="J11" s="252"/>
      <c r="K11" s="252"/>
      <c r="L11" s="254"/>
      <c r="M11" s="253"/>
      <c r="N11" s="273"/>
      <c r="O11" s="272"/>
      <c r="P11" s="273"/>
      <c r="Q11" s="272"/>
      <c r="R11" s="273"/>
      <c r="S11" s="272"/>
      <c r="T11" s="273"/>
      <c r="U11" s="276"/>
      <c r="V11" s="277"/>
      <c r="W11" s="276"/>
      <c r="X11" s="277"/>
      <c r="Y11" s="276"/>
      <c r="Z11" s="275"/>
      <c r="AA11" s="274"/>
      <c r="AB11" s="254"/>
      <c r="AC11" s="253"/>
      <c r="AD11" s="254"/>
      <c r="AE11" s="253"/>
      <c r="AF11" s="254"/>
      <c r="AG11" s="253"/>
      <c r="AH11" s="254"/>
      <c r="AI11" s="253"/>
      <c r="AJ11" s="273"/>
      <c r="AK11" s="272"/>
      <c r="AR11" s="252"/>
    </row>
    <row r="12" spans="1:47" s="247" customFormat="1" ht="15.75" customHeight="1" thickBot="1" x14ac:dyDescent="0.25">
      <c r="A12" s="250"/>
      <c r="B12" s="250"/>
      <c r="D12" s="249" t="s">
        <v>71</v>
      </c>
      <c r="E12" s="248">
        <f>J13</f>
        <v>22</v>
      </c>
      <c r="F12" s="248">
        <f>K13</f>
        <v>13.25</v>
      </c>
      <c r="G12" s="248">
        <f>J14</f>
        <v>93</v>
      </c>
      <c r="H12" s="248">
        <f>K14</f>
        <v>73</v>
      </c>
      <c r="I12" s="247">
        <f>K15</f>
        <v>166</v>
      </c>
      <c r="L12" s="246"/>
      <c r="M12" s="243">
        <f>AVERAGE(M16:M21)</f>
        <v>3.668127204585538</v>
      </c>
      <c r="N12" s="244"/>
      <c r="O12" s="243">
        <f>AVERAGE(O16:O21)</f>
        <v>0</v>
      </c>
      <c r="P12" s="244"/>
      <c r="Q12" s="243">
        <f>AVERAGE(Q16:Q21)</f>
        <v>1.9775301858635193E-2</v>
      </c>
      <c r="R12" s="244"/>
      <c r="S12" s="243">
        <f>AVERAGE(S16:S21)</f>
        <v>4.9438254646587985E-2</v>
      </c>
      <c r="T12" s="244"/>
      <c r="U12" s="243">
        <f>AVERAGE(U16:U21)</f>
        <v>2.2471933930267262E-2</v>
      </c>
      <c r="V12" s="244"/>
      <c r="W12" s="243">
        <f>AVERAGE(W16:W21)</f>
        <v>2.2471933930267262E-2</v>
      </c>
      <c r="X12" s="245"/>
      <c r="Y12" s="243">
        <f>AVERAGE(Y16:Y21)</f>
        <v>0</v>
      </c>
      <c r="Z12" s="244"/>
      <c r="AA12" s="243">
        <f>AVERAGE(AA16:AA21)</f>
        <v>0</v>
      </c>
      <c r="AB12" s="244"/>
      <c r="AC12" s="243">
        <f>AVERAGE(AC16:AC21)</f>
        <v>0</v>
      </c>
      <c r="AD12" s="244"/>
      <c r="AE12" s="243">
        <f>AVERAGE(AE16:AE21)</f>
        <v>0</v>
      </c>
      <c r="AF12" s="244"/>
      <c r="AG12" s="243">
        <f>AVERAGE(AG16:AG21)</f>
        <v>0</v>
      </c>
      <c r="AH12" s="244"/>
      <c r="AI12" s="243">
        <f>AVERAGE(AI16:AI21)</f>
        <v>0</v>
      </c>
      <c r="AJ12" s="244"/>
      <c r="AK12" s="243">
        <f>AVERAGE(AK16:AK21)</f>
        <v>4.0449481074481073E-3</v>
      </c>
      <c r="AQ12" s="236"/>
      <c r="AR12" s="236"/>
    </row>
    <row r="13" spans="1:47" s="271" customFormat="1" ht="12" thickBot="1" x14ac:dyDescent="0.25">
      <c r="A13" s="238"/>
      <c r="B13" s="238"/>
      <c r="C13" s="235"/>
      <c r="D13" s="236"/>
      <c r="E13" s="235"/>
      <c r="F13" s="235"/>
      <c r="G13" s="235"/>
      <c r="H13" s="235"/>
      <c r="I13" s="235"/>
      <c r="J13" s="241">
        <v>22</v>
      </c>
      <c r="K13" s="242">
        <v>13.25</v>
      </c>
      <c r="L13" s="232" t="s">
        <v>68</v>
      </c>
      <c r="M13" s="223"/>
      <c r="N13" s="239"/>
      <c r="O13" s="223"/>
      <c r="P13" s="239"/>
      <c r="Q13" s="223"/>
      <c r="R13" s="239"/>
      <c r="S13" s="223"/>
      <c r="T13" s="239"/>
      <c r="U13" s="229"/>
      <c r="V13" s="239"/>
      <c r="W13" s="229"/>
      <c r="X13" s="239"/>
      <c r="Y13" s="223"/>
      <c r="Z13" s="228"/>
      <c r="AA13" s="227"/>
      <c r="AB13" s="224"/>
      <c r="AC13" s="223"/>
      <c r="AD13" s="224"/>
      <c r="AE13" s="223"/>
      <c r="AF13" s="224"/>
      <c r="AG13" s="223"/>
      <c r="AH13" s="224"/>
      <c r="AI13" s="223"/>
      <c r="AJ13" s="239"/>
      <c r="AK13" s="223"/>
      <c r="AL13" s="206"/>
      <c r="AM13" s="206"/>
      <c r="AN13" s="206"/>
      <c r="AO13" s="206"/>
      <c r="AP13" s="206"/>
      <c r="AQ13" s="206"/>
      <c r="AR13" s="206"/>
      <c r="AS13" s="206"/>
    </row>
    <row r="14" spans="1:47" s="271" customFormat="1" ht="12" thickBot="1" x14ac:dyDescent="0.25">
      <c r="A14" s="238"/>
      <c r="B14" s="238"/>
      <c r="C14" s="235"/>
      <c r="D14" s="236"/>
      <c r="E14" s="235"/>
      <c r="F14" s="235"/>
      <c r="G14" s="235"/>
      <c r="H14" s="235"/>
      <c r="I14" s="235"/>
      <c r="J14" s="241">
        <v>93</v>
      </c>
      <c r="K14" s="240">
        <v>73</v>
      </c>
      <c r="L14" s="232" t="s">
        <v>69</v>
      </c>
      <c r="M14" s="231"/>
      <c r="N14" s="226"/>
      <c r="O14" s="223"/>
      <c r="P14" s="226"/>
      <c r="Q14" s="223"/>
      <c r="R14" s="226"/>
      <c r="S14" s="223"/>
      <c r="T14" s="226"/>
      <c r="U14" s="223"/>
      <c r="V14" s="226"/>
      <c r="W14" s="231"/>
      <c r="X14" s="239"/>
      <c r="Y14" s="231"/>
      <c r="Z14" s="228"/>
      <c r="AA14" s="227"/>
      <c r="AB14" s="226"/>
      <c r="AC14" s="223"/>
      <c r="AD14" s="226"/>
      <c r="AE14" s="223"/>
      <c r="AF14" s="226"/>
      <c r="AG14" s="223"/>
      <c r="AH14" s="226"/>
      <c r="AI14" s="223"/>
      <c r="AJ14" s="226"/>
      <c r="AK14" s="223"/>
      <c r="AL14" s="206"/>
      <c r="AM14" s="206"/>
      <c r="AN14" s="206"/>
      <c r="AO14" s="206"/>
      <c r="AP14" s="206"/>
      <c r="AQ14" s="206"/>
      <c r="AR14" s="206"/>
      <c r="AS14" s="206"/>
    </row>
    <row r="15" spans="1:47" s="271" customFormat="1" ht="12" thickBot="1" x14ac:dyDescent="0.25">
      <c r="A15" s="238"/>
      <c r="B15" s="238"/>
      <c r="C15" s="237"/>
      <c r="D15" s="236"/>
      <c r="E15" s="235"/>
      <c r="F15" s="235"/>
      <c r="G15" s="235"/>
      <c r="H15" s="235"/>
      <c r="I15" s="235"/>
      <c r="J15" s="234"/>
      <c r="K15" s="233">
        <f>K14+J14</f>
        <v>166</v>
      </c>
      <c r="L15" s="232" t="s">
        <v>70</v>
      </c>
      <c r="M15" s="231"/>
      <c r="N15" s="224"/>
      <c r="O15" s="223"/>
      <c r="P15" s="224"/>
      <c r="Q15" s="223"/>
      <c r="R15" s="224"/>
      <c r="S15" s="223"/>
      <c r="T15" s="226"/>
      <c r="U15" s="223"/>
      <c r="V15" s="226"/>
      <c r="W15" s="231"/>
      <c r="X15" s="230"/>
      <c r="Y15" s="229"/>
      <c r="Z15" s="228"/>
      <c r="AA15" s="227"/>
      <c r="AB15" s="226"/>
      <c r="AC15" s="225"/>
      <c r="AD15" s="226"/>
      <c r="AE15" s="225"/>
      <c r="AF15" s="226"/>
      <c r="AG15" s="225"/>
      <c r="AH15" s="226"/>
      <c r="AI15" s="225"/>
      <c r="AJ15" s="224"/>
      <c r="AK15" s="223"/>
      <c r="AL15" s="206"/>
      <c r="AM15" s="206"/>
      <c r="AN15" s="206"/>
      <c r="AO15" s="206"/>
      <c r="AP15" s="206"/>
      <c r="AQ15" s="206"/>
      <c r="AR15" s="206"/>
      <c r="AS15" s="206"/>
    </row>
    <row r="16" spans="1:47" x14ac:dyDescent="0.2">
      <c r="A16" s="215"/>
      <c r="B16" s="215"/>
      <c r="C16" s="214"/>
      <c r="D16" s="213">
        <f t="shared" ref="D16:D21" si="0">SUM(J16:K16)</f>
        <v>72</v>
      </c>
      <c r="E16" s="212"/>
      <c r="F16" s="212"/>
      <c r="G16" s="212"/>
      <c r="H16" s="212"/>
      <c r="I16" s="212"/>
      <c r="J16" s="222">
        <v>36</v>
      </c>
      <c r="K16" s="221">
        <v>36</v>
      </c>
      <c r="L16" s="220">
        <v>283</v>
      </c>
      <c r="M16" s="219">
        <f t="shared" ref="M16:M21" si="1">L16/($J16+$K16)</f>
        <v>3.9305555555555554</v>
      </c>
      <c r="N16" s="220">
        <v>0</v>
      </c>
      <c r="O16" s="219">
        <f t="shared" ref="O16:O21" si="2">IF(N16=0,0,(N16-$L16)/($J16*$K16))</f>
        <v>0</v>
      </c>
      <c r="P16" s="220">
        <f t="shared" ref="P16:P21" si="3">L16+44</f>
        <v>327</v>
      </c>
      <c r="Q16" s="219">
        <f t="shared" ref="Q16:Q21" si="4">IF(P16=0,0,(P16-$L16)/($J16*$K16))</f>
        <v>3.3950617283950615E-2</v>
      </c>
      <c r="R16" s="220">
        <f t="shared" ref="R16:R21" si="5">L16+55+55</f>
        <v>393</v>
      </c>
      <c r="S16" s="219">
        <f t="shared" ref="S16:S21" si="6">IF(R16=0,0,(R16-$L16)/($J16*$K16))</f>
        <v>8.4876543209876545E-2</v>
      </c>
      <c r="T16" s="220">
        <f t="shared" ref="T16:T21" si="7">L16+25+25</f>
        <v>333</v>
      </c>
      <c r="U16" s="219">
        <f t="shared" ref="U16:U21" si="8">IF(T16=0,0,(T16-$L16)/($J16*$K16))</f>
        <v>3.8580246913580245E-2</v>
      </c>
      <c r="V16" s="220">
        <f t="shared" ref="V16:V21" si="9">L16+50</f>
        <v>333</v>
      </c>
      <c r="W16" s="219">
        <f t="shared" ref="W16:W21" si="10">IF(V16=0,0,(V16-$L16)/($J16*$K16))</f>
        <v>3.8580246913580245E-2</v>
      </c>
      <c r="X16" s="220">
        <v>0</v>
      </c>
      <c r="Y16" s="219">
        <f t="shared" ref="Y16:Y21" si="11">IF(X16=0,0,(X16-$L16)/($J16*$K16))</f>
        <v>0</v>
      </c>
      <c r="Z16" s="220">
        <v>0</v>
      </c>
      <c r="AA16" s="219">
        <f t="shared" ref="AA16:AA21" si="12">IF(Z16=0,0,(Z16-$L16)/($J16*$K16))</f>
        <v>0</v>
      </c>
      <c r="AB16" s="220">
        <v>0</v>
      </c>
      <c r="AC16" s="219">
        <f t="shared" ref="AC16:AC21" si="13">IF(AB16 = 0, 0,(AB16-$L16)/($J16+$K16))</f>
        <v>0</v>
      </c>
      <c r="AD16" s="220">
        <v>0</v>
      </c>
      <c r="AE16" s="219">
        <f t="shared" ref="AE16:AE21" si="14">IF(AD16 = 0, 0,(AD16-$L16)/($J16+$K16))</f>
        <v>0</v>
      </c>
      <c r="AF16" s="220">
        <v>0</v>
      </c>
      <c r="AG16" s="219">
        <f t="shared" ref="AG16:AG21" si="15">IF(AF16 = 0, 0,(AF16-$L16)/($J16+$K16))</f>
        <v>0</v>
      </c>
      <c r="AH16" s="220">
        <v>0</v>
      </c>
      <c r="AI16" s="219">
        <f t="shared" ref="AI16:AI21" si="16">IF(AH16 = 0, 0,(AH16-$L16)/($J16+$K16))</f>
        <v>0</v>
      </c>
      <c r="AJ16" s="220">
        <f t="shared" ref="AJ16:AJ21" si="17">L16+9</f>
        <v>292</v>
      </c>
      <c r="AK16" s="219">
        <f t="shared" ref="AK16:AK21" si="18">IF(AJ16=0,0,(AJ16-$L16)/($J16*$K16))</f>
        <v>6.9444444444444441E-3</v>
      </c>
      <c r="AQ16" s="199"/>
      <c r="AR16" s="200"/>
    </row>
    <row r="17" spans="1:45" x14ac:dyDescent="0.2">
      <c r="A17" s="215"/>
      <c r="B17" s="215"/>
      <c r="C17" s="214"/>
      <c r="D17" s="213">
        <f t="shared" si="0"/>
        <v>84</v>
      </c>
      <c r="E17" s="212"/>
      <c r="F17" s="212"/>
      <c r="G17" s="212"/>
      <c r="H17" s="212"/>
      <c r="I17" s="212"/>
      <c r="J17" s="263">
        <v>48</v>
      </c>
      <c r="K17" s="262">
        <v>36</v>
      </c>
      <c r="L17" s="217">
        <v>317</v>
      </c>
      <c r="M17" s="216">
        <f t="shared" si="1"/>
        <v>3.7738095238095237</v>
      </c>
      <c r="N17" s="217">
        <v>0</v>
      </c>
      <c r="O17" s="216">
        <f t="shared" si="2"/>
        <v>0</v>
      </c>
      <c r="P17" s="217">
        <f t="shared" si="3"/>
        <v>361</v>
      </c>
      <c r="Q17" s="216">
        <f t="shared" si="4"/>
        <v>2.5462962962962962E-2</v>
      </c>
      <c r="R17" s="217">
        <f t="shared" si="5"/>
        <v>427</v>
      </c>
      <c r="S17" s="216">
        <f t="shared" si="6"/>
        <v>6.3657407407407413E-2</v>
      </c>
      <c r="T17" s="217">
        <f t="shared" si="7"/>
        <v>367</v>
      </c>
      <c r="U17" s="216">
        <f t="shared" si="8"/>
        <v>2.8935185185185185E-2</v>
      </c>
      <c r="V17" s="217">
        <f t="shared" si="9"/>
        <v>367</v>
      </c>
      <c r="W17" s="216">
        <f t="shared" si="10"/>
        <v>2.8935185185185185E-2</v>
      </c>
      <c r="X17" s="217">
        <v>0</v>
      </c>
      <c r="Y17" s="216">
        <f t="shared" si="11"/>
        <v>0</v>
      </c>
      <c r="Z17" s="217">
        <v>0</v>
      </c>
      <c r="AA17" s="216">
        <f t="shared" si="12"/>
        <v>0</v>
      </c>
      <c r="AB17" s="217">
        <v>0</v>
      </c>
      <c r="AC17" s="216">
        <f t="shared" si="13"/>
        <v>0</v>
      </c>
      <c r="AD17" s="217">
        <v>0</v>
      </c>
      <c r="AE17" s="216">
        <f t="shared" si="14"/>
        <v>0</v>
      </c>
      <c r="AF17" s="217">
        <v>0</v>
      </c>
      <c r="AG17" s="216">
        <f t="shared" si="15"/>
        <v>0</v>
      </c>
      <c r="AH17" s="217">
        <v>0</v>
      </c>
      <c r="AI17" s="216">
        <f t="shared" si="16"/>
        <v>0</v>
      </c>
      <c r="AJ17" s="217">
        <f t="shared" si="17"/>
        <v>326</v>
      </c>
      <c r="AK17" s="216">
        <f t="shared" si="18"/>
        <v>5.208333333333333E-3</v>
      </c>
      <c r="AQ17" s="199"/>
      <c r="AR17" s="200"/>
    </row>
    <row r="18" spans="1:45" x14ac:dyDescent="0.2">
      <c r="A18" s="215"/>
      <c r="B18" s="215"/>
      <c r="C18" s="214"/>
      <c r="D18" s="213">
        <f t="shared" si="0"/>
        <v>96</v>
      </c>
      <c r="E18" s="212"/>
      <c r="F18" s="212"/>
      <c r="G18" s="212"/>
      <c r="H18" s="212"/>
      <c r="I18" s="212"/>
      <c r="J18" s="263">
        <v>60</v>
      </c>
      <c r="K18" s="262">
        <v>36</v>
      </c>
      <c r="L18" s="217">
        <v>351</v>
      </c>
      <c r="M18" s="216">
        <f t="shared" si="1"/>
        <v>3.65625</v>
      </c>
      <c r="N18" s="217">
        <v>0</v>
      </c>
      <c r="O18" s="216">
        <f t="shared" si="2"/>
        <v>0</v>
      </c>
      <c r="P18" s="217">
        <f t="shared" si="3"/>
        <v>395</v>
      </c>
      <c r="Q18" s="216">
        <f t="shared" si="4"/>
        <v>2.0370370370370372E-2</v>
      </c>
      <c r="R18" s="217">
        <f t="shared" si="5"/>
        <v>461</v>
      </c>
      <c r="S18" s="216">
        <f t="shared" si="6"/>
        <v>5.0925925925925923E-2</v>
      </c>
      <c r="T18" s="217">
        <f t="shared" si="7"/>
        <v>401</v>
      </c>
      <c r="U18" s="216">
        <f t="shared" si="8"/>
        <v>2.3148148148148147E-2</v>
      </c>
      <c r="V18" s="217">
        <f t="shared" si="9"/>
        <v>401</v>
      </c>
      <c r="W18" s="216">
        <f t="shared" si="10"/>
        <v>2.3148148148148147E-2</v>
      </c>
      <c r="X18" s="217">
        <v>0</v>
      </c>
      <c r="Y18" s="216">
        <f t="shared" si="11"/>
        <v>0</v>
      </c>
      <c r="Z18" s="217">
        <v>0</v>
      </c>
      <c r="AA18" s="216">
        <f t="shared" si="12"/>
        <v>0</v>
      </c>
      <c r="AB18" s="217">
        <v>0</v>
      </c>
      <c r="AC18" s="216">
        <f t="shared" si="13"/>
        <v>0</v>
      </c>
      <c r="AD18" s="217">
        <v>0</v>
      </c>
      <c r="AE18" s="216">
        <f t="shared" si="14"/>
        <v>0</v>
      </c>
      <c r="AF18" s="217">
        <v>0</v>
      </c>
      <c r="AG18" s="216">
        <f t="shared" si="15"/>
        <v>0</v>
      </c>
      <c r="AH18" s="217">
        <v>0</v>
      </c>
      <c r="AI18" s="216">
        <f t="shared" si="16"/>
        <v>0</v>
      </c>
      <c r="AJ18" s="217">
        <f t="shared" si="17"/>
        <v>360</v>
      </c>
      <c r="AK18" s="216">
        <f t="shared" si="18"/>
        <v>4.1666666666666666E-3</v>
      </c>
      <c r="AQ18" s="199"/>
      <c r="AR18" s="200"/>
    </row>
    <row r="19" spans="1:45" x14ac:dyDescent="0.2">
      <c r="A19" s="215"/>
      <c r="B19" s="215"/>
      <c r="C19" s="214"/>
      <c r="D19" s="213">
        <f t="shared" si="0"/>
        <v>108</v>
      </c>
      <c r="E19" s="212"/>
      <c r="F19" s="212"/>
      <c r="G19" s="212"/>
      <c r="H19" s="212"/>
      <c r="I19" s="212"/>
      <c r="J19" s="263">
        <v>72</v>
      </c>
      <c r="K19" s="262">
        <v>36</v>
      </c>
      <c r="L19" s="217">
        <v>385</v>
      </c>
      <c r="M19" s="216">
        <f t="shared" si="1"/>
        <v>3.5648148148148149</v>
      </c>
      <c r="N19" s="217">
        <v>0</v>
      </c>
      <c r="O19" s="216">
        <f t="shared" si="2"/>
        <v>0</v>
      </c>
      <c r="P19" s="217">
        <f t="shared" si="3"/>
        <v>429</v>
      </c>
      <c r="Q19" s="216">
        <f t="shared" si="4"/>
        <v>1.6975308641975308E-2</v>
      </c>
      <c r="R19" s="217">
        <f t="shared" si="5"/>
        <v>495</v>
      </c>
      <c r="S19" s="216">
        <f t="shared" si="6"/>
        <v>4.2438271604938273E-2</v>
      </c>
      <c r="T19" s="217">
        <f t="shared" si="7"/>
        <v>435</v>
      </c>
      <c r="U19" s="216">
        <f t="shared" si="8"/>
        <v>1.9290123456790122E-2</v>
      </c>
      <c r="V19" s="217">
        <f t="shared" si="9"/>
        <v>435</v>
      </c>
      <c r="W19" s="216">
        <f t="shared" si="10"/>
        <v>1.9290123456790122E-2</v>
      </c>
      <c r="X19" s="217">
        <v>0</v>
      </c>
      <c r="Y19" s="216">
        <f t="shared" si="11"/>
        <v>0</v>
      </c>
      <c r="Z19" s="217">
        <v>0</v>
      </c>
      <c r="AA19" s="216">
        <f t="shared" si="12"/>
        <v>0</v>
      </c>
      <c r="AB19" s="217">
        <v>0</v>
      </c>
      <c r="AC19" s="216">
        <f t="shared" si="13"/>
        <v>0</v>
      </c>
      <c r="AD19" s="217">
        <v>0</v>
      </c>
      <c r="AE19" s="216">
        <f t="shared" si="14"/>
        <v>0</v>
      </c>
      <c r="AF19" s="217">
        <v>0</v>
      </c>
      <c r="AG19" s="216">
        <f t="shared" si="15"/>
        <v>0</v>
      </c>
      <c r="AH19" s="217">
        <v>0</v>
      </c>
      <c r="AI19" s="216">
        <f t="shared" si="16"/>
        <v>0</v>
      </c>
      <c r="AJ19" s="217">
        <f t="shared" si="17"/>
        <v>394</v>
      </c>
      <c r="AK19" s="216">
        <f t="shared" si="18"/>
        <v>3.472222222222222E-3</v>
      </c>
      <c r="AQ19" s="199"/>
      <c r="AR19" s="200"/>
    </row>
    <row r="20" spans="1:45" x14ac:dyDescent="0.2">
      <c r="A20" s="279"/>
      <c r="B20" s="278"/>
      <c r="C20" s="278"/>
      <c r="D20" s="213">
        <f t="shared" si="0"/>
        <v>120</v>
      </c>
      <c r="J20" s="218">
        <v>60</v>
      </c>
      <c r="K20" s="206">
        <v>60</v>
      </c>
      <c r="L20" s="217">
        <v>418</v>
      </c>
      <c r="M20" s="216">
        <f t="shared" si="1"/>
        <v>3.4833333333333334</v>
      </c>
      <c r="N20" s="217">
        <v>0</v>
      </c>
      <c r="O20" s="216">
        <f t="shared" si="2"/>
        <v>0</v>
      </c>
      <c r="P20" s="217">
        <f t="shared" si="3"/>
        <v>462</v>
      </c>
      <c r="Q20" s="216">
        <f t="shared" si="4"/>
        <v>1.2222222222222223E-2</v>
      </c>
      <c r="R20" s="217">
        <f t="shared" si="5"/>
        <v>528</v>
      </c>
      <c r="S20" s="216">
        <f t="shared" si="6"/>
        <v>3.0555555555555555E-2</v>
      </c>
      <c r="T20" s="217">
        <f t="shared" si="7"/>
        <v>468</v>
      </c>
      <c r="U20" s="216">
        <f t="shared" si="8"/>
        <v>1.3888888888888888E-2</v>
      </c>
      <c r="V20" s="217">
        <f t="shared" si="9"/>
        <v>468</v>
      </c>
      <c r="W20" s="216">
        <f t="shared" si="10"/>
        <v>1.3888888888888888E-2</v>
      </c>
      <c r="X20" s="217">
        <v>0</v>
      </c>
      <c r="Y20" s="216">
        <f t="shared" si="11"/>
        <v>0</v>
      </c>
      <c r="Z20" s="217">
        <v>0</v>
      </c>
      <c r="AA20" s="216">
        <f t="shared" si="12"/>
        <v>0</v>
      </c>
      <c r="AB20" s="217">
        <v>0</v>
      </c>
      <c r="AC20" s="216">
        <f t="shared" si="13"/>
        <v>0</v>
      </c>
      <c r="AD20" s="217">
        <v>0</v>
      </c>
      <c r="AE20" s="216">
        <f t="shared" si="14"/>
        <v>0</v>
      </c>
      <c r="AF20" s="217">
        <v>0</v>
      </c>
      <c r="AG20" s="216">
        <f t="shared" si="15"/>
        <v>0</v>
      </c>
      <c r="AH20" s="217">
        <v>0</v>
      </c>
      <c r="AI20" s="216">
        <f t="shared" si="16"/>
        <v>0</v>
      </c>
      <c r="AJ20" s="217">
        <f t="shared" si="17"/>
        <v>427</v>
      </c>
      <c r="AK20" s="216">
        <f t="shared" si="18"/>
        <v>2.5000000000000001E-3</v>
      </c>
    </row>
    <row r="21" spans="1:45" ht="12" thickBot="1" x14ac:dyDescent="0.25">
      <c r="A21" s="279"/>
      <c r="B21" s="278"/>
      <c r="C21" s="278"/>
      <c r="D21" s="213">
        <f t="shared" si="0"/>
        <v>135</v>
      </c>
      <c r="J21" s="211">
        <v>70</v>
      </c>
      <c r="K21" s="210">
        <v>65</v>
      </c>
      <c r="L21" s="209">
        <v>486</v>
      </c>
      <c r="M21" s="208">
        <f t="shared" si="1"/>
        <v>3.6</v>
      </c>
      <c r="N21" s="209">
        <v>0</v>
      </c>
      <c r="O21" s="208">
        <f t="shared" si="2"/>
        <v>0</v>
      </c>
      <c r="P21" s="209">
        <f t="shared" si="3"/>
        <v>530</v>
      </c>
      <c r="Q21" s="208">
        <f t="shared" si="4"/>
        <v>9.6703296703296703E-3</v>
      </c>
      <c r="R21" s="209">
        <f t="shared" si="5"/>
        <v>596</v>
      </c>
      <c r="S21" s="208">
        <f t="shared" si="6"/>
        <v>2.4175824175824177E-2</v>
      </c>
      <c r="T21" s="209">
        <f t="shared" si="7"/>
        <v>536</v>
      </c>
      <c r="U21" s="208">
        <f t="shared" si="8"/>
        <v>1.098901098901099E-2</v>
      </c>
      <c r="V21" s="209">
        <f t="shared" si="9"/>
        <v>536</v>
      </c>
      <c r="W21" s="208">
        <f t="shared" si="10"/>
        <v>1.098901098901099E-2</v>
      </c>
      <c r="X21" s="209">
        <v>0</v>
      </c>
      <c r="Y21" s="208">
        <f t="shared" si="11"/>
        <v>0</v>
      </c>
      <c r="Z21" s="209">
        <v>0</v>
      </c>
      <c r="AA21" s="208">
        <f t="shared" si="12"/>
        <v>0</v>
      </c>
      <c r="AB21" s="209">
        <v>0</v>
      </c>
      <c r="AC21" s="208">
        <f t="shared" si="13"/>
        <v>0</v>
      </c>
      <c r="AD21" s="209">
        <v>0</v>
      </c>
      <c r="AE21" s="208">
        <f t="shared" si="14"/>
        <v>0</v>
      </c>
      <c r="AF21" s="209">
        <v>0</v>
      </c>
      <c r="AG21" s="208">
        <f t="shared" si="15"/>
        <v>0</v>
      </c>
      <c r="AH21" s="209">
        <v>0</v>
      </c>
      <c r="AI21" s="208">
        <f t="shared" si="16"/>
        <v>0</v>
      </c>
      <c r="AJ21" s="209">
        <f t="shared" si="17"/>
        <v>495</v>
      </c>
      <c r="AK21" s="208">
        <f t="shared" si="18"/>
        <v>1.978021978021978E-3</v>
      </c>
    </row>
    <row r="22" spans="1:45" s="251" customFormat="1" ht="12" thickBot="1" x14ac:dyDescent="0.25">
      <c r="A22" s="259"/>
      <c r="B22" s="259"/>
      <c r="C22" s="252"/>
      <c r="D22" s="258"/>
      <c r="E22" s="252"/>
      <c r="F22" s="252"/>
      <c r="G22" s="252"/>
      <c r="H22" s="252"/>
      <c r="I22" s="252"/>
      <c r="J22" s="252"/>
      <c r="K22" s="252"/>
      <c r="L22" s="254"/>
      <c r="M22" s="253"/>
      <c r="N22" s="273"/>
      <c r="O22" s="272"/>
      <c r="P22" s="273"/>
      <c r="Q22" s="272"/>
      <c r="R22" s="273"/>
      <c r="S22" s="272"/>
      <c r="T22" s="273"/>
      <c r="U22" s="276"/>
      <c r="V22" s="277"/>
      <c r="W22" s="276"/>
      <c r="X22" s="277"/>
      <c r="Y22" s="276"/>
      <c r="Z22" s="275"/>
      <c r="AA22" s="274"/>
      <c r="AB22" s="254"/>
      <c r="AC22" s="253"/>
      <c r="AD22" s="254"/>
      <c r="AE22" s="253"/>
      <c r="AF22" s="254"/>
      <c r="AG22" s="253"/>
      <c r="AH22" s="254"/>
      <c r="AI22" s="253"/>
      <c r="AJ22" s="273"/>
      <c r="AK22" s="272"/>
      <c r="AR22" s="252"/>
    </row>
    <row r="23" spans="1:45" s="247" customFormat="1" ht="15.75" customHeight="1" thickBot="1" x14ac:dyDescent="0.25">
      <c r="A23" s="250"/>
      <c r="B23" s="250"/>
      <c r="D23" s="249" t="s">
        <v>72</v>
      </c>
      <c r="E23" s="248">
        <f>J24</f>
        <v>45.25</v>
      </c>
      <c r="F23" s="248">
        <f>K24</f>
        <v>13.25</v>
      </c>
      <c r="G23" s="248">
        <f>J25</f>
        <v>120</v>
      </c>
      <c r="H23" s="248">
        <f>K25</f>
        <v>73</v>
      </c>
      <c r="I23" s="247">
        <f>K26</f>
        <v>193</v>
      </c>
      <c r="L23" s="246"/>
      <c r="M23" s="243">
        <f>AVERAGE(M27:M30)</f>
        <v>4.6634474784474786</v>
      </c>
      <c r="N23" s="244"/>
      <c r="O23" s="243">
        <f>AVERAGE(O27:O30)</f>
        <v>0</v>
      </c>
      <c r="P23" s="244"/>
      <c r="Q23" s="243">
        <f>AVERAGE(Q27:Q30)</f>
        <v>2.0476614434947769E-2</v>
      </c>
      <c r="R23" s="244"/>
      <c r="S23" s="243">
        <f>AVERAGE(S27:S30)</f>
        <v>5.1656913688163691E-2</v>
      </c>
      <c r="T23" s="244"/>
      <c r="U23" s="243">
        <f>AVERAGE(U27:U30)</f>
        <v>2.3036191239316238E-2</v>
      </c>
      <c r="V23" s="244"/>
      <c r="W23" s="243">
        <f>AVERAGE(W27:W30)</f>
        <v>2.1640058436933438E-2</v>
      </c>
      <c r="X23" s="245"/>
      <c r="Y23" s="243">
        <f>AVERAGE(Y27:Y30)</f>
        <v>0</v>
      </c>
      <c r="Z23" s="244"/>
      <c r="AA23" s="243">
        <f>AVERAGE(AA27:AA30)</f>
        <v>0</v>
      </c>
      <c r="AB23" s="244"/>
      <c r="AC23" s="243">
        <f>AVERAGE(AC27:AC30)</f>
        <v>0</v>
      </c>
      <c r="AD23" s="244"/>
      <c r="AE23" s="243">
        <f>AVERAGE(AE27:AE30)</f>
        <v>0</v>
      </c>
      <c r="AF23" s="244"/>
      <c r="AG23" s="243">
        <f>AVERAGE(AG27:AG30)</f>
        <v>0</v>
      </c>
      <c r="AH23" s="244"/>
      <c r="AI23" s="243">
        <f>AVERAGE(AI27:AI30)</f>
        <v>0</v>
      </c>
      <c r="AJ23" s="244"/>
      <c r="AK23" s="243">
        <f>AVERAGE(AK27:AK30)</f>
        <v>0</v>
      </c>
      <c r="AQ23" s="236"/>
      <c r="AR23" s="236"/>
    </row>
    <row r="24" spans="1:45" s="271" customFormat="1" ht="12" thickBot="1" x14ac:dyDescent="0.25">
      <c r="A24" s="238"/>
      <c r="B24" s="238"/>
      <c r="C24" s="235"/>
      <c r="D24" s="236"/>
      <c r="E24" s="235"/>
      <c r="F24" s="235"/>
      <c r="G24" s="235"/>
      <c r="H24" s="235"/>
      <c r="I24" s="235"/>
      <c r="J24" s="241">
        <v>45.25</v>
      </c>
      <c r="K24" s="242">
        <v>13.25</v>
      </c>
      <c r="L24" s="232" t="s">
        <v>68</v>
      </c>
      <c r="M24" s="223"/>
      <c r="N24" s="239"/>
      <c r="O24" s="223"/>
      <c r="P24" s="239"/>
      <c r="Q24" s="223"/>
      <c r="R24" s="239"/>
      <c r="S24" s="223"/>
      <c r="T24" s="239"/>
      <c r="U24" s="229"/>
      <c r="V24" s="239"/>
      <c r="W24" s="229"/>
      <c r="X24" s="239"/>
      <c r="Y24" s="223"/>
      <c r="Z24" s="228"/>
      <c r="AA24" s="227"/>
      <c r="AB24" s="224"/>
      <c r="AC24" s="223"/>
      <c r="AD24" s="224"/>
      <c r="AE24" s="223"/>
      <c r="AF24" s="224"/>
      <c r="AG24" s="223"/>
      <c r="AH24" s="224"/>
      <c r="AI24" s="223"/>
      <c r="AJ24" s="239"/>
      <c r="AK24" s="223"/>
      <c r="AL24" s="206"/>
      <c r="AM24" s="206"/>
      <c r="AN24" s="206"/>
      <c r="AO24" s="206"/>
      <c r="AP24" s="206"/>
      <c r="AQ24" s="206"/>
      <c r="AR24" s="206"/>
      <c r="AS24" s="206"/>
    </row>
    <row r="25" spans="1:45" s="271" customFormat="1" ht="12" thickBot="1" x14ac:dyDescent="0.25">
      <c r="A25" s="238"/>
      <c r="B25" s="238"/>
      <c r="C25" s="235"/>
      <c r="D25" s="236"/>
      <c r="E25" s="235"/>
      <c r="F25" s="235"/>
      <c r="G25" s="235"/>
      <c r="H25" s="235"/>
      <c r="I25" s="235"/>
      <c r="J25" s="241">
        <v>120</v>
      </c>
      <c r="K25" s="240">
        <v>73</v>
      </c>
      <c r="L25" s="232" t="s">
        <v>69</v>
      </c>
      <c r="M25" s="231"/>
      <c r="N25" s="226"/>
      <c r="O25" s="223"/>
      <c r="P25" s="226"/>
      <c r="Q25" s="223"/>
      <c r="R25" s="226"/>
      <c r="S25" s="223"/>
      <c r="T25" s="226"/>
      <c r="U25" s="223"/>
      <c r="V25" s="226"/>
      <c r="W25" s="231"/>
      <c r="X25" s="239"/>
      <c r="Y25" s="231"/>
      <c r="Z25" s="228"/>
      <c r="AA25" s="227"/>
      <c r="AB25" s="226"/>
      <c r="AC25" s="223"/>
      <c r="AD25" s="226"/>
      <c r="AE25" s="223"/>
      <c r="AF25" s="226"/>
      <c r="AG25" s="223"/>
      <c r="AH25" s="226"/>
      <c r="AI25" s="223"/>
      <c r="AJ25" s="226"/>
      <c r="AK25" s="223"/>
      <c r="AL25" s="206"/>
      <c r="AM25" s="206"/>
      <c r="AN25" s="206"/>
      <c r="AO25" s="206"/>
      <c r="AP25" s="206"/>
      <c r="AQ25" s="206"/>
      <c r="AR25" s="206"/>
      <c r="AS25" s="206"/>
    </row>
    <row r="26" spans="1:45" s="271" customFormat="1" ht="12" thickBot="1" x14ac:dyDescent="0.25">
      <c r="A26" s="238"/>
      <c r="B26" s="238"/>
      <c r="C26" s="237"/>
      <c r="D26" s="236"/>
      <c r="E26" s="235"/>
      <c r="F26" s="235"/>
      <c r="G26" s="235"/>
      <c r="H26" s="235"/>
      <c r="I26" s="235"/>
      <c r="J26" s="234"/>
      <c r="K26" s="233">
        <f>K25+J25</f>
        <v>193</v>
      </c>
      <c r="L26" s="232" t="s">
        <v>70</v>
      </c>
      <c r="M26" s="231"/>
      <c r="N26" s="224"/>
      <c r="O26" s="223"/>
      <c r="P26" s="224"/>
      <c r="Q26" s="223"/>
      <c r="R26" s="224"/>
      <c r="S26" s="223"/>
      <c r="T26" s="226"/>
      <c r="U26" s="223"/>
      <c r="V26" s="226"/>
      <c r="W26" s="231"/>
      <c r="X26" s="230"/>
      <c r="Y26" s="229"/>
      <c r="Z26" s="228"/>
      <c r="AA26" s="227"/>
      <c r="AB26" s="226"/>
      <c r="AC26" s="225"/>
      <c r="AD26" s="226"/>
      <c r="AE26" s="225"/>
      <c r="AF26" s="226"/>
      <c r="AG26" s="225"/>
      <c r="AH26" s="226"/>
      <c r="AI26" s="225"/>
      <c r="AJ26" s="224"/>
      <c r="AK26" s="223"/>
      <c r="AL26" s="206"/>
      <c r="AM26" s="206"/>
      <c r="AN26" s="206"/>
      <c r="AO26" s="206"/>
      <c r="AP26" s="206"/>
      <c r="AQ26" s="206"/>
      <c r="AR26" s="206"/>
      <c r="AS26" s="206"/>
    </row>
    <row r="27" spans="1:45" x14ac:dyDescent="0.2">
      <c r="A27" s="215"/>
      <c r="B27" s="215"/>
      <c r="C27" s="214"/>
      <c r="D27" s="213">
        <f>SUM(J27:K27)</f>
        <v>108</v>
      </c>
      <c r="E27" s="212"/>
      <c r="F27" s="212"/>
      <c r="G27" s="212"/>
      <c r="H27" s="212"/>
      <c r="I27" s="212"/>
      <c r="J27" s="265">
        <v>72</v>
      </c>
      <c r="K27" s="264">
        <v>36</v>
      </c>
      <c r="L27" s="220">
        <f>515</f>
        <v>515</v>
      </c>
      <c r="M27" s="219">
        <f>L27/($J27+$K27)</f>
        <v>4.7685185185185182</v>
      </c>
      <c r="N27" s="220">
        <v>0</v>
      </c>
      <c r="O27" s="219">
        <f>IF(N27=0,0,(N27-$L27)/($J27*$K27))</f>
        <v>0</v>
      </c>
      <c r="P27" s="220">
        <f>L27+88</f>
        <v>603</v>
      </c>
      <c r="Q27" s="219">
        <f>IF(P27=0,0,(P27-$L27)/($J27*$K27))</f>
        <v>3.3950617283950615E-2</v>
      </c>
      <c r="R27" s="220">
        <f>L27+74+74+74</f>
        <v>737</v>
      </c>
      <c r="S27" s="219">
        <f>IF(R27=0,0,(R27-$L27)/($J27*$K27))</f>
        <v>8.5648148148148154E-2</v>
      </c>
      <c r="T27" s="220">
        <f>L27+33+33+33</f>
        <v>614</v>
      </c>
      <c r="U27" s="219">
        <f>IF(T27=0,0,(T27-$L27)/($J27*$K27))</f>
        <v>3.8194444444444448E-2</v>
      </c>
      <c r="V27" s="220">
        <f>L27+93</f>
        <v>608</v>
      </c>
      <c r="W27" s="219">
        <f>IF(V27=0,0,(V27-$L27)/($J27*$K27))</f>
        <v>3.5879629629629629E-2</v>
      </c>
      <c r="X27" s="220">
        <v>0</v>
      </c>
      <c r="Y27" s="219">
        <f>IF(X27=0,0,(X27-$L27)/($J27*$K27))</f>
        <v>0</v>
      </c>
      <c r="Z27" s="220">
        <v>0</v>
      </c>
      <c r="AA27" s="219">
        <f>IF(Z27=0,0,(Z27-$L27)/($J27*$K27))</f>
        <v>0</v>
      </c>
      <c r="AB27" s="220">
        <v>0</v>
      </c>
      <c r="AC27" s="219">
        <f>IF(AB27 = 0, 0,(AB27-$L27)/($J27+$K27))</f>
        <v>0</v>
      </c>
      <c r="AD27" s="220">
        <v>0</v>
      </c>
      <c r="AE27" s="219">
        <f>IF(AD27 = 0, 0,(AD27-$L27)/($J27+$K27))</f>
        <v>0</v>
      </c>
      <c r="AF27" s="220">
        <v>0</v>
      </c>
      <c r="AG27" s="219">
        <f>IF(AF27 = 0, 0,(AF27-$L27)/($J27+$K27))</f>
        <v>0</v>
      </c>
      <c r="AH27" s="220">
        <v>0</v>
      </c>
      <c r="AI27" s="219">
        <f>IF(AH27 = 0, 0,(AH27-$L27)/($J27+$K27))</f>
        <v>0</v>
      </c>
      <c r="AJ27" s="220">
        <v>0</v>
      </c>
      <c r="AK27" s="219">
        <f>IF(AJ27=0,0,(AJ27-$L27)/($J27*$K27))</f>
        <v>0</v>
      </c>
      <c r="AQ27" s="199"/>
      <c r="AR27" s="200"/>
    </row>
    <row r="28" spans="1:45" x14ac:dyDescent="0.2">
      <c r="A28" s="215"/>
      <c r="B28" s="215"/>
      <c r="C28" s="214"/>
      <c r="D28" s="213">
        <f>SUM(J28:K28)</f>
        <v>132</v>
      </c>
      <c r="E28" s="212"/>
      <c r="F28" s="212"/>
      <c r="G28" s="212"/>
      <c r="H28" s="212"/>
      <c r="I28" s="212"/>
      <c r="J28" s="263">
        <v>72</v>
      </c>
      <c r="K28" s="262">
        <v>60</v>
      </c>
      <c r="L28" s="217">
        <v>633</v>
      </c>
      <c r="M28" s="216">
        <f>L28/($J28+$K28)</f>
        <v>4.7954545454545459</v>
      </c>
      <c r="N28" s="217">
        <v>0</v>
      </c>
      <c r="O28" s="216">
        <f>IF(N28=0,0,(N28-$L28)/($J28*$K28))</f>
        <v>0</v>
      </c>
      <c r="P28" s="217">
        <f>L28+88</f>
        <v>721</v>
      </c>
      <c r="Q28" s="216">
        <f>IF(P28=0,0,(P28-$L28)/($J28*$K28))</f>
        <v>2.0370370370370372E-2</v>
      </c>
      <c r="R28" s="217">
        <f>L28+74+74+74</f>
        <v>855</v>
      </c>
      <c r="S28" s="216">
        <f>IF(R28=0,0,(R28-$L28)/($J28*$K28))</f>
        <v>5.1388888888888887E-2</v>
      </c>
      <c r="T28" s="217">
        <f>L28+33+33+33</f>
        <v>732</v>
      </c>
      <c r="U28" s="216">
        <f>IF(T28=0,0,(T28-$L28)/($J28*$K28))</f>
        <v>2.2916666666666665E-2</v>
      </c>
      <c r="V28" s="217">
        <f>L28+93</f>
        <v>726</v>
      </c>
      <c r="W28" s="216">
        <f>IF(V28=0,0,(V28-$L28)/($J28*$K28))</f>
        <v>2.1527777777777778E-2</v>
      </c>
      <c r="X28" s="217">
        <v>0</v>
      </c>
      <c r="Y28" s="216">
        <f>IF(X28=0,0,(X28-$L28)/($J28*$K28))</f>
        <v>0</v>
      </c>
      <c r="Z28" s="217">
        <v>0</v>
      </c>
      <c r="AA28" s="216">
        <f>IF(Z28=0,0,(Z28-$L28)/($J28*$K28))</f>
        <v>0</v>
      </c>
      <c r="AB28" s="217">
        <v>0</v>
      </c>
      <c r="AC28" s="216">
        <f>IF(AB28 = 0, 0,(AB28-$L28)/($J28+$K28))</f>
        <v>0</v>
      </c>
      <c r="AD28" s="217">
        <v>0</v>
      </c>
      <c r="AE28" s="216">
        <f>IF(AD28 = 0, 0,(AD28-$L28)/($J28+$K28))</f>
        <v>0</v>
      </c>
      <c r="AF28" s="217">
        <v>0</v>
      </c>
      <c r="AG28" s="216">
        <f>IF(AF28 = 0, 0,(AF28-$L28)/($J28+$K28))</f>
        <v>0</v>
      </c>
      <c r="AH28" s="217">
        <v>0</v>
      </c>
      <c r="AI28" s="216">
        <f>IF(AH28 = 0, 0,(AH28-$L28)/($J28+$K28))</f>
        <v>0</v>
      </c>
      <c r="AJ28" s="217">
        <v>0</v>
      </c>
      <c r="AK28" s="216">
        <f>IF(AJ28=0,0,(AJ28-$L28)/($J28*$K28))</f>
        <v>0</v>
      </c>
      <c r="AQ28" s="199"/>
      <c r="AR28" s="200"/>
    </row>
    <row r="29" spans="1:45" x14ac:dyDescent="0.2">
      <c r="A29" s="215"/>
      <c r="B29" s="215"/>
      <c r="C29" s="214"/>
      <c r="D29" s="213">
        <f>SUM(J29:K29)</f>
        <v>156</v>
      </c>
      <c r="E29" s="212"/>
      <c r="F29" s="212"/>
      <c r="G29" s="212"/>
      <c r="H29" s="212"/>
      <c r="I29" s="212"/>
      <c r="J29" s="263">
        <v>96</v>
      </c>
      <c r="K29" s="262">
        <v>60</v>
      </c>
      <c r="L29" s="217">
        <v>712</v>
      </c>
      <c r="M29" s="216">
        <f>L29/($J29+$K29)</f>
        <v>4.5641025641025639</v>
      </c>
      <c r="N29" s="217">
        <v>0</v>
      </c>
      <c r="O29" s="216">
        <f>IF(N29=0,0,(N29-$L29)/($J29*$K29))</f>
        <v>0</v>
      </c>
      <c r="P29" s="217">
        <f>L29+88</f>
        <v>800</v>
      </c>
      <c r="Q29" s="216">
        <f>IF(P29=0,0,(P29-$L29)/($J29*$K29))</f>
        <v>1.5277777777777777E-2</v>
      </c>
      <c r="R29" s="217">
        <f>L29+74+74+74</f>
        <v>934</v>
      </c>
      <c r="S29" s="216">
        <f>IF(R29=0,0,(R29-$L29)/($J29*$K29))</f>
        <v>3.8541666666666669E-2</v>
      </c>
      <c r="T29" s="217">
        <f>L29+33+33+33</f>
        <v>811</v>
      </c>
      <c r="U29" s="216">
        <f>IF(T29=0,0,(T29-$L29)/($J29*$K29))</f>
        <v>1.7187500000000001E-2</v>
      </c>
      <c r="V29" s="217">
        <f>L29+93</f>
        <v>805</v>
      </c>
      <c r="W29" s="216">
        <f>IF(V29=0,0,(V29-$L29)/($J29*$K29))</f>
        <v>1.6145833333333335E-2</v>
      </c>
      <c r="X29" s="217">
        <v>0</v>
      </c>
      <c r="Y29" s="216">
        <f>IF(X29=0,0,(X29-$L29)/($J29*$K29))</f>
        <v>0</v>
      </c>
      <c r="Z29" s="217">
        <v>0</v>
      </c>
      <c r="AA29" s="216">
        <f>IF(Z29=0,0,(Z29-$L29)/($J29*$K29))</f>
        <v>0</v>
      </c>
      <c r="AB29" s="217">
        <v>0</v>
      </c>
      <c r="AC29" s="216">
        <f>IF(AB29 = 0, 0,(AB29-$L29)/($J29+$K29))</f>
        <v>0</v>
      </c>
      <c r="AD29" s="217">
        <v>0</v>
      </c>
      <c r="AE29" s="216">
        <f>IF(AD29 = 0, 0,(AD29-$L29)/($J29+$K29))</f>
        <v>0</v>
      </c>
      <c r="AF29" s="217">
        <v>0</v>
      </c>
      <c r="AG29" s="216">
        <f>IF(AF29 = 0, 0,(AF29-$L29)/($J29+$K29))</f>
        <v>0</v>
      </c>
      <c r="AH29" s="217">
        <v>0</v>
      </c>
      <c r="AI29" s="216">
        <f>IF(AH29 = 0, 0,(AH29-$L29)/($J29+$K29))</f>
        <v>0</v>
      </c>
      <c r="AJ29" s="217">
        <v>0</v>
      </c>
      <c r="AK29" s="216">
        <f>IF(AJ29=0,0,(AJ29-$L29)/($J29*$K29))</f>
        <v>0</v>
      </c>
      <c r="AQ29" s="199"/>
      <c r="AR29" s="200"/>
    </row>
    <row r="30" spans="1:45" ht="12" thickBot="1" x14ac:dyDescent="0.25">
      <c r="A30" s="215"/>
      <c r="B30" s="215"/>
      <c r="C30" s="214"/>
      <c r="D30" s="213">
        <f>SUM(J30:K30)</f>
        <v>175</v>
      </c>
      <c r="E30" s="212"/>
      <c r="F30" s="212"/>
      <c r="G30" s="212"/>
      <c r="H30" s="212"/>
      <c r="I30" s="212"/>
      <c r="J30" s="211">
        <v>110</v>
      </c>
      <c r="K30" s="210">
        <v>65</v>
      </c>
      <c r="L30" s="209">
        <v>792</v>
      </c>
      <c r="M30" s="208">
        <f>L30/($J30+$K30)</f>
        <v>4.5257142857142858</v>
      </c>
      <c r="N30" s="209">
        <v>0</v>
      </c>
      <c r="O30" s="208">
        <f>IF(N30=0,0,(N30-$L30)/($J30*$K30))</f>
        <v>0</v>
      </c>
      <c r="P30" s="209">
        <f>L30+88</f>
        <v>880</v>
      </c>
      <c r="Q30" s="208">
        <f>IF(P30=0,0,(P30-$L30)/($J30*$K30))</f>
        <v>1.2307692307692308E-2</v>
      </c>
      <c r="R30" s="209">
        <f>L30+74+74+74</f>
        <v>1014</v>
      </c>
      <c r="S30" s="208">
        <f>IF(R30=0,0,(R30-$L30)/($J30*$K30))</f>
        <v>3.104895104895105E-2</v>
      </c>
      <c r="T30" s="209">
        <f>L30+33+33+33</f>
        <v>891</v>
      </c>
      <c r="U30" s="208">
        <f>IF(T30=0,0,(T30-$L30)/($J30*$K30))</f>
        <v>1.3846153846153847E-2</v>
      </c>
      <c r="V30" s="209">
        <f>L30+93</f>
        <v>885</v>
      </c>
      <c r="W30" s="208">
        <f>IF(V30=0,0,(V30-$L30)/($J30*$K30))</f>
        <v>1.3006993006993007E-2</v>
      </c>
      <c r="X30" s="209">
        <v>0</v>
      </c>
      <c r="Y30" s="208">
        <f>IF(X30=0,0,(X30-$L30)/($J30*$K30))</f>
        <v>0</v>
      </c>
      <c r="Z30" s="209">
        <v>0</v>
      </c>
      <c r="AA30" s="208">
        <f>IF(Z30=0,0,(Z30-$L30)/($J30*$K30))</f>
        <v>0</v>
      </c>
      <c r="AB30" s="209">
        <v>0</v>
      </c>
      <c r="AC30" s="208">
        <f>IF(AB30 = 0, 0,(AB30-$L30)/($J30+$K30))</f>
        <v>0</v>
      </c>
      <c r="AD30" s="209">
        <v>0</v>
      </c>
      <c r="AE30" s="208">
        <f>IF(AD30 = 0, 0,(AD30-$L30)/($J30+$K30))</f>
        <v>0</v>
      </c>
      <c r="AF30" s="209">
        <v>0</v>
      </c>
      <c r="AG30" s="208">
        <f>IF(AF30 = 0, 0,(AF30-$L30)/($J30+$K30))</f>
        <v>0</v>
      </c>
      <c r="AH30" s="209">
        <v>0</v>
      </c>
      <c r="AI30" s="208">
        <f>IF(AH30 = 0, 0,(AH30-$L30)/($J30+$K30))</f>
        <v>0</v>
      </c>
      <c r="AJ30" s="209">
        <v>0</v>
      </c>
      <c r="AK30" s="208">
        <f>IF(AJ30=0,0,(AJ30-$L30)/($J30*$K30))</f>
        <v>0</v>
      </c>
      <c r="AQ30" s="199"/>
      <c r="AR30" s="200"/>
    </row>
    <row r="31" spans="1:45" s="251" customFormat="1" ht="12" thickBot="1" x14ac:dyDescent="0.25">
      <c r="A31" s="270"/>
      <c r="B31" s="270"/>
      <c r="C31" s="268"/>
      <c r="D31" s="269"/>
      <c r="E31" s="268"/>
      <c r="F31" s="268"/>
      <c r="G31" s="268"/>
      <c r="H31" s="268"/>
      <c r="I31" s="268"/>
      <c r="L31" s="267"/>
      <c r="M31" s="266"/>
      <c r="N31" s="267"/>
      <c r="O31" s="266"/>
      <c r="P31" s="267"/>
      <c r="Q31" s="266"/>
      <c r="R31" s="267"/>
      <c r="S31" s="266"/>
      <c r="T31" s="267"/>
      <c r="U31" s="266"/>
      <c r="V31" s="267"/>
      <c r="W31" s="266"/>
      <c r="X31" s="267"/>
      <c r="Y31" s="266"/>
      <c r="Z31" s="256"/>
      <c r="AA31" s="266"/>
      <c r="AB31" s="267"/>
      <c r="AC31" s="266"/>
      <c r="AD31" s="267"/>
      <c r="AE31" s="266"/>
      <c r="AF31" s="267"/>
      <c r="AG31" s="266"/>
      <c r="AH31" s="267"/>
      <c r="AI31" s="266"/>
      <c r="AJ31" s="267"/>
      <c r="AK31" s="266"/>
      <c r="AR31" s="252"/>
    </row>
    <row r="32" spans="1:45" ht="16.5" thickBot="1" x14ac:dyDescent="0.25">
      <c r="A32" s="250"/>
      <c r="B32" s="250"/>
      <c r="C32" s="247"/>
      <c r="D32" s="249" t="s">
        <v>73</v>
      </c>
      <c r="E32" s="248">
        <f>J33</f>
        <v>12.25</v>
      </c>
      <c r="F32" s="248">
        <f>K33</f>
        <v>12.25</v>
      </c>
      <c r="G32" s="248">
        <f>J34</f>
        <v>107</v>
      </c>
      <c r="H32" s="248">
        <f>K34</f>
        <v>101</v>
      </c>
      <c r="I32" s="247">
        <f>K35</f>
        <v>208</v>
      </c>
      <c r="J32" s="247"/>
      <c r="K32" s="247"/>
      <c r="L32" s="246"/>
      <c r="M32" s="243">
        <f>AVERAGE(M36:M40)</f>
        <v>3.2391783444776401</v>
      </c>
      <c r="N32" s="244"/>
      <c r="O32" s="243">
        <f>AVERAGE(O36:O40)</f>
        <v>0</v>
      </c>
      <c r="P32" s="244"/>
      <c r="Q32" s="243">
        <f>AVERAGE(Q36:Q40)</f>
        <v>1.1232142857142857E-2</v>
      </c>
      <c r="R32" s="244"/>
      <c r="S32" s="243">
        <f>AVERAGE(S36:S40)</f>
        <v>3.373478835978836E-2</v>
      </c>
      <c r="T32" s="244"/>
      <c r="U32" s="243">
        <f>AVERAGE(U36:U40)</f>
        <v>1.2446428571428572E-2</v>
      </c>
      <c r="V32" s="244"/>
      <c r="W32" s="243">
        <f>AVERAGE(W36:W40)</f>
        <v>1.2750000000000001E-2</v>
      </c>
      <c r="X32" s="245"/>
      <c r="Y32" s="243">
        <f>AVERAGE(Y36:Y40)</f>
        <v>0</v>
      </c>
      <c r="Z32" s="244"/>
      <c r="AA32" s="243">
        <f>AVERAGE(AA36:AA40)</f>
        <v>0</v>
      </c>
      <c r="AB32" s="244"/>
      <c r="AC32" s="243">
        <f>AVERAGE(AC36:AC40)</f>
        <v>0</v>
      </c>
      <c r="AD32" s="244"/>
      <c r="AE32" s="243">
        <f>AVERAGE(AE36:AE40)</f>
        <v>0</v>
      </c>
      <c r="AF32" s="244"/>
      <c r="AG32" s="243">
        <f>AVERAGE(AG36:AG40)</f>
        <v>0</v>
      </c>
      <c r="AH32" s="244"/>
      <c r="AI32" s="243">
        <f>AVERAGE(AI36:AI40)</f>
        <v>0</v>
      </c>
      <c r="AJ32" s="244"/>
      <c r="AK32" s="243">
        <f>AVERAGE(AK36:AK40)</f>
        <v>0</v>
      </c>
    </row>
    <row r="33" spans="1:43" ht="12" thickBot="1" x14ac:dyDescent="0.25">
      <c r="A33" s="238"/>
      <c r="B33" s="238"/>
      <c r="C33" s="235"/>
      <c r="D33" s="236"/>
      <c r="E33" s="235"/>
      <c r="F33" s="235"/>
      <c r="G33" s="235"/>
      <c r="H33" s="235"/>
      <c r="I33" s="235"/>
      <c r="J33" s="241">
        <v>12.25</v>
      </c>
      <c r="K33" s="242">
        <v>12.25</v>
      </c>
      <c r="L33" s="232" t="s">
        <v>68</v>
      </c>
      <c r="M33" s="223"/>
      <c r="N33" s="239"/>
      <c r="O33" s="223"/>
      <c r="P33" s="239"/>
      <c r="Q33" s="223"/>
      <c r="R33" s="239"/>
      <c r="S33" s="223"/>
      <c r="T33" s="239"/>
      <c r="U33" s="229"/>
      <c r="V33" s="239"/>
      <c r="W33" s="229"/>
      <c r="X33" s="239"/>
      <c r="Y33" s="223"/>
      <c r="Z33" s="228"/>
      <c r="AA33" s="227"/>
      <c r="AB33" s="224"/>
      <c r="AC33" s="223"/>
      <c r="AD33" s="224"/>
      <c r="AE33" s="223"/>
      <c r="AF33" s="224"/>
      <c r="AG33" s="223"/>
      <c r="AH33" s="224"/>
      <c r="AI33" s="223"/>
      <c r="AJ33" s="239"/>
      <c r="AK33" s="223"/>
    </row>
    <row r="34" spans="1:43" ht="12" thickBot="1" x14ac:dyDescent="0.25">
      <c r="A34" s="238"/>
      <c r="B34" s="238"/>
      <c r="C34" s="235"/>
      <c r="D34" s="236"/>
      <c r="E34" s="235"/>
      <c r="F34" s="235"/>
      <c r="G34" s="235"/>
      <c r="H34" s="235"/>
      <c r="I34" s="235"/>
      <c r="J34" s="241">
        <v>107</v>
      </c>
      <c r="K34" s="240">
        <v>101</v>
      </c>
      <c r="L34" s="232" t="s">
        <v>69</v>
      </c>
      <c r="M34" s="231"/>
      <c r="N34" s="226"/>
      <c r="O34" s="223"/>
      <c r="P34" s="226"/>
      <c r="Q34" s="223"/>
      <c r="R34" s="226"/>
      <c r="S34" s="223"/>
      <c r="T34" s="226"/>
      <c r="U34" s="223"/>
      <c r="V34" s="226"/>
      <c r="W34" s="231"/>
      <c r="X34" s="239"/>
      <c r="Y34" s="231"/>
      <c r="Z34" s="228"/>
      <c r="AA34" s="227"/>
      <c r="AB34" s="226"/>
      <c r="AC34" s="223"/>
      <c r="AD34" s="226"/>
      <c r="AE34" s="223"/>
      <c r="AF34" s="226"/>
      <c r="AG34" s="223"/>
      <c r="AH34" s="226"/>
      <c r="AI34" s="223"/>
      <c r="AJ34" s="226"/>
      <c r="AK34" s="223"/>
    </row>
    <row r="35" spans="1:43" ht="12" thickBot="1" x14ac:dyDescent="0.25">
      <c r="A35" s="238"/>
      <c r="B35" s="238"/>
      <c r="C35" s="237"/>
      <c r="D35" s="236"/>
      <c r="E35" s="235"/>
      <c r="F35" s="235"/>
      <c r="G35" s="235"/>
      <c r="H35" s="235"/>
      <c r="I35" s="235"/>
      <c r="J35" s="234"/>
      <c r="K35" s="233">
        <f>K34+J34</f>
        <v>208</v>
      </c>
      <c r="L35" s="232" t="s">
        <v>70</v>
      </c>
      <c r="M35" s="231"/>
      <c r="N35" s="224"/>
      <c r="O35" s="223"/>
      <c r="P35" s="224"/>
      <c r="Q35" s="223"/>
      <c r="R35" s="224"/>
      <c r="S35" s="223"/>
      <c r="T35" s="226"/>
      <c r="U35" s="223"/>
      <c r="V35" s="226"/>
      <c r="W35" s="231"/>
      <c r="X35" s="230"/>
      <c r="Y35" s="229"/>
      <c r="Z35" s="228"/>
      <c r="AA35" s="227"/>
      <c r="AB35" s="226"/>
      <c r="AC35" s="225"/>
      <c r="AD35" s="226"/>
      <c r="AE35" s="225"/>
      <c r="AF35" s="226"/>
      <c r="AG35" s="225"/>
      <c r="AH35" s="226"/>
      <c r="AI35" s="225"/>
      <c r="AJ35" s="224"/>
      <c r="AK35" s="223"/>
    </row>
    <row r="36" spans="1:43" x14ac:dyDescent="0.2">
      <c r="A36" s="215"/>
      <c r="B36" s="215"/>
      <c r="C36" s="214"/>
      <c r="D36" s="213">
        <f>SUM(J36:K36)</f>
        <v>96</v>
      </c>
      <c r="E36" s="212"/>
      <c r="F36" s="212"/>
      <c r="G36" s="212"/>
      <c r="H36" s="212"/>
      <c r="I36" s="212"/>
      <c r="J36" s="265">
        <v>36</v>
      </c>
      <c r="K36" s="264">
        <v>60</v>
      </c>
      <c r="L36" s="220">
        <v>271</v>
      </c>
      <c r="M36" s="219">
        <f>L36/($J36+$K36)</f>
        <v>2.8229166666666665</v>
      </c>
      <c r="N36" s="220">
        <v>0</v>
      </c>
      <c r="O36" s="219">
        <f>IF(N36=0,0,(N36-$L36)/($J36*$K36))</f>
        <v>0</v>
      </c>
      <c r="P36" s="220">
        <f>L36+37</f>
        <v>308</v>
      </c>
      <c r="Q36" s="219">
        <f>IF(P36=0,0,(P36-$L36)/($J36*$K36))</f>
        <v>1.712962962962963E-2</v>
      </c>
      <c r="R36" s="220">
        <f>L36+93</f>
        <v>364</v>
      </c>
      <c r="S36" s="219">
        <f>IF(R36=0,0,(R36-$L36)/($J36*$K36))</f>
        <v>4.3055555555555555E-2</v>
      </c>
      <c r="T36" s="220">
        <f>L36+41</f>
        <v>312</v>
      </c>
      <c r="U36" s="219">
        <f>IF(T36=0,0,(T36-$L36)/($J36*$K36))</f>
        <v>1.8981481481481481E-2</v>
      </c>
      <c r="V36" s="220">
        <f>L36+42</f>
        <v>313</v>
      </c>
      <c r="W36" s="219">
        <f>IF(V36=0,0,(V36-$L36)/($J36*$K36))</f>
        <v>1.9444444444444445E-2</v>
      </c>
      <c r="X36" s="220">
        <v>0</v>
      </c>
      <c r="Y36" s="219">
        <f>IF(X36=0,0,(X36-$L36)/($J36*$K36))</f>
        <v>0</v>
      </c>
      <c r="Z36" s="220">
        <v>0</v>
      </c>
      <c r="AA36" s="219">
        <f>IF(Z36=0,0,(Z36-$L36)/($J36*$K36))</f>
        <v>0</v>
      </c>
      <c r="AB36" s="220">
        <v>0</v>
      </c>
      <c r="AC36" s="219">
        <f>IF(AB36 = 0, 0,(AB36-$L36)/($J36+$K36))</f>
        <v>0</v>
      </c>
      <c r="AD36" s="220">
        <v>0</v>
      </c>
      <c r="AE36" s="219">
        <f>IF(AD36 = 0, 0,(AD36-$L36)/($J36+$K36))</f>
        <v>0</v>
      </c>
      <c r="AF36" s="220">
        <v>0</v>
      </c>
      <c r="AG36" s="219">
        <f>IF(AF36 = 0, 0,(AF36-$L36)/($J36+$K36))</f>
        <v>0</v>
      </c>
      <c r="AH36" s="220">
        <v>0</v>
      </c>
      <c r="AI36" s="219">
        <f>IF(AH36 = 0, 0,(AH36-$L36)/($J36+$K36))</f>
        <v>0</v>
      </c>
      <c r="AJ36" s="220">
        <v>0</v>
      </c>
      <c r="AK36" s="219">
        <f>IF(AJ36=0,0,(AJ36-$L36)/($J36*$K36))</f>
        <v>0</v>
      </c>
    </row>
    <row r="37" spans="1:43" x14ac:dyDescent="0.2">
      <c r="A37" s="215"/>
      <c r="B37" s="215"/>
      <c r="C37" s="214"/>
      <c r="D37" s="213">
        <f>SUM(J37:K37)</f>
        <v>108</v>
      </c>
      <c r="E37" s="212"/>
      <c r="F37" s="212"/>
      <c r="G37" s="212"/>
      <c r="H37" s="212"/>
      <c r="I37" s="212"/>
      <c r="J37" s="263">
        <v>48</v>
      </c>
      <c r="K37" s="262">
        <v>60</v>
      </c>
      <c r="L37" s="217">
        <v>305</v>
      </c>
      <c r="M37" s="216">
        <f>L37/($J37+$K37)</f>
        <v>2.824074074074074</v>
      </c>
      <c r="N37" s="217">
        <v>0</v>
      </c>
      <c r="O37" s="216">
        <f>IF(N37=0,0,(N37-$L37)/($J37*$K37))</f>
        <v>0</v>
      </c>
      <c r="P37" s="217">
        <f>L37+37</f>
        <v>342</v>
      </c>
      <c r="Q37" s="216">
        <f>IF(P37=0,0,(P37-$L37)/($J37*$K37))</f>
        <v>1.2847222222222222E-2</v>
      </c>
      <c r="R37" s="217">
        <f>L37+93</f>
        <v>398</v>
      </c>
      <c r="S37" s="216">
        <f>IF(R37=0,0,(R37-$L37)/($J37*$K37))</f>
        <v>3.229166666666667E-2</v>
      </c>
      <c r="T37" s="217">
        <f>L37+41</f>
        <v>346</v>
      </c>
      <c r="U37" s="216">
        <f>IF(T37=0,0,(T37-$L37)/($J37*$K37))</f>
        <v>1.4236111111111111E-2</v>
      </c>
      <c r="V37" s="217">
        <f>L37+42</f>
        <v>347</v>
      </c>
      <c r="W37" s="216">
        <f>IF(V37=0,0,(V37-$L37)/($J37*$K37))</f>
        <v>1.4583333333333334E-2</v>
      </c>
      <c r="X37" s="217">
        <v>0</v>
      </c>
      <c r="Y37" s="216">
        <f>IF(X37=0,0,(X37-$L37)/($J37*$K37))</f>
        <v>0</v>
      </c>
      <c r="Z37" s="217">
        <v>0</v>
      </c>
      <c r="AA37" s="216">
        <f>IF(Z37=0,0,(Z37-$L37)/($J37*$K37))</f>
        <v>0</v>
      </c>
      <c r="AB37" s="217">
        <v>0</v>
      </c>
      <c r="AC37" s="216">
        <f>IF(AB37 = 0, 0,(AB37-$L37)/($J37+$K37))</f>
        <v>0</v>
      </c>
      <c r="AD37" s="217">
        <v>0</v>
      </c>
      <c r="AE37" s="216">
        <f>IF(AD37 = 0, 0,(AD37-$L37)/($J37+$K37))</f>
        <v>0</v>
      </c>
      <c r="AF37" s="217">
        <v>0</v>
      </c>
      <c r="AG37" s="216">
        <f>IF(AF37 = 0, 0,(AF37-$L37)/($J37+$K37))</f>
        <v>0</v>
      </c>
      <c r="AH37" s="217">
        <v>0</v>
      </c>
      <c r="AI37" s="216">
        <f>IF(AH37 = 0, 0,(AH37-$L37)/($J37+$K37))</f>
        <v>0</v>
      </c>
      <c r="AJ37" s="217">
        <v>0</v>
      </c>
      <c r="AK37" s="216">
        <f>IF(AJ37=0,0,(AJ37-$L37)/($J37*$K37))</f>
        <v>0</v>
      </c>
    </row>
    <row r="38" spans="1:43" x14ac:dyDescent="0.2">
      <c r="A38" s="215"/>
      <c r="B38" s="215"/>
      <c r="C38" s="214"/>
      <c r="D38" s="213">
        <f>SUM(J38:K38)</f>
        <v>120</v>
      </c>
      <c r="E38" s="212"/>
      <c r="F38" s="212"/>
      <c r="G38" s="212"/>
      <c r="H38" s="212"/>
      <c r="I38" s="212"/>
      <c r="J38" s="263">
        <v>60</v>
      </c>
      <c r="K38" s="262">
        <v>60</v>
      </c>
      <c r="L38" s="217">
        <v>373</v>
      </c>
      <c r="M38" s="216">
        <f>L38/($J38+$K38)</f>
        <v>3.1083333333333334</v>
      </c>
      <c r="N38" s="217">
        <v>0</v>
      </c>
      <c r="O38" s="216">
        <f>IF(N38=0,0,(N38-$L38)/($J38*$K38))</f>
        <v>0</v>
      </c>
      <c r="P38" s="217">
        <f>L38+37</f>
        <v>410</v>
      </c>
      <c r="Q38" s="216">
        <f>IF(P38=0,0,(P38-$L38)/($J38*$K38))</f>
        <v>1.0277777777777778E-2</v>
      </c>
      <c r="R38" s="217">
        <f>L38+93</f>
        <v>466</v>
      </c>
      <c r="S38" s="216">
        <f>IF(R38=0,0,(R38-$L38)/($J38*$K38))</f>
        <v>2.5833333333333333E-2</v>
      </c>
      <c r="T38" s="217">
        <f>L38+41</f>
        <v>414</v>
      </c>
      <c r="U38" s="216">
        <f>IF(T38=0,0,(T38-$L38)/($J38*$K38))</f>
        <v>1.1388888888888889E-2</v>
      </c>
      <c r="V38" s="217">
        <f>L38+42</f>
        <v>415</v>
      </c>
      <c r="W38" s="216">
        <f>IF(V38=0,0,(V38-$L38)/($J38*$K38))</f>
        <v>1.1666666666666667E-2</v>
      </c>
      <c r="X38" s="217">
        <v>0</v>
      </c>
      <c r="Y38" s="216">
        <f>IF(X38=0,0,(X38-$L38)/($J38*$K38))</f>
        <v>0</v>
      </c>
      <c r="Z38" s="217">
        <v>0</v>
      </c>
      <c r="AA38" s="216">
        <f>IF(Z38=0,0,(Z38-$L38)/($J38*$K38))</f>
        <v>0</v>
      </c>
      <c r="AB38" s="217">
        <v>0</v>
      </c>
      <c r="AC38" s="216">
        <f>IF(AB38 = 0, 0,(AB38-$L38)/($J38+$K38))</f>
        <v>0</v>
      </c>
      <c r="AD38" s="217">
        <v>0</v>
      </c>
      <c r="AE38" s="216">
        <f>IF(AD38 = 0, 0,(AD38-$L38)/($J38+$K38))</f>
        <v>0</v>
      </c>
      <c r="AF38" s="217">
        <v>0</v>
      </c>
      <c r="AG38" s="216">
        <f>IF(AF38 = 0, 0,(AF38-$L38)/($J38+$K38))</f>
        <v>0</v>
      </c>
      <c r="AH38" s="217">
        <v>0</v>
      </c>
      <c r="AI38" s="216">
        <f>IF(AH38 = 0, 0,(AH38-$L38)/($J38+$K38))</f>
        <v>0</v>
      </c>
      <c r="AJ38" s="217">
        <v>0</v>
      </c>
      <c r="AK38" s="216">
        <f>IF(AJ38=0,0,(AJ38-$L38)/($J38*$K38))</f>
        <v>0</v>
      </c>
    </row>
    <row r="39" spans="1:43" x14ac:dyDescent="0.2">
      <c r="A39" s="215"/>
      <c r="B39" s="215"/>
      <c r="C39" s="214"/>
      <c r="D39" s="213">
        <f>SUM(J39:K39)</f>
        <v>132</v>
      </c>
      <c r="E39" s="212"/>
      <c r="F39" s="212"/>
      <c r="G39" s="212"/>
      <c r="H39" s="212"/>
      <c r="I39" s="212"/>
      <c r="J39" s="263">
        <v>60</v>
      </c>
      <c r="K39" s="262">
        <v>72</v>
      </c>
      <c r="L39" s="217">
        <v>509</v>
      </c>
      <c r="M39" s="216">
        <f>L39/($J39+$K39)</f>
        <v>3.856060606060606</v>
      </c>
      <c r="N39" s="217">
        <v>0</v>
      </c>
      <c r="O39" s="216">
        <f>IF(N39=0,0,(N39-$L39)/($J39*$K39))</f>
        <v>0</v>
      </c>
      <c r="P39" s="217">
        <f>L39+37</f>
        <v>546</v>
      </c>
      <c r="Q39" s="216">
        <f>IF(P39=0,0,(P39-$L39)/($J39*$K39))</f>
        <v>8.564814814814815E-3</v>
      </c>
      <c r="R39" s="217">
        <f>L39+157</f>
        <v>666</v>
      </c>
      <c r="S39" s="216">
        <f>IF(R39=0,0,(R39-$L39)/($J39*$K39))</f>
        <v>3.6342592592592593E-2</v>
      </c>
      <c r="T39" s="217">
        <f>L39+41</f>
        <v>550</v>
      </c>
      <c r="U39" s="216">
        <f>IF(T39=0,0,(T39-$L39)/($J39*$K39))</f>
        <v>9.4907407407407406E-3</v>
      </c>
      <c r="V39" s="217">
        <f>L39+42</f>
        <v>551</v>
      </c>
      <c r="W39" s="216">
        <f>IF(V39=0,0,(V39-$L39)/($J39*$K39))</f>
        <v>9.7222222222222224E-3</v>
      </c>
      <c r="X39" s="217">
        <v>0</v>
      </c>
      <c r="Y39" s="216">
        <f>IF(X39=0,0,(X39-$L39)/($J39*$K39))</f>
        <v>0</v>
      </c>
      <c r="Z39" s="217">
        <v>0</v>
      </c>
      <c r="AA39" s="216">
        <f>IF(Z39=0,0,(Z39-$L39)/($J39*$K39))</f>
        <v>0</v>
      </c>
      <c r="AB39" s="217">
        <v>0</v>
      </c>
      <c r="AC39" s="216">
        <f>IF(AB39 = 0, 0,(AB39-$L39)/($J39+$K39))</f>
        <v>0</v>
      </c>
      <c r="AD39" s="217">
        <v>0</v>
      </c>
      <c r="AE39" s="216">
        <f>IF(AD39 = 0, 0,(AD39-$L39)/($J39+$K39))</f>
        <v>0</v>
      </c>
      <c r="AF39" s="217">
        <v>0</v>
      </c>
      <c r="AG39" s="216">
        <f>IF(AF39 = 0, 0,(AF39-$L39)/($J39+$K39))</f>
        <v>0</v>
      </c>
      <c r="AH39" s="217">
        <v>0</v>
      </c>
      <c r="AI39" s="216">
        <f>IF(AH39 = 0, 0,(AH39-$L39)/($J39+$K39))</f>
        <v>0</v>
      </c>
      <c r="AJ39" s="217">
        <v>0</v>
      </c>
      <c r="AK39" s="216">
        <f>IF(AJ39=0,0,(AJ39-$L39)/($J39*$K39))</f>
        <v>0</v>
      </c>
    </row>
    <row r="40" spans="1:43" ht="12" thickBot="1" x14ac:dyDescent="0.25">
      <c r="A40" s="215"/>
      <c r="B40" s="215"/>
      <c r="C40" s="214"/>
      <c r="D40" s="213">
        <f>SUM(J40:K40)</f>
        <v>142</v>
      </c>
      <c r="E40" s="212"/>
      <c r="F40" s="212"/>
      <c r="G40" s="212"/>
      <c r="H40" s="212"/>
      <c r="I40" s="212"/>
      <c r="J40" s="261">
        <v>70</v>
      </c>
      <c r="K40" s="260">
        <v>72</v>
      </c>
      <c r="L40" s="209">
        <v>509</v>
      </c>
      <c r="M40" s="208">
        <f>L40/($J40+$K40)</f>
        <v>3.584507042253521</v>
      </c>
      <c r="N40" s="209">
        <v>0</v>
      </c>
      <c r="O40" s="208">
        <f>IF(N40=0,0,(N40-$L40)/($J40*$K40))</f>
        <v>0</v>
      </c>
      <c r="P40" s="209">
        <f>L40+37</f>
        <v>546</v>
      </c>
      <c r="Q40" s="208">
        <f>IF(P40=0,0,(P40-$L40)/($J40*$K40))</f>
        <v>7.3412698412698412E-3</v>
      </c>
      <c r="R40" s="209">
        <f>L40+157</f>
        <v>666</v>
      </c>
      <c r="S40" s="208">
        <f>IF(R40=0,0,(R40-$L40)/($J40*$K40))</f>
        <v>3.1150793650793651E-2</v>
      </c>
      <c r="T40" s="209">
        <f>L40+41</f>
        <v>550</v>
      </c>
      <c r="U40" s="208">
        <f>IF(T40=0,0,(T40-$L40)/($J40*$K40))</f>
        <v>8.1349206349206355E-3</v>
      </c>
      <c r="V40" s="209">
        <f>L40+42</f>
        <v>551</v>
      </c>
      <c r="W40" s="208">
        <f>IF(V40=0,0,(V40-$L40)/($J40*$K40))</f>
        <v>8.3333333333333332E-3</v>
      </c>
      <c r="X40" s="209">
        <v>0</v>
      </c>
      <c r="Y40" s="208">
        <f>IF(X40=0,0,(X40-$L40)/($J40*$K40))</f>
        <v>0</v>
      </c>
      <c r="Z40" s="209">
        <v>0</v>
      </c>
      <c r="AA40" s="208">
        <f>IF(Z40=0,0,(Z40-$L40)/($J40*$K40))</f>
        <v>0</v>
      </c>
      <c r="AB40" s="209">
        <v>0</v>
      </c>
      <c r="AC40" s="208">
        <f>IF(AB40 = 0, 0,(AB40-$L40)/($J40+$K40))</f>
        <v>0</v>
      </c>
      <c r="AD40" s="209">
        <v>0</v>
      </c>
      <c r="AE40" s="208">
        <f>IF(AD40 = 0, 0,(AD40-$L40)/($J40+$K40))</f>
        <v>0</v>
      </c>
      <c r="AF40" s="209">
        <v>0</v>
      </c>
      <c r="AG40" s="208">
        <f>IF(AF40 = 0, 0,(AF40-$L40)/($J40+$K40))</f>
        <v>0</v>
      </c>
      <c r="AH40" s="209">
        <v>0</v>
      </c>
      <c r="AI40" s="208">
        <f>IF(AH40 = 0, 0,(AH40-$L40)/($J40+$K40))</f>
        <v>0</v>
      </c>
      <c r="AJ40" s="209">
        <v>0</v>
      </c>
      <c r="AK40" s="208">
        <f>IF(AJ40=0,0,(AJ40-$L40)/($J40*$K40))</f>
        <v>0</v>
      </c>
    </row>
    <row r="41" spans="1:43" s="251" customFormat="1" ht="12" thickBot="1" x14ac:dyDescent="0.25">
      <c r="A41" s="259"/>
      <c r="D41" s="258"/>
      <c r="K41" s="252"/>
      <c r="L41" s="254"/>
      <c r="M41" s="253"/>
      <c r="N41" s="254"/>
      <c r="O41" s="253"/>
      <c r="P41" s="254"/>
      <c r="Q41" s="253"/>
      <c r="R41" s="254"/>
      <c r="S41" s="253"/>
      <c r="T41" s="254"/>
      <c r="U41" s="253"/>
      <c r="V41" s="254"/>
      <c r="W41" s="257"/>
      <c r="X41" s="256"/>
      <c r="Y41" s="255"/>
      <c r="Z41" s="256"/>
      <c r="AA41" s="255"/>
      <c r="AB41" s="254"/>
      <c r="AC41" s="253"/>
      <c r="AD41" s="254"/>
      <c r="AE41" s="253"/>
      <c r="AF41" s="254"/>
      <c r="AG41" s="253"/>
      <c r="AH41" s="254"/>
      <c r="AI41" s="253"/>
      <c r="AJ41" s="254"/>
      <c r="AK41" s="253"/>
      <c r="AQ41" s="252"/>
    </row>
    <row r="42" spans="1:43" ht="16.5" thickBot="1" x14ac:dyDescent="0.25">
      <c r="A42" s="250"/>
      <c r="B42" s="250"/>
      <c r="C42" s="247"/>
      <c r="D42" s="249" t="s">
        <v>74</v>
      </c>
      <c r="E42" s="248">
        <f>J43</f>
        <v>13.625</v>
      </c>
      <c r="F42" s="248">
        <f>K43</f>
        <v>20.625</v>
      </c>
      <c r="G42" s="248">
        <f>J44</f>
        <v>44</v>
      </c>
      <c r="H42" s="248">
        <f>K44</f>
        <v>80</v>
      </c>
      <c r="I42" s="247">
        <f>K45</f>
        <v>124</v>
      </c>
      <c r="J42" s="247"/>
      <c r="K42" s="247"/>
      <c r="L42" s="246"/>
      <c r="M42" s="243">
        <f>AVERAGE(M46:M49)</f>
        <v>4.3663317224579599</v>
      </c>
      <c r="N42" s="244"/>
      <c r="O42" s="243">
        <f>AVERAGE(O46:O49)</f>
        <v>0</v>
      </c>
      <c r="P42" s="244"/>
      <c r="Q42" s="243">
        <f>AVERAGE(Q46:Q49)</f>
        <v>1.5190972222222224E-2</v>
      </c>
      <c r="R42" s="244"/>
      <c r="S42" s="243">
        <f>AVERAGE(S46:S49)</f>
        <v>3.856169871794872E-2</v>
      </c>
      <c r="T42" s="244"/>
      <c r="U42" s="243">
        <f>AVERAGE(U46:U49)</f>
        <v>1.6943776709401708E-2</v>
      </c>
      <c r="V42" s="244"/>
      <c r="W42" s="243">
        <f>AVERAGE(W46:W49)</f>
        <v>1.460670405982906E-2</v>
      </c>
      <c r="X42" s="245"/>
      <c r="Y42" s="243">
        <f>AVERAGE(Y46:Y49)</f>
        <v>0</v>
      </c>
      <c r="Z42" s="244"/>
      <c r="AA42" s="243">
        <f>AVERAGE(AA46:AA49)</f>
        <v>0</v>
      </c>
      <c r="AB42" s="244"/>
      <c r="AC42" s="243">
        <f>AVERAGE(AC46:AC49)</f>
        <v>0</v>
      </c>
      <c r="AD42" s="244"/>
      <c r="AE42" s="243">
        <f>AVERAGE(AE46:AE49)</f>
        <v>0</v>
      </c>
      <c r="AF42" s="244"/>
      <c r="AG42" s="243">
        <f>AVERAGE(AG46:AG49)</f>
        <v>0</v>
      </c>
      <c r="AH42" s="244"/>
      <c r="AI42" s="243">
        <f>AVERAGE(AI46:AI49)</f>
        <v>0</v>
      </c>
      <c r="AJ42" s="244"/>
      <c r="AK42" s="243">
        <f>AVERAGE(AK46:AK49)</f>
        <v>0</v>
      </c>
    </row>
    <row r="43" spans="1:43" ht="12" thickBot="1" x14ac:dyDescent="0.25">
      <c r="A43" s="238"/>
      <c r="B43" s="238"/>
      <c r="C43" s="235"/>
      <c r="D43" s="236"/>
      <c r="E43" s="235"/>
      <c r="F43" s="235"/>
      <c r="G43" s="235"/>
      <c r="H43" s="235"/>
      <c r="I43" s="235"/>
      <c r="J43" s="241">
        <v>13.625</v>
      </c>
      <c r="K43" s="242">
        <v>20.625</v>
      </c>
      <c r="L43" s="232" t="s">
        <v>68</v>
      </c>
      <c r="M43" s="223"/>
      <c r="N43" s="239"/>
      <c r="O43" s="223"/>
      <c r="P43" s="239"/>
      <c r="Q43" s="223"/>
      <c r="R43" s="239"/>
      <c r="S43" s="223"/>
      <c r="T43" s="239"/>
      <c r="U43" s="229"/>
      <c r="V43" s="239"/>
      <c r="W43" s="229"/>
      <c r="X43" s="239"/>
      <c r="Y43" s="223"/>
      <c r="Z43" s="228"/>
      <c r="AA43" s="227"/>
      <c r="AB43" s="224"/>
      <c r="AC43" s="223"/>
      <c r="AD43" s="224"/>
      <c r="AE43" s="223"/>
      <c r="AF43" s="224"/>
      <c r="AG43" s="223"/>
      <c r="AH43" s="224"/>
      <c r="AI43" s="223"/>
      <c r="AJ43" s="239"/>
      <c r="AK43" s="223"/>
    </row>
    <row r="44" spans="1:43" ht="12" thickBot="1" x14ac:dyDescent="0.25">
      <c r="A44" s="238"/>
      <c r="B44" s="238"/>
      <c r="C44" s="235"/>
      <c r="D44" s="236"/>
      <c r="E44" s="235"/>
      <c r="F44" s="235"/>
      <c r="G44" s="235"/>
      <c r="H44" s="235"/>
      <c r="I44" s="235"/>
      <c r="J44" s="241">
        <v>44</v>
      </c>
      <c r="K44" s="240">
        <v>80</v>
      </c>
      <c r="L44" s="232" t="s">
        <v>69</v>
      </c>
      <c r="M44" s="231"/>
      <c r="N44" s="226"/>
      <c r="O44" s="223"/>
      <c r="P44" s="226"/>
      <c r="Q44" s="223"/>
      <c r="R44" s="226"/>
      <c r="S44" s="223"/>
      <c r="T44" s="226"/>
      <c r="U44" s="223"/>
      <c r="V44" s="226"/>
      <c r="W44" s="231"/>
      <c r="X44" s="239"/>
      <c r="Y44" s="231"/>
      <c r="Z44" s="228"/>
      <c r="AA44" s="227"/>
      <c r="AB44" s="226"/>
      <c r="AC44" s="223"/>
      <c r="AD44" s="226"/>
      <c r="AE44" s="223"/>
      <c r="AF44" s="226"/>
      <c r="AG44" s="223"/>
      <c r="AH44" s="226"/>
      <c r="AI44" s="223"/>
      <c r="AJ44" s="226"/>
      <c r="AK44" s="223"/>
    </row>
    <row r="45" spans="1:43" ht="12" thickBot="1" x14ac:dyDescent="0.25">
      <c r="A45" s="238"/>
      <c r="B45" s="238"/>
      <c r="C45" s="237"/>
      <c r="D45" s="236"/>
      <c r="E45" s="235"/>
      <c r="F45" s="235"/>
      <c r="G45" s="235"/>
      <c r="H45" s="235"/>
      <c r="I45" s="235"/>
      <c r="J45" s="234"/>
      <c r="K45" s="233">
        <f>K44+J44</f>
        <v>124</v>
      </c>
      <c r="L45" s="232" t="s">
        <v>70</v>
      </c>
      <c r="M45" s="231"/>
      <c r="N45" s="224"/>
      <c r="O45" s="223"/>
      <c r="P45" s="224"/>
      <c r="Q45" s="223"/>
      <c r="R45" s="224"/>
      <c r="S45" s="223"/>
      <c r="T45" s="226"/>
      <c r="U45" s="223"/>
      <c r="V45" s="226"/>
      <c r="W45" s="231"/>
      <c r="X45" s="230"/>
      <c r="Y45" s="229"/>
      <c r="Z45" s="228"/>
      <c r="AA45" s="227"/>
      <c r="AB45" s="226"/>
      <c r="AC45" s="225"/>
      <c r="AD45" s="226"/>
      <c r="AE45" s="225"/>
      <c r="AF45" s="226"/>
      <c r="AG45" s="225"/>
      <c r="AH45" s="226"/>
      <c r="AI45" s="225"/>
      <c r="AJ45" s="224"/>
      <c r="AK45" s="223"/>
    </row>
    <row r="46" spans="1:43" x14ac:dyDescent="0.2">
      <c r="A46" s="215"/>
      <c r="B46" s="215"/>
      <c r="C46" s="214"/>
      <c r="D46" s="213">
        <f>SUM(J46:K46)</f>
        <v>72</v>
      </c>
      <c r="E46" s="212"/>
      <c r="F46" s="212"/>
      <c r="G46" s="212"/>
      <c r="H46" s="212"/>
      <c r="I46" s="212"/>
      <c r="J46" s="222">
        <v>24</v>
      </c>
      <c r="K46" s="221">
        <v>48</v>
      </c>
      <c r="L46" s="220">
        <v>328</v>
      </c>
      <c r="M46" s="219">
        <f>L46/($J46+$K46)</f>
        <v>4.5555555555555554</v>
      </c>
      <c r="N46" s="220">
        <v>0</v>
      </c>
      <c r="O46" s="219">
        <f>IF(N46=0,0,(N46-$L46)/($J46*$K46))</f>
        <v>0</v>
      </c>
      <c r="P46" s="220">
        <f>L46+26</f>
        <v>354</v>
      </c>
      <c r="Q46" s="219">
        <f>IF(P46=0,0,(P46-$L46)/($J46*$K46))</f>
        <v>2.2569444444444444E-2</v>
      </c>
      <c r="R46" s="220">
        <f>L46+66</f>
        <v>394</v>
      </c>
      <c r="S46" s="219">
        <f>IF(R46=0,0,(R46-$L46)/($J46*$K46))</f>
        <v>5.7291666666666664E-2</v>
      </c>
      <c r="T46" s="220">
        <f>L46+29</f>
        <v>357</v>
      </c>
      <c r="U46" s="219">
        <f>IF(T46=0,0,(T46-$L46)/($J46*$K46))</f>
        <v>2.5173611111111112E-2</v>
      </c>
      <c r="V46" s="220">
        <f>L46+25</f>
        <v>353</v>
      </c>
      <c r="W46" s="219">
        <f>IF(V46=0,0,(V46-$L46)/($J46*$K46))</f>
        <v>2.1701388888888888E-2</v>
      </c>
      <c r="X46" s="220">
        <v>0</v>
      </c>
      <c r="Y46" s="219">
        <f>IF(X46=0,0,(X46-$L46)/($J46*$K46))</f>
        <v>0</v>
      </c>
      <c r="Z46" s="220">
        <v>0</v>
      </c>
      <c r="AA46" s="219">
        <f>IF(Z46=0,0,(Z46-$L46)/($J46*$K46))</f>
        <v>0</v>
      </c>
      <c r="AB46" s="220">
        <v>0</v>
      </c>
      <c r="AC46" s="219">
        <f>IF(AB46 = 0, 0,(AB46-$L46)/($J46+$K46))</f>
        <v>0</v>
      </c>
      <c r="AD46" s="220">
        <v>0</v>
      </c>
      <c r="AE46" s="219">
        <f>IF(AD46 = 0, 0,(AD46-$L46)/($J46+$K46))</f>
        <v>0</v>
      </c>
      <c r="AF46" s="220">
        <v>0</v>
      </c>
      <c r="AG46" s="219">
        <f>IF(AF46 = 0, 0,(AF46-$L46)/($J46+$K46))</f>
        <v>0</v>
      </c>
      <c r="AH46" s="220">
        <v>0</v>
      </c>
      <c r="AI46" s="219">
        <f>IF(AH46 = 0, 0,(AH46-$L46)/($J46+$K46))</f>
        <v>0</v>
      </c>
      <c r="AJ46" s="220">
        <v>0</v>
      </c>
      <c r="AK46" s="219">
        <f>IF(AJ46=0,0,(AJ46-$L46)/($J46*$K46))</f>
        <v>0</v>
      </c>
    </row>
    <row r="47" spans="1:43" x14ac:dyDescent="0.2">
      <c r="A47" s="215"/>
      <c r="B47" s="215"/>
      <c r="C47" s="214"/>
      <c r="D47" s="213">
        <f>SUM(J47:K47)</f>
        <v>84</v>
      </c>
      <c r="E47" s="212"/>
      <c r="F47" s="212"/>
      <c r="G47" s="212"/>
      <c r="H47" s="212"/>
      <c r="I47" s="212"/>
      <c r="J47" s="218">
        <v>36</v>
      </c>
      <c r="K47" s="206">
        <v>48</v>
      </c>
      <c r="L47" s="217">
        <v>362</v>
      </c>
      <c r="M47" s="216">
        <f>L47/($J47+$K47)</f>
        <v>4.3095238095238093</v>
      </c>
      <c r="N47" s="217">
        <v>0</v>
      </c>
      <c r="O47" s="216">
        <f>IF(N47=0,0,(N47-$L47)/($J47*$K47))</f>
        <v>0</v>
      </c>
      <c r="P47" s="217">
        <f>L47+26</f>
        <v>388</v>
      </c>
      <c r="Q47" s="216">
        <f>IF(P47=0,0,(P47-$L47)/($J47*$K47))</f>
        <v>1.5046296296296295E-2</v>
      </c>
      <c r="R47" s="217">
        <f>L47+66</f>
        <v>428</v>
      </c>
      <c r="S47" s="216">
        <f>IF(R47=0,0,(R47-$L47)/($J47*$K47))</f>
        <v>3.8194444444444448E-2</v>
      </c>
      <c r="T47" s="217">
        <f>L47+29</f>
        <v>391</v>
      </c>
      <c r="U47" s="216">
        <f>IF(T47=0,0,(T47-$L47)/($J47*$K47))</f>
        <v>1.6782407407407409E-2</v>
      </c>
      <c r="V47" s="217">
        <f>L47+25</f>
        <v>387</v>
      </c>
      <c r="W47" s="216">
        <f>IF(V47=0,0,(V47-$L47)/($J47*$K47))</f>
        <v>1.4467592592592593E-2</v>
      </c>
      <c r="X47" s="217">
        <v>0</v>
      </c>
      <c r="Y47" s="216">
        <f>IF(X47=0,0,(X47-$L47)/($J47*$K47))</f>
        <v>0</v>
      </c>
      <c r="Z47" s="217">
        <v>0</v>
      </c>
      <c r="AA47" s="216">
        <f>IF(Z47=0,0,(Z47-$L47)/($J47*$K47))</f>
        <v>0</v>
      </c>
      <c r="AB47" s="217">
        <v>0</v>
      </c>
      <c r="AC47" s="216">
        <f>IF(AB47 = 0, 0,(AB47-$L47)/($J47+$K47))</f>
        <v>0</v>
      </c>
      <c r="AD47" s="217">
        <v>0</v>
      </c>
      <c r="AE47" s="216">
        <f>IF(AD47 = 0, 0,(AD47-$L47)/($J47+$K47))</f>
        <v>0</v>
      </c>
      <c r="AF47" s="217">
        <v>0</v>
      </c>
      <c r="AG47" s="216">
        <f>IF(AF47 = 0, 0,(AF47-$L47)/($J47+$K47))</f>
        <v>0</v>
      </c>
      <c r="AH47" s="217">
        <v>0</v>
      </c>
      <c r="AI47" s="216">
        <f>IF(AH47 = 0, 0,(AH47-$L47)/($J47+$K47))</f>
        <v>0</v>
      </c>
      <c r="AJ47" s="217">
        <v>0</v>
      </c>
      <c r="AK47" s="216">
        <f>IF(AJ47=0,0,(AJ47-$L47)/($J47*$K47))</f>
        <v>0</v>
      </c>
    </row>
    <row r="48" spans="1:43" x14ac:dyDescent="0.2">
      <c r="A48" s="215"/>
      <c r="B48" s="215"/>
      <c r="C48" s="214"/>
      <c r="D48" s="213">
        <f>SUM(J48:K48)</f>
        <v>96</v>
      </c>
      <c r="E48" s="212"/>
      <c r="F48" s="212"/>
      <c r="G48" s="212"/>
      <c r="H48" s="212"/>
      <c r="I48" s="212"/>
      <c r="J48" s="218">
        <v>36</v>
      </c>
      <c r="K48" s="206">
        <v>60</v>
      </c>
      <c r="L48" s="217">
        <v>396</v>
      </c>
      <c r="M48" s="216">
        <f>L48/($J48+$K48)</f>
        <v>4.125</v>
      </c>
      <c r="N48" s="217">
        <v>0</v>
      </c>
      <c r="O48" s="216">
        <f>IF(N48=0,0,(N48-$L48)/($J48*$K48))</f>
        <v>0</v>
      </c>
      <c r="P48" s="217">
        <f>L48+26</f>
        <v>422</v>
      </c>
      <c r="Q48" s="216">
        <f>IF(P48=0,0,(P48-$L48)/($J48*$K48))</f>
        <v>1.2037037037037037E-2</v>
      </c>
      <c r="R48" s="217">
        <f>L48+66</f>
        <v>462</v>
      </c>
      <c r="S48" s="216">
        <f>IF(R48=0,0,(R48-$L48)/($J48*$K48))</f>
        <v>3.0555555555555555E-2</v>
      </c>
      <c r="T48" s="217">
        <f>L48+29</f>
        <v>425</v>
      </c>
      <c r="U48" s="216">
        <f>IF(T48=0,0,(T48-$L48)/($J48*$K48))</f>
        <v>1.3425925925925926E-2</v>
      </c>
      <c r="V48" s="217">
        <f>L48+25</f>
        <v>421</v>
      </c>
      <c r="W48" s="216">
        <f>IF(V48=0,0,(V48-$L48)/($J48*$K48))</f>
        <v>1.1574074074074073E-2</v>
      </c>
      <c r="X48" s="217">
        <v>0</v>
      </c>
      <c r="Y48" s="216">
        <f>IF(X48=0,0,(X48-$L48)/($J48*$K48))</f>
        <v>0</v>
      </c>
      <c r="Z48" s="217">
        <v>0</v>
      </c>
      <c r="AA48" s="216">
        <f>IF(Z48=0,0,(Z48-$L48)/($J48*$K48))</f>
        <v>0</v>
      </c>
      <c r="AB48" s="217">
        <v>0</v>
      </c>
      <c r="AC48" s="216">
        <f>IF(AB48 = 0, 0,(AB48-$L48)/($J48+$K48))</f>
        <v>0</v>
      </c>
      <c r="AD48" s="217">
        <v>0</v>
      </c>
      <c r="AE48" s="216">
        <f>IF(AD48 = 0, 0,(AD48-$L48)/($J48+$K48))</f>
        <v>0</v>
      </c>
      <c r="AF48" s="217">
        <v>0</v>
      </c>
      <c r="AG48" s="216">
        <f>IF(AF48 = 0, 0,(AF48-$L48)/($J48+$K48))</f>
        <v>0</v>
      </c>
      <c r="AH48" s="217">
        <v>0</v>
      </c>
      <c r="AI48" s="216">
        <f>IF(AH48 = 0, 0,(AH48-$L48)/($J48+$K48))</f>
        <v>0</v>
      </c>
      <c r="AJ48" s="217">
        <v>0</v>
      </c>
      <c r="AK48" s="216">
        <f>IF(AJ48=0,0,(AJ48-$L48)/($J48*$K48))</f>
        <v>0</v>
      </c>
    </row>
    <row r="49" spans="1:43" ht="12" thickBot="1" x14ac:dyDescent="0.25">
      <c r="A49" s="215"/>
      <c r="B49" s="215"/>
      <c r="C49" s="214"/>
      <c r="D49" s="213">
        <f>SUM(J49:K49)</f>
        <v>101</v>
      </c>
      <c r="E49" s="212"/>
      <c r="F49" s="212"/>
      <c r="G49" s="212"/>
      <c r="H49" s="212"/>
      <c r="I49" s="212"/>
      <c r="J49" s="211">
        <v>36</v>
      </c>
      <c r="K49" s="210">
        <v>65</v>
      </c>
      <c r="L49" s="209">
        <v>452</v>
      </c>
      <c r="M49" s="208">
        <f>L49/($J49+$K49)</f>
        <v>4.4752475247524757</v>
      </c>
      <c r="N49" s="209">
        <v>0</v>
      </c>
      <c r="O49" s="208">
        <f>IF(N49=0,0,(N49-$L49)/($J49*$K49))</f>
        <v>0</v>
      </c>
      <c r="P49" s="209">
        <f>L49+26</f>
        <v>478</v>
      </c>
      <c r="Q49" s="208">
        <f>IF(P49=0,0,(P49-$L49)/($J49*$K49))</f>
        <v>1.1111111111111112E-2</v>
      </c>
      <c r="R49" s="209">
        <f>L49+66</f>
        <v>518</v>
      </c>
      <c r="S49" s="208">
        <f>IF(R49=0,0,(R49-$L49)/($J49*$K49))</f>
        <v>2.8205128205128206E-2</v>
      </c>
      <c r="T49" s="209">
        <f>L49+29</f>
        <v>481</v>
      </c>
      <c r="U49" s="208">
        <f>IF(T49=0,0,(T49-$L49)/($J49*$K49))</f>
        <v>1.2393162393162393E-2</v>
      </c>
      <c r="V49" s="209">
        <f>L49+25</f>
        <v>477</v>
      </c>
      <c r="W49" s="208">
        <f>IF(V49=0,0,(V49-$L49)/($J49*$K49))</f>
        <v>1.0683760683760684E-2</v>
      </c>
      <c r="X49" s="209">
        <v>0</v>
      </c>
      <c r="Y49" s="208">
        <f>IF(X49=0,0,(X49-$L49)/($J49*$K49))</f>
        <v>0</v>
      </c>
      <c r="Z49" s="209">
        <v>0</v>
      </c>
      <c r="AA49" s="208">
        <f>IF(Z49=0,0,(Z49-$L49)/($J49*$K49))</f>
        <v>0</v>
      </c>
      <c r="AB49" s="209">
        <v>0</v>
      </c>
      <c r="AC49" s="208">
        <f>IF(AB49 = 0, 0,(AB49-$L49)/($J49+$K49))</f>
        <v>0</v>
      </c>
      <c r="AD49" s="209">
        <v>0</v>
      </c>
      <c r="AE49" s="208">
        <f>IF(AD49 = 0, 0,(AD49-$L49)/($J49+$K49))</f>
        <v>0</v>
      </c>
      <c r="AF49" s="209">
        <v>0</v>
      </c>
      <c r="AG49" s="208">
        <f>IF(AF49 = 0, 0,(AF49-$L49)/($J49+$K49))</f>
        <v>0</v>
      </c>
      <c r="AH49" s="209">
        <v>0</v>
      </c>
      <c r="AI49" s="208">
        <f>IF(AH49 = 0, 0,(AH49-$L49)/($J49+$K49))</f>
        <v>0</v>
      </c>
      <c r="AJ49" s="209">
        <v>0</v>
      </c>
      <c r="AK49" s="208">
        <f>IF(AJ49=0,0,(AJ49-$L49)/($J49*$K49))</f>
        <v>0</v>
      </c>
    </row>
    <row r="50" spans="1:43" s="251" customFormat="1" ht="12" thickBot="1" x14ac:dyDescent="0.25">
      <c r="A50" s="259"/>
      <c r="D50" s="258"/>
      <c r="K50" s="252"/>
      <c r="L50" s="254"/>
      <c r="M50" s="253"/>
      <c r="N50" s="254"/>
      <c r="O50" s="253"/>
      <c r="P50" s="254"/>
      <c r="Q50" s="253"/>
      <c r="R50" s="254"/>
      <c r="S50" s="253"/>
      <c r="T50" s="254"/>
      <c r="U50" s="253"/>
      <c r="V50" s="254"/>
      <c r="W50" s="257"/>
      <c r="X50" s="256"/>
      <c r="Y50" s="255"/>
      <c r="Z50" s="256"/>
      <c r="AA50" s="255"/>
      <c r="AB50" s="254"/>
      <c r="AC50" s="253"/>
      <c r="AD50" s="254"/>
      <c r="AE50" s="253"/>
      <c r="AF50" s="254"/>
      <c r="AG50" s="253"/>
      <c r="AH50" s="254"/>
      <c r="AI50" s="253"/>
      <c r="AJ50" s="254"/>
      <c r="AK50" s="253"/>
      <c r="AQ50" s="252"/>
    </row>
    <row r="51" spans="1:43" ht="16.5" thickBot="1" x14ac:dyDescent="0.25">
      <c r="A51" s="250"/>
      <c r="B51" s="250"/>
      <c r="C51" s="247"/>
      <c r="D51" s="249" t="s">
        <v>75</v>
      </c>
      <c r="E51" s="248">
        <f>J52</f>
        <v>27.25</v>
      </c>
      <c r="F51" s="248">
        <f>K52</f>
        <v>20.625</v>
      </c>
      <c r="G51" s="248">
        <f>J53</f>
        <v>88</v>
      </c>
      <c r="H51" s="248">
        <f>K53</f>
        <v>80</v>
      </c>
      <c r="I51" s="247">
        <f>K54</f>
        <v>168</v>
      </c>
      <c r="J51" s="247"/>
      <c r="K51" s="247"/>
      <c r="L51" s="246"/>
      <c r="M51" s="243">
        <f>AVERAGE(M55:M57)</f>
        <v>7.5843915343915347</v>
      </c>
      <c r="N51" s="244"/>
      <c r="O51" s="243">
        <f>AVERAGE(O55:O57)</f>
        <v>0</v>
      </c>
      <c r="P51" s="244"/>
      <c r="Q51" s="243">
        <f>AVERAGE(Q55:Q57)</f>
        <v>2.3572530864197527E-2</v>
      </c>
      <c r="R51" s="244"/>
      <c r="S51" s="243">
        <f>AVERAGE(S55:S57)</f>
        <v>5.9837962962962961E-2</v>
      </c>
      <c r="T51" s="244"/>
      <c r="U51" s="243">
        <f>AVERAGE(U55:U57)</f>
        <v>2.6292438271604938E-2</v>
      </c>
      <c r="V51" s="244"/>
      <c r="W51" s="243">
        <f>AVERAGE(W55:W57)</f>
        <v>2.2665895061728392E-2</v>
      </c>
      <c r="X51" s="245"/>
      <c r="Y51" s="243">
        <f>AVERAGE(Y55:Y57)</f>
        <v>0</v>
      </c>
      <c r="Z51" s="244"/>
      <c r="AA51" s="243">
        <f>AVERAGE(AA55:AA57)</f>
        <v>0</v>
      </c>
      <c r="AB51" s="244"/>
      <c r="AC51" s="243">
        <f>AVERAGE(AC55:AC57)</f>
        <v>0</v>
      </c>
      <c r="AD51" s="244"/>
      <c r="AE51" s="243">
        <f>AVERAGE(AE55:AE57)</f>
        <v>0</v>
      </c>
      <c r="AF51" s="244"/>
      <c r="AG51" s="243">
        <f>AVERAGE(AG55:AG57)</f>
        <v>0</v>
      </c>
      <c r="AH51" s="244"/>
      <c r="AI51" s="243">
        <f>AVERAGE(AI55:AI57)</f>
        <v>0</v>
      </c>
      <c r="AJ51" s="244"/>
      <c r="AK51" s="243">
        <f>AVERAGE(AK55:AK57)</f>
        <v>0</v>
      </c>
    </row>
    <row r="52" spans="1:43" ht="12" thickBot="1" x14ac:dyDescent="0.25">
      <c r="A52" s="238"/>
      <c r="B52" s="238"/>
      <c r="C52" s="235"/>
      <c r="D52" s="236"/>
      <c r="E52" s="235"/>
      <c r="F52" s="235"/>
      <c r="G52" s="235"/>
      <c r="H52" s="235"/>
      <c r="I52" s="235"/>
      <c r="J52" s="241">
        <f>J43*2</f>
        <v>27.25</v>
      </c>
      <c r="K52" s="242">
        <v>20.625</v>
      </c>
      <c r="L52" s="232" t="s">
        <v>68</v>
      </c>
      <c r="M52" s="223"/>
      <c r="N52" s="239"/>
      <c r="O52" s="223"/>
      <c r="P52" s="239"/>
      <c r="Q52" s="223"/>
      <c r="R52" s="239"/>
      <c r="S52" s="223"/>
      <c r="T52" s="239"/>
      <c r="U52" s="229"/>
      <c r="V52" s="239"/>
      <c r="W52" s="229"/>
      <c r="X52" s="239"/>
      <c r="Y52" s="223"/>
      <c r="Z52" s="228"/>
      <c r="AA52" s="227"/>
      <c r="AB52" s="224"/>
      <c r="AC52" s="223"/>
      <c r="AD52" s="224"/>
      <c r="AE52" s="223"/>
      <c r="AF52" s="224"/>
      <c r="AG52" s="223"/>
      <c r="AH52" s="224"/>
      <c r="AI52" s="223"/>
      <c r="AJ52" s="239"/>
      <c r="AK52" s="223"/>
    </row>
    <row r="53" spans="1:43" ht="12" thickBot="1" x14ac:dyDescent="0.25">
      <c r="A53" s="238"/>
      <c r="B53" s="238"/>
      <c r="C53" s="235"/>
      <c r="D53" s="236"/>
      <c r="E53" s="235"/>
      <c r="F53" s="235"/>
      <c r="G53" s="235"/>
      <c r="H53" s="235"/>
      <c r="I53" s="235"/>
      <c r="J53" s="241">
        <f>J44*2</f>
        <v>88</v>
      </c>
      <c r="K53" s="240">
        <v>80</v>
      </c>
      <c r="L53" s="232" t="s">
        <v>69</v>
      </c>
      <c r="M53" s="231"/>
      <c r="N53" s="226"/>
      <c r="O53" s="223"/>
      <c r="P53" s="226"/>
      <c r="Q53" s="223"/>
      <c r="R53" s="226"/>
      <c r="S53" s="223"/>
      <c r="T53" s="226"/>
      <c r="U53" s="223"/>
      <c r="V53" s="226"/>
      <c r="W53" s="231"/>
      <c r="X53" s="239"/>
      <c r="Y53" s="231"/>
      <c r="Z53" s="228"/>
      <c r="AA53" s="227"/>
      <c r="AB53" s="226"/>
      <c r="AC53" s="223"/>
      <c r="AD53" s="226"/>
      <c r="AE53" s="223"/>
      <c r="AF53" s="226"/>
      <c r="AG53" s="223"/>
      <c r="AH53" s="226"/>
      <c r="AI53" s="223"/>
      <c r="AJ53" s="226"/>
      <c r="AK53" s="223"/>
    </row>
    <row r="54" spans="1:43" ht="12" thickBot="1" x14ac:dyDescent="0.25">
      <c r="A54" s="238"/>
      <c r="B54" s="238"/>
      <c r="C54" s="237"/>
      <c r="D54" s="236"/>
      <c r="E54" s="235"/>
      <c r="F54" s="235"/>
      <c r="G54" s="235"/>
      <c r="H54" s="235"/>
      <c r="I54" s="235"/>
      <c r="J54" s="234"/>
      <c r="K54" s="233">
        <f>K53+J53</f>
        <v>168</v>
      </c>
      <c r="L54" s="232" t="s">
        <v>70</v>
      </c>
      <c r="M54" s="231"/>
      <c r="N54" s="224"/>
      <c r="O54" s="223"/>
      <c r="P54" s="224"/>
      <c r="Q54" s="223"/>
      <c r="R54" s="224"/>
      <c r="S54" s="223"/>
      <c r="T54" s="226"/>
      <c r="U54" s="223"/>
      <c r="V54" s="226"/>
      <c r="W54" s="231"/>
      <c r="X54" s="230"/>
      <c r="Y54" s="229"/>
      <c r="Z54" s="228"/>
      <c r="AA54" s="227"/>
      <c r="AB54" s="226"/>
      <c r="AC54" s="225"/>
      <c r="AD54" s="226"/>
      <c r="AE54" s="225"/>
      <c r="AF54" s="226"/>
      <c r="AG54" s="225"/>
      <c r="AH54" s="226"/>
      <c r="AI54" s="225"/>
      <c r="AJ54" s="224"/>
      <c r="AK54" s="223"/>
    </row>
    <row r="55" spans="1:43" x14ac:dyDescent="0.2">
      <c r="A55" s="215"/>
      <c r="B55" s="215"/>
      <c r="C55" s="214"/>
      <c r="D55" s="213">
        <f>SUM(J55:K55)</f>
        <v>84</v>
      </c>
      <c r="E55" s="212"/>
      <c r="F55" s="212"/>
      <c r="G55" s="212"/>
      <c r="H55" s="212"/>
      <c r="I55" s="212"/>
      <c r="J55" s="222">
        <v>48</v>
      </c>
      <c r="K55" s="221">
        <v>36</v>
      </c>
      <c r="L55" s="220">
        <f>L46*2+(0.6*3)</f>
        <v>657.8</v>
      </c>
      <c r="M55" s="219">
        <f>L55/($J55+$K55)</f>
        <v>7.8309523809523807</v>
      </c>
      <c r="N55" s="220">
        <v>0</v>
      </c>
      <c r="O55" s="219">
        <f>IF(N55=0,0,(N55-$L55)/($J55*$K55))</f>
        <v>0</v>
      </c>
      <c r="P55" s="220">
        <f>L55+26+26</f>
        <v>709.8</v>
      </c>
      <c r="Q55" s="219">
        <f>IF(P55=0,0,(P55-$L55)/($J55*$K55))</f>
        <v>3.0092592592592591E-2</v>
      </c>
      <c r="R55" s="220">
        <f>L55+66+66</f>
        <v>789.8</v>
      </c>
      <c r="S55" s="219">
        <f>IF(R55=0,0,(R55-$L55)/($J55*$K55))</f>
        <v>7.6388888888888895E-2</v>
      </c>
      <c r="T55" s="220">
        <f>L55+29+29</f>
        <v>715.8</v>
      </c>
      <c r="U55" s="219">
        <f>IF(T55=0,0,(T55-$L55)/($J55*$K55))</f>
        <v>3.3564814814814818E-2</v>
      </c>
      <c r="V55" s="220">
        <f>L55+25+25</f>
        <v>707.8</v>
      </c>
      <c r="W55" s="219">
        <f>IF(V55=0,0,(V55-$L55)/($J55*$K55))</f>
        <v>2.8935185185185185E-2</v>
      </c>
      <c r="X55" s="220">
        <v>0</v>
      </c>
      <c r="Y55" s="219">
        <f>IF(X55=0,0,(X55-$L55)/($J55*$K55))</f>
        <v>0</v>
      </c>
      <c r="Z55" s="220">
        <v>0</v>
      </c>
      <c r="AA55" s="219">
        <f>IF(Z55=0,0,(Z55-$L55)/($J55*$K55))</f>
        <v>0</v>
      </c>
      <c r="AB55" s="220">
        <v>0</v>
      </c>
      <c r="AC55" s="219">
        <f>IF(AB55 = 0, 0,(AB55-$L55)/($J55+$K55))</f>
        <v>0</v>
      </c>
      <c r="AD55" s="220">
        <v>0</v>
      </c>
      <c r="AE55" s="219">
        <f>IF(AD55 = 0, 0,(AD55-$L55)/($J55+$K55))</f>
        <v>0</v>
      </c>
      <c r="AF55" s="220">
        <v>0</v>
      </c>
      <c r="AG55" s="219">
        <f>IF(AF55 = 0, 0,(AF55-$L55)/($J55+$K55))</f>
        <v>0</v>
      </c>
      <c r="AH55" s="220">
        <v>0</v>
      </c>
      <c r="AI55" s="219">
        <f>IF(AH55 = 0, 0,(AH55-$L55)/($J55+$K55))</f>
        <v>0</v>
      </c>
      <c r="AJ55" s="220">
        <v>0</v>
      </c>
      <c r="AK55" s="219">
        <f>IF(AJ55=0,0,(AJ55-$L55)/($J55*$K55))</f>
        <v>0</v>
      </c>
    </row>
    <row r="56" spans="1:43" x14ac:dyDescent="0.2">
      <c r="A56" s="215"/>
      <c r="B56" s="215"/>
      <c r="C56" s="214"/>
      <c r="D56" s="213">
        <f>SUM(J56:K56)</f>
        <v>96</v>
      </c>
      <c r="E56" s="212"/>
      <c r="F56" s="212"/>
      <c r="G56" s="212"/>
      <c r="H56" s="212"/>
      <c r="I56" s="212"/>
      <c r="J56" s="218">
        <v>48</v>
      </c>
      <c r="K56" s="206">
        <v>48</v>
      </c>
      <c r="L56" s="217">
        <f>L47*2+(0.6*4)</f>
        <v>726.4</v>
      </c>
      <c r="M56" s="216">
        <f>L56/($J56+$K56)</f>
        <v>7.5666666666666664</v>
      </c>
      <c r="N56" s="217">
        <v>0</v>
      </c>
      <c r="O56" s="216">
        <f>IF(N56=0,0,(N56-$L56)/($J56*$K56))</f>
        <v>0</v>
      </c>
      <c r="P56" s="217">
        <f>L56+26+26</f>
        <v>778.4</v>
      </c>
      <c r="Q56" s="216">
        <f>IF(P56=0,0,(P56-$L56)/($J56*$K56))</f>
        <v>2.2569444444444444E-2</v>
      </c>
      <c r="R56" s="217">
        <f>L56+66+66</f>
        <v>858.4</v>
      </c>
      <c r="S56" s="216">
        <f>IF(R56=0,0,(R56-$L56)/($J56*$K56))</f>
        <v>5.7291666666666664E-2</v>
      </c>
      <c r="T56" s="217">
        <f>L56+29+29</f>
        <v>784.4</v>
      </c>
      <c r="U56" s="216">
        <f>IF(T56=0,0,(T56-$L56)/($J56*$K56))</f>
        <v>2.5173611111111112E-2</v>
      </c>
      <c r="V56" s="217">
        <f>L56+25+25</f>
        <v>776.4</v>
      </c>
      <c r="W56" s="216">
        <f>IF(V56=0,0,(V56-$L56)/($J56*$K56))</f>
        <v>2.1701388888888888E-2</v>
      </c>
      <c r="X56" s="217">
        <v>0</v>
      </c>
      <c r="Y56" s="216">
        <f>IF(X56=0,0,(X56-$L56)/($J56*$K56))</f>
        <v>0</v>
      </c>
      <c r="Z56" s="217">
        <v>0</v>
      </c>
      <c r="AA56" s="216">
        <f>IF(Z56=0,0,(Z56-$L56)/($J56*$K56))</f>
        <v>0</v>
      </c>
      <c r="AB56" s="217">
        <v>0</v>
      </c>
      <c r="AC56" s="216">
        <f>IF(AB56 = 0, 0,(AB56-$L56)/($J56+$K56))</f>
        <v>0</v>
      </c>
      <c r="AD56" s="217">
        <v>0</v>
      </c>
      <c r="AE56" s="216">
        <f>IF(AD56 = 0, 0,(AD56-$L56)/($J56+$K56))</f>
        <v>0</v>
      </c>
      <c r="AF56" s="217">
        <v>0</v>
      </c>
      <c r="AG56" s="216">
        <f>IF(AF56 = 0, 0,(AF56-$L56)/($J56+$K56))</f>
        <v>0</v>
      </c>
      <c r="AH56" s="217">
        <v>0</v>
      </c>
      <c r="AI56" s="216">
        <f>IF(AH56 = 0, 0,(AH56-$L56)/($J56+$K56))</f>
        <v>0</v>
      </c>
      <c r="AJ56" s="217">
        <v>0</v>
      </c>
      <c r="AK56" s="216">
        <f>IF(AJ56=0,0,(AJ56-$L56)/($J56*$K56))</f>
        <v>0</v>
      </c>
    </row>
    <row r="57" spans="1:43" ht="12" thickBot="1" x14ac:dyDescent="0.25">
      <c r="A57" s="215"/>
      <c r="B57" s="215"/>
      <c r="C57" s="214"/>
      <c r="D57" s="213">
        <f>SUM(J57:K57)</f>
        <v>108</v>
      </c>
      <c r="E57" s="212"/>
      <c r="F57" s="212"/>
      <c r="G57" s="212"/>
      <c r="H57" s="212"/>
      <c r="I57" s="212"/>
      <c r="J57" s="211">
        <v>60</v>
      </c>
      <c r="K57" s="210">
        <v>48</v>
      </c>
      <c r="L57" s="209">
        <f>L48*2+(0.6*4)</f>
        <v>794.4</v>
      </c>
      <c r="M57" s="208">
        <f>L57/($J57+$K57)</f>
        <v>7.3555555555555552</v>
      </c>
      <c r="N57" s="209">
        <v>0</v>
      </c>
      <c r="O57" s="208">
        <f>IF(N57=0,0,(N57-$L57)/($J57*$K57))</f>
        <v>0</v>
      </c>
      <c r="P57" s="209">
        <f>L57+26+26</f>
        <v>846.4</v>
      </c>
      <c r="Q57" s="208">
        <f>IF(P57=0,0,(P57-$L57)/($J57*$K57))</f>
        <v>1.8055555555555554E-2</v>
      </c>
      <c r="R57" s="209">
        <f>L57+66+66</f>
        <v>926.4</v>
      </c>
      <c r="S57" s="208">
        <f>IF(R57=0,0,(R57-$L57)/($J57*$K57))</f>
        <v>4.583333333333333E-2</v>
      </c>
      <c r="T57" s="209">
        <f>L57+29+29</f>
        <v>852.4</v>
      </c>
      <c r="U57" s="208">
        <f>IF(T57=0,0,(T57-$L57)/($J57*$K57))</f>
        <v>2.013888888888889E-2</v>
      </c>
      <c r="V57" s="209">
        <f>L57+25+25</f>
        <v>844.4</v>
      </c>
      <c r="W57" s="208">
        <f>IF(V57=0,0,(V57-$L57)/($J57*$K57))</f>
        <v>1.7361111111111112E-2</v>
      </c>
      <c r="X57" s="209">
        <v>0</v>
      </c>
      <c r="Y57" s="208">
        <f>IF(X57=0,0,(X57-$L57)/($J57*$K57))</f>
        <v>0</v>
      </c>
      <c r="Z57" s="209">
        <v>0</v>
      </c>
      <c r="AA57" s="208">
        <f>IF(Z57=0,0,(Z57-$L57)/($J57*$K57))</f>
        <v>0</v>
      </c>
      <c r="AB57" s="209">
        <v>0</v>
      </c>
      <c r="AC57" s="208">
        <f>IF(AB57 = 0, 0,(AB57-$L57)/($J57+$K57))</f>
        <v>0</v>
      </c>
      <c r="AD57" s="209">
        <v>0</v>
      </c>
      <c r="AE57" s="208">
        <f>IF(AD57 = 0, 0,(AD57-$L57)/($J57+$K57))</f>
        <v>0</v>
      </c>
      <c r="AF57" s="209">
        <v>0</v>
      </c>
      <c r="AG57" s="208">
        <f>IF(AF57 = 0, 0,(AF57-$L57)/($J57+$K57))</f>
        <v>0</v>
      </c>
      <c r="AH57" s="209">
        <v>0</v>
      </c>
      <c r="AI57" s="208">
        <f>IF(AH57 = 0, 0,(AH57-$L57)/($J57+$K57))</f>
        <v>0</v>
      </c>
      <c r="AJ57" s="209">
        <v>0</v>
      </c>
      <c r="AK57" s="208">
        <f>IF(AJ57=0,0,(AJ57-$L57)/($J57*$K57))</f>
        <v>0</v>
      </c>
    </row>
    <row r="60" spans="1:43" x14ac:dyDescent="0.2">
      <c r="B60" s="199" t="s">
        <v>139</v>
      </c>
    </row>
    <row r="61" spans="1:43" x14ac:dyDescent="0.2">
      <c r="B61" s="199" t="s">
        <v>138</v>
      </c>
    </row>
    <row r="62" spans="1:43" x14ac:dyDescent="0.2">
      <c r="B62" s="199" t="s">
        <v>140</v>
      </c>
    </row>
  </sheetData>
  <pageMargins left="0.45" right="0.7" top="0.25" bottom="0.5" header="0.3" footer="0.3"/>
  <pageSetup scale="8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3" tint="0.59999389629810485"/>
  </sheetPr>
  <dimension ref="A1:AW59"/>
  <sheetViews>
    <sheetView showGridLines="0" topLeftCell="A2" zoomScaleNormal="100" workbookViewId="0">
      <pane xSplit="11" ySplit="1" topLeftCell="AC7" activePane="bottomRight" state="frozen"/>
      <selection activeCell="A2" sqref="A2"/>
      <selection pane="topRight" activeCell="L2" sqref="L2"/>
      <selection pane="bottomLeft" activeCell="A3" sqref="A3"/>
      <selection pane="bottomRight" activeCell="AI9" sqref="AI9"/>
    </sheetView>
  </sheetViews>
  <sheetFormatPr defaultColWidth="20.6640625" defaultRowHeight="11.25" x14ac:dyDescent="0.2"/>
  <cols>
    <col min="1" max="1" width="9.1640625" style="21" customWidth="1"/>
    <col min="2" max="2" width="12.6640625" bestFit="1" customWidth="1"/>
    <col min="3" max="3" width="19.83203125" customWidth="1"/>
    <col min="4" max="4" width="10.33203125" customWidth="1"/>
    <col min="5" max="9" width="10.33203125" hidden="1" customWidth="1"/>
    <col min="10" max="10" width="13.5" customWidth="1"/>
    <col min="11" max="11" width="13.5" style="18" customWidth="1"/>
    <col min="12" max="12" width="12.33203125" style="125" customWidth="1"/>
    <col min="13" max="13" width="16.6640625" style="126" customWidth="1"/>
    <col min="14" max="14" width="12.33203125" style="125" customWidth="1"/>
    <col min="15" max="15" width="16.6640625" style="126" customWidth="1"/>
    <col min="16" max="16" width="12.33203125" style="125" customWidth="1"/>
    <col min="17" max="17" width="16.6640625" style="126" customWidth="1"/>
    <col min="18" max="18" width="12.33203125" style="125" customWidth="1"/>
    <col min="19" max="19" width="16.6640625" style="126" customWidth="1"/>
    <col min="20" max="20" width="12.33203125" style="125" customWidth="1"/>
    <col min="21" max="21" width="16.6640625" style="126" customWidth="1"/>
    <col min="22" max="22" width="12.33203125" style="125" customWidth="1"/>
    <col min="23" max="23" width="16.6640625" style="127" customWidth="1"/>
    <col min="24" max="24" width="12.33203125" style="128" customWidth="1"/>
    <col min="25" max="25" width="16.6640625" style="129" customWidth="1"/>
    <col min="26" max="26" width="12.33203125" style="128" customWidth="1"/>
    <col min="27" max="27" width="16.6640625" style="129" customWidth="1"/>
    <col min="28" max="28" width="12.33203125" style="125" customWidth="1"/>
    <col min="29" max="29" width="16.6640625" style="126" customWidth="1"/>
    <col min="30" max="30" width="12.33203125" style="125" customWidth="1"/>
    <col min="31" max="31" width="16.6640625" style="126" customWidth="1"/>
    <col min="32" max="32" width="12.33203125" style="125" customWidth="1"/>
    <col min="33" max="33" width="16.6640625" style="126" customWidth="1"/>
    <col min="34" max="34" width="12.33203125" style="125" customWidth="1"/>
    <col min="35" max="35" width="16.6640625" style="126" customWidth="1"/>
    <col min="36" max="36" width="12.33203125" style="125" customWidth="1"/>
    <col min="37" max="37" width="16.6640625" style="126" customWidth="1"/>
    <col min="38" max="44" width="20.6640625" customWidth="1"/>
    <col min="45" max="45" width="20.6640625" style="18" customWidth="1"/>
    <col min="46" max="46" width="0" hidden="1" customWidth="1"/>
  </cols>
  <sheetData>
    <row r="1" spans="1:49" s="16" customFormat="1" ht="26.25" hidden="1" customHeight="1" x14ac:dyDescent="0.2">
      <c r="A1" s="16" t="s">
        <v>45</v>
      </c>
      <c r="B1" s="16" t="s">
        <v>46</v>
      </c>
      <c r="C1" s="16" t="s">
        <v>47</v>
      </c>
      <c r="D1" s="25" t="s">
        <v>48</v>
      </c>
      <c r="E1" s="25" t="s">
        <v>49</v>
      </c>
      <c r="F1" s="25" t="s">
        <v>50</v>
      </c>
      <c r="G1" s="25" t="s">
        <v>51</v>
      </c>
      <c r="H1" s="25" t="s">
        <v>52</v>
      </c>
      <c r="I1" s="25" t="s">
        <v>34</v>
      </c>
      <c r="J1" s="16" t="s">
        <v>53</v>
      </c>
      <c r="K1" s="16" t="s">
        <v>54</v>
      </c>
      <c r="L1" s="119"/>
      <c r="M1" s="120" t="s">
        <v>55</v>
      </c>
      <c r="N1" s="119"/>
      <c r="O1" s="120" t="str">
        <f>Windows!C10</f>
        <v>Triple Glass</v>
      </c>
      <c r="P1" s="119"/>
      <c r="Q1" s="120" t="str">
        <f>Windows!D10</f>
        <v>Upgrade Low-E</v>
      </c>
      <c r="R1" s="119"/>
      <c r="S1" s="120" t="str">
        <f>Windows!E10</f>
        <v>Tempered</v>
      </c>
      <c r="T1" s="119"/>
      <c r="U1" s="120" t="str">
        <f>Windows!F10</f>
        <v>Obscure</v>
      </c>
      <c r="V1" s="119"/>
      <c r="W1" s="120" t="str">
        <f>Windows!G10</f>
        <v>Internal Grids</v>
      </c>
      <c r="X1" s="119"/>
      <c r="Y1" s="120" t="str">
        <f>Windows!H10</f>
        <v>Simulated Divided Light</v>
      </c>
      <c r="Z1" s="119"/>
      <c r="AA1" s="120" t="str">
        <f>Windows!I10</f>
        <v>Internal Blinds</v>
      </c>
      <c r="AB1" s="119"/>
      <c r="AC1" s="120" t="str">
        <f>Windows!J10</f>
        <v>Interior Faux Laminate</v>
      </c>
      <c r="AD1" s="119"/>
      <c r="AE1" s="120" t="str">
        <f>Windows!K10</f>
        <v>Beige or Sandstone Base Color</v>
      </c>
      <c r="AF1" s="119"/>
      <c r="AG1" s="120" t="str">
        <f>Windows!L10</f>
        <v>Bronze Base Color</v>
      </c>
      <c r="AH1" s="119"/>
      <c r="AI1" s="120" t="str">
        <f>Windows!M10</f>
        <v>Painted Exterior</v>
      </c>
      <c r="AJ1" s="119"/>
      <c r="AK1" s="120" t="str">
        <f>Windows!N10</f>
        <v>Full Screen</v>
      </c>
      <c r="AV1" s="17"/>
      <c r="AW1" s="17"/>
    </row>
    <row r="2" spans="1:49" s="32" customFormat="1" ht="62.25" customHeight="1" thickBot="1" x14ac:dyDescent="0.25">
      <c r="A2" s="27" t="s">
        <v>76</v>
      </c>
      <c r="B2" s="28" t="s">
        <v>134</v>
      </c>
      <c r="C2" s="67" t="s">
        <v>136</v>
      </c>
      <c r="D2" s="29"/>
      <c r="E2" s="29"/>
      <c r="F2" s="29"/>
      <c r="G2" s="29"/>
      <c r="H2" s="29"/>
      <c r="I2" s="29"/>
      <c r="J2" s="68" t="s">
        <v>58</v>
      </c>
      <c r="K2" s="68" t="s">
        <v>59</v>
      </c>
      <c r="L2" s="130" t="s">
        <v>60</v>
      </c>
      <c r="M2" s="131" t="s">
        <v>61</v>
      </c>
      <c r="N2" s="130" t="s">
        <v>62</v>
      </c>
      <c r="O2" s="131" t="s">
        <v>15</v>
      </c>
      <c r="P2" s="130" t="s">
        <v>62</v>
      </c>
      <c r="Q2" s="131" t="s">
        <v>63</v>
      </c>
      <c r="R2" s="130" t="s">
        <v>62</v>
      </c>
      <c r="S2" s="131" t="s">
        <v>64</v>
      </c>
      <c r="T2" s="130" t="s">
        <v>62</v>
      </c>
      <c r="U2" s="131" t="s">
        <v>65</v>
      </c>
      <c r="V2" s="130" t="s">
        <v>62</v>
      </c>
      <c r="W2" s="131" t="s">
        <v>19</v>
      </c>
      <c r="X2" s="130" t="s">
        <v>62</v>
      </c>
      <c r="Y2" s="131" t="s">
        <v>20</v>
      </c>
      <c r="Z2" s="130" t="s">
        <v>62</v>
      </c>
      <c r="AA2" s="131" t="s">
        <v>21</v>
      </c>
      <c r="AB2" s="130" t="s">
        <v>66</v>
      </c>
      <c r="AC2" s="131" t="s">
        <v>22</v>
      </c>
      <c r="AD2" s="130" t="s">
        <v>66</v>
      </c>
      <c r="AE2" s="131" t="s">
        <v>23</v>
      </c>
      <c r="AF2" s="130" t="s">
        <v>66</v>
      </c>
      <c r="AG2" s="131" t="s">
        <v>143</v>
      </c>
      <c r="AH2" s="130" t="s">
        <v>66</v>
      </c>
      <c r="AI2" s="131" t="s">
        <v>25</v>
      </c>
      <c r="AJ2" s="130" t="s">
        <v>62</v>
      </c>
      <c r="AK2" s="131" t="s">
        <v>26</v>
      </c>
      <c r="AL2" s="30"/>
      <c r="AM2" s="30"/>
      <c r="AN2" s="30"/>
      <c r="AO2" s="30"/>
      <c r="AP2" s="30"/>
      <c r="AQ2" s="30"/>
      <c r="AR2" s="30"/>
      <c r="AS2" s="30"/>
      <c r="AT2" s="31"/>
      <c r="AU2" s="31"/>
    </row>
    <row r="3" spans="1:49" s="7" customFormat="1" ht="15.75" customHeight="1" thickBot="1" x14ac:dyDescent="0.25">
      <c r="A3" s="38"/>
      <c r="B3" s="38"/>
      <c r="C3" s="39"/>
      <c r="D3" s="40" t="s">
        <v>67</v>
      </c>
      <c r="E3" s="44">
        <f>J4</f>
        <v>13.75</v>
      </c>
      <c r="F3" s="44">
        <f>K4</f>
        <v>22.5</v>
      </c>
      <c r="G3" s="44">
        <f>J5</f>
        <v>52.75</v>
      </c>
      <c r="H3" s="44">
        <f>K5</f>
        <v>96</v>
      </c>
      <c r="I3" s="39">
        <f>K6</f>
        <v>148.75</v>
      </c>
      <c r="J3" s="39"/>
      <c r="K3" s="39"/>
      <c r="L3" s="90"/>
      <c r="M3" s="243">
        <f>AVERAGE(M7:M10)</f>
        <v>3.8359327173247628</v>
      </c>
      <c r="N3" s="92"/>
      <c r="O3" s="198">
        <f>AVERAGE(O7:O10)</f>
        <v>2.7788800705467371E-2</v>
      </c>
      <c r="P3" s="92"/>
      <c r="Q3" s="198">
        <f>AVERAGE(Q7:Q10)</f>
        <v>1.3932736420869334E-2</v>
      </c>
      <c r="R3" s="92"/>
      <c r="S3" s="198">
        <f>AVERAGE(S7:S10)</f>
        <v>3.4591621458710066E-2</v>
      </c>
      <c r="T3" s="92"/>
      <c r="U3" s="198">
        <f>AVERAGE(U7:U10)</f>
        <v>1.5374053981648917E-2</v>
      </c>
      <c r="V3" s="92"/>
      <c r="W3" s="198">
        <f>AVERAGE(W7:W10)</f>
        <v>2.4021959346326435E-2</v>
      </c>
      <c r="X3" s="94"/>
      <c r="Y3" s="198">
        <f>AVERAGE(Y7:Y10)</f>
        <v>8.2921089790815528E-2</v>
      </c>
      <c r="Z3" s="92"/>
      <c r="AA3" s="198">
        <f>AVERAGE(AA7:AA10)</f>
        <v>0</v>
      </c>
      <c r="AB3" s="92"/>
      <c r="AC3" s="198">
        <f>AVERAGE(AC7:AC10)</f>
        <v>0.7717755203550658</v>
      </c>
      <c r="AD3" s="92"/>
      <c r="AE3" s="198">
        <f>AVERAGE(AE7:AE10)</f>
        <v>0.63789648377716557</v>
      </c>
      <c r="AF3" s="92"/>
      <c r="AG3" s="198">
        <f>AVERAGE(AG7:AG10)</f>
        <v>0</v>
      </c>
      <c r="AH3" s="92"/>
      <c r="AI3" s="198">
        <f>AVERAGE(AI7:AI10)</f>
        <v>1.7568296602387512</v>
      </c>
      <c r="AJ3" s="92"/>
      <c r="AK3" s="198">
        <f>AVERAGE(AK7:AK10)</f>
        <v>4.3239526823387582E-3</v>
      </c>
      <c r="AS3" s="1"/>
      <c r="AT3" s="1"/>
    </row>
    <row r="4" spans="1:49" s="8" customFormat="1" ht="12" thickBot="1" x14ac:dyDescent="0.25">
      <c r="A4" s="41"/>
      <c r="B4" s="41"/>
      <c r="C4" s="4"/>
      <c r="D4" s="4"/>
      <c r="E4" s="2"/>
      <c r="F4" s="2"/>
      <c r="G4" s="2"/>
      <c r="H4" s="2"/>
      <c r="I4" s="2"/>
      <c r="J4" s="23">
        <v>13.75</v>
      </c>
      <c r="K4" s="72">
        <v>22.5</v>
      </c>
      <c r="L4" s="91" t="s">
        <v>68</v>
      </c>
      <c r="M4" s="86"/>
      <c r="N4" s="12"/>
      <c r="O4" s="86"/>
      <c r="P4" s="12"/>
      <c r="Q4" s="86"/>
      <c r="R4" s="12"/>
      <c r="S4" s="86"/>
      <c r="T4" s="12"/>
      <c r="U4" s="89"/>
      <c r="V4" s="12"/>
      <c r="W4" s="89"/>
      <c r="X4" s="12"/>
      <c r="Y4" s="86"/>
      <c r="Z4" s="143"/>
      <c r="AA4" s="144"/>
      <c r="AB4" s="93"/>
      <c r="AC4" s="86"/>
      <c r="AD4" s="93"/>
      <c r="AE4" s="86"/>
      <c r="AF4" s="93"/>
      <c r="AG4" s="86"/>
      <c r="AH4" s="93"/>
      <c r="AI4" s="86"/>
      <c r="AJ4" s="12"/>
      <c r="AK4" s="86"/>
      <c r="AL4" s="9"/>
      <c r="AM4" s="9"/>
      <c r="AN4" s="9"/>
      <c r="AO4" s="9"/>
      <c r="AP4" s="9"/>
      <c r="AQ4" s="9"/>
      <c r="AR4" s="9"/>
      <c r="AS4" s="9"/>
      <c r="AT4" s="9"/>
      <c r="AU4" s="9"/>
    </row>
    <row r="5" spans="1:49" s="8" customFormat="1" ht="12" thickBot="1" x14ac:dyDescent="0.25">
      <c r="A5" s="41"/>
      <c r="B5" s="41"/>
      <c r="C5" s="4"/>
      <c r="D5" s="4"/>
      <c r="E5" s="2"/>
      <c r="F5" s="2"/>
      <c r="G5" s="2"/>
      <c r="H5" s="2"/>
      <c r="I5" s="2"/>
      <c r="J5" s="23">
        <v>52.75</v>
      </c>
      <c r="K5" s="73">
        <v>96</v>
      </c>
      <c r="L5" s="91" t="s">
        <v>69</v>
      </c>
      <c r="M5" s="87"/>
      <c r="N5" s="3"/>
      <c r="O5" s="86"/>
      <c r="P5" s="3"/>
      <c r="Q5" s="86"/>
      <c r="R5" s="3"/>
      <c r="S5" s="86"/>
      <c r="T5" s="3"/>
      <c r="U5" s="86"/>
      <c r="V5" s="3"/>
      <c r="W5" s="87"/>
      <c r="X5" s="12"/>
      <c r="Y5" s="87"/>
      <c r="Z5" s="143"/>
      <c r="AA5" s="144"/>
      <c r="AB5" s="3"/>
      <c r="AC5" s="86"/>
      <c r="AD5" s="3"/>
      <c r="AE5" s="86"/>
      <c r="AF5" s="3"/>
      <c r="AG5" s="86"/>
      <c r="AH5" s="3"/>
      <c r="AI5" s="86"/>
      <c r="AJ5" s="3"/>
      <c r="AK5" s="86"/>
      <c r="AL5" s="9"/>
      <c r="AM5" s="9"/>
      <c r="AN5" s="9"/>
      <c r="AO5" s="9"/>
      <c r="AP5" s="9"/>
      <c r="AQ5" s="9"/>
      <c r="AR5" s="9"/>
      <c r="AS5" s="9"/>
      <c r="AT5" s="9"/>
      <c r="AU5" s="9"/>
    </row>
    <row r="6" spans="1:49" s="8" customFormat="1" ht="12" thickBot="1" x14ac:dyDescent="0.25">
      <c r="A6" s="41"/>
      <c r="B6" s="41"/>
      <c r="C6" s="10"/>
      <c r="D6" s="4"/>
      <c r="E6" s="2"/>
      <c r="F6" s="2"/>
      <c r="G6" s="2"/>
      <c r="H6" s="2"/>
      <c r="I6" s="2"/>
      <c r="J6" s="11"/>
      <c r="K6" s="74">
        <f>K5+J5</f>
        <v>148.75</v>
      </c>
      <c r="L6" s="91" t="s">
        <v>70</v>
      </c>
      <c r="M6" s="87"/>
      <c r="N6" s="93"/>
      <c r="O6" s="86"/>
      <c r="P6" s="93"/>
      <c r="Q6" s="86"/>
      <c r="R6" s="93"/>
      <c r="S6" s="86"/>
      <c r="T6" s="3"/>
      <c r="U6" s="86"/>
      <c r="V6" s="3"/>
      <c r="W6" s="87"/>
      <c r="X6" s="95"/>
      <c r="Y6" s="89"/>
      <c r="Z6" s="143"/>
      <c r="AA6" s="144"/>
      <c r="AB6" s="3"/>
      <c r="AC6" s="88"/>
      <c r="AD6" s="3"/>
      <c r="AE6" s="88"/>
      <c r="AF6" s="3"/>
      <c r="AG6" s="88"/>
      <c r="AH6" s="3"/>
      <c r="AI6" s="88"/>
      <c r="AJ6" s="93"/>
      <c r="AK6" s="86"/>
      <c r="AL6" s="9"/>
      <c r="AM6" s="9"/>
      <c r="AN6" s="9"/>
      <c r="AO6" s="9"/>
      <c r="AP6" s="9"/>
      <c r="AQ6" s="9"/>
      <c r="AR6" s="9"/>
      <c r="AS6" s="9"/>
      <c r="AT6" s="9"/>
      <c r="AU6" s="9"/>
    </row>
    <row r="7" spans="1:49" x14ac:dyDescent="0.2">
      <c r="A7" s="42"/>
      <c r="B7" s="42"/>
      <c r="C7" s="43"/>
      <c r="D7" s="43">
        <f>SUM(J7:K7)</f>
        <v>72</v>
      </c>
      <c r="E7" s="20"/>
      <c r="F7" s="20"/>
      <c r="G7" s="20"/>
      <c r="H7" s="20"/>
      <c r="I7" s="20"/>
      <c r="J7" s="111">
        <v>36</v>
      </c>
      <c r="K7" s="112">
        <v>36</v>
      </c>
      <c r="L7" s="85">
        <v>287</v>
      </c>
      <c r="M7" s="83">
        <f>L7/($J7+$K7)</f>
        <v>3.9861111111111112</v>
      </c>
      <c r="N7" s="85">
        <f>L7+45</f>
        <v>332</v>
      </c>
      <c r="O7" s="83">
        <f>IF(N7=0,0,(N7-$L7)/($J7*$K7))</f>
        <v>3.4722222222222224E-2</v>
      </c>
      <c r="P7" s="85">
        <f>L7+29</f>
        <v>316</v>
      </c>
      <c r="Q7" s="83">
        <f t="shared" ref="Q7:Q10" si="0">IF(P7=0,0,(P7-$L7)/($J7*$K7))</f>
        <v>2.2376543209876542E-2</v>
      </c>
      <c r="R7" s="85">
        <f>L7+36+36</f>
        <v>359</v>
      </c>
      <c r="S7" s="83">
        <f t="shared" ref="S7:S10" si="1">IF(R7=0,0,(R7-$L7)/($J7*$K7))</f>
        <v>5.5555555555555552E-2</v>
      </c>
      <c r="T7" s="85">
        <f>L7+16+16</f>
        <v>319</v>
      </c>
      <c r="U7" s="83">
        <f t="shared" ref="U7:U10" si="2">IF(T7=0,0,(T7-$L7)/($J7*$K7))</f>
        <v>2.4691358024691357E-2</v>
      </c>
      <c r="V7" s="85">
        <f>L7+25+25</f>
        <v>337</v>
      </c>
      <c r="W7" s="83">
        <f t="shared" ref="W7:W10" si="3">IF(V7=0,0,(V7-$L7)/($J7*$K7))</f>
        <v>3.8580246913580245E-2</v>
      </c>
      <c r="X7" s="85">
        <f>L7+77+77</f>
        <v>441</v>
      </c>
      <c r="Y7" s="83">
        <f t="shared" ref="Y7:Y10" si="4">IF(X7=0,0,(X7-$L7)/($J7*$K7))</f>
        <v>0.11882716049382716</v>
      </c>
      <c r="Z7" s="145">
        <v>0</v>
      </c>
      <c r="AA7" s="83">
        <f t="shared" ref="AA7:AA10" si="5">IF(Z7=0,0,(Z7-$L7)/($J7*$K7))</f>
        <v>0</v>
      </c>
      <c r="AB7" s="85">
        <v>361</v>
      </c>
      <c r="AC7" s="83">
        <f>IF(AB7 = 0, 0,(AB7-$L7)/($J7+$K7))</f>
        <v>1.0277777777777777</v>
      </c>
      <c r="AD7" s="85">
        <v>348</v>
      </c>
      <c r="AE7" s="83">
        <f>IF(AD7 = 0, 0,(AD7-$L7)/($J7+$K7))</f>
        <v>0.84722222222222221</v>
      </c>
      <c r="AF7" s="85">
        <v>0</v>
      </c>
      <c r="AG7" s="83">
        <f>IF(AF7 = 0, 0,(AF7-$L7)/($J7+$K7))</f>
        <v>0</v>
      </c>
      <c r="AH7" s="85">
        <v>455</v>
      </c>
      <c r="AI7" s="83">
        <f>IF(AH7 = 0, 0,(AH7-$L7)/($J7+$K7))</f>
        <v>2.3333333333333335</v>
      </c>
      <c r="AJ7" s="85">
        <f>L7+9</f>
        <v>296</v>
      </c>
      <c r="AK7" s="83">
        <f t="shared" ref="AK7:AK10" si="6">IF(AJ7=0,0,(AJ7-$L7)/($J7*$K7))</f>
        <v>6.9444444444444441E-3</v>
      </c>
      <c r="AS7"/>
      <c r="AT7" s="18"/>
    </row>
    <row r="8" spans="1:49" x14ac:dyDescent="0.2">
      <c r="A8" s="42"/>
      <c r="B8" s="42"/>
      <c r="C8" s="43"/>
      <c r="D8" s="43">
        <f t="shared" ref="D8:D10" si="7">SUM(J8:K8)</f>
        <v>96</v>
      </c>
      <c r="E8" s="20"/>
      <c r="F8" s="20"/>
      <c r="G8" s="20"/>
      <c r="H8" s="20"/>
      <c r="I8" s="20"/>
      <c r="J8" s="113">
        <v>36</v>
      </c>
      <c r="K8" s="14">
        <v>60</v>
      </c>
      <c r="L8" s="121">
        <v>355</v>
      </c>
      <c r="M8" s="122">
        <f>L8/($J8+$K8)</f>
        <v>3.6979166666666665</v>
      </c>
      <c r="N8" s="121">
        <f>L8+62</f>
        <v>417</v>
      </c>
      <c r="O8" s="122">
        <f t="shared" ref="O8:O10" si="8">IF(N8=0,0,(N8-$L8)/($J8*$K8))</f>
        <v>2.8703703703703703E-2</v>
      </c>
      <c r="P8" s="121">
        <f t="shared" ref="P8:P10" si="9">L8+29</f>
        <v>384</v>
      </c>
      <c r="Q8" s="122">
        <f t="shared" si="0"/>
        <v>1.3425925925925926E-2</v>
      </c>
      <c r="R8" s="121">
        <f t="shared" ref="R8:R10" si="10">L8+36+36</f>
        <v>427</v>
      </c>
      <c r="S8" s="122">
        <f t="shared" si="1"/>
        <v>3.3333333333333333E-2</v>
      </c>
      <c r="T8" s="121">
        <f t="shared" ref="T8:T10" si="11">L8+16+16</f>
        <v>387</v>
      </c>
      <c r="U8" s="122">
        <f t="shared" si="2"/>
        <v>1.4814814814814815E-2</v>
      </c>
      <c r="V8" s="121">
        <f t="shared" ref="V8:V10" si="12">L8+25+25</f>
        <v>405</v>
      </c>
      <c r="W8" s="122">
        <f t="shared" si="3"/>
        <v>2.3148148148148147E-2</v>
      </c>
      <c r="X8" s="121">
        <f>L8+77+77</f>
        <v>509</v>
      </c>
      <c r="Y8" s="122">
        <f t="shared" si="4"/>
        <v>7.1296296296296302E-2</v>
      </c>
      <c r="Z8" s="146">
        <v>0</v>
      </c>
      <c r="AA8" s="122">
        <f t="shared" si="5"/>
        <v>0</v>
      </c>
      <c r="AB8" s="121">
        <v>429</v>
      </c>
      <c r="AC8" s="122">
        <f>IF(AB8 = 0, 0,(AB8-$L8)/($J8+$K8))</f>
        <v>0.77083333333333337</v>
      </c>
      <c r="AD8" s="121">
        <v>416</v>
      </c>
      <c r="AE8" s="122">
        <f>IF(AD8 = 0, 0,(AD8-$L8)/($J8+$K8))</f>
        <v>0.63541666666666663</v>
      </c>
      <c r="AF8" s="121">
        <v>0</v>
      </c>
      <c r="AG8" s="122">
        <f>IF(AF8 = 0, 0,(AF8-$L8)/($J8+$K8))</f>
        <v>0</v>
      </c>
      <c r="AH8" s="121">
        <v>523</v>
      </c>
      <c r="AI8" s="122">
        <f>IF(AH8 = 0, 0,(AH8-$L8)/($J8+$K8))</f>
        <v>1.75</v>
      </c>
      <c r="AJ8" s="121">
        <f t="shared" ref="AJ8:AJ10" si="13">L8+9</f>
        <v>364</v>
      </c>
      <c r="AK8" s="122">
        <f t="shared" si="6"/>
        <v>4.1666666666666666E-3</v>
      </c>
      <c r="AS8"/>
      <c r="AT8" s="18"/>
    </row>
    <row r="9" spans="1:49" x14ac:dyDescent="0.2">
      <c r="A9" s="42"/>
      <c r="B9" s="42"/>
      <c r="C9" s="43"/>
      <c r="D9" s="43">
        <f t="shared" si="7"/>
        <v>108</v>
      </c>
      <c r="E9" s="20"/>
      <c r="F9" s="20"/>
      <c r="G9" s="20"/>
      <c r="H9" s="20"/>
      <c r="I9" s="20"/>
      <c r="J9" s="113">
        <v>36</v>
      </c>
      <c r="K9" s="14">
        <v>72</v>
      </c>
      <c r="L9" s="121">
        <v>389</v>
      </c>
      <c r="M9" s="122">
        <f t="shared" ref="M9:M10" si="14">L9/($J9+$K9)</f>
        <v>3.6018518518518516</v>
      </c>
      <c r="N9" s="121">
        <f>L9+62</f>
        <v>451</v>
      </c>
      <c r="O9" s="122">
        <f t="shared" si="8"/>
        <v>2.3919753086419752E-2</v>
      </c>
      <c r="P9" s="121">
        <f t="shared" si="9"/>
        <v>418</v>
      </c>
      <c r="Q9" s="122">
        <f t="shared" si="0"/>
        <v>1.1188271604938271E-2</v>
      </c>
      <c r="R9" s="121">
        <f t="shared" si="10"/>
        <v>461</v>
      </c>
      <c r="S9" s="122">
        <f t="shared" si="1"/>
        <v>2.7777777777777776E-2</v>
      </c>
      <c r="T9" s="121">
        <f t="shared" si="11"/>
        <v>421</v>
      </c>
      <c r="U9" s="122">
        <f t="shared" si="2"/>
        <v>1.2345679012345678E-2</v>
      </c>
      <c r="V9" s="121">
        <f t="shared" si="12"/>
        <v>439</v>
      </c>
      <c r="W9" s="122">
        <f t="shared" si="3"/>
        <v>1.9290123456790122E-2</v>
      </c>
      <c r="X9" s="121">
        <f>L9+103+103</f>
        <v>595</v>
      </c>
      <c r="Y9" s="122">
        <f t="shared" si="4"/>
        <v>7.9475308641975315E-2</v>
      </c>
      <c r="Z9" s="146">
        <v>0</v>
      </c>
      <c r="AA9" s="122">
        <f t="shared" si="5"/>
        <v>0</v>
      </c>
      <c r="AB9" s="121">
        <v>463</v>
      </c>
      <c r="AC9" s="122">
        <f>IF(AB9 = 0, 0,(AB9-$L9)/($J9+$K9))</f>
        <v>0.68518518518518523</v>
      </c>
      <c r="AD9" s="121">
        <v>450</v>
      </c>
      <c r="AE9" s="122">
        <f>IF(AD9 = 0, 0,(AD9-$L9)/($J9+$K9))</f>
        <v>0.56481481481481477</v>
      </c>
      <c r="AF9" s="121">
        <v>0</v>
      </c>
      <c r="AG9" s="122">
        <f>IF(AF9 = 0, 0,(AF9-$L9)/($J9+$K9))</f>
        <v>0</v>
      </c>
      <c r="AH9" s="121">
        <v>557</v>
      </c>
      <c r="AI9" s="122">
        <f>IF(AH9 = 0, 0,(AH9-$L9)/($J9+$K9))</f>
        <v>1.5555555555555556</v>
      </c>
      <c r="AJ9" s="121">
        <f t="shared" si="13"/>
        <v>398</v>
      </c>
      <c r="AK9" s="122">
        <f t="shared" si="6"/>
        <v>3.472222222222222E-3</v>
      </c>
      <c r="AS9"/>
      <c r="AT9" s="18"/>
    </row>
    <row r="10" spans="1:49" ht="12" thickBot="1" x14ac:dyDescent="0.25">
      <c r="A10" s="42"/>
      <c r="B10" s="42"/>
      <c r="C10" s="43"/>
      <c r="D10" s="43">
        <f t="shared" si="7"/>
        <v>121</v>
      </c>
      <c r="E10" s="20"/>
      <c r="F10" s="20"/>
      <c r="G10" s="20"/>
      <c r="H10" s="20"/>
      <c r="I10" s="20"/>
      <c r="J10" s="114">
        <v>42</v>
      </c>
      <c r="K10" s="115">
        <v>79</v>
      </c>
      <c r="L10" s="123">
        <v>491</v>
      </c>
      <c r="M10" s="124">
        <f t="shared" si="14"/>
        <v>4.0578512396694215</v>
      </c>
      <c r="N10" s="123">
        <f>L10+79</f>
        <v>570</v>
      </c>
      <c r="O10" s="124">
        <f t="shared" si="8"/>
        <v>2.3809523809523808E-2</v>
      </c>
      <c r="P10" s="123">
        <f t="shared" si="9"/>
        <v>520</v>
      </c>
      <c r="Q10" s="124">
        <f t="shared" si="0"/>
        <v>8.7402049427365881E-3</v>
      </c>
      <c r="R10" s="123">
        <f t="shared" si="10"/>
        <v>563</v>
      </c>
      <c r="S10" s="124">
        <f t="shared" si="1"/>
        <v>2.1699819168173599E-2</v>
      </c>
      <c r="T10" s="123">
        <f t="shared" si="11"/>
        <v>523</v>
      </c>
      <c r="U10" s="124">
        <f t="shared" si="2"/>
        <v>9.6443640747438213E-3</v>
      </c>
      <c r="V10" s="123">
        <f t="shared" si="12"/>
        <v>541</v>
      </c>
      <c r="W10" s="124">
        <f t="shared" si="3"/>
        <v>1.5069318866787222E-2</v>
      </c>
      <c r="X10" s="123">
        <f>L10+103+103</f>
        <v>697</v>
      </c>
      <c r="Y10" s="124">
        <f t="shared" si="4"/>
        <v>6.2085593731163354E-2</v>
      </c>
      <c r="Z10" s="147">
        <v>0</v>
      </c>
      <c r="AA10" s="124">
        <f t="shared" si="5"/>
        <v>0</v>
      </c>
      <c r="AB10" s="123">
        <v>564</v>
      </c>
      <c r="AC10" s="124">
        <f>IF(AB10 = 0, 0,(AB10-$L10)/($J10+$K10))</f>
        <v>0.60330578512396693</v>
      </c>
      <c r="AD10" s="123">
        <v>552</v>
      </c>
      <c r="AE10" s="124">
        <f>IF(AD10 = 0, 0,(AD10-$L10)/($J10+$K10))</f>
        <v>0.50413223140495866</v>
      </c>
      <c r="AF10" s="123">
        <v>0</v>
      </c>
      <c r="AG10" s="124">
        <f>IF(AF10 = 0, 0,(AF10-$L10)/($J10+$K10))</f>
        <v>0</v>
      </c>
      <c r="AH10" s="123">
        <v>659</v>
      </c>
      <c r="AI10" s="124">
        <f>IF(AH10 = 0, 0,(AH10-$L10)/($J10+$K10))</f>
        <v>1.3884297520661157</v>
      </c>
      <c r="AJ10" s="123">
        <f t="shared" si="13"/>
        <v>500</v>
      </c>
      <c r="AK10" s="124">
        <f t="shared" si="6"/>
        <v>2.7124773960216998E-3</v>
      </c>
      <c r="AS10"/>
      <c r="AT10" s="18"/>
    </row>
    <row r="11" spans="1:49" s="35" customFormat="1" ht="12" thickBot="1" x14ac:dyDescent="0.25">
      <c r="A11" s="33"/>
      <c r="B11" s="33"/>
      <c r="C11" s="34"/>
      <c r="D11" s="34"/>
      <c r="E11" s="34"/>
      <c r="F11" s="34"/>
      <c r="G11" s="34"/>
      <c r="H11" s="34"/>
      <c r="I11" s="34"/>
      <c r="J11" s="34"/>
      <c r="K11" s="34"/>
      <c r="L11" s="132"/>
      <c r="M11" s="133"/>
      <c r="N11" s="136"/>
      <c r="O11" s="137"/>
      <c r="P11" s="136"/>
      <c r="Q11" s="137"/>
      <c r="R11" s="136"/>
      <c r="S11" s="137"/>
      <c r="T11" s="136"/>
      <c r="U11" s="138"/>
      <c r="V11" s="139"/>
      <c r="W11" s="138"/>
      <c r="X11" s="139"/>
      <c r="Y11" s="138"/>
      <c r="Z11" s="148"/>
      <c r="AA11" s="149"/>
      <c r="AB11" s="132"/>
      <c r="AC11" s="133"/>
      <c r="AD11" s="132"/>
      <c r="AE11" s="133"/>
      <c r="AF11" s="132"/>
      <c r="AG11" s="133"/>
      <c r="AH11" s="132"/>
      <c r="AI11" s="133"/>
      <c r="AJ11" s="136"/>
      <c r="AK11" s="137"/>
      <c r="AT11" s="34"/>
    </row>
    <row r="12" spans="1:49" s="7" customFormat="1" ht="15.75" customHeight="1" thickBot="1" x14ac:dyDescent="0.25">
      <c r="A12" s="38"/>
      <c r="B12" s="38"/>
      <c r="C12" s="39"/>
      <c r="D12" s="40" t="s">
        <v>71</v>
      </c>
      <c r="E12" s="45">
        <f>J13</f>
        <v>22</v>
      </c>
      <c r="F12" s="45">
        <f>K13</f>
        <v>13.25</v>
      </c>
      <c r="G12" s="45">
        <f>J14</f>
        <v>93</v>
      </c>
      <c r="H12" s="45">
        <f>K14</f>
        <v>73</v>
      </c>
      <c r="I12" s="7">
        <f>K15</f>
        <v>166</v>
      </c>
      <c r="J12" s="39"/>
      <c r="K12" s="39"/>
      <c r="L12" s="90"/>
      <c r="M12" s="243">
        <f>AVERAGE(M16:M21)</f>
        <v>3.8033730158730155</v>
      </c>
      <c r="N12" s="92"/>
      <c r="O12" s="198">
        <f>AVERAGE(O16:O21)</f>
        <v>3.8258405688961244E-2</v>
      </c>
      <c r="P12" s="92"/>
      <c r="Q12" s="198">
        <f>AVERAGE(Q16:Q21)</f>
        <v>1.9775301858635193E-2</v>
      </c>
      <c r="R12" s="92"/>
      <c r="S12" s="198">
        <f>AVERAGE(S16:S21)</f>
        <v>4.9438254646587985E-2</v>
      </c>
      <c r="T12" s="92"/>
      <c r="U12" s="198">
        <f>AVERAGE(U16:U21)</f>
        <v>2.2471933930267262E-2</v>
      </c>
      <c r="V12" s="92"/>
      <c r="W12" s="198">
        <f>AVERAGE(W16:W21)</f>
        <v>2.2471933930267262E-2</v>
      </c>
      <c r="X12" s="94"/>
      <c r="Y12" s="198">
        <f>AVERAGE(Y16:Y21)</f>
        <v>7.7171559150725821E-2</v>
      </c>
      <c r="Z12" s="92"/>
      <c r="AA12" s="198">
        <f>AVERAGE(AA16:AA21)</f>
        <v>0</v>
      </c>
      <c r="AB12" s="92"/>
      <c r="AC12" s="198">
        <f>AVERAGE(AC16:AC21)</f>
        <v>0.95479497354497367</v>
      </c>
      <c r="AD12" s="92"/>
      <c r="AE12" s="198">
        <f>AVERAGE(AE16:AE21)</f>
        <v>0.78983134920634923</v>
      </c>
      <c r="AF12" s="92"/>
      <c r="AG12" s="198">
        <f>AVERAGE(AG16:AG21)</f>
        <v>0</v>
      </c>
      <c r="AH12" s="92"/>
      <c r="AI12" s="198">
        <f>AVERAGE(AI16:AI21)</f>
        <v>1.7138888888888892</v>
      </c>
      <c r="AJ12" s="92"/>
      <c r="AK12" s="198">
        <f>AVERAGE(AK16:AK21)</f>
        <v>4.0449481074481073E-3</v>
      </c>
      <c r="AS12" s="1"/>
      <c r="AT12" s="1"/>
    </row>
    <row r="13" spans="1:49" s="8" customFormat="1" ht="12" thickBot="1" x14ac:dyDescent="0.25">
      <c r="A13" s="41"/>
      <c r="B13" s="41"/>
      <c r="C13" s="4"/>
      <c r="D13" s="4"/>
      <c r="E13" s="2"/>
      <c r="F13" s="2"/>
      <c r="G13" s="2"/>
      <c r="H13" s="2"/>
      <c r="I13" s="2"/>
      <c r="J13" s="23">
        <v>22</v>
      </c>
      <c r="K13" s="72">
        <v>13.25</v>
      </c>
      <c r="L13" s="91" t="s">
        <v>68</v>
      </c>
      <c r="M13" s="86"/>
      <c r="N13" s="12"/>
      <c r="O13" s="86"/>
      <c r="P13" s="12"/>
      <c r="Q13" s="86"/>
      <c r="R13" s="12"/>
      <c r="S13" s="86"/>
      <c r="T13" s="12"/>
      <c r="U13" s="89"/>
      <c r="V13" s="12"/>
      <c r="W13" s="89"/>
      <c r="X13" s="12"/>
      <c r="Y13" s="86"/>
      <c r="Z13" s="143"/>
      <c r="AA13" s="144"/>
      <c r="AB13" s="93"/>
      <c r="AC13" s="86"/>
      <c r="AD13" s="93"/>
      <c r="AE13" s="86"/>
      <c r="AF13" s="93"/>
      <c r="AG13" s="86"/>
      <c r="AH13" s="93"/>
      <c r="AI13" s="86"/>
      <c r="AJ13" s="12"/>
      <c r="AK13" s="86"/>
      <c r="AL13" s="9"/>
      <c r="AM13" s="9"/>
      <c r="AN13" s="9"/>
      <c r="AO13" s="9"/>
      <c r="AP13" s="9"/>
      <c r="AQ13" s="9"/>
      <c r="AR13" s="9"/>
      <c r="AS13" s="9"/>
      <c r="AT13" s="9"/>
      <c r="AU13" s="9"/>
    </row>
    <row r="14" spans="1:49" s="8" customFormat="1" ht="12" thickBot="1" x14ac:dyDescent="0.25">
      <c r="A14" s="41"/>
      <c r="B14" s="41"/>
      <c r="C14" s="4"/>
      <c r="D14" s="4"/>
      <c r="E14" s="2"/>
      <c r="F14" s="2"/>
      <c r="G14" s="2"/>
      <c r="H14" s="2"/>
      <c r="I14" s="2"/>
      <c r="J14" s="23">
        <v>93</v>
      </c>
      <c r="K14" s="73">
        <v>73</v>
      </c>
      <c r="L14" s="91" t="s">
        <v>69</v>
      </c>
      <c r="M14" s="87"/>
      <c r="N14" s="3"/>
      <c r="O14" s="86"/>
      <c r="P14" s="3"/>
      <c r="Q14" s="86"/>
      <c r="R14" s="3"/>
      <c r="S14" s="86"/>
      <c r="T14" s="3"/>
      <c r="U14" s="86"/>
      <c r="V14" s="3"/>
      <c r="W14" s="87"/>
      <c r="X14" s="12"/>
      <c r="Y14" s="87"/>
      <c r="Z14" s="143"/>
      <c r="AA14" s="144"/>
      <c r="AB14" s="3"/>
      <c r="AC14" s="86"/>
      <c r="AD14" s="3"/>
      <c r="AE14" s="86"/>
      <c r="AF14" s="3"/>
      <c r="AG14" s="86"/>
      <c r="AH14" s="3"/>
      <c r="AI14" s="86"/>
      <c r="AJ14" s="3"/>
      <c r="AK14" s="86"/>
      <c r="AL14" s="9"/>
      <c r="AM14" s="9"/>
      <c r="AN14" s="9"/>
      <c r="AO14" s="9"/>
      <c r="AP14" s="9"/>
      <c r="AQ14" s="9"/>
      <c r="AR14" s="9"/>
      <c r="AS14" s="9"/>
      <c r="AT14" s="9"/>
      <c r="AU14" s="9"/>
    </row>
    <row r="15" spans="1:49" s="8" customFormat="1" ht="12" thickBot="1" x14ac:dyDescent="0.25">
      <c r="A15" s="41"/>
      <c r="B15" s="41"/>
      <c r="C15" s="10"/>
      <c r="D15" s="4"/>
      <c r="E15" s="2"/>
      <c r="F15" s="2"/>
      <c r="G15" s="2"/>
      <c r="H15" s="2"/>
      <c r="I15" s="2"/>
      <c r="J15" s="11"/>
      <c r="K15" s="74">
        <f>K14+J14</f>
        <v>166</v>
      </c>
      <c r="L15" s="91" t="s">
        <v>70</v>
      </c>
      <c r="M15" s="87"/>
      <c r="N15" s="93"/>
      <c r="O15" s="86"/>
      <c r="P15" s="93"/>
      <c r="Q15" s="86"/>
      <c r="R15" s="93"/>
      <c r="S15" s="86"/>
      <c r="T15" s="3"/>
      <c r="U15" s="86"/>
      <c r="V15" s="3"/>
      <c r="W15" s="87"/>
      <c r="X15" s="95"/>
      <c r="Y15" s="89"/>
      <c r="Z15" s="143"/>
      <c r="AA15" s="144"/>
      <c r="AB15" s="3"/>
      <c r="AC15" s="88"/>
      <c r="AD15" s="3"/>
      <c r="AE15" s="88"/>
      <c r="AF15" s="3"/>
      <c r="AG15" s="88"/>
      <c r="AH15" s="3"/>
      <c r="AI15" s="88"/>
      <c r="AJ15" s="93"/>
      <c r="AK15" s="86"/>
      <c r="AL15" s="9"/>
      <c r="AM15" s="9"/>
      <c r="AN15" s="9"/>
      <c r="AO15" s="9"/>
      <c r="AP15" s="9"/>
      <c r="AQ15" s="9"/>
      <c r="AR15" s="9"/>
      <c r="AS15" s="9"/>
      <c r="AT15" s="9"/>
      <c r="AU15" s="9"/>
    </row>
    <row r="16" spans="1:49" x14ac:dyDescent="0.2">
      <c r="A16" s="42"/>
      <c r="B16" s="42"/>
      <c r="C16" s="43"/>
      <c r="D16" s="197">
        <f t="shared" ref="D16:D21" si="15">SUM(J16:K16)</f>
        <v>72</v>
      </c>
      <c r="E16" s="20"/>
      <c r="F16" s="20"/>
      <c r="G16" s="20"/>
      <c r="H16" s="20"/>
      <c r="I16" s="20"/>
      <c r="J16" s="111">
        <v>36</v>
      </c>
      <c r="K16" s="112">
        <v>36</v>
      </c>
      <c r="L16" s="85">
        <v>296</v>
      </c>
      <c r="M16" s="83">
        <f t="shared" ref="M16:M21" si="16">L16/($J16+$K16)</f>
        <v>4.1111111111111107</v>
      </c>
      <c r="N16" s="85">
        <f>L16+74</f>
        <v>370</v>
      </c>
      <c r="O16" s="83">
        <f t="shared" ref="O16:O21" si="17">IF(N16=0,0,(N16-$L16)/($J16*$K16))</f>
        <v>5.7098765432098762E-2</v>
      </c>
      <c r="P16" s="85">
        <f>L16+44</f>
        <v>340</v>
      </c>
      <c r="Q16" s="83">
        <f t="shared" ref="Q16:Q21" si="18">IF(P16=0,0,(P16-$L16)/($J16*$K16))</f>
        <v>3.3950617283950615E-2</v>
      </c>
      <c r="R16" s="85">
        <f>L16+55+55</f>
        <v>406</v>
      </c>
      <c r="S16" s="83">
        <f t="shared" ref="S16:S21" si="19">IF(R16=0,0,(R16-$L16)/($J16*$K16))</f>
        <v>8.4876543209876545E-2</v>
      </c>
      <c r="T16" s="85">
        <f>L16+25+25</f>
        <v>346</v>
      </c>
      <c r="U16" s="83">
        <f t="shared" ref="U16:U21" si="20">IF(T16=0,0,(T16-$L16)/($J16*$K16))</f>
        <v>3.8580246913580245E-2</v>
      </c>
      <c r="V16" s="85">
        <f>L16+50</f>
        <v>346</v>
      </c>
      <c r="W16" s="83">
        <f t="shared" ref="W16:W21" si="21">IF(V16=0,0,(V16-$L16)/($J16*$K16))</f>
        <v>3.8580246913580245E-2</v>
      </c>
      <c r="X16" s="85">
        <f>L16+155</f>
        <v>451</v>
      </c>
      <c r="Y16" s="83">
        <f t="shared" ref="Y16:Y21" si="22">IF(X16=0,0,(X16-$L16)/($J16*$K16))</f>
        <v>0.11959876543209877</v>
      </c>
      <c r="Z16" s="145">
        <v>0</v>
      </c>
      <c r="AA16" s="83">
        <f t="shared" ref="AA16:AA21" si="23">IF(Z16=0,0,(Z16-$L16)/($J16*$K16))</f>
        <v>0</v>
      </c>
      <c r="AB16" s="85">
        <v>390</v>
      </c>
      <c r="AC16" s="83">
        <f t="shared" ref="AC16:AC21" si="24">IF(AB16 = 0, 0,(AB16-$L16)/($J16+$K16))</f>
        <v>1.3055555555555556</v>
      </c>
      <c r="AD16" s="85">
        <v>374</v>
      </c>
      <c r="AE16" s="83">
        <f t="shared" ref="AE16:AE21" si="25">IF(AD16 = 0, 0,(AD16-$L16)/($J16+$K16))</f>
        <v>1.0833333333333333</v>
      </c>
      <c r="AF16" s="85">
        <v>0</v>
      </c>
      <c r="AG16" s="83">
        <f t="shared" ref="AG16:AG21" si="26">IF(AF16 = 0, 0,(AF16-$L16)/($J16+$K16))</f>
        <v>0</v>
      </c>
      <c r="AH16" s="85">
        <v>464</v>
      </c>
      <c r="AI16" s="83">
        <f t="shared" ref="AI16:AI21" si="27">IF(AH16 = 0, 0,(AH16-$L16)/($J16+$K16))</f>
        <v>2.3333333333333335</v>
      </c>
      <c r="AJ16" s="85">
        <f>L16+9</f>
        <v>305</v>
      </c>
      <c r="AK16" s="83">
        <f t="shared" ref="AK16:AK21" si="28">IF(AJ16=0,0,(AJ16-$L16)/($J16*$K16))</f>
        <v>6.9444444444444441E-3</v>
      </c>
      <c r="AS16"/>
      <c r="AT16" s="18"/>
    </row>
    <row r="17" spans="1:47" x14ac:dyDescent="0.2">
      <c r="A17" s="42"/>
      <c r="B17" s="42"/>
      <c r="C17" s="43"/>
      <c r="D17" s="197">
        <f t="shared" si="15"/>
        <v>84</v>
      </c>
      <c r="E17" s="20"/>
      <c r="F17" s="20"/>
      <c r="G17" s="20"/>
      <c r="H17" s="20"/>
      <c r="I17" s="20"/>
      <c r="J17" s="113">
        <v>48</v>
      </c>
      <c r="K17" s="14">
        <v>36</v>
      </c>
      <c r="L17" s="121">
        <v>330</v>
      </c>
      <c r="M17" s="122">
        <f t="shared" si="16"/>
        <v>3.9285714285714284</v>
      </c>
      <c r="N17" s="121">
        <f>L17+74</f>
        <v>404</v>
      </c>
      <c r="O17" s="122">
        <f t="shared" si="17"/>
        <v>4.2824074074074077E-2</v>
      </c>
      <c r="P17" s="121">
        <f t="shared" ref="P17:P21" si="29">L17+44</f>
        <v>374</v>
      </c>
      <c r="Q17" s="122">
        <f t="shared" si="18"/>
        <v>2.5462962962962962E-2</v>
      </c>
      <c r="R17" s="121">
        <f t="shared" ref="R17:R21" si="30">L17+55+55</f>
        <v>440</v>
      </c>
      <c r="S17" s="122">
        <f t="shared" si="19"/>
        <v>6.3657407407407413E-2</v>
      </c>
      <c r="T17" s="121">
        <f t="shared" ref="T17:T21" si="31">L17+25+25</f>
        <v>380</v>
      </c>
      <c r="U17" s="122">
        <f t="shared" si="20"/>
        <v>2.8935185185185185E-2</v>
      </c>
      <c r="V17" s="121">
        <f t="shared" ref="V17:V21" si="32">L17+50</f>
        <v>380</v>
      </c>
      <c r="W17" s="122">
        <f t="shared" si="21"/>
        <v>2.8935185185185185E-2</v>
      </c>
      <c r="X17" s="121">
        <f>L17+155</f>
        <v>485</v>
      </c>
      <c r="Y17" s="122">
        <f t="shared" si="22"/>
        <v>8.969907407407407E-2</v>
      </c>
      <c r="Z17" s="146">
        <v>0</v>
      </c>
      <c r="AA17" s="122">
        <f t="shared" si="23"/>
        <v>0</v>
      </c>
      <c r="AB17" s="121">
        <v>424</v>
      </c>
      <c r="AC17" s="122">
        <f t="shared" si="24"/>
        <v>1.1190476190476191</v>
      </c>
      <c r="AD17" s="121">
        <v>408</v>
      </c>
      <c r="AE17" s="122">
        <f t="shared" si="25"/>
        <v>0.9285714285714286</v>
      </c>
      <c r="AF17" s="121">
        <v>0</v>
      </c>
      <c r="AG17" s="122">
        <f t="shared" si="26"/>
        <v>0</v>
      </c>
      <c r="AH17" s="121">
        <v>498</v>
      </c>
      <c r="AI17" s="122">
        <f t="shared" si="27"/>
        <v>2</v>
      </c>
      <c r="AJ17" s="121">
        <f t="shared" ref="AJ17:AJ21" si="33">L17+9</f>
        <v>339</v>
      </c>
      <c r="AK17" s="122">
        <f t="shared" si="28"/>
        <v>5.208333333333333E-3</v>
      </c>
      <c r="AS17"/>
      <c r="AT17" s="18"/>
    </row>
    <row r="18" spans="1:47" x14ac:dyDescent="0.2">
      <c r="A18" s="42"/>
      <c r="B18" s="42"/>
      <c r="C18" s="43"/>
      <c r="D18" s="197">
        <f t="shared" si="15"/>
        <v>96</v>
      </c>
      <c r="E18" s="20"/>
      <c r="F18" s="20"/>
      <c r="G18" s="20"/>
      <c r="H18" s="20"/>
      <c r="I18" s="20"/>
      <c r="J18" s="113">
        <v>60</v>
      </c>
      <c r="K18" s="14">
        <v>36</v>
      </c>
      <c r="L18" s="121">
        <v>364</v>
      </c>
      <c r="M18" s="122">
        <f t="shared" si="16"/>
        <v>3.7916666666666665</v>
      </c>
      <c r="N18" s="121">
        <f>L18+90</f>
        <v>454</v>
      </c>
      <c r="O18" s="122">
        <f t="shared" si="17"/>
        <v>4.1666666666666664E-2</v>
      </c>
      <c r="P18" s="121">
        <f t="shared" si="29"/>
        <v>408</v>
      </c>
      <c r="Q18" s="122">
        <f t="shared" si="18"/>
        <v>2.0370370370370372E-2</v>
      </c>
      <c r="R18" s="121">
        <f t="shared" si="30"/>
        <v>474</v>
      </c>
      <c r="S18" s="122">
        <f t="shared" si="19"/>
        <v>5.0925925925925923E-2</v>
      </c>
      <c r="T18" s="121">
        <f t="shared" si="31"/>
        <v>414</v>
      </c>
      <c r="U18" s="122">
        <f t="shared" si="20"/>
        <v>2.3148148148148147E-2</v>
      </c>
      <c r="V18" s="121">
        <f t="shared" si="32"/>
        <v>414</v>
      </c>
      <c r="W18" s="122">
        <f t="shared" si="21"/>
        <v>2.3148148148148147E-2</v>
      </c>
      <c r="X18" s="121">
        <f>L18+155</f>
        <v>519</v>
      </c>
      <c r="Y18" s="122">
        <f t="shared" si="22"/>
        <v>7.1759259259259259E-2</v>
      </c>
      <c r="Z18" s="146">
        <v>0</v>
      </c>
      <c r="AA18" s="122">
        <f t="shared" si="23"/>
        <v>0</v>
      </c>
      <c r="AB18" s="121">
        <v>458</v>
      </c>
      <c r="AC18" s="122">
        <f t="shared" si="24"/>
        <v>0.97916666666666663</v>
      </c>
      <c r="AD18" s="121">
        <v>441</v>
      </c>
      <c r="AE18" s="122">
        <f t="shared" si="25"/>
        <v>0.80208333333333337</v>
      </c>
      <c r="AF18" s="121">
        <v>0</v>
      </c>
      <c r="AG18" s="122">
        <f t="shared" si="26"/>
        <v>0</v>
      </c>
      <c r="AH18" s="121">
        <v>532</v>
      </c>
      <c r="AI18" s="122">
        <f t="shared" si="27"/>
        <v>1.75</v>
      </c>
      <c r="AJ18" s="121">
        <f t="shared" si="33"/>
        <v>373</v>
      </c>
      <c r="AK18" s="122">
        <f t="shared" si="28"/>
        <v>4.1666666666666666E-3</v>
      </c>
      <c r="AS18"/>
      <c r="AT18" s="18"/>
    </row>
    <row r="19" spans="1:47" x14ac:dyDescent="0.2">
      <c r="A19" s="42"/>
      <c r="B19" s="42"/>
      <c r="C19" s="43"/>
      <c r="D19" s="197">
        <f t="shared" si="15"/>
        <v>108</v>
      </c>
      <c r="E19" s="20"/>
      <c r="F19" s="20"/>
      <c r="G19" s="20"/>
      <c r="H19" s="20"/>
      <c r="I19" s="20"/>
      <c r="J19" s="113">
        <v>72</v>
      </c>
      <c r="K19" s="14">
        <v>36</v>
      </c>
      <c r="L19" s="121">
        <v>398</v>
      </c>
      <c r="M19" s="122">
        <f t="shared" si="16"/>
        <v>3.6851851851851851</v>
      </c>
      <c r="N19" s="121">
        <f>L19+90</f>
        <v>488</v>
      </c>
      <c r="O19" s="122">
        <f t="shared" si="17"/>
        <v>3.4722222222222224E-2</v>
      </c>
      <c r="P19" s="121">
        <f t="shared" si="29"/>
        <v>442</v>
      </c>
      <c r="Q19" s="122">
        <f t="shared" si="18"/>
        <v>1.6975308641975308E-2</v>
      </c>
      <c r="R19" s="121">
        <f t="shared" si="30"/>
        <v>508</v>
      </c>
      <c r="S19" s="122">
        <f t="shared" si="19"/>
        <v>4.2438271604938273E-2</v>
      </c>
      <c r="T19" s="121">
        <f t="shared" si="31"/>
        <v>448</v>
      </c>
      <c r="U19" s="122">
        <f t="shared" si="20"/>
        <v>1.9290123456790122E-2</v>
      </c>
      <c r="V19" s="121">
        <f t="shared" si="32"/>
        <v>448</v>
      </c>
      <c r="W19" s="122">
        <f t="shared" si="21"/>
        <v>1.9290123456790122E-2</v>
      </c>
      <c r="X19" s="121">
        <f>L19+206</f>
        <v>604</v>
      </c>
      <c r="Y19" s="122">
        <f t="shared" si="22"/>
        <v>7.9475308641975315E-2</v>
      </c>
      <c r="Z19" s="146">
        <v>0</v>
      </c>
      <c r="AA19" s="122">
        <f t="shared" si="23"/>
        <v>0</v>
      </c>
      <c r="AB19" s="121">
        <v>491</v>
      </c>
      <c r="AC19" s="122">
        <f t="shared" si="24"/>
        <v>0.86111111111111116</v>
      </c>
      <c r="AD19" s="121">
        <v>475</v>
      </c>
      <c r="AE19" s="122">
        <f t="shared" si="25"/>
        <v>0.71296296296296291</v>
      </c>
      <c r="AF19" s="121">
        <v>0</v>
      </c>
      <c r="AG19" s="122">
        <f t="shared" si="26"/>
        <v>0</v>
      </c>
      <c r="AH19" s="121">
        <v>566</v>
      </c>
      <c r="AI19" s="122">
        <f t="shared" si="27"/>
        <v>1.5555555555555556</v>
      </c>
      <c r="AJ19" s="121">
        <f t="shared" si="33"/>
        <v>407</v>
      </c>
      <c r="AK19" s="122">
        <f t="shared" si="28"/>
        <v>3.472222222222222E-3</v>
      </c>
      <c r="AS19"/>
      <c r="AT19" s="18"/>
    </row>
    <row r="20" spans="1:47" x14ac:dyDescent="0.2">
      <c r="A20" s="46"/>
      <c r="B20" s="47"/>
      <c r="C20" s="47"/>
      <c r="D20" s="11">
        <f t="shared" si="15"/>
        <v>120</v>
      </c>
      <c r="J20" s="116">
        <v>60</v>
      </c>
      <c r="K20" s="9">
        <v>60</v>
      </c>
      <c r="L20" s="121">
        <v>432</v>
      </c>
      <c r="M20" s="122">
        <f t="shared" si="16"/>
        <v>3.6</v>
      </c>
      <c r="N20" s="121">
        <f>L20+107</f>
        <v>539</v>
      </c>
      <c r="O20" s="122">
        <f t="shared" si="17"/>
        <v>2.9722222222222223E-2</v>
      </c>
      <c r="P20" s="121">
        <f t="shared" si="29"/>
        <v>476</v>
      </c>
      <c r="Q20" s="122">
        <f t="shared" si="18"/>
        <v>1.2222222222222223E-2</v>
      </c>
      <c r="R20" s="121">
        <f t="shared" si="30"/>
        <v>542</v>
      </c>
      <c r="S20" s="122">
        <f t="shared" si="19"/>
        <v>3.0555555555555555E-2</v>
      </c>
      <c r="T20" s="121">
        <f t="shared" si="31"/>
        <v>482</v>
      </c>
      <c r="U20" s="122">
        <f t="shared" si="20"/>
        <v>1.3888888888888888E-2</v>
      </c>
      <c r="V20" s="121">
        <f t="shared" si="32"/>
        <v>482</v>
      </c>
      <c r="W20" s="122">
        <f t="shared" si="21"/>
        <v>1.3888888888888888E-2</v>
      </c>
      <c r="X20" s="121">
        <f>L20+206</f>
        <v>638</v>
      </c>
      <c r="Y20" s="122">
        <f t="shared" si="22"/>
        <v>5.7222222222222223E-2</v>
      </c>
      <c r="Z20" s="146">
        <v>0</v>
      </c>
      <c r="AA20" s="122">
        <f t="shared" si="23"/>
        <v>0</v>
      </c>
      <c r="AB20" s="121">
        <v>525</v>
      </c>
      <c r="AC20" s="122">
        <f t="shared" si="24"/>
        <v>0.77500000000000002</v>
      </c>
      <c r="AD20" s="121">
        <v>509</v>
      </c>
      <c r="AE20" s="122">
        <f t="shared" si="25"/>
        <v>0.64166666666666672</v>
      </c>
      <c r="AF20" s="121">
        <v>0</v>
      </c>
      <c r="AG20" s="122">
        <f t="shared" si="26"/>
        <v>0</v>
      </c>
      <c r="AH20" s="121">
        <v>600</v>
      </c>
      <c r="AI20" s="122">
        <f t="shared" si="27"/>
        <v>1.4</v>
      </c>
      <c r="AJ20" s="121">
        <f t="shared" si="33"/>
        <v>441</v>
      </c>
      <c r="AK20" s="122">
        <f t="shared" si="28"/>
        <v>2.5000000000000001E-3</v>
      </c>
    </row>
    <row r="21" spans="1:47" ht="12" thickBot="1" x14ac:dyDescent="0.25">
      <c r="A21" s="46"/>
      <c r="B21" s="47"/>
      <c r="C21" s="47"/>
      <c r="D21" s="11">
        <f t="shared" si="15"/>
        <v>135</v>
      </c>
      <c r="J21" s="114">
        <v>70</v>
      </c>
      <c r="K21" s="115">
        <v>65</v>
      </c>
      <c r="L21" s="123">
        <v>500</v>
      </c>
      <c r="M21" s="124">
        <f t="shared" si="16"/>
        <v>3.7037037037037037</v>
      </c>
      <c r="N21" s="123">
        <f>L21+107</f>
        <v>607</v>
      </c>
      <c r="O21" s="124">
        <f t="shared" si="17"/>
        <v>2.3516483516483517E-2</v>
      </c>
      <c r="P21" s="123">
        <f t="shared" si="29"/>
        <v>544</v>
      </c>
      <c r="Q21" s="124">
        <f t="shared" si="18"/>
        <v>9.6703296703296703E-3</v>
      </c>
      <c r="R21" s="123">
        <f t="shared" si="30"/>
        <v>610</v>
      </c>
      <c r="S21" s="124">
        <f t="shared" si="19"/>
        <v>2.4175824175824177E-2</v>
      </c>
      <c r="T21" s="123">
        <f t="shared" si="31"/>
        <v>550</v>
      </c>
      <c r="U21" s="124">
        <f t="shared" si="20"/>
        <v>1.098901098901099E-2</v>
      </c>
      <c r="V21" s="123">
        <f t="shared" si="32"/>
        <v>550</v>
      </c>
      <c r="W21" s="124">
        <f t="shared" si="21"/>
        <v>1.098901098901099E-2</v>
      </c>
      <c r="X21" s="123">
        <f>L21+206</f>
        <v>706</v>
      </c>
      <c r="Y21" s="124">
        <f t="shared" si="22"/>
        <v>4.5274725274725272E-2</v>
      </c>
      <c r="Z21" s="147">
        <v>0</v>
      </c>
      <c r="AA21" s="124">
        <f t="shared" si="23"/>
        <v>0</v>
      </c>
      <c r="AB21" s="123">
        <v>593</v>
      </c>
      <c r="AC21" s="124">
        <f t="shared" si="24"/>
        <v>0.68888888888888888</v>
      </c>
      <c r="AD21" s="123">
        <v>577</v>
      </c>
      <c r="AE21" s="124">
        <f t="shared" si="25"/>
        <v>0.57037037037037042</v>
      </c>
      <c r="AF21" s="123">
        <v>0</v>
      </c>
      <c r="AG21" s="124">
        <f t="shared" si="26"/>
        <v>0</v>
      </c>
      <c r="AH21" s="123">
        <v>668</v>
      </c>
      <c r="AI21" s="124">
        <f t="shared" si="27"/>
        <v>1.2444444444444445</v>
      </c>
      <c r="AJ21" s="123">
        <f t="shared" si="33"/>
        <v>509</v>
      </c>
      <c r="AK21" s="124">
        <f t="shared" si="28"/>
        <v>1.978021978021978E-3</v>
      </c>
    </row>
    <row r="22" spans="1:47" s="35" customFormat="1" ht="12" thickBot="1" x14ac:dyDescent="0.25">
      <c r="A22" s="33"/>
      <c r="B22" s="33"/>
      <c r="C22" s="34"/>
      <c r="D22" s="34"/>
      <c r="E22" s="34"/>
      <c r="F22" s="34"/>
      <c r="G22" s="34"/>
      <c r="H22" s="34"/>
      <c r="I22" s="34"/>
      <c r="J22" s="34"/>
      <c r="K22" s="34"/>
      <c r="L22" s="132"/>
      <c r="M22" s="133"/>
      <c r="N22" s="136"/>
      <c r="O22" s="137"/>
      <c r="P22" s="136"/>
      <c r="Q22" s="137"/>
      <c r="R22" s="136"/>
      <c r="S22" s="137"/>
      <c r="T22" s="136"/>
      <c r="U22" s="138"/>
      <c r="V22" s="139"/>
      <c r="W22" s="138"/>
      <c r="X22" s="139"/>
      <c r="Y22" s="138"/>
      <c r="Z22" s="148"/>
      <c r="AA22" s="149"/>
      <c r="AB22" s="132"/>
      <c r="AC22" s="133"/>
      <c r="AD22" s="132"/>
      <c r="AE22" s="133"/>
      <c r="AF22" s="132"/>
      <c r="AG22" s="133"/>
      <c r="AH22" s="132"/>
      <c r="AI22" s="133"/>
      <c r="AJ22" s="136"/>
      <c r="AK22" s="137"/>
      <c r="AT22" s="34"/>
    </row>
    <row r="23" spans="1:47" s="7" customFormat="1" ht="15.75" customHeight="1" thickBot="1" x14ac:dyDescent="0.25">
      <c r="A23" s="38"/>
      <c r="B23" s="38"/>
      <c r="C23" s="39"/>
      <c r="D23" s="40" t="s">
        <v>72</v>
      </c>
      <c r="E23" s="44">
        <f>J24</f>
        <v>45.25</v>
      </c>
      <c r="F23" s="44">
        <f>K24</f>
        <v>13.25</v>
      </c>
      <c r="G23" s="44">
        <f>J25</f>
        <v>120</v>
      </c>
      <c r="H23" s="44">
        <f>K25</f>
        <v>73</v>
      </c>
      <c r="I23" s="39">
        <f>K26</f>
        <v>193</v>
      </c>
      <c r="J23" s="39"/>
      <c r="K23" s="39"/>
      <c r="L23" s="90"/>
      <c r="M23" s="198">
        <f>AVERAGE(M27:M30)</f>
        <v>4.7610625485625491</v>
      </c>
      <c r="N23" s="92"/>
      <c r="O23" s="198">
        <f>AVERAGE(O27:O30)</f>
        <v>3.8349089182422517E-2</v>
      </c>
      <c r="P23" s="92"/>
      <c r="Q23" s="198">
        <f>AVERAGE(Q27:Q30)</f>
        <v>2.0476614434947769E-2</v>
      </c>
      <c r="R23" s="92"/>
      <c r="S23" s="198">
        <f>AVERAGE(S27:S30)</f>
        <v>5.1656913688163691E-2</v>
      </c>
      <c r="T23" s="92"/>
      <c r="U23" s="198">
        <f>AVERAGE(U27:U30)</f>
        <v>2.3036191239316238E-2</v>
      </c>
      <c r="V23" s="92"/>
      <c r="W23" s="198">
        <f>AVERAGE(W27:W30)</f>
        <v>2.1640058436933438E-2</v>
      </c>
      <c r="X23" s="94"/>
      <c r="Y23" s="198">
        <f>AVERAGE(Y27:Y30)</f>
        <v>4.0063522511439187E-2</v>
      </c>
      <c r="Z23" s="92"/>
      <c r="AA23" s="198">
        <f>AVERAGE(AA27:AA30)</f>
        <v>0</v>
      </c>
      <c r="AB23" s="92"/>
      <c r="AC23" s="198">
        <f>AVERAGE(AC27:AC30)</f>
        <v>1.156488418988419</v>
      </c>
      <c r="AD23" s="92"/>
      <c r="AE23" s="198">
        <f>AVERAGE(AE27:AE30)</f>
        <v>0.79638787138787148</v>
      </c>
      <c r="AF23" s="92"/>
      <c r="AG23" s="198">
        <f>AVERAGE(AG27:AG30)</f>
        <v>0</v>
      </c>
      <c r="AH23" s="92"/>
      <c r="AI23" s="198">
        <f>AVERAGE(AI27:AI30)</f>
        <v>1.9585136160136161</v>
      </c>
      <c r="AJ23" s="92"/>
      <c r="AK23" s="198">
        <f>AVERAGE(AK27:AK30)</f>
        <v>0</v>
      </c>
      <c r="AS23" s="1"/>
      <c r="AT23" s="1"/>
    </row>
    <row r="24" spans="1:47" s="8" customFormat="1" ht="12" thickBot="1" x14ac:dyDescent="0.25">
      <c r="A24" s="41"/>
      <c r="B24" s="41"/>
      <c r="C24" s="4"/>
      <c r="D24" s="4"/>
      <c r="E24" s="2"/>
      <c r="F24" s="2"/>
      <c r="G24" s="2"/>
      <c r="H24" s="2"/>
      <c r="I24" s="2"/>
      <c r="J24" s="23">
        <v>45.25</v>
      </c>
      <c r="K24" s="72">
        <v>13.25</v>
      </c>
      <c r="L24" s="91" t="s">
        <v>68</v>
      </c>
      <c r="M24" s="86"/>
      <c r="N24" s="12"/>
      <c r="O24" s="86"/>
      <c r="P24" s="12"/>
      <c r="Q24" s="86"/>
      <c r="R24" s="12"/>
      <c r="S24" s="86"/>
      <c r="T24" s="12"/>
      <c r="U24" s="89"/>
      <c r="V24" s="12"/>
      <c r="W24" s="89"/>
      <c r="X24" s="12"/>
      <c r="Y24" s="86"/>
      <c r="Z24" s="143"/>
      <c r="AA24" s="144"/>
      <c r="AB24" s="93"/>
      <c r="AC24" s="86"/>
      <c r="AD24" s="93"/>
      <c r="AE24" s="86"/>
      <c r="AF24" s="93"/>
      <c r="AG24" s="86"/>
      <c r="AH24" s="93"/>
      <c r="AI24" s="86"/>
      <c r="AJ24" s="12"/>
      <c r="AK24" s="86"/>
      <c r="AL24" s="9"/>
      <c r="AM24" s="9"/>
      <c r="AN24" s="9"/>
      <c r="AO24" s="9"/>
      <c r="AP24" s="9"/>
      <c r="AQ24" s="9"/>
      <c r="AR24" s="9"/>
      <c r="AS24" s="9"/>
      <c r="AT24" s="9"/>
      <c r="AU24" s="9"/>
    </row>
    <row r="25" spans="1:47" s="8" customFormat="1" ht="12" thickBot="1" x14ac:dyDescent="0.25">
      <c r="A25" s="41"/>
      <c r="B25" s="41"/>
      <c r="C25" s="4"/>
      <c r="D25" s="4"/>
      <c r="E25" s="2"/>
      <c r="F25" s="2"/>
      <c r="G25" s="2"/>
      <c r="H25" s="2"/>
      <c r="I25" s="2"/>
      <c r="J25" s="23">
        <v>120</v>
      </c>
      <c r="K25" s="73">
        <v>73</v>
      </c>
      <c r="L25" s="91" t="s">
        <v>69</v>
      </c>
      <c r="M25" s="87"/>
      <c r="N25" s="3"/>
      <c r="O25" s="86"/>
      <c r="P25" s="3"/>
      <c r="Q25" s="86"/>
      <c r="R25" s="3"/>
      <c r="S25" s="86"/>
      <c r="T25" s="3"/>
      <c r="U25" s="86"/>
      <c r="V25" s="3"/>
      <c r="W25" s="87"/>
      <c r="X25" s="12"/>
      <c r="Y25" s="87"/>
      <c r="Z25" s="143"/>
      <c r="AA25" s="144"/>
      <c r="AB25" s="3"/>
      <c r="AC25" s="86"/>
      <c r="AD25" s="3"/>
      <c r="AE25" s="86"/>
      <c r="AF25" s="3"/>
      <c r="AG25" s="86"/>
      <c r="AH25" s="3"/>
      <c r="AI25" s="86"/>
      <c r="AJ25" s="3"/>
      <c r="AK25" s="86"/>
      <c r="AL25" s="9"/>
      <c r="AM25" s="9"/>
      <c r="AN25" s="9"/>
      <c r="AO25" s="9"/>
      <c r="AP25" s="9"/>
      <c r="AQ25" s="9"/>
      <c r="AR25" s="9"/>
      <c r="AS25" s="9"/>
      <c r="AT25" s="9"/>
      <c r="AU25" s="9"/>
    </row>
    <row r="26" spans="1:47" s="8" customFormat="1" ht="12" thickBot="1" x14ac:dyDescent="0.25">
      <c r="A26" s="41"/>
      <c r="B26" s="41"/>
      <c r="C26" s="10"/>
      <c r="D26" s="4"/>
      <c r="E26" s="2"/>
      <c r="F26" s="2"/>
      <c r="G26" s="2"/>
      <c r="H26" s="2"/>
      <c r="I26" s="2"/>
      <c r="J26" s="11"/>
      <c r="K26" s="74">
        <f>K25+J25</f>
        <v>193</v>
      </c>
      <c r="L26" s="91" t="s">
        <v>70</v>
      </c>
      <c r="M26" s="87"/>
      <c r="N26" s="93"/>
      <c r="O26" s="86"/>
      <c r="P26" s="93"/>
      <c r="Q26" s="86"/>
      <c r="R26" s="93"/>
      <c r="S26" s="86"/>
      <c r="T26" s="3"/>
      <c r="U26" s="86"/>
      <c r="V26" s="3"/>
      <c r="W26" s="87"/>
      <c r="X26" s="95"/>
      <c r="Y26" s="89"/>
      <c r="Z26" s="143"/>
      <c r="AA26" s="144"/>
      <c r="AB26" s="3"/>
      <c r="AC26" s="88"/>
      <c r="AD26" s="3"/>
      <c r="AE26" s="88"/>
      <c r="AF26" s="3"/>
      <c r="AG26" s="88"/>
      <c r="AH26" s="3"/>
      <c r="AI26" s="88"/>
      <c r="AJ26" s="93"/>
      <c r="AK26" s="86"/>
      <c r="AL26" s="9"/>
      <c r="AM26" s="9"/>
      <c r="AN26" s="9"/>
      <c r="AO26" s="9"/>
      <c r="AP26" s="9"/>
      <c r="AQ26" s="9"/>
      <c r="AR26" s="9"/>
      <c r="AS26" s="9"/>
      <c r="AT26" s="9"/>
      <c r="AU26" s="9"/>
    </row>
    <row r="27" spans="1:47" x14ac:dyDescent="0.2">
      <c r="A27" s="42"/>
      <c r="B27" s="42"/>
      <c r="C27" s="43"/>
      <c r="D27" s="43">
        <f t="shared" ref="D27:D30" si="34">SUM(J27:K27)</f>
        <v>108</v>
      </c>
      <c r="E27" s="20"/>
      <c r="F27" s="20"/>
      <c r="G27" s="20"/>
      <c r="H27" s="20"/>
      <c r="I27" s="20"/>
      <c r="J27" s="26">
        <v>72</v>
      </c>
      <c r="K27" s="84">
        <v>36</v>
      </c>
      <c r="L27" s="85">
        <v>528</v>
      </c>
      <c r="M27" s="83">
        <f>L27/($J27+$K27)</f>
        <v>4.8888888888888893</v>
      </c>
      <c r="N27" s="85">
        <f>L27+151</f>
        <v>679</v>
      </c>
      <c r="O27" s="83">
        <f t="shared" ref="O27:O30" si="35">IF(N27=0,0,(N27-$L27)/($J27*$K27))</f>
        <v>5.8256172839506175E-2</v>
      </c>
      <c r="P27" s="85">
        <f>L27+88</f>
        <v>616</v>
      </c>
      <c r="Q27" s="83">
        <f t="shared" ref="Q27:Q30" si="36">IF(P27=0,0,(P27-$L27)/($J27*$K27))</f>
        <v>3.3950617283950615E-2</v>
      </c>
      <c r="R27" s="85">
        <f>L27+74+74+74</f>
        <v>750</v>
      </c>
      <c r="S27" s="83">
        <f t="shared" ref="S27:S30" si="37">IF(R27=0,0,(R27-$L27)/($J27*$K27))</f>
        <v>8.5648148148148154E-2</v>
      </c>
      <c r="T27" s="85">
        <f>L27+33+33+33</f>
        <v>627</v>
      </c>
      <c r="U27" s="83">
        <f t="shared" ref="U27:U30" si="38">IF(T27=0,0,(T27-$L27)/($J27*$K27))</f>
        <v>3.8194444444444448E-2</v>
      </c>
      <c r="V27" s="295">
        <f>L27+93</f>
        <v>621</v>
      </c>
      <c r="W27" s="83">
        <f t="shared" ref="W27:W30" si="39">IF(V27=0,0,(V27-$L27)/($J27*$K27))</f>
        <v>3.5879629629629629E-2</v>
      </c>
      <c r="X27" s="85">
        <f>L27+155</f>
        <v>683</v>
      </c>
      <c r="Y27" s="83">
        <f t="shared" ref="Y27:Y30" si="40">IF(X27=0,0,(X27-$L27)/($J27*$K27))</f>
        <v>5.9799382716049385E-2</v>
      </c>
      <c r="Z27" s="145">
        <v>0</v>
      </c>
      <c r="AA27" s="83">
        <f t="shared" ref="AA27:AA30" si="41">IF(Z27=0,0,(Z27-$L27)/($J27*$K27))</f>
        <v>0</v>
      </c>
      <c r="AB27" s="85">
        <v>688</v>
      </c>
      <c r="AC27" s="83">
        <f>IF(AB27 = 0, 0,(AB27-$L27)/($J27+$K27))</f>
        <v>1.4814814814814814</v>
      </c>
      <c r="AD27" s="85">
        <v>638</v>
      </c>
      <c r="AE27" s="83">
        <f>IF(AD27 = 0, 0,(AD27-$L27)/($J27+$K27))</f>
        <v>1.0185185185185186</v>
      </c>
      <c r="AF27" s="85">
        <v>0</v>
      </c>
      <c r="AG27" s="83">
        <f>IF(AF27 = 0, 0,(AF27-$L27)/($J27+$K27))</f>
        <v>0</v>
      </c>
      <c r="AH27" s="85">
        <v>799</v>
      </c>
      <c r="AI27" s="83">
        <f>IF(AH27 = 0, 0,(AH27-$L27)/($J27+$K27))</f>
        <v>2.5092592592592591</v>
      </c>
      <c r="AJ27" s="85">
        <v>0</v>
      </c>
      <c r="AK27" s="83">
        <f t="shared" ref="AK27:AK30" si="42">IF(AJ27=0,0,(AJ27-$L27)/($J27*$K27))</f>
        <v>0</v>
      </c>
      <c r="AS27"/>
      <c r="AT27" s="18"/>
    </row>
    <row r="28" spans="1:47" x14ac:dyDescent="0.2">
      <c r="A28" s="42"/>
      <c r="B28" s="42"/>
      <c r="C28" s="43"/>
      <c r="D28" s="43">
        <f t="shared" si="34"/>
        <v>132</v>
      </c>
      <c r="E28" s="20"/>
      <c r="F28" s="20"/>
      <c r="G28" s="20"/>
      <c r="H28" s="20"/>
      <c r="I28" s="20"/>
      <c r="J28" s="113">
        <v>72</v>
      </c>
      <c r="K28" s="14">
        <v>60</v>
      </c>
      <c r="L28" s="121">
        <v>647</v>
      </c>
      <c r="M28" s="122">
        <f>L28/($J28+$K28)</f>
        <v>4.9015151515151514</v>
      </c>
      <c r="N28" s="121">
        <f>L28+151</f>
        <v>798</v>
      </c>
      <c r="O28" s="122">
        <f t="shared" si="35"/>
        <v>3.4953703703703702E-2</v>
      </c>
      <c r="P28" s="121">
        <f t="shared" ref="P28:P30" si="43">L28+88</f>
        <v>735</v>
      </c>
      <c r="Q28" s="122">
        <f t="shared" si="36"/>
        <v>2.0370370370370372E-2</v>
      </c>
      <c r="R28" s="121">
        <f t="shared" ref="R28:R30" si="44">L28+74+74+74</f>
        <v>869</v>
      </c>
      <c r="S28" s="122">
        <f t="shared" si="37"/>
        <v>5.1388888888888887E-2</v>
      </c>
      <c r="T28" s="121">
        <f t="shared" ref="T28:T30" si="45">L28+33+33+33</f>
        <v>746</v>
      </c>
      <c r="U28" s="122">
        <f t="shared" si="38"/>
        <v>2.2916666666666665E-2</v>
      </c>
      <c r="V28" s="121">
        <f t="shared" ref="V28:V30" si="46">L28+93</f>
        <v>740</v>
      </c>
      <c r="W28" s="122">
        <f t="shared" si="39"/>
        <v>2.1527777777777778E-2</v>
      </c>
      <c r="X28" s="121">
        <f t="shared" ref="X28" si="47">L28+155</f>
        <v>802</v>
      </c>
      <c r="Y28" s="122">
        <f t="shared" si="40"/>
        <v>3.5879629629629629E-2</v>
      </c>
      <c r="Z28" s="146">
        <v>0</v>
      </c>
      <c r="AA28" s="122">
        <f t="shared" si="41"/>
        <v>0</v>
      </c>
      <c r="AB28" s="121">
        <v>806</v>
      </c>
      <c r="AC28" s="122">
        <f>IF(AB28 = 0, 0,(AB28-$L28)/($J28+$K28))</f>
        <v>1.2045454545454546</v>
      </c>
      <c r="AD28" s="121">
        <v>757</v>
      </c>
      <c r="AE28" s="122">
        <f>IF(AD28 = 0, 0,(AD28-$L28)/($J28+$K28))</f>
        <v>0.83333333333333337</v>
      </c>
      <c r="AF28" s="121">
        <v>0</v>
      </c>
      <c r="AG28" s="122">
        <f>IF(AF28 = 0, 0,(AF28-$L28)/($J28+$K28))</f>
        <v>0</v>
      </c>
      <c r="AH28" s="121">
        <v>917</v>
      </c>
      <c r="AI28" s="122">
        <f>IF(AH28 = 0, 0,(AH28-$L28)/($J28+$K28))</f>
        <v>2.0454545454545454</v>
      </c>
      <c r="AJ28" s="121">
        <v>0</v>
      </c>
      <c r="AK28" s="122">
        <f t="shared" si="42"/>
        <v>0</v>
      </c>
      <c r="AS28"/>
      <c r="AT28" s="18"/>
    </row>
    <row r="29" spans="1:47" x14ac:dyDescent="0.2">
      <c r="A29" s="42"/>
      <c r="B29" s="42"/>
      <c r="C29" s="43"/>
      <c r="D29" s="43">
        <f t="shared" si="34"/>
        <v>156</v>
      </c>
      <c r="E29" s="20"/>
      <c r="F29" s="20"/>
      <c r="G29" s="20"/>
      <c r="H29" s="20"/>
      <c r="I29" s="20"/>
      <c r="J29" s="113">
        <v>96</v>
      </c>
      <c r="K29" s="14">
        <v>60</v>
      </c>
      <c r="L29" s="121">
        <v>726</v>
      </c>
      <c r="M29" s="122">
        <f t="shared" ref="M29:M30" si="48">L29/($J29+$K29)</f>
        <v>4.6538461538461542</v>
      </c>
      <c r="N29" s="121">
        <f>L29+192</f>
        <v>918</v>
      </c>
      <c r="O29" s="122">
        <f t="shared" si="35"/>
        <v>3.3333333333333333E-2</v>
      </c>
      <c r="P29" s="121">
        <f t="shared" si="43"/>
        <v>814</v>
      </c>
      <c r="Q29" s="122">
        <f t="shared" si="36"/>
        <v>1.5277777777777777E-2</v>
      </c>
      <c r="R29" s="121">
        <f t="shared" si="44"/>
        <v>948</v>
      </c>
      <c r="S29" s="122">
        <f t="shared" si="37"/>
        <v>3.8541666666666669E-2</v>
      </c>
      <c r="T29" s="121">
        <f t="shared" si="45"/>
        <v>825</v>
      </c>
      <c r="U29" s="122">
        <f t="shared" si="38"/>
        <v>1.7187500000000001E-2</v>
      </c>
      <c r="V29" s="121">
        <f t="shared" si="46"/>
        <v>819</v>
      </c>
      <c r="W29" s="122">
        <f t="shared" si="39"/>
        <v>1.6145833333333335E-2</v>
      </c>
      <c r="X29" s="121">
        <f>L29+206</f>
        <v>932</v>
      </c>
      <c r="Y29" s="122">
        <f t="shared" si="40"/>
        <v>3.5763888888888887E-2</v>
      </c>
      <c r="Z29" s="146">
        <v>0</v>
      </c>
      <c r="AA29" s="122">
        <f t="shared" si="41"/>
        <v>0</v>
      </c>
      <c r="AB29" s="121">
        <v>886</v>
      </c>
      <c r="AC29" s="122">
        <f>IF(AB29 = 0, 0,(AB29-$L29)/($J29+$K29))</f>
        <v>1.0256410256410255</v>
      </c>
      <c r="AD29" s="121">
        <v>836</v>
      </c>
      <c r="AE29" s="122">
        <f>IF(AD29 = 0, 0,(AD29-$L29)/($J29+$K29))</f>
        <v>0.70512820512820518</v>
      </c>
      <c r="AF29" s="121">
        <v>0</v>
      </c>
      <c r="AG29" s="122">
        <f>IF(AF29 = 0, 0,(AF29-$L29)/($J29+$K29))</f>
        <v>0</v>
      </c>
      <c r="AH29" s="121">
        <v>996</v>
      </c>
      <c r="AI29" s="122">
        <f>IF(AH29 = 0, 0,(AH29-$L29)/($J29+$K29))</f>
        <v>1.7307692307692308</v>
      </c>
      <c r="AJ29" s="121">
        <v>0</v>
      </c>
      <c r="AK29" s="122">
        <f t="shared" si="42"/>
        <v>0</v>
      </c>
      <c r="AS29"/>
      <c r="AT29" s="18"/>
    </row>
    <row r="30" spans="1:47" ht="12" thickBot="1" x14ac:dyDescent="0.25">
      <c r="A30" s="42"/>
      <c r="B30" s="42"/>
      <c r="C30" s="43"/>
      <c r="D30" s="43">
        <f t="shared" si="34"/>
        <v>175</v>
      </c>
      <c r="E30" s="20"/>
      <c r="F30" s="20"/>
      <c r="G30" s="20"/>
      <c r="H30" s="20"/>
      <c r="I30" s="20"/>
      <c r="J30" s="114">
        <v>110</v>
      </c>
      <c r="K30" s="115">
        <v>65</v>
      </c>
      <c r="L30" s="123">
        <v>805</v>
      </c>
      <c r="M30" s="124">
        <f t="shared" si="48"/>
        <v>4.5999999999999996</v>
      </c>
      <c r="N30" s="123">
        <f>L30+192</f>
        <v>997</v>
      </c>
      <c r="O30" s="124">
        <f t="shared" si="35"/>
        <v>2.6853146853146853E-2</v>
      </c>
      <c r="P30" s="123">
        <f t="shared" si="43"/>
        <v>893</v>
      </c>
      <c r="Q30" s="124">
        <f t="shared" si="36"/>
        <v>1.2307692307692308E-2</v>
      </c>
      <c r="R30" s="123">
        <f t="shared" si="44"/>
        <v>1027</v>
      </c>
      <c r="S30" s="124">
        <f t="shared" si="37"/>
        <v>3.104895104895105E-2</v>
      </c>
      <c r="T30" s="123">
        <f t="shared" si="45"/>
        <v>904</v>
      </c>
      <c r="U30" s="124">
        <f t="shared" si="38"/>
        <v>1.3846153846153847E-2</v>
      </c>
      <c r="V30" s="123">
        <f t="shared" si="46"/>
        <v>898</v>
      </c>
      <c r="W30" s="124">
        <f t="shared" si="39"/>
        <v>1.3006993006993007E-2</v>
      </c>
      <c r="X30" s="123">
        <f>L30+206</f>
        <v>1011</v>
      </c>
      <c r="Y30" s="124">
        <f t="shared" si="40"/>
        <v>2.8811188811188812E-2</v>
      </c>
      <c r="Z30" s="147">
        <v>0</v>
      </c>
      <c r="AA30" s="124">
        <f t="shared" si="41"/>
        <v>0</v>
      </c>
      <c r="AB30" s="123">
        <v>965</v>
      </c>
      <c r="AC30" s="124">
        <f>IF(AB30 = 0, 0,(AB30-$L30)/($J30+$K30))</f>
        <v>0.91428571428571426</v>
      </c>
      <c r="AD30" s="123">
        <v>915</v>
      </c>
      <c r="AE30" s="124">
        <f>IF(AD30 = 0, 0,(AD30-$L30)/($J30+$K30))</f>
        <v>0.62857142857142856</v>
      </c>
      <c r="AF30" s="123">
        <v>0</v>
      </c>
      <c r="AG30" s="124">
        <f>IF(AF30 = 0, 0,(AF30-$L30)/($J30+$K30))</f>
        <v>0</v>
      </c>
      <c r="AH30" s="123">
        <v>1076</v>
      </c>
      <c r="AI30" s="124">
        <f>IF(AH30 = 0, 0,(AH30-$L30)/($J30+$K30))</f>
        <v>1.5485714285714285</v>
      </c>
      <c r="AJ30" s="123">
        <v>0</v>
      </c>
      <c r="AK30" s="124">
        <f t="shared" si="42"/>
        <v>0</v>
      </c>
      <c r="AS30"/>
      <c r="AT30" s="18"/>
    </row>
    <row r="31" spans="1:47" s="35" customFormat="1" ht="12" thickBot="1" x14ac:dyDescent="0.25">
      <c r="A31" s="36"/>
      <c r="B31" s="36"/>
      <c r="C31" s="37"/>
      <c r="D31" s="37"/>
      <c r="E31" s="37"/>
      <c r="F31" s="37"/>
      <c r="G31" s="37"/>
      <c r="H31" s="37"/>
      <c r="I31" s="37"/>
      <c r="L31" s="134"/>
      <c r="M31" s="135"/>
      <c r="N31" s="134"/>
      <c r="O31" s="135"/>
      <c r="P31" s="134"/>
      <c r="Q31" s="135"/>
      <c r="R31" s="134"/>
      <c r="S31" s="135"/>
      <c r="T31" s="134"/>
      <c r="U31" s="135"/>
      <c r="V31" s="134"/>
      <c r="W31" s="135"/>
      <c r="X31" s="134"/>
      <c r="Y31" s="135"/>
      <c r="Z31" s="141"/>
      <c r="AA31" s="135"/>
      <c r="AB31" s="134"/>
      <c r="AC31" s="135"/>
      <c r="AD31" s="134"/>
      <c r="AE31" s="135"/>
      <c r="AF31" s="134"/>
      <c r="AG31" s="135"/>
      <c r="AH31" s="134"/>
      <c r="AI31" s="135"/>
      <c r="AJ31" s="134"/>
      <c r="AK31" s="135"/>
      <c r="AT31" s="34"/>
    </row>
    <row r="32" spans="1:47" ht="16.5" thickBot="1" x14ac:dyDescent="0.25">
      <c r="A32" s="38"/>
      <c r="B32" s="38"/>
      <c r="C32" s="39"/>
      <c r="D32" s="40" t="s">
        <v>73</v>
      </c>
      <c r="E32" s="24">
        <f>J33</f>
        <v>12.25</v>
      </c>
      <c r="F32" s="24">
        <f>K33</f>
        <v>12.25</v>
      </c>
      <c r="G32" s="24">
        <f>J34</f>
        <v>107</v>
      </c>
      <c r="H32" s="24">
        <f>K34</f>
        <v>101</v>
      </c>
      <c r="I32" s="22">
        <f>K35</f>
        <v>208</v>
      </c>
      <c r="J32" s="39"/>
      <c r="K32" s="39"/>
      <c r="L32" s="90"/>
      <c r="M32" s="198">
        <f>AVERAGE(M36:M40)</f>
        <v>3.2467276936026934</v>
      </c>
      <c r="N32" s="92"/>
      <c r="O32" s="198">
        <f>AVERAGE(O36:O40)</f>
        <v>2.6724537037037036E-2</v>
      </c>
      <c r="P32" s="92"/>
      <c r="Q32" s="198">
        <f>AVERAGE(Q36:Q40)</f>
        <v>1.2204861111111111E-2</v>
      </c>
      <c r="R32" s="92"/>
      <c r="S32" s="198">
        <f>AVERAGE(S36:S40)</f>
        <v>3.4380787037037036E-2</v>
      </c>
      <c r="T32" s="92"/>
      <c r="U32" s="198">
        <f>AVERAGE(U36:U40)</f>
        <v>1.3524305555555557E-2</v>
      </c>
      <c r="V32" s="92"/>
      <c r="W32" s="198">
        <f>AVERAGE(W36:W40)</f>
        <v>1.3854166666666667E-2</v>
      </c>
      <c r="X32" s="94"/>
      <c r="Y32" s="198">
        <f>AVERAGE(Y36:Y40)</f>
        <v>6.7951388888888881E-2</v>
      </c>
      <c r="Z32" s="92"/>
      <c r="AA32" s="198">
        <f>AVERAGE(AA36:AA40)</f>
        <v>0</v>
      </c>
      <c r="AB32" s="92"/>
      <c r="AC32" s="198">
        <f>AVERAGE(AC36:AC40)</f>
        <v>0.60002630471380469</v>
      </c>
      <c r="AD32" s="92"/>
      <c r="AE32" s="198">
        <f>AVERAGE(AE36:AE40)</f>
        <v>0.46658249158249154</v>
      </c>
      <c r="AF32" s="92"/>
      <c r="AG32" s="198">
        <f>AVERAGE(AG36:AG40)</f>
        <v>0</v>
      </c>
      <c r="AH32" s="92"/>
      <c r="AI32" s="198">
        <f>AVERAGE(AI36:AI40)</f>
        <v>1.281060606060606</v>
      </c>
      <c r="AJ32" s="92"/>
      <c r="AK32" s="198">
        <f>AVERAGE(AK36:AK40)</f>
        <v>0</v>
      </c>
    </row>
    <row r="33" spans="1:45" ht="12" thickBot="1" x14ac:dyDescent="0.25">
      <c r="A33" s="41"/>
      <c r="B33" s="41"/>
      <c r="C33" s="4"/>
      <c r="D33" s="4"/>
      <c r="E33" s="2"/>
      <c r="F33" s="2"/>
      <c r="G33" s="2"/>
      <c r="H33" s="2"/>
      <c r="I33" s="2"/>
      <c r="J33" s="23">
        <v>12.25</v>
      </c>
      <c r="K33" s="72">
        <v>12.25</v>
      </c>
      <c r="L33" s="91" t="s">
        <v>68</v>
      </c>
      <c r="M33" s="86"/>
      <c r="N33" s="12"/>
      <c r="O33" s="86"/>
      <c r="P33" s="12"/>
      <c r="Q33" s="86"/>
      <c r="R33" s="12"/>
      <c r="S33" s="86"/>
      <c r="T33" s="12"/>
      <c r="U33" s="89"/>
      <c r="V33" s="12"/>
      <c r="W33" s="89"/>
      <c r="X33" s="12"/>
      <c r="Y33" s="86"/>
      <c r="Z33" s="143"/>
      <c r="AA33" s="144"/>
      <c r="AB33" s="93"/>
      <c r="AC33" s="86"/>
      <c r="AD33" s="93"/>
      <c r="AE33" s="86"/>
      <c r="AF33" s="93"/>
      <c r="AG33" s="86"/>
      <c r="AH33" s="93"/>
      <c r="AI33" s="86"/>
      <c r="AJ33" s="12"/>
      <c r="AK33" s="86"/>
    </row>
    <row r="34" spans="1:45" ht="12" thickBot="1" x14ac:dyDescent="0.25">
      <c r="A34" s="41"/>
      <c r="B34" s="41"/>
      <c r="C34" s="4"/>
      <c r="D34" s="4"/>
      <c r="E34" s="2"/>
      <c r="F34" s="2"/>
      <c r="G34" s="2"/>
      <c r="H34" s="2"/>
      <c r="I34" s="2"/>
      <c r="J34" s="23">
        <v>107</v>
      </c>
      <c r="K34" s="73">
        <v>101</v>
      </c>
      <c r="L34" s="91" t="s">
        <v>69</v>
      </c>
      <c r="M34" s="87"/>
      <c r="N34" s="3"/>
      <c r="O34" s="86"/>
      <c r="P34" s="3"/>
      <c r="Q34" s="86"/>
      <c r="R34" s="3"/>
      <c r="S34" s="86"/>
      <c r="T34" s="3"/>
      <c r="U34" s="86"/>
      <c r="V34" s="3"/>
      <c r="W34" s="87"/>
      <c r="X34" s="12"/>
      <c r="Y34" s="87"/>
      <c r="Z34" s="143"/>
      <c r="AA34" s="144"/>
      <c r="AB34" s="3"/>
      <c r="AC34" s="86"/>
      <c r="AD34" s="3"/>
      <c r="AE34" s="86"/>
      <c r="AF34" s="3"/>
      <c r="AG34" s="86"/>
      <c r="AH34" s="3"/>
      <c r="AI34" s="86"/>
      <c r="AJ34" s="3"/>
      <c r="AK34" s="86"/>
    </row>
    <row r="35" spans="1:45" ht="12" thickBot="1" x14ac:dyDescent="0.25">
      <c r="A35" s="41"/>
      <c r="B35" s="41"/>
      <c r="C35" s="10"/>
      <c r="D35" s="4"/>
      <c r="E35" s="2"/>
      <c r="F35" s="2"/>
      <c r="G35" s="2"/>
      <c r="H35" s="2"/>
      <c r="I35" s="2"/>
      <c r="J35" s="11"/>
      <c r="K35" s="74">
        <f>K34+J34</f>
        <v>208</v>
      </c>
      <c r="L35" s="91" t="s">
        <v>70</v>
      </c>
      <c r="M35" s="87"/>
      <c r="N35" s="93"/>
      <c r="O35" s="86"/>
      <c r="P35" s="93"/>
      <c r="Q35" s="86"/>
      <c r="R35" s="93"/>
      <c r="S35" s="86"/>
      <c r="T35" s="3"/>
      <c r="U35" s="86"/>
      <c r="V35" s="3"/>
      <c r="W35" s="87"/>
      <c r="X35" s="95"/>
      <c r="Y35" s="89"/>
      <c r="Z35" s="143"/>
      <c r="AA35" s="144"/>
      <c r="AB35" s="3"/>
      <c r="AC35" s="88"/>
      <c r="AD35" s="3"/>
      <c r="AE35" s="88"/>
      <c r="AF35" s="3"/>
      <c r="AG35" s="88"/>
      <c r="AH35" s="3"/>
      <c r="AI35" s="88"/>
      <c r="AJ35" s="93"/>
      <c r="AK35" s="86"/>
    </row>
    <row r="36" spans="1:45" x14ac:dyDescent="0.2">
      <c r="A36" s="42"/>
      <c r="B36" s="42"/>
      <c r="C36" s="43"/>
      <c r="D36" s="43">
        <f t="shared" ref="D36:D39" si="49">SUM(J36:K36)</f>
        <v>96</v>
      </c>
      <c r="E36" s="20"/>
      <c r="F36" s="20"/>
      <c r="G36" s="20"/>
      <c r="H36" s="20"/>
      <c r="I36" s="20"/>
      <c r="J36" s="26">
        <v>36</v>
      </c>
      <c r="K36" s="84">
        <v>60</v>
      </c>
      <c r="L36" s="85">
        <v>282</v>
      </c>
      <c r="M36" s="83">
        <f>L36/($J36+$K36)</f>
        <v>2.9375</v>
      </c>
      <c r="N36" s="85">
        <f>L36+67</f>
        <v>349</v>
      </c>
      <c r="O36" s="83">
        <f t="shared" ref="O36:O39" si="50">IF(N36=0,0,(N36-$L36)/($J36*$K36))</f>
        <v>3.1018518518518518E-2</v>
      </c>
      <c r="P36" s="85">
        <f>L36+37</f>
        <v>319</v>
      </c>
      <c r="Q36" s="83">
        <f t="shared" ref="Q36:Q39" si="51">IF(P36=0,0,(P36-$L36)/($J36*$K36))</f>
        <v>1.712962962962963E-2</v>
      </c>
      <c r="R36" s="85">
        <f>L36+93</f>
        <v>375</v>
      </c>
      <c r="S36" s="83">
        <f t="shared" ref="S36:S39" si="52">IF(R36=0,0,(R36-$L36)/($J36*$K36))</f>
        <v>4.3055555555555555E-2</v>
      </c>
      <c r="T36" s="85">
        <f>L36+41</f>
        <v>323</v>
      </c>
      <c r="U36" s="83">
        <f t="shared" ref="U36:U39" si="53">IF(T36=0,0,(T36-$L36)/($J36*$K36))</f>
        <v>1.8981481481481481E-2</v>
      </c>
      <c r="V36" s="85">
        <f>L36+42</f>
        <v>324</v>
      </c>
      <c r="W36" s="83">
        <f t="shared" ref="W36:W39" si="54">IF(V36=0,0,(V36-$L36)/($J36*$K36))</f>
        <v>1.9444444444444445E-2</v>
      </c>
      <c r="X36" s="85">
        <f>L36+206</f>
        <v>488</v>
      </c>
      <c r="Y36" s="83">
        <f t="shared" ref="Y36:Y39" si="55">IF(X36=0,0,(X36-$L36)/($J36*$K36))</f>
        <v>9.5370370370370369E-2</v>
      </c>
      <c r="Z36" s="145">
        <v>0</v>
      </c>
      <c r="AA36" s="83">
        <f t="shared" ref="AA36:AA39" si="56">IF(Z36=0,0,(Z36-$L36)/($J36*$K36))</f>
        <v>0</v>
      </c>
      <c r="AB36" s="85">
        <v>349</v>
      </c>
      <c r="AC36" s="83">
        <f>IF(AB36 = 0, 0,(AB36-$L36)/($J36+$K36))</f>
        <v>0.69791666666666663</v>
      </c>
      <c r="AD36" s="85">
        <v>334</v>
      </c>
      <c r="AE36" s="83">
        <f>IF(AD36 = 0, 0,(AD36-$L36)/($J36+$K36))</f>
        <v>0.54166666666666663</v>
      </c>
      <c r="AF36" s="85">
        <v>0</v>
      </c>
      <c r="AG36" s="83">
        <f>IF(AF36 = 0, 0,(AF36-$L36)/($J36+$K36))</f>
        <v>0</v>
      </c>
      <c r="AH36" s="85">
        <v>426</v>
      </c>
      <c r="AI36" s="83">
        <f>IF(AH36 = 0, 0,(AH36-$L36)/($J36+$K36))</f>
        <v>1.5</v>
      </c>
      <c r="AJ36" s="85">
        <v>0</v>
      </c>
      <c r="AK36" s="83">
        <f t="shared" ref="AK36:AK39" si="57">IF(AJ36=0,0,(AJ36-$L36)/($J36*$K36))</f>
        <v>0</v>
      </c>
    </row>
    <row r="37" spans="1:45" x14ac:dyDescent="0.2">
      <c r="A37" s="42"/>
      <c r="B37" s="42"/>
      <c r="C37" s="43"/>
      <c r="D37" s="43">
        <f t="shared" si="49"/>
        <v>108</v>
      </c>
      <c r="E37" s="20"/>
      <c r="F37" s="20"/>
      <c r="G37" s="20"/>
      <c r="H37" s="20"/>
      <c r="I37" s="20"/>
      <c r="J37" s="113">
        <v>48</v>
      </c>
      <c r="K37" s="14">
        <v>60</v>
      </c>
      <c r="L37" s="121">
        <v>316</v>
      </c>
      <c r="M37" s="122">
        <f>L37/($J37+$K37)</f>
        <v>2.925925925925926</v>
      </c>
      <c r="N37" s="121">
        <f>L37+84</f>
        <v>400</v>
      </c>
      <c r="O37" s="122">
        <f t="shared" si="50"/>
        <v>2.9166666666666667E-2</v>
      </c>
      <c r="P37" s="121">
        <f t="shared" ref="P37:P39" si="58">L37+37</f>
        <v>353</v>
      </c>
      <c r="Q37" s="122">
        <f t="shared" si="51"/>
        <v>1.2847222222222222E-2</v>
      </c>
      <c r="R37" s="121">
        <f t="shared" ref="R37:R38" si="59">L37+93</f>
        <v>409</v>
      </c>
      <c r="S37" s="122">
        <f t="shared" si="52"/>
        <v>3.229166666666667E-2</v>
      </c>
      <c r="T37" s="121">
        <f t="shared" ref="T37:T39" si="60">L37+41</f>
        <v>357</v>
      </c>
      <c r="U37" s="122">
        <f t="shared" si="53"/>
        <v>1.4236111111111111E-2</v>
      </c>
      <c r="V37" s="121">
        <f t="shared" ref="V37:V39" si="61">L37+42</f>
        <v>358</v>
      </c>
      <c r="W37" s="122">
        <f t="shared" si="54"/>
        <v>1.4583333333333334E-2</v>
      </c>
      <c r="X37" s="121">
        <f t="shared" ref="X37:X39" si="62">L37+206</f>
        <v>522</v>
      </c>
      <c r="Y37" s="122">
        <f t="shared" si="55"/>
        <v>7.1527777777777773E-2</v>
      </c>
      <c r="Z37" s="146">
        <v>0</v>
      </c>
      <c r="AA37" s="122">
        <f t="shared" si="56"/>
        <v>0</v>
      </c>
      <c r="AB37" s="121">
        <v>383</v>
      </c>
      <c r="AC37" s="122">
        <f>IF(AB37 = 0, 0,(AB37-$L37)/($J37+$K37))</f>
        <v>0.62037037037037035</v>
      </c>
      <c r="AD37" s="121">
        <v>368</v>
      </c>
      <c r="AE37" s="122">
        <f>IF(AD37 = 0, 0,(AD37-$L37)/($J37+$K37))</f>
        <v>0.48148148148148145</v>
      </c>
      <c r="AF37" s="121">
        <v>0</v>
      </c>
      <c r="AG37" s="122">
        <f>IF(AF37 = 0, 0,(AF37-$L37)/($J37+$K37))</f>
        <v>0</v>
      </c>
      <c r="AH37" s="121">
        <v>460</v>
      </c>
      <c r="AI37" s="122">
        <f>IF(AH37 = 0, 0,(AH37-$L37)/($J37+$K37))</f>
        <v>1.3333333333333333</v>
      </c>
      <c r="AJ37" s="121">
        <v>0</v>
      </c>
      <c r="AK37" s="122">
        <f t="shared" si="57"/>
        <v>0</v>
      </c>
    </row>
    <row r="38" spans="1:45" x14ac:dyDescent="0.2">
      <c r="A38" s="42"/>
      <c r="B38" s="42"/>
      <c r="C38" s="43"/>
      <c r="D38" s="43">
        <f t="shared" si="49"/>
        <v>120</v>
      </c>
      <c r="E38" s="20"/>
      <c r="F38" s="20"/>
      <c r="G38" s="20"/>
      <c r="H38" s="20"/>
      <c r="I38" s="20"/>
      <c r="J38" s="113">
        <v>60</v>
      </c>
      <c r="K38" s="14">
        <v>60</v>
      </c>
      <c r="L38" s="121">
        <v>383</v>
      </c>
      <c r="M38" s="122">
        <f t="shared" ref="M38:M39" si="63">L38/($J38+$K38)</f>
        <v>3.1916666666666669</v>
      </c>
      <c r="N38" s="121">
        <f>L38+84</f>
        <v>467</v>
      </c>
      <c r="O38" s="122">
        <f t="shared" si="50"/>
        <v>2.3333333333333334E-2</v>
      </c>
      <c r="P38" s="121">
        <f t="shared" si="58"/>
        <v>420</v>
      </c>
      <c r="Q38" s="122">
        <f t="shared" si="51"/>
        <v>1.0277777777777778E-2</v>
      </c>
      <c r="R38" s="121">
        <f t="shared" si="59"/>
        <v>476</v>
      </c>
      <c r="S38" s="122">
        <f t="shared" si="52"/>
        <v>2.5833333333333333E-2</v>
      </c>
      <c r="T38" s="121">
        <f t="shared" si="60"/>
        <v>424</v>
      </c>
      <c r="U38" s="122">
        <f t="shared" si="53"/>
        <v>1.1388888888888889E-2</v>
      </c>
      <c r="V38" s="121">
        <f t="shared" si="61"/>
        <v>425</v>
      </c>
      <c r="W38" s="122">
        <f t="shared" si="54"/>
        <v>1.1666666666666667E-2</v>
      </c>
      <c r="X38" s="121">
        <f t="shared" si="62"/>
        <v>589</v>
      </c>
      <c r="Y38" s="122">
        <f t="shared" si="55"/>
        <v>5.7222222222222223E-2</v>
      </c>
      <c r="Z38" s="146">
        <v>0</v>
      </c>
      <c r="AA38" s="122">
        <f t="shared" si="56"/>
        <v>0</v>
      </c>
      <c r="AB38" s="121">
        <v>451</v>
      </c>
      <c r="AC38" s="122">
        <f>IF(AB38 = 0, 0,(AB38-$L38)/($J38+$K38))</f>
        <v>0.56666666666666665</v>
      </c>
      <c r="AD38" s="121">
        <v>436</v>
      </c>
      <c r="AE38" s="122">
        <f>IF(AD38 = 0, 0,(AD38-$L38)/($J38+$K38))</f>
        <v>0.44166666666666665</v>
      </c>
      <c r="AF38" s="121">
        <v>0</v>
      </c>
      <c r="AG38" s="122">
        <f>IF(AF38 = 0, 0,(AF38-$L38)/($J38+$K38))</f>
        <v>0</v>
      </c>
      <c r="AH38" s="121">
        <v>527</v>
      </c>
      <c r="AI38" s="122">
        <f>IF(AH38 = 0, 0,(AH38-$L38)/($J38+$K38))</f>
        <v>1.2</v>
      </c>
      <c r="AJ38" s="121">
        <v>0</v>
      </c>
      <c r="AK38" s="122">
        <f t="shared" si="57"/>
        <v>0</v>
      </c>
    </row>
    <row r="39" spans="1:45" ht="12" thickBot="1" x14ac:dyDescent="0.25">
      <c r="A39" s="42"/>
      <c r="B39" s="42"/>
      <c r="C39" s="43"/>
      <c r="D39" s="43">
        <f t="shared" si="49"/>
        <v>132</v>
      </c>
      <c r="E39" s="20"/>
      <c r="F39" s="20"/>
      <c r="G39" s="20"/>
      <c r="H39" s="20"/>
      <c r="I39" s="20"/>
      <c r="J39" s="117">
        <v>60</v>
      </c>
      <c r="K39" s="118">
        <v>72</v>
      </c>
      <c r="L39" s="123">
        <v>519</v>
      </c>
      <c r="M39" s="124">
        <f t="shared" si="63"/>
        <v>3.9318181818181817</v>
      </c>
      <c r="N39" s="123">
        <f>L39+101</f>
        <v>620</v>
      </c>
      <c r="O39" s="124">
        <f t="shared" si="50"/>
        <v>2.3379629629629629E-2</v>
      </c>
      <c r="P39" s="123">
        <f t="shared" si="58"/>
        <v>556</v>
      </c>
      <c r="Q39" s="124">
        <f t="shared" si="51"/>
        <v>8.564814814814815E-3</v>
      </c>
      <c r="R39" s="123">
        <f>L39+157</f>
        <v>676</v>
      </c>
      <c r="S39" s="124">
        <f t="shared" si="52"/>
        <v>3.6342592592592593E-2</v>
      </c>
      <c r="T39" s="123">
        <f t="shared" si="60"/>
        <v>560</v>
      </c>
      <c r="U39" s="124">
        <f t="shared" si="53"/>
        <v>9.4907407407407406E-3</v>
      </c>
      <c r="V39" s="123">
        <f t="shared" si="61"/>
        <v>561</v>
      </c>
      <c r="W39" s="124">
        <f t="shared" si="54"/>
        <v>9.7222222222222224E-3</v>
      </c>
      <c r="X39" s="123">
        <f t="shared" si="62"/>
        <v>725</v>
      </c>
      <c r="Y39" s="124">
        <f t="shared" si="55"/>
        <v>4.7685185185185185E-2</v>
      </c>
      <c r="Z39" s="147">
        <v>0</v>
      </c>
      <c r="AA39" s="124">
        <f t="shared" si="56"/>
        <v>0</v>
      </c>
      <c r="AB39" s="123">
        <v>587</v>
      </c>
      <c r="AC39" s="124">
        <f>IF(AB39 = 0, 0,(AB39-$L39)/($J39+$K39))</f>
        <v>0.51515151515151514</v>
      </c>
      <c r="AD39" s="123">
        <v>572</v>
      </c>
      <c r="AE39" s="124">
        <f>IF(AD39 = 0, 0,(AD39-$L39)/($J39+$K39))</f>
        <v>0.40151515151515149</v>
      </c>
      <c r="AF39" s="123">
        <v>0</v>
      </c>
      <c r="AG39" s="124">
        <f>IF(AF39 = 0, 0,(AF39-$L39)/($J39+$K39))</f>
        <v>0</v>
      </c>
      <c r="AH39" s="123">
        <v>663</v>
      </c>
      <c r="AI39" s="124">
        <f>IF(AH39 = 0, 0,(AH39-$L39)/($J39+$K39))</f>
        <v>1.0909090909090908</v>
      </c>
      <c r="AJ39" s="123">
        <v>0</v>
      </c>
      <c r="AK39" s="124">
        <f t="shared" si="57"/>
        <v>0</v>
      </c>
    </row>
    <row r="40" spans="1:45" s="35" customFormat="1" ht="12" thickBot="1" x14ac:dyDescent="0.25">
      <c r="A40" s="33"/>
      <c r="K40" s="34"/>
      <c r="L40" s="132"/>
      <c r="M40" s="133"/>
      <c r="N40" s="132"/>
      <c r="O40" s="133"/>
      <c r="P40" s="132"/>
      <c r="Q40" s="133"/>
      <c r="R40" s="132"/>
      <c r="S40" s="133"/>
      <c r="T40" s="132"/>
      <c r="U40" s="133"/>
      <c r="V40" s="132"/>
      <c r="W40" s="140"/>
      <c r="X40" s="141"/>
      <c r="Y40" s="142"/>
      <c r="Z40" s="141"/>
      <c r="AA40" s="142"/>
      <c r="AB40" s="132"/>
      <c r="AC40" s="133"/>
      <c r="AD40" s="132"/>
      <c r="AE40" s="133"/>
      <c r="AF40" s="132"/>
      <c r="AG40" s="133"/>
      <c r="AH40" s="132"/>
      <c r="AI40" s="133"/>
      <c r="AJ40" s="132"/>
      <c r="AK40" s="133"/>
      <c r="AS40" s="34"/>
    </row>
    <row r="41" spans="1:45" ht="16.5" thickBot="1" x14ac:dyDescent="0.25">
      <c r="A41" s="38"/>
      <c r="B41" s="38"/>
      <c r="C41" s="39"/>
      <c r="D41" s="40" t="s">
        <v>74</v>
      </c>
      <c r="E41" s="44">
        <f>J42</f>
        <v>13.625</v>
      </c>
      <c r="F41" s="44">
        <f>K42</f>
        <v>20.625</v>
      </c>
      <c r="G41" s="44">
        <f>J43</f>
        <v>44</v>
      </c>
      <c r="H41" s="44">
        <f>K43</f>
        <v>80</v>
      </c>
      <c r="I41" s="39">
        <f>K44</f>
        <v>124</v>
      </c>
      <c r="J41" s="39"/>
      <c r="K41" s="39"/>
      <c r="L41" s="90"/>
      <c r="M41" s="198">
        <f>AVERAGE(M45:M48)</f>
        <v>4.4840852388810308</v>
      </c>
      <c r="N41" s="92"/>
      <c r="O41" s="198">
        <f>AVERAGE(O45:O48)</f>
        <v>2.8298611111111111E-2</v>
      </c>
      <c r="P41" s="92"/>
      <c r="Q41" s="198">
        <f>AVERAGE(Q45:Q48)</f>
        <v>1.5190972222222224E-2</v>
      </c>
      <c r="R41" s="92"/>
      <c r="S41" s="198">
        <f>AVERAGE(S45:S48)</f>
        <v>3.856169871794872E-2</v>
      </c>
      <c r="T41" s="92"/>
      <c r="U41" s="198">
        <f>AVERAGE(U45:U48)</f>
        <v>1.6943776709401708E-2</v>
      </c>
      <c r="V41" s="92"/>
      <c r="W41" s="198">
        <f>AVERAGE(W45:W48)</f>
        <v>1.460670405982906E-2</v>
      </c>
      <c r="X41" s="94"/>
      <c r="Y41" s="198">
        <f>AVERAGE(Y45:Y48)</f>
        <v>8.0862713675213665E-2</v>
      </c>
      <c r="Z41" s="92"/>
      <c r="AA41" s="198">
        <f>AVERAGE(AA45:AA48)</f>
        <v>0</v>
      </c>
      <c r="AB41" s="92"/>
      <c r="AC41" s="198">
        <f>AVERAGE(AC45:AC48)</f>
        <v>0.78141698098381274</v>
      </c>
      <c r="AD41" s="92"/>
      <c r="AE41" s="198">
        <f>AVERAGE(AE45:AE48)</f>
        <v>0.8104201045104511</v>
      </c>
      <c r="AF41" s="92"/>
      <c r="AG41" s="198">
        <f>AVERAGE(AG45:AG48)</f>
        <v>0</v>
      </c>
      <c r="AH41" s="92"/>
      <c r="AI41" s="198">
        <f>AVERAGE(AI45:AI48)</f>
        <v>1.6600070721357851</v>
      </c>
      <c r="AJ41" s="92"/>
      <c r="AK41" s="198">
        <f>AVERAGE(AK45:AK48)</f>
        <v>0</v>
      </c>
    </row>
    <row r="42" spans="1:45" ht="12" thickBot="1" x14ac:dyDescent="0.25">
      <c r="A42" s="41"/>
      <c r="B42" s="41"/>
      <c r="C42" s="4"/>
      <c r="D42" s="4"/>
      <c r="E42" s="2"/>
      <c r="F42" s="2"/>
      <c r="G42" s="2"/>
      <c r="H42" s="2"/>
      <c r="I42" s="2"/>
      <c r="J42" s="23">
        <v>13.625</v>
      </c>
      <c r="K42" s="72">
        <v>20.625</v>
      </c>
      <c r="L42" s="91" t="s">
        <v>68</v>
      </c>
      <c r="M42" s="86"/>
      <c r="N42" s="12"/>
      <c r="O42" s="86"/>
      <c r="P42" s="12"/>
      <c r="Q42" s="86"/>
      <c r="R42" s="12"/>
      <c r="S42" s="86"/>
      <c r="T42" s="12"/>
      <c r="U42" s="89"/>
      <c r="V42" s="12"/>
      <c r="W42" s="89"/>
      <c r="X42" s="12"/>
      <c r="Y42" s="86"/>
      <c r="Z42" s="143"/>
      <c r="AA42" s="144"/>
      <c r="AB42" s="93"/>
      <c r="AC42" s="86"/>
      <c r="AD42" s="93"/>
      <c r="AE42" s="86"/>
      <c r="AF42" s="93"/>
      <c r="AG42" s="86"/>
      <c r="AH42" s="93"/>
      <c r="AI42" s="86"/>
      <c r="AJ42" s="12"/>
      <c r="AK42" s="86"/>
    </row>
    <row r="43" spans="1:45" ht="12" thickBot="1" x14ac:dyDescent="0.25">
      <c r="A43" s="41"/>
      <c r="B43" s="41"/>
      <c r="C43" s="4"/>
      <c r="D43" s="4"/>
      <c r="E43" s="2"/>
      <c r="F43" s="2"/>
      <c r="G43" s="2"/>
      <c r="H43" s="2"/>
      <c r="I43" s="2"/>
      <c r="J43" s="23">
        <v>44</v>
      </c>
      <c r="K43" s="73">
        <v>80</v>
      </c>
      <c r="L43" s="91" t="s">
        <v>69</v>
      </c>
      <c r="M43" s="87"/>
      <c r="N43" s="3"/>
      <c r="O43" s="86"/>
      <c r="P43" s="3"/>
      <c r="Q43" s="86"/>
      <c r="R43" s="3"/>
      <c r="S43" s="86"/>
      <c r="T43" s="3"/>
      <c r="U43" s="86"/>
      <c r="V43" s="3"/>
      <c r="W43" s="87"/>
      <c r="X43" s="12"/>
      <c r="Y43" s="87"/>
      <c r="Z43" s="143"/>
      <c r="AA43" s="144"/>
      <c r="AB43" s="3"/>
      <c r="AC43" s="86"/>
      <c r="AD43" s="3"/>
      <c r="AE43" s="86"/>
      <c r="AF43" s="3"/>
      <c r="AG43" s="86"/>
      <c r="AH43" s="3"/>
      <c r="AI43" s="86"/>
      <c r="AJ43" s="3"/>
      <c r="AK43" s="86"/>
    </row>
    <row r="44" spans="1:45" ht="12" thickBot="1" x14ac:dyDescent="0.25">
      <c r="A44" s="41"/>
      <c r="B44" s="41"/>
      <c r="C44" s="10"/>
      <c r="D44" s="4"/>
      <c r="E44" s="2"/>
      <c r="F44" s="2"/>
      <c r="G44" s="2"/>
      <c r="H44" s="2"/>
      <c r="I44" s="2"/>
      <c r="J44" s="11"/>
      <c r="K44" s="74">
        <f>K43+J43</f>
        <v>124</v>
      </c>
      <c r="L44" s="91" t="s">
        <v>70</v>
      </c>
      <c r="M44" s="87"/>
      <c r="N44" s="93"/>
      <c r="O44" s="86"/>
      <c r="P44" s="93"/>
      <c r="Q44" s="86"/>
      <c r="R44" s="93"/>
      <c r="S44" s="86"/>
      <c r="T44" s="3"/>
      <c r="U44" s="86"/>
      <c r="V44" s="3"/>
      <c r="W44" s="87"/>
      <c r="X44" s="95"/>
      <c r="Y44" s="89"/>
      <c r="Z44" s="143"/>
      <c r="AA44" s="144"/>
      <c r="AB44" s="3"/>
      <c r="AC44" s="88"/>
      <c r="AD44" s="3"/>
      <c r="AE44" s="88"/>
      <c r="AF44" s="3"/>
      <c r="AG44" s="88"/>
      <c r="AH44" s="3"/>
      <c r="AI44" s="88"/>
      <c r="AJ44" s="93"/>
      <c r="AK44" s="86"/>
    </row>
    <row r="45" spans="1:45" x14ac:dyDescent="0.2">
      <c r="A45" s="42"/>
      <c r="B45" s="42"/>
      <c r="C45" s="43"/>
      <c r="D45" s="43">
        <f t="shared" ref="D45:D48" si="64">SUM(J45:K45)</f>
        <v>72</v>
      </c>
      <c r="E45" s="20"/>
      <c r="F45" s="20"/>
      <c r="G45" s="20"/>
      <c r="H45" s="20"/>
      <c r="I45" s="20"/>
      <c r="J45" s="111">
        <v>24</v>
      </c>
      <c r="K45" s="112">
        <v>48</v>
      </c>
      <c r="L45" s="220">
        <v>338</v>
      </c>
      <c r="M45" s="219">
        <f>L45/($J45+$K45)</f>
        <v>4.6944444444444446</v>
      </c>
      <c r="N45" s="220">
        <f>L45+50</f>
        <v>388</v>
      </c>
      <c r="O45" s="219">
        <f>IF(N45=0,0,(N45-$L45)/($J45*$K45))</f>
        <v>4.3402777777777776E-2</v>
      </c>
      <c r="P45" s="220">
        <f>L45+26</f>
        <v>364</v>
      </c>
      <c r="Q45" s="219">
        <f>IF(P45=0,0,(P45-$L45)/($J45*$K45))</f>
        <v>2.2569444444444444E-2</v>
      </c>
      <c r="R45" s="220">
        <f>L45+66</f>
        <v>404</v>
      </c>
      <c r="S45" s="219">
        <f>IF(R45=0,0,(R45-$L45)/($J45*$K45))</f>
        <v>5.7291666666666664E-2</v>
      </c>
      <c r="T45" s="220">
        <f>L45+29</f>
        <v>367</v>
      </c>
      <c r="U45" s="219">
        <f>IF(T45=0,0,(T45-$L45)/($J45*$K45))</f>
        <v>2.5173611111111112E-2</v>
      </c>
      <c r="V45" s="220">
        <f>L45+25</f>
        <v>363</v>
      </c>
      <c r="W45" s="219">
        <f>IF(V45=0,0,(V45-$L45)/($J45*$K45))</f>
        <v>2.1701388888888888E-2</v>
      </c>
      <c r="X45" s="85">
        <f>L45+90</f>
        <v>428</v>
      </c>
      <c r="Y45" s="83">
        <f t="shared" ref="Y45:Y48" si="65">IF(X45=0,0,(X45-$L45)/($J45*$K45))</f>
        <v>7.8125E-2</v>
      </c>
      <c r="Z45" s="145">
        <v>0</v>
      </c>
      <c r="AA45" s="83">
        <f t="shared" ref="AA45:AA48" si="66">IF(Z45=0,0,(Z45-$L45)/($J45*$K45))</f>
        <v>0</v>
      </c>
      <c r="AB45" s="85">
        <v>406</v>
      </c>
      <c r="AC45" s="83">
        <f>IF(AB45 = 0, 0,(AB45-$L45)/($J45+$K45))</f>
        <v>0.94444444444444442</v>
      </c>
      <c r="AD45" s="85">
        <v>409</v>
      </c>
      <c r="AE45" s="83">
        <f>IF(AD45 = 0, 0,(AD45-$L45)/($J45+$K45))</f>
        <v>0.98611111111111116</v>
      </c>
      <c r="AF45" s="85">
        <v>0</v>
      </c>
      <c r="AG45" s="83">
        <f>IF(AF45 = 0, 0,(AF45-$L45)/($J45+$K45))</f>
        <v>0</v>
      </c>
      <c r="AH45" s="85">
        <v>482</v>
      </c>
      <c r="AI45" s="83">
        <f>IF(AH45 = 0, 0,(AH45-$L45)/($J45+$K45))</f>
        <v>2</v>
      </c>
      <c r="AJ45" s="85">
        <v>0</v>
      </c>
      <c r="AK45" s="83">
        <f t="shared" ref="AK45:AK48" si="67">IF(AJ45=0,0,(AJ45-$L45)/($J45*$K45))</f>
        <v>0</v>
      </c>
    </row>
    <row r="46" spans="1:45" x14ac:dyDescent="0.2">
      <c r="A46" s="42"/>
      <c r="B46" s="42"/>
      <c r="C46" s="43"/>
      <c r="D46" s="43">
        <f t="shared" si="64"/>
        <v>84</v>
      </c>
      <c r="E46" s="20"/>
      <c r="F46" s="20"/>
      <c r="G46" s="20"/>
      <c r="H46" s="20"/>
      <c r="I46" s="20"/>
      <c r="J46" s="116">
        <v>36</v>
      </c>
      <c r="K46" s="9">
        <v>48</v>
      </c>
      <c r="L46" s="217">
        <v>372</v>
      </c>
      <c r="M46" s="216">
        <f>L46/($J46+$K46)</f>
        <v>4.4285714285714288</v>
      </c>
      <c r="N46" s="217">
        <f>L46+67</f>
        <v>439</v>
      </c>
      <c r="O46" s="216">
        <f>IF(N46=0,0,(N46-$L46)/($J46*$K46))</f>
        <v>3.8773148148148147E-2</v>
      </c>
      <c r="P46" s="217">
        <f>L46+26</f>
        <v>398</v>
      </c>
      <c r="Q46" s="216">
        <f>IF(P46=0,0,(P46-$L46)/($J46*$K46))</f>
        <v>1.5046296296296295E-2</v>
      </c>
      <c r="R46" s="217">
        <f>L46+66</f>
        <v>438</v>
      </c>
      <c r="S46" s="216">
        <f>IF(R46=0,0,(R46-$L46)/($J46*$K46))</f>
        <v>3.8194444444444448E-2</v>
      </c>
      <c r="T46" s="217">
        <f>L46+29</f>
        <v>401</v>
      </c>
      <c r="U46" s="216">
        <f>IF(T46=0,0,(T46-$L46)/($J46*$K46))</f>
        <v>1.6782407407407409E-2</v>
      </c>
      <c r="V46" s="217">
        <f t="shared" ref="V46:V48" si="68">L46+25</f>
        <v>397</v>
      </c>
      <c r="W46" s="216">
        <f>IF(V46=0,0,(V46-$L46)/($J46*$K46))</f>
        <v>1.4467592592592593E-2</v>
      </c>
      <c r="X46" s="121">
        <f>L46+167</f>
        <v>539</v>
      </c>
      <c r="Y46" s="122">
        <f t="shared" si="65"/>
        <v>9.6643518518518517E-2</v>
      </c>
      <c r="Z46" s="146">
        <v>0</v>
      </c>
      <c r="AA46" s="122">
        <f t="shared" si="66"/>
        <v>0</v>
      </c>
      <c r="AB46" s="121">
        <v>440</v>
      </c>
      <c r="AC46" s="122">
        <f>IF(AB46 = 0, 0,(AB46-$L46)/($J46+$K46))</f>
        <v>0.80952380952380953</v>
      </c>
      <c r="AD46" s="121">
        <v>442</v>
      </c>
      <c r="AE46" s="122">
        <f>IF(AD46 = 0, 0,(AD46-$L46)/($J46+$K46))</f>
        <v>0.83333333333333337</v>
      </c>
      <c r="AF46" s="121">
        <v>0</v>
      </c>
      <c r="AG46" s="122">
        <f>IF(AF46 = 0, 0,(AF46-$L46)/($J46+$K46))</f>
        <v>0</v>
      </c>
      <c r="AH46" s="121">
        <v>516</v>
      </c>
      <c r="AI46" s="122">
        <f>IF(AH46 = 0, 0,(AH46-$L46)/($J46+$K46))</f>
        <v>1.7142857142857142</v>
      </c>
      <c r="AJ46" s="121">
        <v>0</v>
      </c>
      <c r="AK46" s="122">
        <f t="shared" si="67"/>
        <v>0</v>
      </c>
    </row>
    <row r="47" spans="1:45" x14ac:dyDescent="0.2">
      <c r="A47" s="42"/>
      <c r="B47" s="42"/>
      <c r="C47" s="43"/>
      <c r="D47" s="43">
        <f t="shared" si="64"/>
        <v>96</v>
      </c>
      <c r="E47" s="20"/>
      <c r="F47" s="20"/>
      <c r="G47" s="20"/>
      <c r="H47" s="20"/>
      <c r="I47" s="20"/>
      <c r="J47" s="116">
        <v>36</v>
      </c>
      <c r="K47" s="9">
        <v>60</v>
      </c>
      <c r="L47" s="217">
        <v>406</v>
      </c>
      <c r="M47" s="216">
        <f>L47/($J47+$K47)</f>
        <v>4.229166666666667</v>
      </c>
      <c r="N47" s="217">
        <f>L47+67</f>
        <v>473</v>
      </c>
      <c r="O47" s="216">
        <f>IF(N47=0,0,(N47-$L47)/($J47*$K47))</f>
        <v>3.1018518518518518E-2</v>
      </c>
      <c r="P47" s="217">
        <f>L47+26</f>
        <v>432</v>
      </c>
      <c r="Q47" s="216">
        <f>IF(P47=0,0,(P47-$L47)/($J47*$K47))</f>
        <v>1.2037037037037037E-2</v>
      </c>
      <c r="R47" s="217">
        <f>L47+66</f>
        <v>472</v>
      </c>
      <c r="S47" s="216">
        <f>IF(R47=0,0,(R47-$L47)/($J47*$K47))</f>
        <v>3.0555555555555555E-2</v>
      </c>
      <c r="T47" s="217">
        <f>L47+29</f>
        <v>435</v>
      </c>
      <c r="U47" s="216">
        <f>IF(T47=0,0,(T47-$L47)/($J47*$K47))</f>
        <v>1.3425925925925926E-2</v>
      </c>
      <c r="V47" s="217">
        <f t="shared" si="68"/>
        <v>431</v>
      </c>
      <c r="W47" s="216">
        <f>IF(V47=0,0,(V47-$L47)/($J47*$K47))</f>
        <v>1.1574074074074073E-2</v>
      </c>
      <c r="X47" s="121">
        <f>L47+167</f>
        <v>573</v>
      </c>
      <c r="Y47" s="122">
        <f t="shared" si="65"/>
        <v>7.7314814814814808E-2</v>
      </c>
      <c r="Z47" s="146">
        <v>0</v>
      </c>
      <c r="AA47" s="122">
        <f t="shared" si="66"/>
        <v>0</v>
      </c>
      <c r="AB47" s="121">
        <v>474</v>
      </c>
      <c r="AC47" s="122">
        <f>IF(AB47 = 0, 0,(AB47-$L47)/($J47+$K47))</f>
        <v>0.70833333333333337</v>
      </c>
      <c r="AD47" s="121">
        <v>476</v>
      </c>
      <c r="AE47" s="122">
        <f>IF(AD47 = 0, 0,(AD47-$L47)/($J47+$K47))</f>
        <v>0.72916666666666663</v>
      </c>
      <c r="AF47" s="121">
        <v>0</v>
      </c>
      <c r="AG47" s="122">
        <f>IF(AF47 = 0, 0,(AF47-$L47)/($J47+$K47))</f>
        <v>0</v>
      </c>
      <c r="AH47" s="121">
        <v>550</v>
      </c>
      <c r="AI47" s="122">
        <f>IF(AH47 = 0, 0,(AH47-$L47)/($J47+$K47))</f>
        <v>1.5</v>
      </c>
      <c r="AJ47" s="121">
        <v>0</v>
      </c>
      <c r="AK47" s="122">
        <f t="shared" si="67"/>
        <v>0</v>
      </c>
    </row>
    <row r="48" spans="1:45" ht="12" thickBot="1" x14ac:dyDescent="0.25">
      <c r="A48" s="42"/>
      <c r="B48" s="42"/>
      <c r="C48" s="43"/>
      <c r="D48" s="43">
        <f t="shared" si="64"/>
        <v>101</v>
      </c>
      <c r="E48" s="20"/>
      <c r="F48" s="20"/>
      <c r="G48" s="20"/>
      <c r="H48" s="20"/>
      <c r="I48" s="20"/>
      <c r="J48" s="114">
        <v>36</v>
      </c>
      <c r="K48" s="115">
        <v>65</v>
      </c>
      <c r="L48" s="209">
        <v>463</v>
      </c>
      <c r="M48" s="208">
        <f>L48/($J48+$K48)</f>
        <v>4.5841584158415838</v>
      </c>
      <c r="N48" s="209">
        <v>0</v>
      </c>
      <c r="O48" s="208">
        <f>IF(N48=0,0,(N48-$L48)/($J48*$K48))</f>
        <v>0</v>
      </c>
      <c r="P48" s="209">
        <f>L48+26</f>
        <v>489</v>
      </c>
      <c r="Q48" s="208">
        <f>IF(P48=0,0,(P48-$L48)/($J48*$K48))</f>
        <v>1.1111111111111112E-2</v>
      </c>
      <c r="R48" s="209">
        <f>L48+66</f>
        <v>529</v>
      </c>
      <c r="S48" s="208">
        <f>IF(R48=0,0,(R48-$L48)/($J48*$K48))</f>
        <v>2.8205128205128206E-2</v>
      </c>
      <c r="T48" s="209">
        <f>L48+29</f>
        <v>492</v>
      </c>
      <c r="U48" s="208">
        <f>IF(T48=0,0,(T48-$L48)/($J48*$K48))</f>
        <v>1.2393162393162393E-2</v>
      </c>
      <c r="V48" s="209">
        <f t="shared" si="68"/>
        <v>488</v>
      </c>
      <c r="W48" s="208">
        <f>IF(V48=0,0,(V48-$L48)/($J48*$K48))</f>
        <v>1.0683760683760684E-2</v>
      </c>
      <c r="X48" s="123">
        <f>L48+167</f>
        <v>630</v>
      </c>
      <c r="Y48" s="124">
        <f t="shared" si="65"/>
        <v>7.1367521367521364E-2</v>
      </c>
      <c r="Z48" s="147">
        <v>0</v>
      </c>
      <c r="AA48" s="124">
        <f t="shared" si="66"/>
        <v>0</v>
      </c>
      <c r="AB48" s="123">
        <v>530</v>
      </c>
      <c r="AC48" s="124">
        <f>IF(AB48 = 0, 0,(AB48-$L48)/($J48+$K48))</f>
        <v>0.6633663366336634</v>
      </c>
      <c r="AD48" s="123">
        <v>533</v>
      </c>
      <c r="AE48" s="124">
        <f>IF(AD48 = 0, 0,(AD48-$L48)/($J48+$K48))</f>
        <v>0.69306930693069302</v>
      </c>
      <c r="AF48" s="123">
        <v>0</v>
      </c>
      <c r="AG48" s="124">
        <f>IF(AF48 = 0, 0,(AF48-$L48)/($J48+$K48))</f>
        <v>0</v>
      </c>
      <c r="AH48" s="123">
        <v>607</v>
      </c>
      <c r="AI48" s="124">
        <f>IF(AH48 = 0, 0,(AH48-$L48)/($J48+$K48))</f>
        <v>1.4257425742574257</v>
      </c>
      <c r="AJ48" s="123">
        <v>0</v>
      </c>
      <c r="AK48" s="124">
        <f t="shared" si="67"/>
        <v>0</v>
      </c>
    </row>
    <row r="49" spans="1:45" s="35" customFormat="1" ht="12" thickBot="1" x14ac:dyDescent="0.25">
      <c r="A49" s="33"/>
      <c r="K49" s="34"/>
      <c r="L49" s="132"/>
      <c r="M49" s="133"/>
      <c r="N49" s="132"/>
      <c r="O49" s="133"/>
      <c r="P49" s="132"/>
      <c r="Q49" s="133"/>
      <c r="R49" s="132"/>
      <c r="S49" s="133"/>
      <c r="T49" s="132"/>
      <c r="U49" s="133"/>
      <c r="V49" s="132"/>
      <c r="W49" s="140"/>
      <c r="X49" s="141"/>
      <c r="Y49" s="142"/>
      <c r="Z49" s="141"/>
      <c r="AA49" s="142"/>
      <c r="AB49" s="132"/>
      <c r="AC49" s="133"/>
      <c r="AD49" s="132"/>
      <c r="AE49" s="133"/>
      <c r="AF49" s="132"/>
      <c r="AG49" s="133"/>
      <c r="AH49" s="132"/>
      <c r="AI49" s="133"/>
      <c r="AJ49" s="132"/>
      <c r="AK49" s="133"/>
      <c r="AS49" s="34"/>
    </row>
    <row r="50" spans="1:45" ht="16.5" thickBot="1" x14ac:dyDescent="0.25">
      <c r="A50" s="38"/>
      <c r="B50" s="38"/>
      <c r="C50" s="39"/>
      <c r="D50" s="40" t="s">
        <v>75</v>
      </c>
      <c r="E50" s="24">
        <f>J51</f>
        <v>27.25</v>
      </c>
      <c r="F50" s="24">
        <f>K51</f>
        <v>20.625</v>
      </c>
      <c r="G50" s="24">
        <f>J52</f>
        <v>88</v>
      </c>
      <c r="H50" s="24">
        <f>K52</f>
        <v>80</v>
      </c>
      <c r="I50" s="22">
        <f>K53</f>
        <v>168</v>
      </c>
      <c r="J50" s="39"/>
      <c r="K50" s="39"/>
      <c r="L50" s="90"/>
      <c r="M50" s="198">
        <f>AVERAGE(M54:M56)</f>
        <v>8.6527336860670179</v>
      </c>
      <c r="N50" s="92"/>
      <c r="O50" s="198">
        <f>AVERAGE(O54:O56)</f>
        <v>6.074459876543211E-2</v>
      </c>
      <c r="P50" s="92"/>
      <c r="Q50" s="198">
        <f>AVERAGE(Q54:Q56)</f>
        <v>2.3572530864197527E-2</v>
      </c>
      <c r="R50" s="92"/>
      <c r="S50" s="198">
        <f>AVERAGE(S54:S56)</f>
        <v>5.9837962962962975E-2</v>
      </c>
      <c r="T50" s="92"/>
      <c r="U50" s="198">
        <f>AVERAGE(U54:U56)</f>
        <v>2.6292438271604938E-2</v>
      </c>
      <c r="V50" s="92"/>
      <c r="W50" s="198">
        <f>AVERAGE(W54:W56)</f>
        <v>2.2665895061728392E-2</v>
      </c>
      <c r="X50" s="94"/>
      <c r="Y50" s="198">
        <f>AVERAGE(Y54:Y56)</f>
        <v>0.15140817901234571</v>
      </c>
      <c r="Z50" s="92"/>
      <c r="AA50" s="198">
        <f>AVERAGE(AA54:AA56)</f>
        <v>0</v>
      </c>
      <c r="AB50" s="92"/>
      <c r="AC50" s="198">
        <f>AVERAGE(AC54:AC56)</f>
        <v>1.4254850088183424</v>
      </c>
      <c r="AD50" s="92"/>
      <c r="AE50" s="198">
        <f>AVERAGE(AE54:AE56)</f>
        <v>1.4737654320987659</v>
      </c>
      <c r="AF50" s="92"/>
      <c r="AG50" s="198">
        <f>AVERAGE(AG54:AG56)</f>
        <v>0</v>
      </c>
      <c r="AH50" s="92"/>
      <c r="AI50" s="198">
        <f>AVERAGE(AI54:AI56)</f>
        <v>3.031746031746033</v>
      </c>
      <c r="AJ50" s="92"/>
      <c r="AK50" s="198">
        <f>AVERAGE(AK54:AK56)</f>
        <v>0</v>
      </c>
    </row>
    <row r="51" spans="1:45" ht="12" thickBot="1" x14ac:dyDescent="0.25">
      <c r="A51" s="41"/>
      <c r="B51" s="41"/>
      <c r="C51" s="4"/>
      <c r="D51" s="4"/>
      <c r="E51" s="2"/>
      <c r="F51" s="2"/>
      <c r="G51" s="2"/>
      <c r="H51" s="2"/>
      <c r="I51" s="2"/>
      <c r="J51" s="23">
        <v>27.25</v>
      </c>
      <c r="K51" s="72">
        <v>20.625</v>
      </c>
      <c r="L51" s="91" t="s">
        <v>68</v>
      </c>
      <c r="M51" s="86"/>
      <c r="N51" s="12"/>
      <c r="O51" s="86"/>
      <c r="P51" s="12"/>
      <c r="Q51" s="86"/>
      <c r="R51" s="12"/>
      <c r="S51" s="86"/>
      <c r="T51" s="12"/>
      <c r="U51" s="89"/>
      <c r="V51" s="12"/>
      <c r="W51" s="89"/>
      <c r="X51" s="12"/>
      <c r="Y51" s="86"/>
      <c r="Z51" s="143"/>
      <c r="AA51" s="144"/>
      <c r="AB51" s="93"/>
      <c r="AC51" s="86"/>
      <c r="AD51" s="93"/>
      <c r="AE51" s="86"/>
      <c r="AF51" s="93"/>
      <c r="AG51" s="86"/>
      <c r="AH51" s="93"/>
      <c r="AI51" s="86"/>
      <c r="AJ51" s="12"/>
      <c r="AK51" s="86"/>
    </row>
    <row r="52" spans="1:45" ht="12" thickBot="1" x14ac:dyDescent="0.25">
      <c r="A52" s="41"/>
      <c r="B52" s="41"/>
      <c r="C52" s="4"/>
      <c r="D52" s="4"/>
      <c r="E52" s="2"/>
      <c r="F52" s="2"/>
      <c r="G52" s="2"/>
      <c r="H52" s="2"/>
      <c r="I52" s="2"/>
      <c r="J52" s="23">
        <v>88</v>
      </c>
      <c r="K52" s="73">
        <v>80</v>
      </c>
      <c r="L52" s="91" t="s">
        <v>69</v>
      </c>
      <c r="M52" s="87"/>
      <c r="N52" s="3"/>
      <c r="O52" s="86"/>
      <c r="P52" s="3"/>
      <c r="Q52" s="86"/>
      <c r="R52" s="3"/>
      <c r="S52" s="86"/>
      <c r="T52" s="3"/>
      <c r="U52" s="86"/>
      <c r="V52" s="3"/>
      <c r="W52" s="87"/>
      <c r="X52" s="12"/>
      <c r="Y52" s="87"/>
      <c r="Z52" s="143"/>
      <c r="AA52" s="144"/>
      <c r="AB52" s="3"/>
      <c r="AC52" s="86"/>
      <c r="AD52" s="3"/>
      <c r="AE52" s="86"/>
      <c r="AF52" s="3"/>
      <c r="AG52" s="86"/>
      <c r="AH52" s="3"/>
      <c r="AI52" s="86"/>
      <c r="AJ52" s="3"/>
      <c r="AK52" s="86"/>
    </row>
    <row r="53" spans="1:45" ht="12" thickBot="1" x14ac:dyDescent="0.25">
      <c r="A53" s="41"/>
      <c r="B53" s="41"/>
      <c r="C53" s="10"/>
      <c r="D53" s="4"/>
      <c r="E53" s="2"/>
      <c r="F53" s="2"/>
      <c r="G53" s="2"/>
      <c r="H53" s="2"/>
      <c r="I53" s="2"/>
      <c r="J53" s="11"/>
      <c r="K53" s="74">
        <f>K52+J52</f>
        <v>168</v>
      </c>
      <c r="L53" s="91" t="s">
        <v>70</v>
      </c>
      <c r="M53" s="87"/>
      <c r="N53" s="93"/>
      <c r="O53" s="86"/>
      <c r="P53" s="93"/>
      <c r="Q53" s="86"/>
      <c r="R53" s="93"/>
      <c r="S53" s="86"/>
      <c r="T53" s="3"/>
      <c r="U53" s="86"/>
      <c r="V53" s="3"/>
      <c r="W53" s="87"/>
      <c r="X53" s="95"/>
      <c r="Y53" s="89"/>
      <c r="Z53" s="143"/>
      <c r="AA53" s="144"/>
      <c r="AB53" s="3"/>
      <c r="AC53" s="88"/>
      <c r="AD53" s="3"/>
      <c r="AE53" s="88"/>
      <c r="AF53" s="3"/>
      <c r="AG53" s="88"/>
      <c r="AH53" s="3"/>
      <c r="AI53" s="88"/>
      <c r="AJ53" s="93"/>
      <c r="AK53" s="86"/>
    </row>
    <row r="54" spans="1:45" x14ac:dyDescent="0.2">
      <c r="A54" s="42"/>
      <c r="B54" s="42"/>
      <c r="C54" s="43"/>
      <c r="D54" s="43">
        <f t="shared" ref="D54:D56" si="69">SUM(J54:K54)</f>
        <v>84</v>
      </c>
      <c r="E54" s="20"/>
      <c r="F54" s="20"/>
      <c r="G54" s="20"/>
      <c r="H54" s="20"/>
      <c r="I54" s="20"/>
      <c r="J54" s="111">
        <v>48</v>
      </c>
      <c r="K54" s="112">
        <v>36</v>
      </c>
      <c r="L54" s="220">
        <f>L46*2+(0.6*3)</f>
        <v>745.8</v>
      </c>
      <c r="M54" s="219">
        <f>L54/($J54+$K54)</f>
        <v>8.8785714285714281</v>
      </c>
      <c r="N54" s="220">
        <f>L54+67+67</f>
        <v>879.8</v>
      </c>
      <c r="O54" s="219">
        <f>IF(N54=0,0,(N54-$L54)/($J54*$K54))</f>
        <v>7.7546296296296294E-2</v>
      </c>
      <c r="P54" s="220">
        <f>L54+26+26</f>
        <v>797.8</v>
      </c>
      <c r="Q54" s="219">
        <f>IF(P54=0,0,(P54-$L54)/($J54*$K54))</f>
        <v>3.0092592592592591E-2</v>
      </c>
      <c r="R54" s="220">
        <f>L54+66+66</f>
        <v>877.8</v>
      </c>
      <c r="S54" s="219">
        <f>IF(R54=0,0,(R54-$L54)/($J54*$K54))</f>
        <v>7.6388888888888895E-2</v>
      </c>
      <c r="T54" s="220">
        <f>L54+29+29</f>
        <v>803.8</v>
      </c>
      <c r="U54" s="219">
        <f>IF(T54=0,0,(T54-$L54)/($J54*$K54))</f>
        <v>3.3564814814814818E-2</v>
      </c>
      <c r="V54" s="220">
        <f>L54+25+25</f>
        <v>795.8</v>
      </c>
      <c r="W54" s="219">
        <f>IF(V54=0,0,(V54-$L54)/($J54*$K54))</f>
        <v>2.8935185185185185E-2</v>
      </c>
      <c r="X54" s="85">
        <f>L54+167+167</f>
        <v>1079.8</v>
      </c>
      <c r="Y54" s="83">
        <f t="shared" ref="Y54:Y56" si="70">IF(X54=0,0,(X54-$L54)/($J54*$K54))</f>
        <v>0.19328703703703703</v>
      </c>
      <c r="Z54" s="145">
        <v>0</v>
      </c>
      <c r="AA54" s="83">
        <f t="shared" ref="AA54:AA56" si="71">IF(Z54=0,0,(Z54-$L54)/($J54*$K54))</f>
        <v>0</v>
      </c>
      <c r="AB54" s="85">
        <f>AB46*2+(0.6*3)</f>
        <v>881.8</v>
      </c>
      <c r="AC54" s="83">
        <f>IF(AB54 = 0, 0,(AB54-$L54)/($J54+$K54))</f>
        <v>1.6190476190476191</v>
      </c>
      <c r="AD54" s="85">
        <f>AD46*2+(0.6*3)</f>
        <v>885.8</v>
      </c>
      <c r="AE54" s="83">
        <f>IF(AD54 = 0, 0,(AD54-$L54)/($J54+$K54))</f>
        <v>1.6666666666666667</v>
      </c>
      <c r="AF54" s="85">
        <v>0</v>
      </c>
      <c r="AG54" s="83">
        <f>IF(AF54 = 0, 0,(AF54-$L54)/($J54+$K54))</f>
        <v>0</v>
      </c>
      <c r="AH54" s="85">
        <f>AH46*2+(0.6*3)</f>
        <v>1033.8</v>
      </c>
      <c r="AI54" s="83">
        <f>IF(AH54 = 0, 0,(AH54-$L54)/($J54+$K54))</f>
        <v>3.4285714285714284</v>
      </c>
      <c r="AJ54" s="85">
        <v>0</v>
      </c>
      <c r="AK54" s="83">
        <f t="shared" ref="AK54:AK56" si="72">IF(AJ54=0,0,(AJ54-$L54)/($J54*$K54))</f>
        <v>0</v>
      </c>
    </row>
    <row r="55" spans="1:45" x14ac:dyDescent="0.2">
      <c r="A55" s="42"/>
      <c r="B55" s="42"/>
      <c r="C55" s="43"/>
      <c r="D55" s="43">
        <f t="shared" si="69"/>
        <v>96</v>
      </c>
      <c r="E55" s="20"/>
      <c r="F55" s="20"/>
      <c r="G55" s="20"/>
      <c r="H55" s="20"/>
      <c r="I55" s="20"/>
      <c r="J55" s="116">
        <v>48</v>
      </c>
      <c r="K55" s="9">
        <v>48</v>
      </c>
      <c r="L55" s="217">
        <f>L47*2+(0.6*4)</f>
        <v>814.4</v>
      </c>
      <c r="M55" s="216">
        <f>L55/($J55+$K55)</f>
        <v>8.4833333333333325</v>
      </c>
      <c r="N55" s="217">
        <f t="shared" ref="N55:N56" si="73">L55+67+67</f>
        <v>948.4</v>
      </c>
      <c r="O55" s="216">
        <f>IF(N55=0,0,(N55-$L55)/($J55*$K55))</f>
        <v>5.8159722222222224E-2</v>
      </c>
      <c r="P55" s="217">
        <f>L55+26+26</f>
        <v>866.4</v>
      </c>
      <c r="Q55" s="216">
        <f>IF(P55=0,0,(P55-$L55)/($J55*$K55))</f>
        <v>2.2569444444444444E-2</v>
      </c>
      <c r="R55" s="217">
        <f>L55+66+66</f>
        <v>946.4</v>
      </c>
      <c r="S55" s="216">
        <f>IF(R55=0,0,(R55-$L55)/($J55*$K55))</f>
        <v>5.7291666666666664E-2</v>
      </c>
      <c r="T55" s="217">
        <f>L55+29+29</f>
        <v>872.4</v>
      </c>
      <c r="U55" s="216">
        <f>IF(T55=0,0,(T55-$L55)/($J55*$K55))</f>
        <v>2.5173611111111112E-2</v>
      </c>
      <c r="V55" s="217">
        <f t="shared" ref="V55:V56" si="74">L55+25+25</f>
        <v>864.4</v>
      </c>
      <c r="W55" s="216">
        <f>IF(V55=0,0,(V55-$L55)/($J55*$K55))</f>
        <v>2.1701388888888888E-2</v>
      </c>
      <c r="X55" s="121">
        <f t="shared" ref="X55:X56" si="75">L55+167+167</f>
        <v>1148.4000000000001</v>
      </c>
      <c r="Y55" s="122">
        <f t="shared" si="70"/>
        <v>0.14496527777777782</v>
      </c>
      <c r="Z55" s="146">
        <v>0</v>
      </c>
      <c r="AA55" s="122">
        <f t="shared" si="71"/>
        <v>0</v>
      </c>
      <c r="AB55" s="121">
        <f>AB47*2+(0.6*4)</f>
        <v>950.4</v>
      </c>
      <c r="AC55" s="122">
        <f>IF(AB55 = 0, 0,(AB55-$L55)/($J55+$K55))</f>
        <v>1.4166666666666667</v>
      </c>
      <c r="AD55" s="121">
        <f>AD47*2+(0.6*4)</f>
        <v>954.4</v>
      </c>
      <c r="AE55" s="122">
        <f>IF(AD55 = 0, 0,(AD55-$L55)/($J55+$K55))</f>
        <v>1.4583333333333333</v>
      </c>
      <c r="AF55" s="121">
        <v>0</v>
      </c>
      <c r="AG55" s="122">
        <f>IF(AF55 = 0, 0,(AF55-$L55)/($J55+$K55))</f>
        <v>0</v>
      </c>
      <c r="AH55" s="121">
        <f>AH47*2+(0.6*4)</f>
        <v>1102.4000000000001</v>
      </c>
      <c r="AI55" s="122">
        <f>IF(AH55 = 0, 0,(AH55-$L55)/($J55+$K55))</f>
        <v>3.0000000000000013</v>
      </c>
      <c r="AJ55" s="121">
        <v>0</v>
      </c>
      <c r="AK55" s="122">
        <f t="shared" si="72"/>
        <v>0</v>
      </c>
    </row>
    <row r="56" spans="1:45" ht="12" thickBot="1" x14ac:dyDescent="0.25">
      <c r="A56" s="42"/>
      <c r="B56" s="42"/>
      <c r="C56" s="43"/>
      <c r="D56" s="43">
        <f t="shared" si="69"/>
        <v>108</v>
      </c>
      <c r="E56" s="20"/>
      <c r="F56" s="20"/>
      <c r="G56" s="20"/>
      <c r="H56" s="20"/>
      <c r="I56" s="20"/>
      <c r="J56" s="114">
        <v>60</v>
      </c>
      <c r="K56" s="115">
        <v>48</v>
      </c>
      <c r="L56" s="209">
        <f>L48*2+(0.6*4)</f>
        <v>928.4</v>
      </c>
      <c r="M56" s="208">
        <f>L56/($J56+$K56)</f>
        <v>8.5962962962962965</v>
      </c>
      <c r="N56" s="209">
        <f t="shared" si="73"/>
        <v>1062.4000000000001</v>
      </c>
      <c r="O56" s="208">
        <f>IF(N56=0,0,(N56-$L56)/($J56*$K56))</f>
        <v>4.6527777777777821E-2</v>
      </c>
      <c r="P56" s="209">
        <f>L56+26+26</f>
        <v>980.4</v>
      </c>
      <c r="Q56" s="208">
        <f>IF(P56=0,0,(P56-$L56)/($J56*$K56))</f>
        <v>1.8055555555555554E-2</v>
      </c>
      <c r="R56" s="209">
        <f>L56+66+66</f>
        <v>1060.4000000000001</v>
      </c>
      <c r="S56" s="208">
        <f>IF(R56=0,0,(R56-$L56)/($J56*$K56))</f>
        <v>4.5833333333333372E-2</v>
      </c>
      <c r="T56" s="209">
        <f>L56+29+29</f>
        <v>986.4</v>
      </c>
      <c r="U56" s="208">
        <f>IF(T56=0,0,(T56-$L56)/($J56*$K56))</f>
        <v>2.013888888888889E-2</v>
      </c>
      <c r="V56" s="209">
        <f t="shared" si="74"/>
        <v>978.4</v>
      </c>
      <c r="W56" s="208">
        <f>IF(V56=0,0,(V56-$L56)/($J56*$K56))</f>
        <v>1.7361111111111112E-2</v>
      </c>
      <c r="X56" s="123">
        <f t="shared" si="75"/>
        <v>1262.4000000000001</v>
      </c>
      <c r="Y56" s="124">
        <f t="shared" si="70"/>
        <v>0.11597222222222227</v>
      </c>
      <c r="Z56" s="147">
        <v>0</v>
      </c>
      <c r="AA56" s="124">
        <f t="shared" si="71"/>
        <v>0</v>
      </c>
      <c r="AB56" s="121">
        <f>AB48*2+(0.6*4)</f>
        <v>1062.4000000000001</v>
      </c>
      <c r="AC56" s="124">
        <f>IF(AB56 = 0, 0,(AB56-$L56)/($J56+$K56))</f>
        <v>1.2407407407407418</v>
      </c>
      <c r="AD56" s="123">
        <f>AD48*2+(0.6*4)</f>
        <v>1068.4000000000001</v>
      </c>
      <c r="AE56" s="124">
        <f>IF(AD56 = 0, 0,(AD56-$L56)/($J56+$K56))</f>
        <v>1.2962962962962974</v>
      </c>
      <c r="AF56" s="123">
        <v>0</v>
      </c>
      <c r="AG56" s="124">
        <f>IF(AF56 = 0, 0,(AF56-$L56)/($J56+$K56))</f>
        <v>0</v>
      </c>
      <c r="AH56" s="121">
        <f>AH48*2+(0.6*4)</f>
        <v>1216.4000000000001</v>
      </c>
      <c r="AI56" s="124">
        <f>IF(AH56 = 0, 0,(AH56-$L56)/($J56+$K56))</f>
        <v>2.6666666666666679</v>
      </c>
      <c r="AJ56" s="123">
        <v>0</v>
      </c>
      <c r="AK56" s="124">
        <f t="shared" si="72"/>
        <v>0</v>
      </c>
    </row>
    <row r="59" spans="1:45" x14ac:dyDescent="0.2">
      <c r="C59" t="s">
        <v>142</v>
      </c>
    </row>
  </sheetData>
  <pageMargins left="0.45" right="0.7" top="0.25" bottom="0.5" header="0.3" footer="0.3"/>
  <pageSetup scale="8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C211-3DEA-4821-956D-4E5A2357C7C6}">
  <sheetPr codeName="Sheet5">
    <tabColor theme="3" tint="0.59999389629810485"/>
  </sheetPr>
  <dimension ref="A1:AY56"/>
  <sheetViews>
    <sheetView showGridLines="0" topLeftCell="A2" zoomScaleNormal="100" workbookViewId="0">
      <pane xSplit="11" ySplit="1" topLeftCell="L3" activePane="bottomRight" state="frozen"/>
      <selection activeCell="A2" sqref="A2"/>
      <selection pane="topRight" activeCell="L2" sqref="L2"/>
      <selection pane="bottomLeft" activeCell="A3" sqref="A3"/>
      <selection pane="bottomRight" activeCell="M7" sqref="M7"/>
    </sheetView>
  </sheetViews>
  <sheetFormatPr defaultColWidth="20.6640625" defaultRowHeight="11.25" x14ac:dyDescent="0.2"/>
  <cols>
    <col min="1" max="1" width="11.6640625" style="21" customWidth="1"/>
    <col min="2" max="2" width="12" customWidth="1"/>
    <col min="3" max="3" width="13.33203125" customWidth="1"/>
    <col min="4" max="4" width="10.33203125" customWidth="1"/>
    <col min="5" max="9" width="10.33203125" hidden="1" customWidth="1"/>
    <col min="10" max="10" width="13.5" customWidth="1"/>
    <col min="11" max="11" width="13.5" style="18" customWidth="1"/>
    <col min="12" max="12" width="11.6640625" style="125" customWidth="1"/>
    <col min="13" max="13" width="16.6640625" style="126" customWidth="1"/>
    <col min="14" max="14" width="11.6640625" style="125" customWidth="1"/>
    <col min="15" max="15" width="16.6640625" style="126" customWidth="1"/>
    <col min="16" max="16" width="11.6640625" style="125" customWidth="1"/>
    <col min="17" max="17" width="16.6640625" style="126" customWidth="1"/>
    <col min="18" max="18" width="11.6640625" style="125" customWidth="1"/>
    <col min="19" max="19" width="16.6640625" style="126" customWidth="1"/>
    <col min="20" max="20" width="11.6640625" style="125" customWidth="1"/>
    <col min="21" max="21" width="16.6640625" style="126" customWidth="1"/>
    <col min="22" max="22" width="11.6640625" style="125" customWidth="1"/>
    <col min="23" max="23" width="16.6640625" style="127" customWidth="1"/>
    <col min="24" max="24" width="11.6640625" style="128" customWidth="1"/>
    <col min="25" max="25" width="17" style="129" customWidth="1"/>
    <col min="26" max="26" width="11.6640625" style="128" customWidth="1"/>
    <col min="27" max="27" width="17" style="129" customWidth="1"/>
    <col min="28" max="28" width="11.6640625" style="125" customWidth="1"/>
    <col min="29" max="29" width="16.6640625" style="126" customWidth="1"/>
    <col min="30" max="30" width="11.6640625" style="125" customWidth="1"/>
    <col min="31" max="31" width="16.6640625" style="126" customWidth="1"/>
    <col min="32" max="32" width="11.6640625" style="125" customWidth="1"/>
    <col min="33" max="33" width="16.6640625" style="126" customWidth="1"/>
    <col min="34" max="34" width="11.6640625" style="125" customWidth="1"/>
    <col min="35" max="35" width="16.6640625" style="126" customWidth="1"/>
    <col min="36" max="36" width="20.6640625" style="125" customWidth="1"/>
    <col min="37" max="37" width="20.6640625" style="127" customWidth="1"/>
    <col min="38" max="46" width="20.6640625" customWidth="1"/>
    <col min="47" max="47" width="20.6640625" style="18" customWidth="1"/>
    <col min="48" max="48" width="20.6640625" customWidth="1"/>
  </cols>
  <sheetData>
    <row r="1" spans="1:51" s="16" customFormat="1" ht="26.25" hidden="1" customHeight="1" x14ac:dyDescent="0.2">
      <c r="A1" s="16" t="s">
        <v>45</v>
      </c>
      <c r="B1" s="16" t="s">
        <v>46</v>
      </c>
      <c r="C1" s="16" t="s">
        <v>47</v>
      </c>
      <c r="D1" s="25" t="s">
        <v>48</v>
      </c>
      <c r="E1" s="25" t="s">
        <v>49</v>
      </c>
      <c r="F1" s="25" t="s">
        <v>50</v>
      </c>
      <c r="G1" s="25" t="s">
        <v>51</v>
      </c>
      <c r="H1" s="25" t="s">
        <v>52</v>
      </c>
      <c r="I1" s="25" t="s">
        <v>34</v>
      </c>
      <c r="J1" s="16" t="s">
        <v>53</v>
      </c>
      <c r="K1" s="16" t="s">
        <v>54</v>
      </c>
      <c r="L1" s="119"/>
      <c r="M1" s="120" t="s">
        <v>55</v>
      </c>
      <c r="N1" s="119"/>
      <c r="O1" s="120" t="str">
        <f>Windows!C10</f>
        <v>Triple Glass</v>
      </c>
      <c r="P1" s="119"/>
      <c r="Q1" s="120" t="str">
        <f>Windows!D10</f>
        <v>Upgrade Low-E</v>
      </c>
      <c r="R1" s="119"/>
      <c r="S1" s="120" t="str">
        <f>Windows!E10</f>
        <v>Tempered</v>
      </c>
      <c r="T1" s="119"/>
      <c r="U1" s="120" t="str">
        <f>Windows!F10</f>
        <v>Obscure</v>
      </c>
      <c r="V1" s="119"/>
      <c r="W1" s="120" t="str">
        <f>Windows!G10</f>
        <v>Internal Grids</v>
      </c>
      <c r="X1" s="119"/>
      <c r="Y1" s="120" t="str">
        <f>Windows!H10</f>
        <v>Simulated Divided Light</v>
      </c>
      <c r="Z1" s="119"/>
      <c r="AA1" s="120" t="str">
        <f>Windows!I10</f>
        <v>Internal Blinds</v>
      </c>
      <c r="AB1" s="119"/>
      <c r="AC1" s="120" t="str">
        <f>Windows!J10</f>
        <v>Interior Faux Laminate</v>
      </c>
      <c r="AD1" s="119"/>
      <c r="AE1" s="120" t="str">
        <f>Windows!K10</f>
        <v>Beige or Sandstone Base Color</v>
      </c>
      <c r="AF1" s="119"/>
      <c r="AG1" s="120" t="str">
        <f>Windows!L10</f>
        <v>Bronze Base Color</v>
      </c>
      <c r="AH1" s="119"/>
      <c r="AI1" s="120" t="str">
        <f>Windows!M10</f>
        <v>Painted Exterior</v>
      </c>
      <c r="AJ1" s="119"/>
      <c r="AK1" s="120" t="str">
        <f>Windows!N10</f>
        <v>Full Screen</v>
      </c>
      <c r="AX1" s="17"/>
      <c r="AY1" s="17"/>
    </row>
    <row r="2" spans="1:51" s="53" customFormat="1" ht="59.25" customHeight="1" thickBot="1" x14ac:dyDescent="0.25">
      <c r="A2" s="48" t="s">
        <v>77</v>
      </c>
      <c r="B2" s="49" t="s">
        <v>57</v>
      </c>
      <c r="C2" s="48" t="s">
        <v>78</v>
      </c>
      <c r="D2" s="50"/>
      <c r="E2" s="50"/>
      <c r="F2" s="50"/>
      <c r="G2" s="50"/>
      <c r="H2" s="50"/>
      <c r="I2" s="50"/>
      <c r="J2" s="69" t="s">
        <v>58</v>
      </c>
      <c r="K2" s="69" t="s">
        <v>59</v>
      </c>
      <c r="L2" s="150" t="s">
        <v>66</v>
      </c>
      <c r="M2" s="151" t="s">
        <v>79</v>
      </c>
      <c r="N2" s="150" t="s">
        <v>62</v>
      </c>
      <c r="O2" s="151" t="s">
        <v>15</v>
      </c>
      <c r="P2" s="150" t="s">
        <v>62</v>
      </c>
      <c r="Q2" s="151" t="s">
        <v>63</v>
      </c>
      <c r="R2" s="150" t="s">
        <v>62</v>
      </c>
      <c r="S2" s="151" t="s">
        <v>64</v>
      </c>
      <c r="T2" s="150" t="s">
        <v>62</v>
      </c>
      <c r="U2" s="151" t="s">
        <v>65</v>
      </c>
      <c r="V2" s="150" t="s">
        <v>62</v>
      </c>
      <c r="W2" s="151" t="s">
        <v>19</v>
      </c>
      <c r="X2" s="150" t="s">
        <v>62</v>
      </c>
      <c r="Y2" s="151" t="s">
        <v>20</v>
      </c>
      <c r="Z2" s="150" t="s">
        <v>62</v>
      </c>
      <c r="AA2" s="151" t="s">
        <v>21</v>
      </c>
      <c r="AB2" s="150" t="s">
        <v>66</v>
      </c>
      <c r="AC2" s="151" t="s">
        <v>22</v>
      </c>
      <c r="AD2" s="150" t="s">
        <v>66</v>
      </c>
      <c r="AE2" s="151" t="s">
        <v>23</v>
      </c>
      <c r="AF2" s="150" t="s">
        <v>66</v>
      </c>
      <c r="AG2" s="151" t="s">
        <v>24</v>
      </c>
      <c r="AH2" s="150" t="s">
        <v>66</v>
      </c>
      <c r="AI2" s="151" t="s">
        <v>25</v>
      </c>
      <c r="AJ2" s="150" t="s">
        <v>62</v>
      </c>
      <c r="AK2" s="151" t="s">
        <v>26</v>
      </c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2"/>
      <c r="AW2" s="52"/>
    </row>
    <row r="3" spans="1:51" s="7" customFormat="1" ht="15.75" customHeight="1" thickBot="1" x14ac:dyDescent="0.25">
      <c r="A3" s="59"/>
      <c r="B3" s="59"/>
      <c r="C3" s="60"/>
      <c r="D3" s="61" t="s">
        <v>67</v>
      </c>
      <c r="E3" s="44">
        <f>J4</f>
        <v>15</v>
      </c>
      <c r="F3" s="44">
        <f>K4</f>
        <v>25.75</v>
      </c>
      <c r="G3" s="44">
        <f>J5</f>
        <v>58</v>
      </c>
      <c r="H3" s="44">
        <f>K5</f>
        <v>86</v>
      </c>
      <c r="I3" s="39">
        <f>K6</f>
        <v>144</v>
      </c>
      <c r="J3" s="60"/>
      <c r="K3" s="60"/>
      <c r="L3" s="78"/>
      <c r="M3" s="198">
        <f>AVERAGE(M7:M10)</f>
        <v>7.2483457443755741</v>
      </c>
      <c r="N3" s="71"/>
      <c r="O3" s="198">
        <f>AVERAGE(O7:O10)</f>
        <v>7.8639764835858594</v>
      </c>
      <c r="P3" s="71"/>
      <c r="Q3" s="198">
        <f>AVERAGE(Q7:Q10)</f>
        <v>7.5879584672482405</v>
      </c>
      <c r="R3" s="71"/>
      <c r="S3" s="198">
        <f>AVERAGE(S7:S10)</f>
        <v>8.5508499770431605</v>
      </c>
      <c r="T3" s="71"/>
      <c r="U3" s="198">
        <f>AVERAGE(U7:U10)</f>
        <v>7.6924647277701252</v>
      </c>
      <c r="V3" s="71"/>
      <c r="W3" s="198">
        <f>AVERAGE(W7:W10)</f>
        <v>7.7148868897306402</v>
      </c>
      <c r="X3" s="75"/>
      <c r="Y3" s="198">
        <f>AVERAGE(Y7:Y10)</f>
        <v>11.845664241850322</v>
      </c>
      <c r="Z3" s="71"/>
      <c r="AA3" s="198">
        <f>AVERAGE(AA7:AA10)</f>
        <v>12.098825111914602</v>
      </c>
      <c r="AB3" s="71"/>
      <c r="AC3" s="198">
        <f>AVERAGE(AC7:AC10)</f>
        <v>0</v>
      </c>
      <c r="AD3" s="71"/>
      <c r="AE3" s="198">
        <f>AVERAGE(AE7:AE10)</f>
        <v>7.4237902701254974</v>
      </c>
      <c r="AF3" s="71"/>
      <c r="AG3" s="198">
        <f>AVERAGE(AG7:AG10)</f>
        <v>8.2999970825681046</v>
      </c>
      <c r="AH3" s="71"/>
      <c r="AI3" s="198">
        <f>AVERAGE(AI7:AI10)</f>
        <v>9.4089460896847257</v>
      </c>
      <c r="AJ3" s="71"/>
      <c r="AK3" s="198">
        <f>AVERAGE(AK7:AK10)</f>
        <v>7.4200749923477201</v>
      </c>
      <c r="AU3" s="1"/>
      <c r="AV3" s="1"/>
    </row>
    <row r="4" spans="1:51" s="8" customFormat="1" ht="12" thickBot="1" x14ac:dyDescent="0.25">
      <c r="A4" s="62" t="s">
        <v>145</v>
      </c>
      <c r="B4" s="62" t="s">
        <v>144</v>
      </c>
      <c r="C4" s="6"/>
      <c r="D4" s="6"/>
      <c r="E4" s="2"/>
      <c r="F4" s="2"/>
      <c r="G4" s="2"/>
      <c r="H4" s="2"/>
      <c r="I4" s="2"/>
      <c r="J4" s="23">
        <v>15</v>
      </c>
      <c r="K4" s="72">
        <v>25.75</v>
      </c>
      <c r="L4" s="79" t="s">
        <v>68</v>
      </c>
      <c r="M4" s="70"/>
      <c r="N4" s="15"/>
      <c r="O4" s="70"/>
      <c r="P4" s="15"/>
      <c r="Q4" s="70"/>
      <c r="R4" s="15"/>
      <c r="S4" s="70"/>
      <c r="T4" s="15"/>
      <c r="U4" s="80"/>
      <c r="V4" s="15"/>
      <c r="W4" s="80"/>
      <c r="X4" s="15"/>
      <c r="Y4" s="70"/>
      <c r="Z4" s="163"/>
      <c r="AA4" s="164"/>
      <c r="AB4" s="77"/>
      <c r="AC4" s="70"/>
      <c r="AD4" s="77"/>
      <c r="AE4" s="70"/>
      <c r="AF4" s="77"/>
      <c r="AG4" s="70"/>
      <c r="AH4" s="77"/>
      <c r="AI4" s="70"/>
      <c r="AJ4" s="15"/>
      <c r="AK4" s="80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</row>
    <row r="5" spans="1:51" s="8" customFormat="1" x14ac:dyDescent="0.2">
      <c r="A5" s="62"/>
      <c r="B5" s="62"/>
      <c r="C5" s="6"/>
      <c r="D5" s="6"/>
      <c r="E5" s="2"/>
      <c r="F5" s="2"/>
      <c r="G5" s="2"/>
      <c r="H5" s="2"/>
      <c r="I5" s="2"/>
      <c r="J5" s="23">
        <v>58</v>
      </c>
      <c r="K5" s="73">
        <v>86</v>
      </c>
      <c r="L5" s="79" t="s">
        <v>69</v>
      </c>
      <c r="M5" s="81"/>
      <c r="N5" s="5"/>
      <c r="O5" s="70"/>
      <c r="P5" s="5"/>
      <c r="Q5" s="70"/>
      <c r="R5" s="5"/>
      <c r="S5" s="70"/>
      <c r="T5" s="5"/>
      <c r="U5" s="70"/>
      <c r="V5" s="5"/>
      <c r="W5" s="81"/>
      <c r="X5" s="15"/>
      <c r="Y5" s="81"/>
      <c r="Z5" s="163"/>
      <c r="AA5" s="164"/>
      <c r="AB5" s="5"/>
      <c r="AC5" s="70"/>
      <c r="AD5" s="5"/>
      <c r="AE5" s="70"/>
      <c r="AF5" s="5"/>
      <c r="AG5" s="70"/>
      <c r="AH5" s="5"/>
      <c r="AI5" s="70"/>
      <c r="AJ5" s="5"/>
      <c r="AK5" s="81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</row>
    <row r="6" spans="1:51" s="8" customFormat="1" ht="12" thickBot="1" x14ac:dyDescent="0.25">
      <c r="A6" s="62"/>
      <c r="B6" s="62"/>
      <c r="C6" s="13"/>
      <c r="D6" s="6"/>
      <c r="E6" s="2"/>
      <c r="F6" s="2"/>
      <c r="G6" s="2"/>
      <c r="H6" s="2"/>
      <c r="I6" s="2"/>
      <c r="J6" s="14"/>
      <c r="K6" s="74">
        <v>144</v>
      </c>
      <c r="L6" s="79" t="s">
        <v>70</v>
      </c>
      <c r="M6" s="81"/>
      <c r="N6" s="77"/>
      <c r="O6" s="70"/>
      <c r="P6" s="77"/>
      <c r="Q6" s="70"/>
      <c r="R6" s="5"/>
      <c r="S6" s="70"/>
      <c r="T6" s="5"/>
      <c r="U6" s="70"/>
      <c r="V6" s="5"/>
      <c r="W6" s="81"/>
      <c r="X6" s="76"/>
      <c r="Y6" s="80"/>
      <c r="Z6" s="163"/>
      <c r="AA6" s="164"/>
      <c r="AB6" s="5"/>
      <c r="AC6" s="82"/>
      <c r="AD6" s="5"/>
      <c r="AE6" s="82"/>
      <c r="AF6" s="5"/>
      <c r="AG6" s="82"/>
      <c r="AH6" s="5"/>
      <c r="AI6" s="82"/>
      <c r="AJ6" s="5"/>
      <c r="AK6" s="81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51" x14ac:dyDescent="0.2">
      <c r="A7" s="63"/>
      <c r="B7" s="63"/>
      <c r="C7" s="64"/>
      <c r="D7" s="64"/>
      <c r="E7" s="20"/>
      <c r="F7" s="20"/>
      <c r="G7" s="20"/>
      <c r="H7" s="20"/>
      <c r="I7" s="20"/>
      <c r="J7" s="111">
        <v>36</v>
      </c>
      <c r="K7" s="112">
        <v>36</v>
      </c>
      <c r="L7" s="85">
        <v>514</v>
      </c>
      <c r="M7" s="83">
        <f>L7/($J7+$K7)*$B$4</f>
        <v>7.6386111111111124</v>
      </c>
      <c r="N7" s="85">
        <v>559</v>
      </c>
      <c r="O7" s="83">
        <f t="shared" ref="O7:O10" si="0">N7/($J7+$K7)*$B$4</f>
        <v>8.3073611111111116</v>
      </c>
      <c r="P7" s="85">
        <v>535</v>
      </c>
      <c r="Q7" s="83">
        <f t="shared" ref="Q7:Q10" si="1">P7/($J7+$K7)*$B$4</f>
        <v>7.9506944444444443</v>
      </c>
      <c r="R7" s="85">
        <v>593</v>
      </c>
      <c r="S7" s="83">
        <f t="shared" ref="S7:S10" si="2">R7/($J7+$K7)*$B$4</f>
        <v>8.8126388888888894</v>
      </c>
      <c r="T7" s="85">
        <v>541</v>
      </c>
      <c r="U7" s="83">
        <f t="shared" ref="U7:U10" si="3">T7/($J7+$K7)*$B$4</f>
        <v>8.0398611111111116</v>
      </c>
      <c r="V7" s="85">
        <v>541</v>
      </c>
      <c r="W7" s="83">
        <f t="shared" ref="W7:W10" si="4">V7/($J7+$K7)*$B$4</f>
        <v>8.0398611111111116</v>
      </c>
      <c r="X7" s="85">
        <v>822</v>
      </c>
      <c r="Y7" s="83">
        <f t="shared" ref="Y7:Y10" si="5">X7/($J7+$K7)*$B$4</f>
        <v>12.215833333333334</v>
      </c>
      <c r="Z7" s="165">
        <v>866</v>
      </c>
      <c r="AA7" s="83">
        <f t="shared" ref="AA7:AA10" si="6">Z7/($J7+$K7)*$B$4</f>
        <v>12.869722222222224</v>
      </c>
      <c r="AB7" s="85">
        <v>0</v>
      </c>
      <c r="AC7" s="83">
        <f t="shared" ref="AC7:AC10" si="7">AB7/($J7+$K7)*$B$4</f>
        <v>0</v>
      </c>
      <c r="AD7" s="85">
        <v>526</v>
      </c>
      <c r="AE7" s="83">
        <f t="shared" ref="AE7:AE10" si="8">AD7/($J7+$K7)*$B$4</f>
        <v>7.8169444444444443</v>
      </c>
      <c r="AF7" s="85">
        <v>589</v>
      </c>
      <c r="AG7" s="83">
        <f t="shared" ref="AG7:AG10" si="9">AF7/($J7+$K7)*$B$4</f>
        <v>8.7531944444444445</v>
      </c>
      <c r="AH7" s="85">
        <v>705</v>
      </c>
      <c r="AI7" s="83">
        <f t="shared" ref="AI7:AI10" si="10">AH7/($J7+$K7)*$B$4</f>
        <v>10.477083333333333</v>
      </c>
      <c r="AJ7" s="85">
        <v>522</v>
      </c>
      <c r="AK7" s="83">
        <f t="shared" ref="AK7:AK10" si="11">AJ7/($J7+$K7)*$B$4</f>
        <v>7.7575000000000003</v>
      </c>
      <c r="AU7"/>
      <c r="AV7" s="18"/>
    </row>
    <row r="8" spans="1:51" x14ac:dyDescent="0.2">
      <c r="A8" s="63"/>
      <c r="B8" s="63"/>
      <c r="C8" s="64"/>
      <c r="D8" s="64"/>
      <c r="E8" s="20"/>
      <c r="F8" s="20"/>
      <c r="G8" s="20"/>
      <c r="H8" s="20"/>
      <c r="I8" s="20"/>
      <c r="J8" s="113">
        <v>36</v>
      </c>
      <c r="K8" s="14">
        <v>60</v>
      </c>
      <c r="L8" s="121">
        <v>629</v>
      </c>
      <c r="M8" s="122">
        <f t="shared" ref="M8:M10" si="12">L8/($J8+$K8)*$B$4</f>
        <v>7.0107291666666667</v>
      </c>
      <c r="N8" s="121">
        <v>689</v>
      </c>
      <c r="O8" s="122">
        <f t="shared" si="0"/>
        <v>7.6794791666666669</v>
      </c>
      <c r="P8" s="121">
        <v>664</v>
      </c>
      <c r="Q8" s="122">
        <f t="shared" si="1"/>
        <v>7.4008333333333338</v>
      </c>
      <c r="R8" s="121">
        <v>764</v>
      </c>
      <c r="S8" s="122">
        <f t="shared" si="2"/>
        <v>8.5154166666666669</v>
      </c>
      <c r="T8" s="121">
        <v>675</v>
      </c>
      <c r="U8" s="122">
        <f t="shared" si="3"/>
        <v>7.5234375</v>
      </c>
      <c r="V8" s="121">
        <v>678</v>
      </c>
      <c r="W8" s="122">
        <f t="shared" si="4"/>
        <v>7.5568750000000007</v>
      </c>
      <c r="X8" s="121">
        <v>1091</v>
      </c>
      <c r="Y8" s="122">
        <f t="shared" si="5"/>
        <v>12.160104166666668</v>
      </c>
      <c r="Z8" s="128">
        <v>1103</v>
      </c>
      <c r="AA8" s="122">
        <f t="shared" si="6"/>
        <v>12.293854166666668</v>
      </c>
      <c r="AB8" s="121">
        <v>0</v>
      </c>
      <c r="AC8" s="122">
        <f t="shared" si="7"/>
        <v>0</v>
      </c>
      <c r="AD8" s="121">
        <v>644</v>
      </c>
      <c r="AE8" s="122">
        <f t="shared" si="8"/>
        <v>7.1779166666666665</v>
      </c>
      <c r="AF8" s="121">
        <v>718</v>
      </c>
      <c r="AG8" s="122">
        <f t="shared" si="9"/>
        <v>8.0027083333333344</v>
      </c>
      <c r="AH8" s="121">
        <v>820</v>
      </c>
      <c r="AI8" s="122">
        <f t="shared" si="10"/>
        <v>9.1395833333333325</v>
      </c>
      <c r="AJ8" s="121">
        <v>648</v>
      </c>
      <c r="AK8" s="122">
        <f t="shared" si="11"/>
        <v>7.2225000000000001</v>
      </c>
      <c r="AU8"/>
      <c r="AV8" s="18"/>
    </row>
    <row r="9" spans="1:51" x14ac:dyDescent="0.2">
      <c r="A9" s="63"/>
      <c r="B9" s="63"/>
      <c r="C9" s="64"/>
      <c r="D9" s="64"/>
      <c r="E9" s="20"/>
      <c r="F9" s="20"/>
      <c r="G9" s="20"/>
      <c r="H9" s="20"/>
      <c r="I9" s="20"/>
      <c r="J9" s="113">
        <v>36</v>
      </c>
      <c r="K9" s="14">
        <v>72</v>
      </c>
      <c r="L9" s="121">
        <v>765</v>
      </c>
      <c r="M9" s="122">
        <f t="shared" si="12"/>
        <v>7.5791666666666666</v>
      </c>
      <c r="N9" s="121">
        <v>825</v>
      </c>
      <c r="O9" s="122">
        <f t="shared" si="0"/>
        <v>8.1736111111111125</v>
      </c>
      <c r="P9" s="121">
        <v>800</v>
      </c>
      <c r="Q9" s="122">
        <f t="shared" si="1"/>
        <v>7.9259259259259265</v>
      </c>
      <c r="R9" s="121">
        <v>900</v>
      </c>
      <c r="S9" s="122">
        <f t="shared" si="2"/>
        <v>8.9166666666666679</v>
      </c>
      <c r="T9" s="121">
        <v>811</v>
      </c>
      <c r="U9" s="122">
        <f t="shared" si="3"/>
        <v>8.0349074074074078</v>
      </c>
      <c r="V9" s="121">
        <v>814</v>
      </c>
      <c r="W9" s="122">
        <f t="shared" si="4"/>
        <v>8.0646296296296303</v>
      </c>
      <c r="X9" s="121">
        <v>1227</v>
      </c>
      <c r="Y9" s="122">
        <f t="shared" si="5"/>
        <v>12.156388888888889</v>
      </c>
      <c r="Z9" s="128">
        <v>1239</v>
      </c>
      <c r="AA9" s="122">
        <f t="shared" si="6"/>
        <v>12.275277777777777</v>
      </c>
      <c r="AB9" s="121">
        <v>0</v>
      </c>
      <c r="AC9" s="122">
        <f t="shared" si="7"/>
        <v>0</v>
      </c>
      <c r="AD9" s="121">
        <v>784</v>
      </c>
      <c r="AE9" s="122">
        <f t="shared" si="8"/>
        <v>7.7674074074074078</v>
      </c>
      <c r="AF9" s="121">
        <v>877</v>
      </c>
      <c r="AG9" s="122">
        <f t="shared" si="9"/>
        <v>8.6887962962962959</v>
      </c>
      <c r="AH9" s="121">
        <v>961</v>
      </c>
      <c r="AI9" s="122">
        <f t="shared" si="10"/>
        <v>9.5210185185185203</v>
      </c>
      <c r="AJ9" s="121">
        <v>784</v>
      </c>
      <c r="AK9" s="122">
        <f t="shared" si="11"/>
        <v>7.7674074074074078</v>
      </c>
      <c r="AU9"/>
      <c r="AV9" s="18"/>
    </row>
    <row r="10" spans="1:51" ht="12" thickBot="1" x14ac:dyDescent="0.25">
      <c r="A10" s="63"/>
      <c r="B10" s="63"/>
      <c r="C10" s="64"/>
      <c r="D10" s="64"/>
      <c r="E10" s="20"/>
      <c r="F10" s="20"/>
      <c r="G10" s="20"/>
      <c r="H10" s="20"/>
      <c r="I10" s="20"/>
      <c r="J10" s="114">
        <v>42</v>
      </c>
      <c r="K10" s="115">
        <v>79</v>
      </c>
      <c r="L10" s="123">
        <v>765</v>
      </c>
      <c r="M10" s="124">
        <f t="shared" si="12"/>
        <v>6.7648760330578517</v>
      </c>
      <c r="N10" s="123">
        <v>825</v>
      </c>
      <c r="O10" s="124">
        <f t="shared" si="0"/>
        <v>7.2954545454545459</v>
      </c>
      <c r="P10" s="123">
        <v>800</v>
      </c>
      <c r="Q10" s="124">
        <f t="shared" si="1"/>
        <v>7.0743801652892566</v>
      </c>
      <c r="R10" s="123">
        <v>900</v>
      </c>
      <c r="S10" s="124">
        <f t="shared" si="2"/>
        <v>7.9586776859504136</v>
      </c>
      <c r="T10" s="123">
        <v>811</v>
      </c>
      <c r="U10" s="124">
        <f t="shared" si="3"/>
        <v>7.1716528925619842</v>
      </c>
      <c r="V10" s="123">
        <v>814</v>
      </c>
      <c r="W10" s="124">
        <f t="shared" si="4"/>
        <v>7.1981818181818191</v>
      </c>
      <c r="X10" s="123">
        <v>1227</v>
      </c>
      <c r="Y10" s="124">
        <f t="shared" si="5"/>
        <v>10.850330578512397</v>
      </c>
      <c r="Z10" s="166">
        <v>1239</v>
      </c>
      <c r="AA10" s="124">
        <f t="shared" si="6"/>
        <v>10.956446280991736</v>
      </c>
      <c r="AB10" s="123">
        <v>0</v>
      </c>
      <c r="AC10" s="124">
        <f t="shared" si="7"/>
        <v>0</v>
      </c>
      <c r="AD10" s="123">
        <v>784</v>
      </c>
      <c r="AE10" s="124">
        <f t="shared" si="8"/>
        <v>6.9328925619834711</v>
      </c>
      <c r="AF10" s="123">
        <v>877</v>
      </c>
      <c r="AG10" s="124">
        <f t="shared" si="9"/>
        <v>7.7552892561983473</v>
      </c>
      <c r="AH10" s="123">
        <v>961</v>
      </c>
      <c r="AI10" s="124">
        <f t="shared" si="10"/>
        <v>8.4980991735537188</v>
      </c>
      <c r="AJ10" s="123">
        <v>784</v>
      </c>
      <c r="AK10" s="124">
        <f t="shared" si="11"/>
        <v>6.9328925619834711</v>
      </c>
      <c r="AU10"/>
      <c r="AV10" s="18"/>
    </row>
    <row r="11" spans="1:51" s="56" customFormat="1" ht="12" thickBot="1" x14ac:dyDescent="0.25">
      <c r="A11" s="54"/>
      <c r="B11" s="54"/>
      <c r="C11" s="55"/>
      <c r="D11" s="55"/>
      <c r="E11" s="55"/>
      <c r="F11" s="55"/>
      <c r="G11" s="55"/>
      <c r="H11" s="55"/>
      <c r="I11" s="55"/>
      <c r="J11" s="55"/>
      <c r="K11" s="55"/>
      <c r="L11" s="152"/>
      <c r="M11" s="153"/>
      <c r="N11" s="156"/>
      <c r="O11" s="157"/>
      <c r="P11" s="156"/>
      <c r="Q11" s="157"/>
      <c r="R11" s="156"/>
      <c r="S11" s="157"/>
      <c r="T11" s="156"/>
      <c r="U11" s="158"/>
      <c r="V11" s="159"/>
      <c r="W11" s="158"/>
      <c r="X11" s="159"/>
      <c r="Y11" s="158"/>
      <c r="Z11" s="167"/>
      <c r="AA11" s="168"/>
      <c r="AB11" s="152"/>
      <c r="AC11" s="153"/>
      <c r="AD11" s="152"/>
      <c r="AE11" s="153"/>
      <c r="AF11" s="152"/>
      <c r="AG11" s="153"/>
      <c r="AH11" s="152"/>
      <c r="AI11" s="153"/>
      <c r="AJ11" s="159"/>
      <c r="AK11" s="158"/>
      <c r="AV11" s="55"/>
    </row>
    <row r="12" spans="1:51" s="7" customFormat="1" ht="15.75" customHeight="1" thickBot="1" x14ac:dyDescent="0.25">
      <c r="A12" s="59"/>
      <c r="B12" s="59"/>
      <c r="C12" s="60"/>
      <c r="D12" s="61" t="s">
        <v>71</v>
      </c>
      <c r="E12" s="45">
        <f>J13</f>
        <v>22.75</v>
      </c>
      <c r="F12" s="45">
        <f>K13</f>
        <v>19.5</v>
      </c>
      <c r="G12" s="45">
        <f>J14</f>
        <v>75</v>
      </c>
      <c r="H12" s="45">
        <f>K14</f>
        <v>65</v>
      </c>
      <c r="I12" s="7">
        <f>K15</f>
        <v>140</v>
      </c>
      <c r="J12" s="60"/>
      <c r="K12" s="60"/>
      <c r="L12" s="78"/>
      <c r="M12" s="198">
        <f>AVERAGE(M16:M19)</f>
        <v>6.975655175264551</v>
      </c>
      <c r="N12" s="71"/>
      <c r="O12" s="198">
        <f>AVERAGE(O16:O19)</f>
        <v>7.4397110615079365</v>
      </c>
      <c r="P12" s="71"/>
      <c r="Q12" s="198">
        <f>AVERAGE(Q16:Q19)</f>
        <v>7.1344833002645505</v>
      </c>
      <c r="R12" s="71"/>
      <c r="S12" s="198">
        <f>AVERAGE(S16:S19)</f>
        <v>8.3545982142857156</v>
      </c>
      <c r="T12" s="71"/>
      <c r="U12" s="198">
        <f>AVERAGE(U16:U19)</f>
        <v>7.4132618220899484</v>
      </c>
      <c r="V12" s="71"/>
      <c r="W12" s="198">
        <f>AVERAGE(W16:W19)</f>
        <v>7.6637334656084661</v>
      </c>
      <c r="X12" s="75"/>
      <c r="Y12" s="198">
        <f>AVERAGE(Y16:Y19)</f>
        <v>11.477952628968255</v>
      </c>
      <c r="Z12" s="71"/>
      <c r="AA12" s="198">
        <f>AVERAGE(AA16:AA19)</f>
        <v>13.601012731481482</v>
      </c>
      <c r="AB12" s="71"/>
      <c r="AC12" s="198">
        <f>AVERAGE(AC16:AC19)</f>
        <v>0</v>
      </c>
      <c r="AD12" s="71"/>
      <c r="AE12" s="198">
        <f>AVERAGE(AE16:AE19)</f>
        <v>7.0873346560846571</v>
      </c>
      <c r="AF12" s="71"/>
      <c r="AG12" s="198">
        <f>AVERAGE(AG16:AG19)</f>
        <v>7.9295527447089951</v>
      </c>
      <c r="AH12" s="71"/>
      <c r="AI12" s="198">
        <f>AVERAGE(AI16:AI19)</f>
        <v>9.2391881613756617</v>
      </c>
      <c r="AJ12" s="71"/>
      <c r="AK12" s="198">
        <f>AVERAGE(AK16:AK19)</f>
        <v>7.0056427744708998</v>
      </c>
      <c r="AU12" s="1"/>
      <c r="AV12" s="1"/>
    </row>
    <row r="13" spans="1:51" s="8" customFormat="1" ht="12" thickBot="1" x14ac:dyDescent="0.25">
      <c r="A13" s="62"/>
      <c r="B13" s="62"/>
      <c r="C13" s="6"/>
      <c r="D13" s="6"/>
      <c r="E13" s="2"/>
      <c r="F13" s="2"/>
      <c r="G13" s="2"/>
      <c r="H13" s="2"/>
      <c r="I13" s="2"/>
      <c r="J13" s="23">
        <v>22.75</v>
      </c>
      <c r="K13" s="72">
        <v>19.5</v>
      </c>
      <c r="L13" s="79" t="s">
        <v>68</v>
      </c>
      <c r="M13" s="70"/>
      <c r="N13" s="15"/>
      <c r="O13" s="70"/>
      <c r="P13" s="15"/>
      <c r="Q13" s="70"/>
      <c r="R13" s="15"/>
      <c r="S13" s="70"/>
      <c r="T13" s="15"/>
      <c r="U13" s="80"/>
      <c r="V13" s="15"/>
      <c r="W13" s="80"/>
      <c r="X13" s="15"/>
      <c r="Y13" s="70"/>
      <c r="Z13" s="163"/>
      <c r="AA13" s="164"/>
      <c r="AB13" s="77"/>
      <c r="AC13" s="70"/>
      <c r="AD13" s="77"/>
      <c r="AE13" s="70"/>
      <c r="AF13" s="77"/>
      <c r="AG13" s="70"/>
      <c r="AH13" s="77"/>
      <c r="AI13" s="70"/>
      <c r="AJ13" s="15"/>
      <c r="AK13" s="80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51" s="8" customFormat="1" ht="12" thickBot="1" x14ac:dyDescent="0.25">
      <c r="A14" s="62"/>
      <c r="B14" s="62"/>
      <c r="C14" s="6"/>
      <c r="D14" s="6"/>
      <c r="E14" s="2"/>
      <c r="F14" s="2"/>
      <c r="G14" s="2"/>
      <c r="H14" s="2"/>
      <c r="I14" s="2"/>
      <c r="J14" s="23">
        <v>75</v>
      </c>
      <c r="K14" s="73">
        <v>65</v>
      </c>
      <c r="L14" s="79" t="s">
        <v>69</v>
      </c>
      <c r="M14" s="81"/>
      <c r="N14" s="5"/>
      <c r="O14" s="70"/>
      <c r="P14" s="5"/>
      <c r="Q14" s="70"/>
      <c r="R14" s="5"/>
      <c r="S14" s="70"/>
      <c r="T14" s="5"/>
      <c r="U14" s="70"/>
      <c r="V14" s="5"/>
      <c r="W14" s="81"/>
      <c r="X14" s="15"/>
      <c r="Y14" s="81"/>
      <c r="Z14" s="163"/>
      <c r="AA14" s="164"/>
      <c r="AB14" s="5"/>
      <c r="AC14" s="70"/>
      <c r="AD14" s="5"/>
      <c r="AE14" s="70"/>
      <c r="AF14" s="5"/>
      <c r="AG14" s="70"/>
      <c r="AH14" s="5"/>
      <c r="AI14" s="70"/>
      <c r="AJ14" s="5"/>
      <c r="AK14" s="81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</row>
    <row r="15" spans="1:51" s="8" customFormat="1" ht="12" thickBot="1" x14ac:dyDescent="0.25">
      <c r="A15" s="62"/>
      <c r="B15" s="62"/>
      <c r="C15" s="13"/>
      <c r="D15" s="6"/>
      <c r="E15" s="2"/>
      <c r="F15" s="2"/>
      <c r="G15" s="2"/>
      <c r="H15" s="2"/>
      <c r="I15" s="2"/>
      <c r="J15" s="14"/>
      <c r="K15" s="74">
        <v>140</v>
      </c>
      <c r="L15" s="79" t="s">
        <v>70</v>
      </c>
      <c r="M15" s="81"/>
      <c r="N15" s="77"/>
      <c r="O15" s="70"/>
      <c r="P15" s="77"/>
      <c r="Q15" s="70"/>
      <c r="R15" s="5"/>
      <c r="S15" s="70"/>
      <c r="T15" s="5"/>
      <c r="U15" s="70"/>
      <c r="V15" s="5"/>
      <c r="W15" s="81"/>
      <c r="X15" s="76"/>
      <c r="Y15" s="80"/>
      <c r="Z15" s="163"/>
      <c r="AA15" s="164"/>
      <c r="AB15" s="5"/>
      <c r="AC15" s="82"/>
      <c r="AD15" s="5"/>
      <c r="AE15" s="82"/>
      <c r="AF15" s="5"/>
      <c r="AG15" s="82"/>
      <c r="AH15" s="5"/>
      <c r="AI15" s="82"/>
      <c r="AJ15" s="5"/>
      <c r="AK15" s="81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</row>
    <row r="16" spans="1:51" x14ac:dyDescent="0.2">
      <c r="A16" s="63"/>
      <c r="B16" s="63"/>
      <c r="C16" s="64"/>
      <c r="D16" s="64"/>
      <c r="E16" s="20"/>
      <c r="F16" s="20"/>
      <c r="G16" s="20"/>
      <c r="H16" s="20"/>
      <c r="I16" s="20"/>
      <c r="J16" s="111">
        <v>36</v>
      </c>
      <c r="K16" s="112">
        <v>36</v>
      </c>
      <c r="L16" s="85">
        <v>478</v>
      </c>
      <c r="M16" s="83">
        <f t="shared" ref="M16:M21" si="13">L16/($J16+$K16)*$B$4</f>
        <v>7.1036111111111122</v>
      </c>
      <c r="N16" s="85">
        <v>500</v>
      </c>
      <c r="O16" s="83">
        <f t="shared" ref="O16:O21" si="14">N16/($J16+$K16)*$B$4</f>
        <v>7.4305555555555562</v>
      </c>
      <c r="P16" s="85">
        <v>487</v>
      </c>
      <c r="Q16" s="83">
        <f t="shared" ref="Q16:Q21" si="15">P16/($J16+$K16)*$B$4</f>
        <v>7.2373611111111122</v>
      </c>
      <c r="R16" s="85">
        <v>556</v>
      </c>
      <c r="S16" s="83">
        <f t="shared" ref="S16:S21" si="16">R16/($J16+$K16)*$B$4</f>
        <v>8.262777777777778</v>
      </c>
      <c r="T16" s="85">
        <v>505</v>
      </c>
      <c r="U16" s="83">
        <f t="shared" ref="U16:U21" si="17">T16/($J16+$K16)*$B$4</f>
        <v>7.5048611111111123</v>
      </c>
      <c r="V16" s="85">
        <v>508</v>
      </c>
      <c r="W16" s="83">
        <f t="shared" ref="W16:W21" si="18">V16/($J16+$K16)*$B$4</f>
        <v>7.5494444444444451</v>
      </c>
      <c r="X16" s="85">
        <v>786</v>
      </c>
      <c r="Y16" s="83">
        <f t="shared" ref="Y16:Y21" si="19">X16/($J16+$K16)*$B$4</f>
        <v>11.680833333333334</v>
      </c>
      <c r="Z16" s="165">
        <v>810</v>
      </c>
      <c r="AA16" s="83">
        <f t="shared" ref="AA16:AA21" si="20">Z16/($J16+$K16)*$B$4</f>
        <v>12.037500000000001</v>
      </c>
      <c r="AB16" s="85">
        <v>0</v>
      </c>
      <c r="AC16" s="83">
        <f t="shared" ref="AC16:AC21" si="21">AB16/($J16+$K16)*$B$4</f>
        <v>0</v>
      </c>
      <c r="AD16" s="85">
        <v>489</v>
      </c>
      <c r="AE16" s="83">
        <f t="shared" ref="AE16:AE21" si="22">AD16/($J16+$K16)*$B$4</f>
        <v>7.2670833333333338</v>
      </c>
      <c r="AF16" s="85">
        <v>548</v>
      </c>
      <c r="AG16" s="83">
        <f t="shared" ref="AG16:AG21" si="23">AF16/($J16+$K16)*$B$4</f>
        <v>8.1438888888888883</v>
      </c>
      <c r="AH16" s="85">
        <v>668</v>
      </c>
      <c r="AI16" s="83">
        <f t="shared" ref="AI16:AI20" si="24">AH16/($J16+$K16)*$B$4</f>
        <v>9.9272222222222233</v>
      </c>
      <c r="AJ16" s="85">
        <v>478</v>
      </c>
      <c r="AK16" s="83">
        <f t="shared" ref="AK16:AK21" si="25">AJ16/($J16+$K16)*$B$4</f>
        <v>7.1036111111111122</v>
      </c>
      <c r="AU16"/>
      <c r="AV16" s="18"/>
    </row>
    <row r="17" spans="1:49" x14ac:dyDescent="0.2">
      <c r="A17" s="63"/>
      <c r="B17" s="63"/>
      <c r="C17" s="64"/>
      <c r="D17" s="64"/>
      <c r="E17" s="20"/>
      <c r="F17" s="20"/>
      <c r="G17" s="20"/>
      <c r="H17" s="20"/>
      <c r="I17" s="20"/>
      <c r="J17" s="113">
        <v>48</v>
      </c>
      <c r="K17" s="14">
        <v>36</v>
      </c>
      <c r="L17" s="121">
        <v>538</v>
      </c>
      <c r="M17" s="122">
        <f t="shared" si="13"/>
        <v>6.8530952380952392</v>
      </c>
      <c r="N17" s="121">
        <v>590</v>
      </c>
      <c r="O17" s="122">
        <f t="shared" si="14"/>
        <v>7.5154761904761909</v>
      </c>
      <c r="P17" s="121">
        <v>559</v>
      </c>
      <c r="Q17" s="122">
        <f t="shared" si="15"/>
        <v>7.1205952380952393</v>
      </c>
      <c r="R17" s="121">
        <v>674</v>
      </c>
      <c r="S17" s="122">
        <f t="shared" si="16"/>
        <v>8.5854761904761911</v>
      </c>
      <c r="T17" s="121">
        <v>585</v>
      </c>
      <c r="U17" s="122">
        <f t="shared" si="17"/>
        <v>7.4517857142857151</v>
      </c>
      <c r="V17" s="121">
        <v>613</v>
      </c>
      <c r="W17" s="122">
        <f t="shared" si="18"/>
        <v>7.8084523809523816</v>
      </c>
      <c r="X17" s="121">
        <v>846</v>
      </c>
      <c r="Y17" s="122">
        <f t="shared" si="19"/>
        <v>10.776428571428571</v>
      </c>
      <c r="Z17" s="128">
        <v>1183</v>
      </c>
      <c r="AA17" s="122">
        <f t="shared" si="20"/>
        <v>15.069166666666668</v>
      </c>
      <c r="AB17" s="121">
        <v>0</v>
      </c>
      <c r="AC17" s="122">
        <f t="shared" si="21"/>
        <v>0</v>
      </c>
      <c r="AD17" s="121">
        <v>551</v>
      </c>
      <c r="AE17" s="122">
        <f t="shared" si="22"/>
        <v>7.0186904761904767</v>
      </c>
      <c r="AF17" s="121">
        <v>615</v>
      </c>
      <c r="AG17" s="122">
        <f t="shared" si="23"/>
        <v>7.8339285714285714</v>
      </c>
      <c r="AH17" s="121">
        <v>727</v>
      </c>
      <c r="AI17" s="122">
        <f t="shared" si="24"/>
        <v>9.2605952380952399</v>
      </c>
      <c r="AJ17" s="121">
        <v>548</v>
      </c>
      <c r="AK17" s="122">
        <f t="shared" si="25"/>
        <v>6.9804761904761907</v>
      </c>
      <c r="AU17"/>
      <c r="AV17" s="18"/>
    </row>
    <row r="18" spans="1:49" x14ac:dyDescent="0.2">
      <c r="A18" s="63"/>
      <c r="B18" s="63"/>
      <c r="C18" s="64"/>
      <c r="D18" s="64"/>
      <c r="E18" s="20"/>
      <c r="F18" s="20"/>
      <c r="G18" s="20"/>
      <c r="H18" s="20"/>
      <c r="I18" s="20"/>
      <c r="J18" s="113">
        <v>60</v>
      </c>
      <c r="K18" s="14">
        <v>36</v>
      </c>
      <c r="L18" s="121">
        <v>613</v>
      </c>
      <c r="M18" s="122">
        <f t="shared" si="13"/>
        <v>6.8323958333333339</v>
      </c>
      <c r="N18" s="121">
        <v>665</v>
      </c>
      <c r="O18" s="122">
        <f t="shared" si="14"/>
        <v>7.4119791666666668</v>
      </c>
      <c r="P18" s="121">
        <v>634</v>
      </c>
      <c r="Q18" s="122">
        <f t="shared" si="15"/>
        <v>7.0664583333333342</v>
      </c>
      <c r="R18" s="121">
        <v>748</v>
      </c>
      <c r="S18" s="122">
        <f t="shared" si="16"/>
        <v>8.3370833333333341</v>
      </c>
      <c r="T18" s="121">
        <v>659</v>
      </c>
      <c r="U18" s="122">
        <f t="shared" si="17"/>
        <v>7.3451041666666672</v>
      </c>
      <c r="V18" s="121">
        <v>688</v>
      </c>
      <c r="W18" s="122">
        <f t="shared" si="18"/>
        <v>7.6683333333333339</v>
      </c>
      <c r="X18" s="121">
        <v>1075</v>
      </c>
      <c r="Y18" s="122">
        <f t="shared" si="19"/>
        <v>11.981770833333334</v>
      </c>
      <c r="Z18" s="128">
        <v>1258</v>
      </c>
      <c r="AA18" s="122">
        <f t="shared" si="20"/>
        <v>14.021458333333333</v>
      </c>
      <c r="AB18" s="121">
        <v>0</v>
      </c>
      <c r="AC18" s="122">
        <f t="shared" si="21"/>
        <v>0</v>
      </c>
      <c r="AD18" s="121">
        <v>628</v>
      </c>
      <c r="AE18" s="122">
        <f t="shared" si="22"/>
        <v>6.9995833333333337</v>
      </c>
      <c r="AF18" s="121">
        <v>702</v>
      </c>
      <c r="AG18" s="122">
        <f t="shared" si="23"/>
        <v>7.8243750000000007</v>
      </c>
      <c r="AH18" s="121">
        <v>804</v>
      </c>
      <c r="AI18" s="122">
        <f t="shared" si="24"/>
        <v>8.9612499999999997</v>
      </c>
      <c r="AJ18" s="121">
        <v>623</v>
      </c>
      <c r="AK18" s="122">
        <f t="shared" si="25"/>
        <v>6.9438541666666671</v>
      </c>
      <c r="AU18"/>
      <c r="AV18" s="18"/>
    </row>
    <row r="19" spans="1:49" x14ac:dyDescent="0.2">
      <c r="A19" s="63"/>
      <c r="B19" s="63"/>
      <c r="C19" s="64"/>
      <c r="D19" s="64"/>
      <c r="E19" s="20"/>
      <c r="F19" s="20"/>
      <c r="G19" s="20"/>
      <c r="H19" s="20"/>
      <c r="I19" s="20"/>
      <c r="J19" s="113">
        <v>72</v>
      </c>
      <c r="K19" s="14">
        <v>36</v>
      </c>
      <c r="L19" s="121">
        <v>718</v>
      </c>
      <c r="M19" s="122">
        <f t="shared" si="13"/>
        <v>7.1135185185185188</v>
      </c>
      <c r="N19" s="121">
        <v>747</v>
      </c>
      <c r="O19" s="122">
        <f t="shared" si="14"/>
        <v>7.4008333333333338</v>
      </c>
      <c r="P19" s="121">
        <v>718</v>
      </c>
      <c r="Q19" s="122">
        <f t="shared" si="15"/>
        <v>7.1135185185185188</v>
      </c>
      <c r="R19" s="121">
        <v>831</v>
      </c>
      <c r="S19" s="122">
        <f t="shared" si="16"/>
        <v>8.2330555555555556</v>
      </c>
      <c r="T19" s="121">
        <v>742</v>
      </c>
      <c r="U19" s="122">
        <f t="shared" si="17"/>
        <v>7.3512962962962964</v>
      </c>
      <c r="V19" s="121">
        <v>770</v>
      </c>
      <c r="W19" s="122">
        <f t="shared" si="18"/>
        <v>7.628703703703704</v>
      </c>
      <c r="X19" s="121">
        <v>1158</v>
      </c>
      <c r="Y19" s="122">
        <f t="shared" si="19"/>
        <v>11.472777777777777</v>
      </c>
      <c r="Z19" s="128">
        <v>1340</v>
      </c>
      <c r="AA19" s="122">
        <f t="shared" si="20"/>
        <v>13.275925925925925</v>
      </c>
      <c r="AB19" s="121">
        <v>0</v>
      </c>
      <c r="AC19" s="122">
        <f t="shared" si="21"/>
        <v>0</v>
      </c>
      <c r="AD19" s="121">
        <v>713</v>
      </c>
      <c r="AE19" s="122">
        <f t="shared" si="22"/>
        <v>7.0639814814814823</v>
      </c>
      <c r="AF19" s="121">
        <v>799</v>
      </c>
      <c r="AG19" s="122">
        <f t="shared" si="23"/>
        <v>7.916018518518519</v>
      </c>
      <c r="AH19" s="121">
        <v>889</v>
      </c>
      <c r="AI19" s="122">
        <f t="shared" si="24"/>
        <v>8.8076851851851856</v>
      </c>
      <c r="AJ19" s="121">
        <v>706</v>
      </c>
      <c r="AK19" s="122">
        <f t="shared" si="25"/>
        <v>6.99462962962963</v>
      </c>
      <c r="AU19"/>
      <c r="AV19" s="18"/>
    </row>
    <row r="20" spans="1:49" x14ac:dyDescent="0.2">
      <c r="A20" s="65"/>
      <c r="B20" s="66"/>
      <c r="C20" s="66"/>
      <c r="D20" s="66"/>
      <c r="J20" s="116">
        <v>60</v>
      </c>
      <c r="K20" s="9">
        <v>60</v>
      </c>
      <c r="L20" s="121">
        <v>842</v>
      </c>
      <c r="M20" s="122">
        <f t="shared" si="13"/>
        <v>7.507833333333334</v>
      </c>
      <c r="N20" s="121">
        <v>874</v>
      </c>
      <c r="O20" s="122">
        <f t="shared" si="14"/>
        <v>7.793166666666667</v>
      </c>
      <c r="P20" s="121">
        <v>820</v>
      </c>
      <c r="Q20" s="122">
        <f t="shared" si="15"/>
        <v>7.3116666666666665</v>
      </c>
      <c r="R20" s="121">
        <v>919</v>
      </c>
      <c r="S20" s="122">
        <f t="shared" si="16"/>
        <v>8.1944166666666671</v>
      </c>
      <c r="T20" s="121">
        <v>830</v>
      </c>
      <c r="U20" s="122">
        <f t="shared" si="17"/>
        <v>7.4008333333333338</v>
      </c>
      <c r="V20" s="121">
        <v>858</v>
      </c>
      <c r="W20" s="122">
        <f t="shared" si="18"/>
        <v>7.650500000000001</v>
      </c>
      <c r="X20" s="121">
        <v>1400</v>
      </c>
      <c r="Y20" s="122">
        <f t="shared" si="19"/>
        <v>12.483333333333334</v>
      </c>
      <c r="Z20" s="128">
        <v>1428</v>
      </c>
      <c r="AA20" s="122">
        <f t="shared" si="20"/>
        <v>12.733000000000001</v>
      </c>
      <c r="AB20" s="121">
        <v>0</v>
      </c>
      <c r="AC20" s="122">
        <f t="shared" si="21"/>
        <v>0</v>
      </c>
      <c r="AD20" s="121">
        <v>803</v>
      </c>
      <c r="AE20" s="122">
        <f t="shared" si="22"/>
        <v>7.1600833333333336</v>
      </c>
      <c r="AF20" s="121">
        <v>897</v>
      </c>
      <c r="AG20" s="122">
        <f t="shared" si="23"/>
        <v>7.9982500000000005</v>
      </c>
      <c r="AH20" s="121">
        <v>979</v>
      </c>
      <c r="AI20" s="122">
        <f t="shared" si="24"/>
        <v>8.7294166666666673</v>
      </c>
      <c r="AJ20" s="121">
        <v>794</v>
      </c>
      <c r="AK20" s="122">
        <f t="shared" si="25"/>
        <v>7.0798333333333332</v>
      </c>
    </row>
    <row r="21" spans="1:49" ht="12" thickBot="1" x14ac:dyDescent="0.25">
      <c r="A21" s="65"/>
      <c r="B21" s="66"/>
      <c r="C21" s="66"/>
      <c r="D21" s="66"/>
      <c r="J21" s="114">
        <v>70</v>
      </c>
      <c r="K21" s="115">
        <v>65</v>
      </c>
      <c r="L21" s="123">
        <v>932</v>
      </c>
      <c r="M21" s="124">
        <f t="shared" si="13"/>
        <v>7.3869629629629632</v>
      </c>
      <c r="N21" s="123">
        <v>874</v>
      </c>
      <c r="O21" s="124">
        <f t="shared" si="14"/>
        <v>6.9272592592592597</v>
      </c>
      <c r="P21" s="123">
        <v>911</v>
      </c>
      <c r="Q21" s="124">
        <f t="shared" si="15"/>
        <v>7.220518518518519</v>
      </c>
      <c r="R21" s="123">
        <v>1235</v>
      </c>
      <c r="S21" s="124">
        <f t="shared" si="16"/>
        <v>9.7885185185185204</v>
      </c>
      <c r="T21" s="123">
        <v>921</v>
      </c>
      <c r="U21" s="124">
        <f t="shared" si="17"/>
        <v>7.2997777777777779</v>
      </c>
      <c r="V21" s="123">
        <v>950</v>
      </c>
      <c r="W21" s="124">
        <f t="shared" si="18"/>
        <v>7.5296296296296301</v>
      </c>
      <c r="X21" s="123">
        <v>1491</v>
      </c>
      <c r="Y21" s="124">
        <f t="shared" si="19"/>
        <v>11.817555555555556</v>
      </c>
      <c r="Z21" s="166">
        <v>1878</v>
      </c>
      <c r="AA21" s="124">
        <f t="shared" si="20"/>
        <v>14.88488888888889</v>
      </c>
      <c r="AB21" s="123">
        <v>0</v>
      </c>
      <c r="AC21" s="124">
        <f t="shared" si="21"/>
        <v>0</v>
      </c>
      <c r="AD21" s="123">
        <v>897</v>
      </c>
      <c r="AE21" s="124">
        <f t="shared" si="22"/>
        <v>7.1095555555555565</v>
      </c>
      <c r="AF21" s="123">
        <v>1005</v>
      </c>
      <c r="AG21" s="124">
        <f t="shared" si="23"/>
        <v>7.9655555555555564</v>
      </c>
      <c r="AH21" s="123">
        <v>1073</v>
      </c>
      <c r="AI21" s="124">
        <f>AH21/($J21+$K21)*$B$4</f>
        <v>8.5045185185185179</v>
      </c>
      <c r="AJ21" s="123">
        <v>889</v>
      </c>
      <c r="AK21" s="124">
        <f t="shared" si="25"/>
        <v>7.0461481481481485</v>
      </c>
    </row>
    <row r="22" spans="1:49" s="56" customFormat="1" ht="12" thickBot="1" x14ac:dyDescent="0.25">
      <c r="A22" s="54"/>
      <c r="B22" s="54"/>
      <c r="C22" s="55"/>
      <c r="D22" s="55"/>
      <c r="E22" s="55"/>
      <c r="F22" s="55"/>
      <c r="G22" s="55"/>
      <c r="H22" s="55"/>
      <c r="I22" s="55"/>
      <c r="J22" s="55"/>
      <c r="K22" s="55"/>
      <c r="L22" s="152"/>
      <c r="M22" s="153"/>
      <c r="N22" s="156"/>
      <c r="O22" s="157"/>
      <c r="P22" s="156"/>
      <c r="Q22" s="157"/>
      <c r="R22" s="156"/>
      <c r="S22" s="157"/>
      <c r="T22" s="156"/>
      <c r="U22" s="158"/>
      <c r="V22" s="159"/>
      <c r="W22" s="158"/>
      <c r="X22" s="159"/>
      <c r="Y22" s="158"/>
      <c r="Z22" s="167"/>
      <c r="AA22" s="168"/>
      <c r="AB22" s="152"/>
      <c r="AC22" s="153"/>
      <c r="AD22" s="152"/>
      <c r="AE22" s="153"/>
      <c r="AF22" s="152"/>
      <c r="AG22" s="153"/>
      <c r="AH22" s="152"/>
      <c r="AI22" s="153"/>
      <c r="AJ22" s="159"/>
      <c r="AK22" s="158"/>
      <c r="AV22" s="55"/>
    </row>
    <row r="23" spans="1:49" s="7" customFormat="1" ht="15.75" customHeight="1" thickBot="1" x14ac:dyDescent="0.25">
      <c r="A23" s="59"/>
      <c r="B23" s="59"/>
      <c r="C23" s="60"/>
      <c r="D23" s="61" t="s">
        <v>72</v>
      </c>
      <c r="E23" s="44">
        <f>J24</f>
        <v>47.75</v>
      </c>
      <c r="F23" s="44">
        <f>K24</f>
        <v>19.5</v>
      </c>
      <c r="G23" s="44">
        <f>J25</f>
        <v>120</v>
      </c>
      <c r="H23" s="44">
        <f>K25</f>
        <v>65</v>
      </c>
      <c r="I23" s="39">
        <f>K26</f>
        <v>188</v>
      </c>
      <c r="J23" s="60"/>
      <c r="K23" s="60"/>
      <c r="L23" s="78"/>
      <c r="M23" s="198">
        <f>AVERAGE(M27:M30)</f>
        <v>8.0513558811558816</v>
      </c>
      <c r="N23" s="71"/>
      <c r="O23" s="198">
        <f>AVERAGE(O27:O30)</f>
        <v>9.0055469983719973</v>
      </c>
      <c r="P23" s="71"/>
      <c r="Q23" s="198">
        <f>AVERAGE(Q27:Q30)</f>
        <v>8.4705094868094868</v>
      </c>
      <c r="R23" s="71"/>
      <c r="S23" s="198">
        <f>AVERAGE(S27:S30)</f>
        <v>10.710862913012914</v>
      </c>
      <c r="T23" s="71"/>
      <c r="U23" s="198">
        <f>AVERAGE(U27:U30)</f>
        <v>8.5185516039516056</v>
      </c>
      <c r="V23" s="71"/>
      <c r="W23" s="198">
        <f>AVERAGE(W27:W30)</f>
        <v>8.7539834739334736</v>
      </c>
      <c r="X23" s="75"/>
      <c r="Y23" s="198">
        <f>AVERAGE(Y27:Y30)</f>
        <v>13.440817846967846</v>
      </c>
      <c r="Z23" s="71"/>
      <c r="AA23" s="198">
        <f>AVERAGE(AA27:AA30)</f>
        <v>15.199881991156992</v>
      </c>
      <c r="AB23" s="71"/>
      <c r="AC23" s="198">
        <f>AVERAGE(AC27:AC30)</f>
        <v>0</v>
      </c>
      <c r="AD23" s="71"/>
      <c r="AE23" s="198">
        <f>AVERAGE(AE27:AE30)</f>
        <v>8.2526788535538529</v>
      </c>
      <c r="AF23" s="71"/>
      <c r="AG23" s="198">
        <f>AVERAGE(AG27:AG30)</f>
        <v>9.1953199726199735</v>
      </c>
      <c r="AH23" s="71"/>
      <c r="AI23" s="198">
        <f>AVERAGE(AI27:AI30)</f>
        <v>10.723186104636104</v>
      </c>
      <c r="AJ23" s="71"/>
      <c r="AK23" s="198">
        <f>AVERAGE(AK27:AK30)</f>
        <v>0</v>
      </c>
      <c r="AU23" s="1"/>
      <c r="AV23" s="1"/>
    </row>
    <row r="24" spans="1:49" s="8" customFormat="1" ht="12" thickBot="1" x14ac:dyDescent="0.25">
      <c r="A24" s="62"/>
      <c r="B24" s="62"/>
      <c r="C24" s="6"/>
      <c r="D24" s="6"/>
      <c r="E24" s="2"/>
      <c r="F24" s="2"/>
      <c r="G24" s="2"/>
      <c r="H24" s="2"/>
      <c r="I24" s="2"/>
      <c r="J24" s="23">
        <v>47.75</v>
      </c>
      <c r="K24" s="72">
        <v>19.5</v>
      </c>
      <c r="L24" s="79" t="s">
        <v>68</v>
      </c>
      <c r="M24" s="70"/>
      <c r="N24" s="15"/>
      <c r="O24" s="70"/>
      <c r="P24" s="15"/>
      <c r="Q24" s="70"/>
      <c r="R24" s="15"/>
      <c r="S24" s="70"/>
      <c r="T24" s="15"/>
      <c r="U24" s="80"/>
      <c r="V24" s="15"/>
      <c r="W24" s="80"/>
      <c r="X24" s="15"/>
      <c r="Y24" s="70"/>
      <c r="Z24" s="163"/>
      <c r="AA24" s="164"/>
      <c r="AB24" s="77"/>
      <c r="AC24" s="70"/>
      <c r="AD24" s="77"/>
      <c r="AE24" s="70"/>
      <c r="AF24" s="77"/>
      <c r="AG24" s="70"/>
      <c r="AH24" s="77"/>
      <c r="AI24" s="70"/>
      <c r="AJ24" s="15"/>
      <c r="AK24" s="80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</row>
    <row r="25" spans="1:49" s="8" customFormat="1" ht="12" thickBot="1" x14ac:dyDescent="0.25">
      <c r="A25" s="62"/>
      <c r="B25" s="62"/>
      <c r="C25" s="6"/>
      <c r="D25" s="6"/>
      <c r="E25" s="2"/>
      <c r="F25" s="2"/>
      <c r="G25" s="2"/>
      <c r="H25" s="2"/>
      <c r="I25" s="2"/>
      <c r="J25" s="23">
        <v>120</v>
      </c>
      <c r="K25" s="73">
        <v>65</v>
      </c>
      <c r="L25" s="79" t="s">
        <v>69</v>
      </c>
      <c r="M25" s="81"/>
      <c r="N25" s="5"/>
      <c r="O25" s="70"/>
      <c r="P25" s="5"/>
      <c r="Q25" s="70"/>
      <c r="R25" s="5"/>
      <c r="S25" s="70"/>
      <c r="T25" s="5"/>
      <c r="U25" s="70"/>
      <c r="V25" s="5"/>
      <c r="W25" s="81"/>
      <c r="X25" s="15"/>
      <c r="Y25" s="81"/>
      <c r="Z25" s="163"/>
      <c r="AA25" s="164"/>
      <c r="AB25" s="5"/>
      <c r="AC25" s="70"/>
      <c r="AD25" s="5"/>
      <c r="AE25" s="70"/>
      <c r="AF25" s="5"/>
      <c r="AG25" s="70"/>
      <c r="AH25" s="5"/>
      <c r="AI25" s="70"/>
      <c r="AJ25" s="5"/>
      <c r="AK25" s="81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</row>
    <row r="26" spans="1:49" s="8" customFormat="1" ht="12" thickBot="1" x14ac:dyDescent="0.25">
      <c r="A26" s="62"/>
      <c r="B26" s="62"/>
      <c r="C26" s="13"/>
      <c r="D26" s="6"/>
      <c r="E26" s="2"/>
      <c r="F26" s="2"/>
      <c r="G26" s="2"/>
      <c r="H26" s="2"/>
      <c r="I26" s="2"/>
      <c r="J26" s="14"/>
      <c r="K26" s="74">
        <v>188</v>
      </c>
      <c r="L26" s="79" t="s">
        <v>70</v>
      </c>
      <c r="M26" s="81"/>
      <c r="N26" s="77"/>
      <c r="O26" s="70"/>
      <c r="P26" s="77"/>
      <c r="Q26" s="70"/>
      <c r="R26" s="5"/>
      <c r="S26" s="70"/>
      <c r="T26" s="5"/>
      <c r="U26" s="70"/>
      <c r="V26" s="5"/>
      <c r="W26" s="81"/>
      <c r="X26" s="76"/>
      <c r="Y26" s="80"/>
      <c r="Z26" s="163"/>
      <c r="AA26" s="164"/>
      <c r="AB26" s="5"/>
      <c r="AC26" s="82"/>
      <c r="AD26" s="5"/>
      <c r="AE26" s="82"/>
      <c r="AF26" s="5"/>
      <c r="AG26" s="82"/>
      <c r="AH26" s="5"/>
      <c r="AI26" s="82"/>
      <c r="AJ26" s="5"/>
      <c r="AK26" s="81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</row>
    <row r="27" spans="1:49" x14ac:dyDescent="0.2">
      <c r="A27" s="63"/>
      <c r="B27" s="63"/>
      <c r="C27" s="64"/>
      <c r="D27" s="64"/>
      <c r="E27" s="20"/>
      <c r="F27" s="20"/>
      <c r="G27" s="20"/>
      <c r="H27" s="20"/>
      <c r="I27" s="20"/>
      <c r="J27" s="26">
        <v>72</v>
      </c>
      <c r="K27" s="84">
        <v>36</v>
      </c>
      <c r="L27" s="85">
        <v>784</v>
      </c>
      <c r="M27" s="83">
        <f t="shared" ref="M27:M30" si="26">L27/($J27+$K27)*$B$4</f>
        <v>7.7674074074074078</v>
      </c>
      <c r="N27" s="85">
        <v>847</v>
      </c>
      <c r="O27" s="83">
        <f t="shared" ref="O27:O30" si="27">N27/($J27+$K27)*$B$4</f>
        <v>8.3915740740740752</v>
      </c>
      <c r="P27" s="85">
        <v>809</v>
      </c>
      <c r="Q27" s="83">
        <f t="shared" ref="Q27:Q30" si="28">P27/($J27+$K27)*$B$4</f>
        <v>8.0150925925925929</v>
      </c>
      <c r="R27" s="85">
        <v>979</v>
      </c>
      <c r="S27" s="83">
        <f t="shared" ref="S27:S30" si="29">R27/($J27+$K27)*$B$4</f>
        <v>9.6993518518518531</v>
      </c>
      <c r="T27" s="85">
        <v>825</v>
      </c>
      <c r="U27" s="83">
        <f t="shared" ref="U27:U30" si="30">T27/($J27+$K27)*$B$4</f>
        <v>8.1736111111111125</v>
      </c>
      <c r="V27" s="85">
        <v>830</v>
      </c>
      <c r="W27" s="83">
        <f t="shared" ref="W27:W30" si="31">V27/($J27+$K27)*$B$4</f>
        <v>8.2231481481481481</v>
      </c>
      <c r="X27" s="85">
        <v>1246</v>
      </c>
      <c r="Y27" s="83">
        <f t="shared" ref="Y27:Y30" si="32">X27/($J27+$K27)*$B$4</f>
        <v>12.34462962962963</v>
      </c>
      <c r="Z27" s="165">
        <v>1282</v>
      </c>
      <c r="AA27" s="83">
        <f t="shared" ref="AA27:AA30" si="33">Z27/($J27+$K27)*$B$4</f>
        <v>12.701296296296297</v>
      </c>
      <c r="AB27" s="85">
        <v>0</v>
      </c>
      <c r="AC27" s="83">
        <f t="shared" ref="AC27:AC30" si="34">AB27/($J27+$K27)*$B$4</f>
        <v>0</v>
      </c>
      <c r="AD27" s="85">
        <v>803</v>
      </c>
      <c r="AE27" s="83">
        <f t="shared" ref="AE27:AE30" si="35">AD27/($J27+$K27)*$B$4</f>
        <v>7.9556481481481489</v>
      </c>
      <c r="AF27" s="85">
        <v>898</v>
      </c>
      <c r="AG27" s="83">
        <f t="shared" ref="AG27:AG30" si="36">AF27/($J27+$K27)*$B$4</f>
        <v>8.8968518518518529</v>
      </c>
      <c r="AH27" s="85">
        <v>1136</v>
      </c>
      <c r="AI27" s="83">
        <f t="shared" ref="AI27:AI30" si="37">AH27/($J27+$K27)*$B$4</f>
        <v>11.254814814814816</v>
      </c>
      <c r="AJ27" s="85">
        <v>0</v>
      </c>
      <c r="AK27" s="83">
        <f t="shared" ref="AK27:AK30" si="38">AJ27/($J27+$K27)*$B$4</f>
        <v>0</v>
      </c>
      <c r="AU27"/>
      <c r="AV27" s="18"/>
    </row>
    <row r="28" spans="1:49" x14ac:dyDescent="0.2">
      <c r="A28" s="63"/>
      <c r="B28" s="63"/>
      <c r="C28" s="64"/>
      <c r="D28" s="64"/>
      <c r="E28" s="20"/>
      <c r="F28" s="20"/>
      <c r="G28" s="20"/>
      <c r="H28" s="20"/>
      <c r="I28" s="20"/>
      <c r="J28" s="113">
        <v>72</v>
      </c>
      <c r="K28" s="14">
        <v>60</v>
      </c>
      <c r="L28" s="121">
        <v>990</v>
      </c>
      <c r="M28" s="122">
        <f t="shared" si="26"/>
        <v>8.0250000000000004</v>
      </c>
      <c r="N28" s="121">
        <v>1111</v>
      </c>
      <c r="O28" s="122">
        <f t="shared" si="27"/>
        <v>9.0058333333333334</v>
      </c>
      <c r="P28" s="121">
        <v>1041</v>
      </c>
      <c r="Q28" s="122">
        <f t="shared" si="28"/>
        <v>8.4384090909090919</v>
      </c>
      <c r="R28" s="121">
        <v>1352</v>
      </c>
      <c r="S28" s="122">
        <f t="shared" si="29"/>
        <v>10.959393939393939</v>
      </c>
      <c r="T28" s="121">
        <v>1060</v>
      </c>
      <c r="U28" s="122">
        <f t="shared" si="30"/>
        <v>8.5924242424242436</v>
      </c>
      <c r="V28" s="121">
        <v>1102</v>
      </c>
      <c r="W28" s="122">
        <f t="shared" si="31"/>
        <v>8.9328787878787868</v>
      </c>
      <c r="X28" s="121">
        <v>1606</v>
      </c>
      <c r="Y28" s="122">
        <f t="shared" si="32"/>
        <v>13.018333333333333</v>
      </c>
      <c r="Z28" s="128">
        <v>1957</v>
      </c>
      <c r="AA28" s="122">
        <f t="shared" si="33"/>
        <v>15.863560606060608</v>
      </c>
      <c r="AB28" s="121">
        <v>0</v>
      </c>
      <c r="AC28" s="122">
        <f t="shared" si="34"/>
        <v>0</v>
      </c>
      <c r="AD28" s="121">
        <v>1015</v>
      </c>
      <c r="AE28" s="122">
        <f t="shared" si="35"/>
        <v>8.2276515151515159</v>
      </c>
      <c r="AF28" s="121">
        <v>1134</v>
      </c>
      <c r="AG28" s="122">
        <f t="shared" si="36"/>
        <v>9.1922727272727283</v>
      </c>
      <c r="AH28" s="121">
        <v>1327</v>
      </c>
      <c r="AI28" s="122">
        <f t="shared" si="37"/>
        <v>10.756742424242425</v>
      </c>
      <c r="AJ28" s="121">
        <v>0</v>
      </c>
      <c r="AK28" s="122">
        <f t="shared" si="38"/>
        <v>0</v>
      </c>
      <c r="AU28"/>
      <c r="AV28" s="18"/>
    </row>
    <row r="29" spans="1:49" x14ac:dyDescent="0.2">
      <c r="A29" s="63"/>
      <c r="B29" s="63"/>
      <c r="C29" s="64"/>
      <c r="D29" s="64"/>
      <c r="E29" s="20"/>
      <c r="F29" s="20"/>
      <c r="G29" s="20"/>
      <c r="H29" s="20"/>
      <c r="I29" s="20"/>
      <c r="J29" s="113">
        <v>96</v>
      </c>
      <c r="K29" s="14">
        <v>60</v>
      </c>
      <c r="L29" s="121">
        <v>1210</v>
      </c>
      <c r="M29" s="122">
        <f t="shared" si="26"/>
        <v>8.2993589743589755</v>
      </c>
      <c r="N29" s="121">
        <v>1331</v>
      </c>
      <c r="O29" s="122">
        <f t="shared" si="27"/>
        <v>9.1292948717948725</v>
      </c>
      <c r="P29" s="121">
        <v>1260</v>
      </c>
      <c r="Q29" s="122">
        <f t="shared" si="28"/>
        <v>8.6423076923076927</v>
      </c>
      <c r="R29" s="121">
        <v>1571</v>
      </c>
      <c r="S29" s="122">
        <f t="shared" si="29"/>
        <v>10.77544871794872</v>
      </c>
      <c r="T29" s="121">
        <v>1279</v>
      </c>
      <c r="U29" s="122">
        <f t="shared" si="30"/>
        <v>8.7726282051282052</v>
      </c>
      <c r="V29" s="121">
        <v>1322</v>
      </c>
      <c r="W29" s="122">
        <f t="shared" si="31"/>
        <v>9.0675641025641038</v>
      </c>
      <c r="X29" s="121">
        <v>2134</v>
      </c>
      <c r="Y29" s="122">
        <f t="shared" si="32"/>
        <v>14.637051282051281</v>
      </c>
      <c r="Z29" s="128">
        <v>2176</v>
      </c>
      <c r="AA29" s="122">
        <f t="shared" si="33"/>
        <v>14.925128205128207</v>
      </c>
      <c r="AB29" s="121">
        <v>0</v>
      </c>
      <c r="AC29" s="122">
        <f t="shared" si="34"/>
        <v>0</v>
      </c>
      <c r="AD29" s="121">
        <v>1241</v>
      </c>
      <c r="AE29" s="122">
        <f t="shared" si="35"/>
        <v>8.5119871794871802</v>
      </c>
      <c r="AF29" s="121">
        <v>1364</v>
      </c>
      <c r="AG29" s="122">
        <f t="shared" si="36"/>
        <v>9.3556410256410256</v>
      </c>
      <c r="AH29" s="121">
        <v>1553</v>
      </c>
      <c r="AI29" s="122">
        <f t="shared" si="37"/>
        <v>10.651987179487179</v>
      </c>
      <c r="AJ29" s="121">
        <v>0</v>
      </c>
      <c r="AK29" s="122">
        <f t="shared" si="38"/>
        <v>0</v>
      </c>
      <c r="AU29"/>
      <c r="AV29" s="18"/>
    </row>
    <row r="30" spans="1:49" ht="12" thickBot="1" x14ac:dyDescent="0.25">
      <c r="A30" s="63"/>
      <c r="B30" s="63"/>
      <c r="C30" s="64"/>
      <c r="D30" s="64"/>
      <c r="E30" s="20"/>
      <c r="F30" s="20"/>
      <c r="G30" s="20"/>
      <c r="H30" s="20"/>
      <c r="I30" s="20"/>
      <c r="J30" s="114">
        <v>110</v>
      </c>
      <c r="K30" s="115">
        <v>65</v>
      </c>
      <c r="L30" s="123">
        <v>1327</v>
      </c>
      <c r="M30" s="124">
        <f t="shared" si="26"/>
        <v>8.1136571428571429</v>
      </c>
      <c r="N30" s="123">
        <v>1553</v>
      </c>
      <c r="O30" s="124">
        <f t="shared" si="27"/>
        <v>9.4954857142857136</v>
      </c>
      <c r="P30" s="123">
        <v>1437</v>
      </c>
      <c r="Q30" s="124">
        <f t="shared" si="28"/>
        <v>8.7862285714285715</v>
      </c>
      <c r="R30" s="123">
        <v>1866</v>
      </c>
      <c r="S30" s="124">
        <f t="shared" si="29"/>
        <v>11.409257142857145</v>
      </c>
      <c r="T30" s="123">
        <v>1396</v>
      </c>
      <c r="U30" s="124">
        <f t="shared" si="30"/>
        <v>8.5355428571428575</v>
      </c>
      <c r="V30" s="123">
        <v>1438</v>
      </c>
      <c r="W30" s="124">
        <f t="shared" si="31"/>
        <v>8.7923428571428577</v>
      </c>
      <c r="X30" s="123">
        <v>2251</v>
      </c>
      <c r="Y30" s="124">
        <f t="shared" si="32"/>
        <v>13.763257142857144</v>
      </c>
      <c r="Z30" s="166">
        <v>2831</v>
      </c>
      <c r="AA30" s="124">
        <f t="shared" si="33"/>
        <v>17.309542857142858</v>
      </c>
      <c r="AB30" s="123">
        <v>0</v>
      </c>
      <c r="AC30" s="124">
        <f t="shared" si="34"/>
        <v>0</v>
      </c>
      <c r="AD30" s="123">
        <v>1360</v>
      </c>
      <c r="AE30" s="124">
        <f t="shared" si="35"/>
        <v>8.3154285714285709</v>
      </c>
      <c r="AF30" s="123">
        <v>1527</v>
      </c>
      <c r="AG30" s="124">
        <f t="shared" si="36"/>
        <v>9.3365142857142871</v>
      </c>
      <c r="AH30" s="123">
        <v>1673</v>
      </c>
      <c r="AI30" s="124">
        <f t="shared" si="37"/>
        <v>10.229200000000001</v>
      </c>
      <c r="AJ30" s="123">
        <v>0</v>
      </c>
      <c r="AK30" s="124">
        <f t="shared" si="38"/>
        <v>0</v>
      </c>
      <c r="AU30"/>
      <c r="AV30" s="18"/>
    </row>
    <row r="31" spans="1:49" s="56" customFormat="1" ht="12" thickBot="1" x14ac:dyDescent="0.25">
      <c r="A31" s="57"/>
      <c r="B31" s="57"/>
      <c r="C31" s="58"/>
      <c r="D31" s="58"/>
      <c r="E31" s="58"/>
      <c r="F31" s="58"/>
      <c r="G31" s="58"/>
      <c r="H31" s="58"/>
      <c r="I31" s="58"/>
      <c r="L31" s="154"/>
      <c r="M31" s="155"/>
      <c r="N31" s="154"/>
      <c r="O31" s="155"/>
      <c r="P31" s="154"/>
      <c r="Q31" s="155"/>
      <c r="R31" s="154"/>
      <c r="S31" s="155"/>
      <c r="T31" s="154"/>
      <c r="U31" s="155"/>
      <c r="V31" s="154"/>
      <c r="W31" s="155"/>
      <c r="X31" s="154"/>
      <c r="Y31" s="155"/>
      <c r="Z31" s="161"/>
      <c r="AA31" s="155"/>
      <c r="AB31" s="154"/>
      <c r="AC31" s="155"/>
      <c r="AD31" s="154"/>
      <c r="AE31" s="155"/>
      <c r="AF31" s="154"/>
      <c r="AG31" s="155"/>
      <c r="AH31" s="154"/>
      <c r="AI31" s="155"/>
      <c r="AJ31" s="154"/>
      <c r="AK31" s="155"/>
      <c r="AV31" s="55"/>
    </row>
    <row r="32" spans="1:49" ht="16.5" thickBot="1" x14ac:dyDescent="0.25">
      <c r="A32" s="59"/>
      <c r="B32" s="59"/>
      <c r="C32" s="60"/>
      <c r="D32" s="61" t="s">
        <v>73</v>
      </c>
      <c r="E32" s="24">
        <f>J33</f>
        <v>12</v>
      </c>
      <c r="F32" s="24">
        <f>K33</f>
        <v>12</v>
      </c>
      <c r="G32" s="24">
        <f>J34</f>
        <v>120</v>
      </c>
      <c r="H32" s="24">
        <f>K34</f>
        <v>120</v>
      </c>
      <c r="I32" s="22">
        <f>K35</f>
        <v>149</v>
      </c>
      <c r="J32" s="60"/>
      <c r="K32" s="60"/>
      <c r="L32" s="78"/>
      <c r="M32" s="198">
        <f>AVERAGE(M36:M39)</f>
        <v>5.5227041245791249</v>
      </c>
      <c r="N32" s="71"/>
      <c r="O32" s="198">
        <f>AVERAGE(O36:O39)</f>
        <v>3.2220746527777777</v>
      </c>
      <c r="P32" s="71"/>
      <c r="Q32" s="198">
        <f>AVERAGE(Q36:Q39)</f>
        <v>6.3515488215488212</v>
      </c>
      <c r="R32" s="71"/>
      <c r="S32" s="198">
        <f>AVERAGE(S36:S39)</f>
        <v>7.5573028198653205</v>
      </c>
      <c r="T32" s="71"/>
      <c r="U32" s="198">
        <f>AVERAGE(U36:U39)</f>
        <v>5.9468368581649838</v>
      </c>
      <c r="V32" s="71"/>
      <c r="W32" s="198">
        <f>AVERAGE(W36:W39)</f>
        <v>6.4048405408249156</v>
      </c>
      <c r="X32" s="75"/>
      <c r="Y32" s="198">
        <f>AVERAGE(Y36:Y39)</f>
        <v>9.4943360690235696</v>
      </c>
      <c r="Z32" s="71"/>
      <c r="AA32" s="198">
        <f>AVERAGE(AA36:AA39)</f>
        <v>5.3038686342592598</v>
      </c>
      <c r="AB32" s="71"/>
      <c r="AC32" s="198">
        <f>AVERAGE(AC36:AC39)</f>
        <v>0</v>
      </c>
      <c r="AD32" s="71"/>
      <c r="AE32" s="198">
        <f>AVERAGE(AE36:AE39)</f>
        <v>5.8169878998316502</v>
      </c>
      <c r="AF32" s="71"/>
      <c r="AG32" s="198">
        <f>AVERAGE(AG36:AG39)</f>
        <v>6.7649241372053872</v>
      </c>
      <c r="AH32" s="71"/>
      <c r="AI32" s="198">
        <f>AVERAGE(AI36:AI39)</f>
        <v>7.1600664457070708</v>
      </c>
      <c r="AJ32" s="71"/>
      <c r="AK32" s="198">
        <f>AVERAGE(AK36:AK39)</f>
        <v>0</v>
      </c>
    </row>
    <row r="33" spans="1:47" ht="12" thickBot="1" x14ac:dyDescent="0.25">
      <c r="A33" s="62"/>
      <c r="B33" s="62"/>
      <c r="C33" s="6"/>
      <c r="D33" s="6"/>
      <c r="E33" s="2"/>
      <c r="F33" s="2"/>
      <c r="G33" s="2"/>
      <c r="H33" s="2"/>
      <c r="I33" s="2"/>
      <c r="J33" s="23">
        <v>12</v>
      </c>
      <c r="K33" s="72">
        <v>12</v>
      </c>
      <c r="L33" s="79" t="s">
        <v>68</v>
      </c>
      <c r="M33" s="70"/>
      <c r="N33" s="15"/>
      <c r="O33" s="70"/>
      <c r="P33" s="15"/>
      <c r="Q33" s="70"/>
      <c r="R33" s="15"/>
      <c r="S33" s="70"/>
      <c r="T33" s="15"/>
      <c r="U33" s="80"/>
      <c r="V33" s="15"/>
      <c r="W33" s="80"/>
      <c r="X33" s="15"/>
      <c r="Y33" s="70"/>
      <c r="Z33" s="163"/>
      <c r="AA33" s="164"/>
      <c r="AB33" s="77"/>
      <c r="AC33" s="70"/>
      <c r="AD33" s="77"/>
      <c r="AE33" s="70"/>
      <c r="AF33" s="77"/>
      <c r="AG33" s="70"/>
      <c r="AH33" s="77"/>
      <c r="AI33" s="70"/>
      <c r="AJ33" s="15"/>
      <c r="AK33" s="80"/>
    </row>
    <row r="34" spans="1:47" ht="12" thickBot="1" x14ac:dyDescent="0.25">
      <c r="A34" s="62"/>
      <c r="B34" s="62"/>
      <c r="C34" s="6"/>
      <c r="D34" s="6"/>
      <c r="E34" s="2"/>
      <c r="F34" s="2"/>
      <c r="G34" s="2"/>
      <c r="H34" s="2"/>
      <c r="I34" s="2"/>
      <c r="J34" s="23">
        <v>120</v>
      </c>
      <c r="K34" s="73">
        <v>120</v>
      </c>
      <c r="L34" s="79" t="s">
        <v>69</v>
      </c>
      <c r="M34" s="81"/>
      <c r="N34" s="5"/>
      <c r="O34" s="70"/>
      <c r="P34" s="5"/>
      <c r="Q34" s="70"/>
      <c r="R34" s="5"/>
      <c r="S34" s="70"/>
      <c r="T34" s="5"/>
      <c r="U34" s="70"/>
      <c r="V34" s="5"/>
      <c r="W34" s="81"/>
      <c r="X34" s="15"/>
      <c r="Y34" s="81"/>
      <c r="Z34" s="163"/>
      <c r="AA34" s="164"/>
      <c r="AB34" s="5"/>
      <c r="AC34" s="70"/>
      <c r="AD34" s="5"/>
      <c r="AE34" s="70"/>
      <c r="AF34" s="5"/>
      <c r="AG34" s="70"/>
      <c r="AH34" s="5"/>
      <c r="AI34" s="70"/>
      <c r="AJ34" s="5"/>
      <c r="AK34" s="81"/>
    </row>
    <row r="35" spans="1:47" ht="12" thickBot="1" x14ac:dyDescent="0.25">
      <c r="A35" s="62"/>
      <c r="B35" s="62"/>
      <c r="C35" s="13"/>
      <c r="D35" s="6"/>
      <c r="E35" s="2"/>
      <c r="F35" s="2"/>
      <c r="G35" s="2"/>
      <c r="H35" s="2"/>
      <c r="I35" s="2"/>
      <c r="J35" s="14"/>
      <c r="K35" s="74">
        <v>149</v>
      </c>
      <c r="L35" s="79" t="s">
        <v>70</v>
      </c>
      <c r="M35" s="81"/>
      <c r="N35" s="77"/>
      <c r="O35" s="70"/>
      <c r="P35" s="77"/>
      <c r="Q35" s="70"/>
      <c r="R35" s="5"/>
      <c r="S35" s="70"/>
      <c r="T35" s="5"/>
      <c r="U35" s="70"/>
      <c r="V35" s="5"/>
      <c r="W35" s="81"/>
      <c r="X35" s="76"/>
      <c r="Y35" s="80"/>
      <c r="Z35" s="163"/>
      <c r="AA35" s="164"/>
      <c r="AB35" s="5"/>
      <c r="AC35" s="82"/>
      <c r="AD35" s="5"/>
      <c r="AE35" s="82"/>
      <c r="AF35" s="5"/>
      <c r="AG35" s="82"/>
      <c r="AH35" s="5"/>
      <c r="AI35" s="82"/>
      <c r="AJ35" s="5"/>
      <c r="AK35" s="81"/>
    </row>
    <row r="36" spans="1:47" x14ac:dyDescent="0.2">
      <c r="A36" s="63"/>
      <c r="B36" s="63"/>
      <c r="C36" s="64"/>
      <c r="D36" s="64"/>
      <c r="E36" s="20"/>
      <c r="F36" s="20"/>
      <c r="G36" s="20"/>
      <c r="H36" s="20"/>
      <c r="I36" s="20"/>
      <c r="J36" s="26">
        <v>36</v>
      </c>
      <c r="K36" s="84">
        <v>60</v>
      </c>
      <c r="L36" s="85">
        <v>444</v>
      </c>
      <c r="M36" s="83">
        <f t="shared" ref="M36:M39" si="39">L36/($J36+$K36)*$B$4</f>
        <v>4.9487500000000004</v>
      </c>
      <c r="N36" s="85">
        <v>503</v>
      </c>
      <c r="O36" s="83">
        <f t="shared" ref="O36:O39" si="40">N36/($J36+$K36)*$B$4</f>
        <v>5.6063541666666667</v>
      </c>
      <c r="P36" s="85">
        <v>468</v>
      </c>
      <c r="Q36" s="83">
        <f t="shared" ref="Q36:Q39" si="41">P36/($J36+$K36)*$B$4</f>
        <v>5.2162500000000005</v>
      </c>
      <c r="R36" s="85">
        <v>564</v>
      </c>
      <c r="S36" s="83">
        <f t="shared" ref="S36:S39" si="42">R36/($J36+$K36)*$B$4</f>
        <v>6.2862500000000008</v>
      </c>
      <c r="T36" s="85">
        <v>467</v>
      </c>
      <c r="U36" s="83">
        <f t="shared" ref="U36:U39" si="43">T36/($J36+$K36)*$B$4</f>
        <v>5.2051041666666666</v>
      </c>
      <c r="V36" s="85">
        <v>489</v>
      </c>
      <c r="W36" s="83">
        <f t="shared" ref="W36:W39" si="44">V36/($J36+$K36)*$B$4</f>
        <v>5.4503124999999999</v>
      </c>
      <c r="X36" s="85">
        <v>752</v>
      </c>
      <c r="Y36" s="83">
        <f t="shared" ref="Y36:Y39" si="45">X36/($J36+$K36)*$B$4</f>
        <v>8.3816666666666677</v>
      </c>
      <c r="Z36" s="145">
        <v>843</v>
      </c>
      <c r="AA36" s="83">
        <f t="shared" ref="AA36:AA39" si="46">Z36/($J36+$K36)*$B$4</f>
        <v>9.3959375000000005</v>
      </c>
      <c r="AB36" s="85">
        <v>0</v>
      </c>
      <c r="AC36" s="83">
        <f t="shared" ref="AC36:AC39" si="47">AB36/($J36+$K36)*$B$4</f>
        <v>0</v>
      </c>
      <c r="AD36" s="85">
        <v>450</v>
      </c>
      <c r="AE36" s="83">
        <f t="shared" ref="AE36:AE39" si="48">AD36/($J36+$K36)*$B$4</f>
        <v>5.015625</v>
      </c>
      <c r="AF36" s="85">
        <v>522</v>
      </c>
      <c r="AG36" s="83">
        <f t="shared" ref="AG36:AG39" si="49">AF36/($J36+$K36)*$B$4</f>
        <v>5.8181250000000002</v>
      </c>
      <c r="AH36" s="85">
        <v>579</v>
      </c>
      <c r="AI36" s="83">
        <f t="shared" ref="AI36:AI39" si="50">AH36/($J36+$K36)*$B$4</f>
        <v>6.4534375000000006</v>
      </c>
      <c r="AJ36" s="85">
        <v>0</v>
      </c>
      <c r="AK36" s="83">
        <f t="shared" ref="AK36:AK39" si="51">AJ36/($J36+$K36)*$B$4</f>
        <v>0</v>
      </c>
    </row>
    <row r="37" spans="1:47" x14ac:dyDescent="0.2">
      <c r="A37" s="63"/>
      <c r="B37" s="63"/>
      <c r="C37" s="64"/>
      <c r="D37" s="64"/>
      <c r="E37" s="20"/>
      <c r="F37" s="20"/>
      <c r="G37" s="20"/>
      <c r="H37" s="20"/>
      <c r="I37" s="20"/>
      <c r="J37" s="113">
        <v>48</v>
      </c>
      <c r="K37" s="14">
        <v>60</v>
      </c>
      <c r="L37" s="121">
        <v>550</v>
      </c>
      <c r="M37" s="122">
        <f t="shared" si="39"/>
        <v>5.4490740740740744</v>
      </c>
      <c r="N37" s="121">
        <v>735</v>
      </c>
      <c r="O37" s="122">
        <f t="shared" si="40"/>
        <v>7.281944444444445</v>
      </c>
      <c r="P37" s="121">
        <v>631</v>
      </c>
      <c r="Q37" s="122">
        <f t="shared" si="41"/>
        <v>6.2515740740740746</v>
      </c>
      <c r="R37" s="121">
        <v>752</v>
      </c>
      <c r="S37" s="122">
        <f t="shared" si="42"/>
        <v>7.4503703703703703</v>
      </c>
      <c r="T37" s="121">
        <v>580</v>
      </c>
      <c r="U37" s="122">
        <f t="shared" si="43"/>
        <v>5.7462962962962969</v>
      </c>
      <c r="V37" s="121">
        <v>632</v>
      </c>
      <c r="W37" s="122">
        <f t="shared" si="44"/>
        <v>6.2614814814814821</v>
      </c>
      <c r="X37" s="121">
        <v>961</v>
      </c>
      <c r="Y37" s="122">
        <f t="shared" si="45"/>
        <v>9.5210185185185203</v>
      </c>
      <c r="Z37" s="146">
        <v>1193</v>
      </c>
      <c r="AA37" s="122">
        <f t="shared" si="46"/>
        <v>11.819537037037037</v>
      </c>
      <c r="AB37" s="121">
        <v>0</v>
      </c>
      <c r="AC37" s="122">
        <f t="shared" si="47"/>
        <v>0</v>
      </c>
      <c r="AD37" s="121">
        <v>562</v>
      </c>
      <c r="AE37" s="122">
        <f t="shared" si="48"/>
        <v>5.5679629629629632</v>
      </c>
      <c r="AF37" s="121">
        <v>637</v>
      </c>
      <c r="AG37" s="122">
        <f t="shared" si="49"/>
        <v>6.3110185185185186</v>
      </c>
      <c r="AH37" s="121">
        <v>687</v>
      </c>
      <c r="AI37" s="122">
        <f t="shared" si="50"/>
        <v>6.8063888888888888</v>
      </c>
      <c r="AJ37" s="121">
        <v>0</v>
      </c>
      <c r="AK37" s="122">
        <f t="shared" si="51"/>
        <v>0</v>
      </c>
    </row>
    <row r="38" spans="1:47" x14ac:dyDescent="0.2">
      <c r="A38" s="63"/>
      <c r="B38" s="63"/>
      <c r="C38" s="64"/>
      <c r="D38" s="64"/>
      <c r="E38" s="20"/>
      <c r="F38" s="20"/>
      <c r="G38" s="20"/>
      <c r="H38" s="20"/>
      <c r="I38" s="20"/>
      <c r="J38" s="113">
        <v>60</v>
      </c>
      <c r="K38" s="14">
        <v>60</v>
      </c>
      <c r="L38" s="121">
        <v>605</v>
      </c>
      <c r="M38" s="122">
        <f t="shared" si="39"/>
        <v>5.3945833333333342</v>
      </c>
      <c r="N38" s="121">
        <v>0</v>
      </c>
      <c r="O38" s="122">
        <f t="shared" si="40"/>
        <v>0</v>
      </c>
      <c r="P38" s="121">
        <v>715</v>
      </c>
      <c r="Q38" s="122">
        <f t="shared" si="41"/>
        <v>6.3754166666666663</v>
      </c>
      <c r="R38" s="121">
        <v>836</v>
      </c>
      <c r="S38" s="122">
        <f t="shared" si="42"/>
        <v>7.4543333333333335</v>
      </c>
      <c r="T38" s="121">
        <v>665</v>
      </c>
      <c r="U38" s="122">
        <f t="shared" si="43"/>
        <v>5.9295833333333343</v>
      </c>
      <c r="V38" s="121">
        <v>717</v>
      </c>
      <c r="W38" s="122">
        <f t="shared" si="44"/>
        <v>6.3932500000000001</v>
      </c>
      <c r="X38" s="121">
        <v>1045</v>
      </c>
      <c r="Y38" s="122">
        <f t="shared" si="45"/>
        <v>9.3179166666666671</v>
      </c>
      <c r="Z38" s="146">
        <v>0</v>
      </c>
      <c r="AA38" s="122">
        <f t="shared" si="46"/>
        <v>0</v>
      </c>
      <c r="AB38" s="121">
        <v>0</v>
      </c>
      <c r="AC38" s="122">
        <f t="shared" si="47"/>
        <v>0</v>
      </c>
      <c r="AD38" s="121">
        <v>698</v>
      </c>
      <c r="AE38" s="122">
        <f t="shared" si="48"/>
        <v>6.2238333333333333</v>
      </c>
      <c r="AF38" s="121">
        <v>819</v>
      </c>
      <c r="AG38" s="122">
        <f t="shared" si="49"/>
        <v>7.3027500000000005</v>
      </c>
      <c r="AH38" s="121">
        <v>854</v>
      </c>
      <c r="AI38" s="122">
        <f t="shared" si="50"/>
        <v>7.6148333333333333</v>
      </c>
      <c r="AJ38" s="121">
        <v>0</v>
      </c>
      <c r="AK38" s="122">
        <f t="shared" si="51"/>
        <v>0</v>
      </c>
    </row>
    <row r="39" spans="1:47" ht="12" thickBot="1" x14ac:dyDescent="0.25">
      <c r="A39" s="63"/>
      <c r="B39" s="63"/>
      <c r="C39" s="64"/>
      <c r="D39" s="64"/>
      <c r="E39" s="20"/>
      <c r="F39" s="20"/>
      <c r="G39" s="20"/>
      <c r="H39" s="20"/>
      <c r="I39" s="20"/>
      <c r="J39" s="117">
        <v>60</v>
      </c>
      <c r="K39" s="118">
        <v>72</v>
      </c>
      <c r="L39" s="123">
        <v>777</v>
      </c>
      <c r="M39" s="124">
        <f t="shared" si="39"/>
        <v>6.2984090909090913</v>
      </c>
      <c r="N39" s="123">
        <v>0</v>
      </c>
      <c r="O39" s="124">
        <f t="shared" si="40"/>
        <v>0</v>
      </c>
      <c r="P39" s="123">
        <v>933</v>
      </c>
      <c r="Q39" s="124">
        <f t="shared" si="41"/>
        <v>7.5629545454545459</v>
      </c>
      <c r="R39" s="123">
        <v>1115</v>
      </c>
      <c r="S39" s="124">
        <f t="shared" si="42"/>
        <v>9.0382575757575765</v>
      </c>
      <c r="T39" s="123">
        <v>852</v>
      </c>
      <c r="U39" s="124">
        <f t="shared" si="43"/>
        <v>6.9063636363636363</v>
      </c>
      <c r="V39" s="123">
        <v>927</v>
      </c>
      <c r="W39" s="124">
        <f t="shared" si="44"/>
        <v>7.5143181818181821</v>
      </c>
      <c r="X39" s="123">
        <v>1327</v>
      </c>
      <c r="Y39" s="124">
        <f t="shared" si="45"/>
        <v>10.756742424242425</v>
      </c>
      <c r="Z39" s="147">
        <v>0</v>
      </c>
      <c r="AA39" s="124">
        <f t="shared" si="46"/>
        <v>0</v>
      </c>
      <c r="AB39" s="123">
        <v>0</v>
      </c>
      <c r="AC39" s="124">
        <f t="shared" si="47"/>
        <v>0</v>
      </c>
      <c r="AD39" s="123">
        <v>797</v>
      </c>
      <c r="AE39" s="124">
        <f t="shared" si="48"/>
        <v>6.4605303030303034</v>
      </c>
      <c r="AF39" s="123">
        <v>941</v>
      </c>
      <c r="AG39" s="124">
        <f t="shared" si="49"/>
        <v>7.6278030303030304</v>
      </c>
      <c r="AH39" s="123">
        <v>958</v>
      </c>
      <c r="AI39" s="124">
        <f t="shared" si="50"/>
        <v>7.7656060606060615</v>
      </c>
      <c r="AJ39" s="123">
        <v>0</v>
      </c>
      <c r="AK39" s="124">
        <f t="shared" si="51"/>
        <v>0</v>
      </c>
    </row>
    <row r="40" spans="1:47" s="56" customFormat="1" ht="12" thickBot="1" x14ac:dyDescent="0.25">
      <c r="A40" s="54"/>
      <c r="K40" s="55"/>
      <c r="L40" s="152"/>
      <c r="M40" s="153"/>
      <c r="N40" s="152"/>
      <c r="O40" s="153"/>
      <c r="P40" s="152"/>
      <c r="Q40" s="153"/>
      <c r="R40" s="152"/>
      <c r="S40" s="153"/>
      <c r="T40" s="152"/>
      <c r="U40" s="153"/>
      <c r="V40" s="152"/>
      <c r="W40" s="160"/>
      <c r="X40" s="161"/>
      <c r="Y40" s="162"/>
      <c r="Z40" s="161"/>
      <c r="AA40" s="162"/>
      <c r="AB40" s="152"/>
      <c r="AC40" s="153"/>
      <c r="AD40" s="152"/>
      <c r="AE40" s="153"/>
      <c r="AF40" s="152"/>
      <c r="AG40" s="153"/>
      <c r="AH40" s="152"/>
      <c r="AI40" s="153"/>
      <c r="AJ40" s="152"/>
      <c r="AK40" s="160"/>
      <c r="AU40" s="55"/>
    </row>
    <row r="41" spans="1:47" ht="16.5" thickBot="1" x14ac:dyDescent="0.25">
      <c r="A41" s="59"/>
      <c r="B41" s="59"/>
      <c r="C41" s="60"/>
      <c r="D41" s="61" t="s">
        <v>74</v>
      </c>
      <c r="E41" s="44">
        <f>J42</f>
        <v>15.75</v>
      </c>
      <c r="F41" s="44">
        <f>K42</f>
        <v>22.5</v>
      </c>
      <c r="G41" s="44">
        <f>J43</f>
        <v>37</v>
      </c>
      <c r="H41" s="44">
        <f>K43</f>
        <v>72</v>
      </c>
      <c r="I41" s="39">
        <f>K44</f>
        <v>108</v>
      </c>
      <c r="J41" s="60"/>
      <c r="K41" s="60"/>
      <c r="L41" s="78"/>
      <c r="M41" s="198">
        <f>AVERAGE(M45:M48)</f>
        <v>7.2344012381148843</v>
      </c>
      <c r="N41" s="71"/>
      <c r="O41" s="198">
        <f>AVERAGE(O45:O48)</f>
        <v>4.0273611111111114</v>
      </c>
      <c r="P41" s="71"/>
      <c r="Q41" s="198">
        <f>AVERAGE(Q45:Q48)</f>
        <v>7.4562787305516265</v>
      </c>
      <c r="R41" s="71"/>
      <c r="S41" s="198">
        <f>AVERAGE(S45:S48)</f>
        <v>8.5134184568010376</v>
      </c>
      <c r="T41" s="71"/>
      <c r="U41" s="198">
        <f>AVERAGE(U45:U48)</f>
        <v>7.4846635578736453</v>
      </c>
      <c r="V41" s="71"/>
      <c r="W41" s="198">
        <f>AVERAGE(W45:W48)</f>
        <v>7.6511087905665569</v>
      </c>
      <c r="X41" s="75"/>
      <c r="Y41" s="198">
        <f>AVERAGE(Y45:Y48)</f>
        <v>10.216150756816754</v>
      </c>
      <c r="Z41" s="71"/>
      <c r="AA41" s="198">
        <f>AVERAGE(AA45:AA48)</f>
        <v>11.392560358714444</v>
      </c>
      <c r="AB41" s="71"/>
      <c r="AC41" s="198">
        <f>AVERAGE(AC45:AC48)</f>
        <v>0</v>
      </c>
      <c r="AD41" s="71"/>
      <c r="AE41" s="198">
        <f>AVERAGE(AE45:AE48)</f>
        <v>7.4512470778327842</v>
      </c>
      <c r="AF41" s="71"/>
      <c r="AG41" s="198">
        <f>AVERAGE(AG45:AG48)</f>
        <v>8.5326950730787381</v>
      </c>
      <c r="AH41" s="71"/>
      <c r="AI41" s="198">
        <f>AVERAGE(AI45:AI48)</f>
        <v>9.6870258353960423</v>
      </c>
      <c r="AJ41" s="71"/>
      <c r="AK41" s="198">
        <f>AVERAGE(AK45:AK48)</f>
        <v>0</v>
      </c>
    </row>
    <row r="42" spans="1:47" ht="12" thickBot="1" x14ac:dyDescent="0.25">
      <c r="A42" s="62"/>
      <c r="B42" s="62"/>
      <c r="C42" s="6"/>
      <c r="D42" s="6"/>
      <c r="E42" s="2"/>
      <c r="F42" s="2"/>
      <c r="G42" s="2"/>
      <c r="H42" s="2"/>
      <c r="I42" s="2"/>
      <c r="J42" s="23">
        <v>15.75</v>
      </c>
      <c r="K42" s="72">
        <v>22.5</v>
      </c>
      <c r="L42" s="79" t="s">
        <v>68</v>
      </c>
      <c r="M42" s="70"/>
      <c r="N42" s="15"/>
      <c r="O42" s="70"/>
      <c r="P42" s="15"/>
      <c r="Q42" s="70"/>
      <c r="R42" s="15"/>
      <c r="S42" s="70"/>
      <c r="T42" s="15"/>
      <c r="U42" s="80"/>
      <c r="V42" s="15"/>
      <c r="W42" s="80"/>
      <c r="X42" s="15"/>
      <c r="Y42" s="70"/>
      <c r="Z42" s="163"/>
      <c r="AA42" s="164"/>
      <c r="AB42" s="77"/>
      <c r="AC42" s="70"/>
      <c r="AD42" s="77"/>
      <c r="AE42" s="70"/>
      <c r="AF42" s="77"/>
      <c r="AG42" s="70"/>
      <c r="AH42" s="77"/>
      <c r="AI42" s="70"/>
      <c r="AJ42" s="15"/>
      <c r="AK42" s="80"/>
    </row>
    <row r="43" spans="1:47" ht="12" thickBot="1" x14ac:dyDescent="0.25">
      <c r="A43" s="62"/>
      <c r="B43" s="62"/>
      <c r="C43" s="6"/>
      <c r="D43" s="6"/>
      <c r="E43" s="2"/>
      <c r="F43" s="2"/>
      <c r="G43" s="2"/>
      <c r="H43" s="2"/>
      <c r="I43" s="2"/>
      <c r="J43" s="23">
        <v>37</v>
      </c>
      <c r="K43" s="73">
        <v>72</v>
      </c>
      <c r="L43" s="79" t="s">
        <v>69</v>
      </c>
      <c r="M43" s="81"/>
      <c r="N43" s="5"/>
      <c r="O43" s="70"/>
      <c r="P43" s="5"/>
      <c r="Q43" s="70"/>
      <c r="R43" s="5"/>
      <c r="S43" s="70"/>
      <c r="T43" s="5"/>
      <c r="U43" s="70"/>
      <c r="V43" s="5"/>
      <c r="W43" s="81"/>
      <c r="X43" s="15"/>
      <c r="Y43" s="81"/>
      <c r="Z43" s="163"/>
      <c r="AA43" s="164"/>
      <c r="AB43" s="5"/>
      <c r="AC43" s="70"/>
      <c r="AD43" s="5"/>
      <c r="AE43" s="70"/>
      <c r="AF43" s="5"/>
      <c r="AG43" s="70"/>
      <c r="AH43" s="5"/>
      <c r="AI43" s="70"/>
      <c r="AJ43" s="5"/>
      <c r="AK43" s="81"/>
    </row>
    <row r="44" spans="1:47" ht="12" thickBot="1" x14ac:dyDescent="0.25">
      <c r="A44" s="62"/>
      <c r="B44" s="62"/>
      <c r="C44" s="13"/>
      <c r="D44" s="6"/>
      <c r="E44" s="2"/>
      <c r="F44" s="2"/>
      <c r="G44" s="2"/>
      <c r="H44" s="2"/>
      <c r="I44" s="2"/>
      <c r="J44" s="14"/>
      <c r="K44" s="74">
        <v>108</v>
      </c>
      <c r="L44" s="79" t="s">
        <v>70</v>
      </c>
      <c r="M44" s="81"/>
      <c r="N44" s="77"/>
      <c r="O44" s="70"/>
      <c r="P44" s="77"/>
      <c r="Q44" s="70"/>
      <c r="R44" s="5"/>
      <c r="S44" s="70"/>
      <c r="T44" s="5"/>
      <c r="U44" s="70"/>
      <c r="V44" s="5"/>
      <c r="W44" s="81"/>
      <c r="X44" s="76"/>
      <c r="Y44" s="80"/>
      <c r="Z44" s="163"/>
      <c r="AA44" s="164"/>
      <c r="AB44" s="5"/>
      <c r="AC44" s="82"/>
      <c r="AD44" s="5"/>
      <c r="AE44" s="82"/>
      <c r="AF44" s="5"/>
      <c r="AG44" s="82"/>
      <c r="AH44" s="5"/>
      <c r="AI44" s="82"/>
      <c r="AJ44" s="5"/>
      <c r="AK44" s="81"/>
    </row>
    <row r="45" spans="1:47" x14ac:dyDescent="0.2">
      <c r="A45" s="63"/>
      <c r="B45" s="63"/>
      <c r="C45" s="64"/>
      <c r="D45" s="64"/>
      <c r="E45" s="20"/>
      <c r="F45" s="20"/>
      <c r="G45" s="20"/>
      <c r="H45" s="20"/>
      <c r="I45" s="20"/>
      <c r="J45" s="111">
        <v>24</v>
      </c>
      <c r="K45" s="112">
        <v>48</v>
      </c>
      <c r="L45" s="85">
        <v>511</v>
      </c>
      <c r="M45" s="83">
        <f t="shared" ref="M45:M48" si="52">L45/($J45+$K45)*$B$4</f>
        <v>7.5940277777777787</v>
      </c>
      <c r="N45" s="85">
        <v>538</v>
      </c>
      <c r="O45" s="83">
        <f t="shared" ref="O45:O48" si="53">N45/($J45+$K45)*$B$4</f>
        <v>7.9952777777777779</v>
      </c>
      <c r="P45" s="85">
        <v>522</v>
      </c>
      <c r="Q45" s="83">
        <f t="shared" ref="Q45:Q48" si="54">P45/($J45+$K45)*$B$4</f>
        <v>7.7575000000000003</v>
      </c>
      <c r="R45" s="85">
        <v>576</v>
      </c>
      <c r="S45" s="83">
        <f t="shared" ref="S45:S48" si="55">R45/($J45+$K45)*$B$4</f>
        <v>8.56</v>
      </c>
      <c r="T45" s="85">
        <v>525</v>
      </c>
      <c r="U45" s="83">
        <f t="shared" ref="U45:U48" si="56">T45/($J45+$K45)*$B$4</f>
        <v>7.8020833333333339</v>
      </c>
      <c r="V45" s="85">
        <v>535</v>
      </c>
      <c r="W45" s="83">
        <f t="shared" ref="W45:W47" si="57">V45/($J45+$K45)*$B$4</f>
        <v>7.9506944444444443</v>
      </c>
      <c r="X45" s="85">
        <v>665</v>
      </c>
      <c r="Y45" s="83">
        <f t="shared" ref="Y45:Y48" si="58">X45/($J45+$K45)*$B$4</f>
        <v>9.8826388888888896</v>
      </c>
      <c r="Z45" s="165">
        <v>737</v>
      </c>
      <c r="AA45" s="83">
        <f t="shared" ref="AA45:AA48" si="59">Z45/($J45+$K45)*$B$4</f>
        <v>10.95263888888889</v>
      </c>
      <c r="AB45" s="85">
        <v>0</v>
      </c>
      <c r="AC45" s="83">
        <f t="shared" ref="AC45:AC48" si="60">AB45/($J45+$K45)*$B$4</f>
        <v>0</v>
      </c>
      <c r="AD45" s="85">
        <v>527</v>
      </c>
      <c r="AE45" s="83">
        <f t="shared" ref="AE45:AE48" si="61">AD45/($J45+$K45)*$B$4</f>
        <v>7.8318055555555564</v>
      </c>
      <c r="AF45" s="85">
        <v>606</v>
      </c>
      <c r="AG45" s="83">
        <f t="shared" ref="AG45:AG48" si="62">AF45/($J45+$K45)*$B$4</f>
        <v>9.0058333333333334</v>
      </c>
      <c r="AH45" s="85">
        <v>708</v>
      </c>
      <c r="AI45" s="83">
        <f t="shared" ref="AI45:AI48" si="63">AH45/($J45+$K45)*$B$4</f>
        <v>10.521666666666668</v>
      </c>
      <c r="AJ45" s="85">
        <v>0</v>
      </c>
      <c r="AK45" s="83">
        <f t="shared" ref="AK45:AK48" si="64">AJ45/($J45+$K45)*$B$4</f>
        <v>0</v>
      </c>
    </row>
    <row r="46" spans="1:47" x14ac:dyDescent="0.2">
      <c r="A46" s="63"/>
      <c r="B46" s="63"/>
      <c r="C46" s="64"/>
      <c r="D46" s="64"/>
      <c r="E46" s="20"/>
      <c r="F46" s="20"/>
      <c r="G46" s="20"/>
      <c r="H46" s="20"/>
      <c r="I46" s="20"/>
      <c r="J46" s="116">
        <v>36</v>
      </c>
      <c r="K46" s="9">
        <v>48</v>
      </c>
      <c r="L46" s="121">
        <v>585</v>
      </c>
      <c r="M46" s="122">
        <f t="shared" si="52"/>
        <v>7.4517857142857151</v>
      </c>
      <c r="N46" s="121">
        <v>637</v>
      </c>
      <c r="O46" s="122">
        <f t="shared" si="53"/>
        <v>8.1141666666666676</v>
      </c>
      <c r="P46" s="121">
        <v>606</v>
      </c>
      <c r="Q46" s="122">
        <f t="shared" si="54"/>
        <v>7.7192857142857152</v>
      </c>
      <c r="R46" s="121">
        <v>706</v>
      </c>
      <c r="S46" s="122">
        <f t="shared" si="55"/>
        <v>8.9930952380952398</v>
      </c>
      <c r="T46" s="121">
        <v>608</v>
      </c>
      <c r="U46" s="122">
        <f t="shared" si="56"/>
        <v>7.744761904761905</v>
      </c>
      <c r="V46" s="121">
        <v>623</v>
      </c>
      <c r="W46" s="122">
        <f t="shared" si="57"/>
        <v>7.935833333333334</v>
      </c>
      <c r="X46" s="121">
        <v>816</v>
      </c>
      <c r="Y46" s="122">
        <f t="shared" si="58"/>
        <v>10.394285714285713</v>
      </c>
      <c r="Z46" s="128">
        <v>970</v>
      </c>
      <c r="AA46" s="122">
        <f t="shared" si="59"/>
        <v>12.355952380952381</v>
      </c>
      <c r="AB46" s="121">
        <v>0</v>
      </c>
      <c r="AC46" s="122">
        <f t="shared" si="60"/>
        <v>0</v>
      </c>
      <c r="AD46" s="121">
        <v>602</v>
      </c>
      <c r="AE46" s="122">
        <f t="shared" si="61"/>
        <v>7.6683333333333339</v>
      </c>
      <c r="AF46" s="121">
        <v>689</v>
      </c>
      <c r="AG46" s="122">
        <f t="shared" si="62"/>
        <v>8.7765476190476193</v>
      </c>
      <c r="AH46" s="121">
        <v>784</v>
      </c>
      <c r="AI46" s="122">
        <f t="shared" si="63"/>
        <v>9.9866666666666681</v>
      </c>
      <c r="AJ46" s="121">
        <v>0</v>
      </c>
      <c r="AK46" s="122">
        <f t="shared" si="64"/>
        <v>0</v>
      </c>
    </row>
    <row r="47" spans="1:47" x14ac:dyDescent="0.2">
      <c r="A47" s="63"/>
      <c r="B47" s="63"/>
      <c r="C47" s="64"/>
      <c r="D47" s="64"/>
      <c r="E47" s="20"/>
      <c r="F47" s="20"/>
      <c r="G47" s="20"/>
      <c r="H47" s="20"/>
      <c r="I47" s="20"/>
      <c r="J47" s="116">
        <v>36</v>
      </c>
      <c r="K47" s="9">
        <v>60</v>
      </c>
      <c r="L47" s="121">
        <v>639</v>
      </c>
      <c r="M47" s="122">
        <f t="shared" si="52"/>
        <v>7.1221875000000008</v>
      </c>
      <c r="N47" s="121">
        <v>0</v>
      </c>
      <c r="O47" s="122">
        <f t="shared" si="53"/>
        <v>0</v>
      </c>
      <c r="P47" s="121">
        <v>660</v>
      </c>
      <c r="Q47" s="122">
        <f t="shared" si="54"/>
        <v>7.3562500000000002</v>
      </c>
      <c r="R47" s="121">
        <v>759</v>
      </c>
      <c r="S47" s="122">
        <f t="shared" si="55"/>
        <v>8.4596875000000011</v>
      </c>
      <c r="T47" s="121">
        <v>662</v>
      </c>
      <c r="U47" s="122">
        <f t="shared" si="56"/>
        <v>7.378541666666667</v>
      </c>
      <c r="V47" s="121">
        <v>677</v>
      </c>
      <c r="W47" s="122">
        <f t="shared" si="57"/>
        <v>7.5457291666666668</v>
      </c>
      <c r="X47" s="121">
        <v>947</v>
      </c>
      <c r="Y47" s="122">
        <f t="shared" si="58"/>
        <v>10.555104166666668</v>
      </c>
      <c r="Z47" s="128">
        <v>1024</v>
      </c>
      <c r="AA47" s="122">
        <f t="shared" si="59"/>
        <v>11.413333333333334</v>
      </c>
      <c r="AB47" s="121">
        <v>0</v>
      </c>
      <c r="AC47" s="122">
        <f t="shared" si="60"/>
        <v>0</v>
      </c>
      <c r="AD47" s="121">
        <v>658</v>
      </c>
      <c r="AE47" s="122">
        <f t="shared" si="61"/>
        <v>7.3339583333333342</v>
      </c>
      <c r="AF47" s="121">
        <v>752</v>
      </c>
      <c r="AG47" s="122">
        <f t="shared" si="62"/>
        <v>8.3816666666666677</v>
      </c>
      <c r="AH47" s="121">
        <v>839</v>
      </c>
      <c r="AI47" s="122">
        <f t="shared" si="63"/>
        <v>9.3513541666666686</v>
      </c>
      <c r="AJ47" s="121">
        <v>0</v>
      </c>
      <c r="AK47" s="122">
        <f t="shared" si="64"/>
        <v>0</v>
      </c>
    </row>
    <row r="48" spans="1:47" ht="12" thickBot="1" x14ac:dyDescent="0.25">
      <c r="A48" s="63"/>
      <c r="B48" s="63"/>
      <c r="C48" s="64"/>
      <c r="D48" s="64"/>
      <c r="E48" s="20"/>
      <c r="F48" s="20"/>
      <c r="G48" s="20"/>
      <c r="H48" s="20"/>
      <c r="I48" s="20"/>
      <c r="J48" s="114">
        <v>36</v>
      </c>
      <c r="K48" s="115">
        <v>65</v>
      </c>
      <c r="L48" s="123">
        <v>639</v>
      </c>
      <c r="M48" s="124">
        <f t="shared" si="52"/>
        <v>6.7696039603960401</v>
      </c>
      <c r="N48" s="123">
        <v>0</v>
      </c>
      <c r="O48" s="124">
        <f t="shared" si="53"/>
        <v>0</v>
      </c>
      <c r="P48" s="123">
        <v>660</v>
      </c>
      <c r="Q48" s="124">
        <f t="shared" si="54"/>
        <v>6.9920792079207921</v>
      </c>
      <c r="R48" s="123">
        <v>759</v>
      </c>
      <c r="S48" s="124">
        <f t="shared" si="55"/>
        <v>8.0408910891089107</v>
      </c>
      <c r="T48" s="123">
        <v>662</v>
      </c>
      <c r="U48" s="124">
        <f t="shared" si="56"/>
        <v>7.0132673267326728</v>
      </c>
      <c r="V48" s="123">
        <v>677</v>
      </c>
      <c r="W48" s="124">
        <f>V48/($J48+$K48)*$B$4</f>
        <v>7.1721782178217826</v>
      </c>
      <c r="X48" s="123">
        <v>947</v>
      </c>
      <c r="Y48" s="124">
        <f t="shared" si="58"/>
        <v>10.032574257425743</v>
      </c>
      <c r="Z48" s="166">
        <v>1024</v>
      </c>
      <c r="AA48" s="124">
        <f t="shared" si="59"/>
        <v>10.848316831683169</v>
      </c>
      <c r="AB48" s="123">
        <v>0</v>
      </c>
      <c r="AC48" s="124">
        <f t="shared" si="60"/>
        <v>0</v>
      </c>
      <c r="AD48" s="123">
        <v>658</v>
      </c>
      <c r="AE48" s="124">
        <f t="shared" si="61"/>
        <v>6.9708910891089104</v>
      </c>
      <c r="AF48" s="123">
        <v>752</v>
      </c>
      <c r="AG48" s="124">
        <f t="shared" si="62"/>
        <v>7.9667326732673276</v>
      </c>
      <c r="AH48" s="123">
        <v>839</v>
      </c>
      <c r="AI48" s="124">
        <f t="shared" si="63"/>
        <v>8.888415841584159</v>
      </c>
      <c r="AJ48" s="123">
        <v>0</v>
      </c>
      <c r="AK48" s="124">
        <f t="shared" si="64"/>
        <v>0</v>
      </c>
    </row>
    <row r="49" spans="1:47" s="56" customFormat="1" ht="12" thickBot="1" x14ac:dyDescent="0.25">
      <c r="A49" s="54"/>
      <c r="K49" s="55"/>
      <c r="L49" s="152"/>
      <c r="M49" s="153"/>
      <c r="N49" s="152"/>
      <c r="O49" s="153"/>
      <c r="P49" s="152"/>
      <c r="Q49" s="153"/>
      <c r="R49" s="152"/>
      <c r="S49" s="153"/>
      <c r="T49" s="152"/>
      <c r="U49" s="153"/>
      <c r="V49" s="152"/>
      <c r="W49" s="160"/>
      <c r="X49" s="161"/>
      <c r="Y49" s="162"/>
      <c r="Z49" s="161"/>
      <c r="AA49" s="162"/>
      <c r="AB49" s="152"/>
      <c r="AC49" s="153"/>
      <c r="AD49" s="152"/>
      <c r="AE49" s="153"/>
      <c r="AF49" s="152"/>
      <c r="AG49" s="153"/>
      <c r="AH49" s="152"/>
      <c r="AI49" s="153"/>
      <c r="AJ49" s="152"/>
      <c r="AK49" s="160"/>
      <c r="AU49" s="55"/>
    </row>
    <row r="50" spans="1:47" ht="16.5" thickBot="1" x14ac:dyDescent="0.25">
      <c r="A50" s="59"/>
      <c r="B50" s="59"/>
      <c r="C50" s="60"/>
      <c r="D50" s="61" t="s">
        <v>75</v>
      </c>
      <c r="E50" s="24">
        <f>J51</f>
        <v>31.5</v>
      </c>
      <c r="F50" s="24">
        <f>K51</f>
        <v>22.5</v>
      </c>
      <c r="G50" s="24">
        <f>J52</f>
        <v>74</v>
      </c>
      <c r="H50" s="24">
        <f>K52</f>
        <v>72</v>
      </c>
      <c r="I50" s="22">
        <f>K53</f>
        <v>120</v>
      </c>
      <c r="J50" s="60"/>
      <c r="K50" s="60"/>
      <c r="L50" s="78"/>
      <c r="M50" s="198">
        <f>AVERAGE(M54:M57)</f>
        <v>14.407847222222223</v>
      </c>
      <c r="N50" s="71"/>
      <c r="O50" s="198">
        <f>AVERAGE(O54:O57)</f>
        <v>15.072410163139331</v>
      </c>
      <c r="P50" s="71"/>
      <c r="Q50" s="198">
        <f>AVERAGE(Q54:Q57)</f>
        <v>14.666914131393298</v>
      </c>
      <c r="R50" s="71"/>
      <c r="S50" s="198">
        <f>AVERAGE(S54:S57)</f>
        <v>15.872138447971784</v>
      </c>
      <c r="T50" s="71"/>
      <c r="U50" s="198">
        <f>AVERAGE(U54:U57)</f>
        <v>16.309597663139332</v>
      </c>
      <c r="V50" s="71"/>
      <c r="W50" s="198">
        <f>AVERAGE(W54:W57)</f>
        <v>16.602278990299826</v>
      </c>
      <c r="X50" s="75"/>
      <c r="Y50" s="198">
        <f>AVERAGE(Y54:Y57)</f>
        <v>17.877091049382717</v>
      </c>
      <c r="Z50" s="71"/>
      <c r="AA50" s="198">
        <f>AVERAGE(AA54:AA57)</f>
        <v>21.147832892416229</v>
      </c>
      <c r="AB50" s="71"/>
      <c r="AC50" s="198">
        <f>AVERAGE(AC54:AC57)</f>
        <v>0</v>
      </c>
      <c r="AD50" s="71"/>
      <c r="AE50" s="198">
        <f>AVERAGE(AE54:AE57)</f>
        <v>14.750891203703704</v>
      </c>
      <c r="AF50" s="71"/>
      <c r="AG50" s="198">
        <f>AVERAGE(AG54:AG57)</f>
        <v>16.983419312169314</v>
      </c>
      <c r="AH50" s="71"/>
      <c r="AI50" s="198">
        <f>AVERAGE(AI54:AI57)</f>
        <v>18.83592757936508</v>
      </c>
      <c r="AJ50" s="71"/>
      <c r="AK50" s="198">
        <f>AVERAGE(AK54:AK57)</f>
        <v>0</v>
      </c>
    </row>
    <row r="51" spans="1:47" ht="12" thickBot="1" x14ac:dyDescent="0.25">
      <c r="A51" s="62"/>
      <c r="B51" s="62"/>
      <c r="C51" s="6"/>
      <c r="D51" s="6"/>
      <c r="E51" s="2"/>
      <c r="F51" s="2"/>
      <c r="G51" s="2"/>
      <c r="H51" s="2"/>
      <c r="I51" s="2"/>
      <c r="J51" s="23">
        <v>31.5</v>
      </c>
      <c r="K51" s="72">
        <v>22.5</v>
      </c>
      <c r="L51" s="79" t="s">
        <v>68</v>
      </c>
      <c r="M51" s="70"/>
      <c r="N51" s="15"/>
      <c r="O51" s="70"/>
      <c r="P51" s="15"/>
      <c r="Q51" s="70"/>
      <c r="R51" s="15"/>
      <c r="S51" s="70"/>
      <c r="T51" s="15"/>
      <c r="U51" s="80"/>
      <c r="V51" s="15"/>
      <c r="W51" s="80"/>
      <c r="X51" s="15"/>
      <c r="Y51" s="70"/>
      <c r="Z51" s="163"/>
      <c r="AA51" s="164"/>
      <c r="AB51" s="77"/>
      <c r="AC51" s="70"/>
      <c r="AD51" s="77"/>
      <c r="AE51" s="70"/>
      <c r="AF51" s="77"/>
      <c r="AG51" s="70"/>
      <c r="AH51" s="77"/>
      <c r="AI51" s="70"/>
      <c r="AJ51" s="15"/>
      <c r="AK51" s="80"/>
    </row>
    <row r="52" spans="1:47" ht="12" thickBot="1" x14ac:dyDescent="0.25">
      <c r="A52" s="62"/>
      <c r="B52" s="62"/>
      <c r="C52" s="6"/>
      <c r="D52" s="6"/>
      <c r="E52" s="2"/>
      <c r="F52" s="2"/>
      <c r="G52" s="2"/>
      <c r="H52" s="2"/>
      <c r="I52" s="2"/>
      <c r="J52" s="23">
        <v>74</v>
      </c>
      <c r="K52" s="73">
        <v>72</v>
      </c>
      <c r="L52" s="79" t="s">
        <v>69</v>
      </c>
      <c r="M52" s="81"/>
      <c r="N52" s="5"/>
      <c r="O52" s="70"/>
      <c r="P52" s="5"/>
      <c r="Q52" s="70"/>
      <c r="R52" s="5"/>
      <c r="S52" s="70"/>
      <c r="T52" s="5"/>
      <c r="U52" s="70"/>
      <c r="V52" s="5"/>
      <c r="W52" s="81"/>
      <c r="X52" s="15"/>
      <c r="Y52" s="81"/>
      <c r="Z52" s="163"/>
      <c r="AA52" s="164"/>
      <c r="AB52" s="5"/>
      <c r="AC52" s="70"/>
      <c r="AD52" s="5"/>
      <c r="AE52" s="70"/>
      <c r="AF52" s="5"/>
      <c r="AG52" s="70"/>
      <c r="AH52" s="5"/>
      <c r="AI52" s="70"/>
      <c r="AJ52" s="5"/>
      <c r="AK52" s="81"/>
    </row>
    <row r="53" spans="1:47" ht="12" thickBot="1" x14ac:dyDescent="0.25">
      <c r="A53" s="62"/>
      <c r="B53" s="62"/>
      <c r="C53" s="13"/>
      <c r="D53" s="6"/>
      <c r="E53" s="2"/>
      <c r="F53" s="2"/>
      <c r="G53" s="2"/>
      <c r="H53" s="2"/>
      <c r="I53" s="2"/>
      <c r="J53" s="14"/>
      <c r="K53" s="74">
        <v>120</v>
      </c>
      <c r="L53" s="79" t="s">
        <v>70</v>
      </c>
      <c r="M53" s="81"/>
      <c r="N53" s="77"/>
      <c r="O53" s="70"/>
      <c r="P53" s="77"/>
      <c r="Q53" s="70"/>
      <c r="R53" s="5"/>
      <c r="S53" s="70"/>
      <c r="T53" s="5"/>
      <c r="U53" s="70"/>
      <c r="V53" s="5"/>
      <c r="W53" s="81"/>
      <c r="X53" s="76"/>
      <c r="Y53" s="80"/>
      <c r="Z53" s="163"/>
      <c r="AA53" s="164"/>
      <c r="AB53" s="5"/>
      <c r="AC53" s="82"/>
      <c r="AD53" s="5"/>
      <c r="AE53" s="82"/>
      <c r="AF53" s="5"/>
      <c r="AG53" s="82"/>
      <c r="AH53" s="5"/>
      <c r="AI53" s="82"/>
      <c r="AJ53" s="5"/>
      <c r="AK53" s="81"/>
    </row>
    <row r="54" spans="1:47" x14ac:dyDescent="0.2">
      <c r="A54" s="63"/>
      <c r="B54" s="63"/>
      <c r="C54" s="64"/>
      <c r="D54" s="64"/>
      <c r="E54" s="20"/>
      <c r="F54" s="20"/>
      <c r="G54" s="20"/>
      <c r="H54" s="20"/>
      <c r="I54" s="20"/>
      <c r="J54" s="111">
        <v>48</v>
      </c>
      <c r="K54" s="112">
        <v>36</v>
      </c>
      <c r="L54" s="85">
        <v>1190</v>
      </c>
      <c r="M54" s="83">
        <f t="shared" ref="M54:M56" si="65">L54/($J54+$K54)*$B$4</f>
        <v>15.158333333333333</v>
      </c>
      <c r="N54" s="85">
        <v>1249</v>
      </c>
      <c r="O54" s="83">
        <f t="shared" ref="O54:O56" si="66">N54/($J54+$K54)*$B$4</f>
        <v>15.909880952380952</v>
      </c>
      <c r="P54" s="85">
        <v>1213</v>
      </c>
      <c r="Q54" s="83">
        <f t="shared" ref="Q54:Q56" si="67">P54/($J54+$K54)*$B$4</f>
        <v>15.451309523809524</v>
      </c>
      <c r="R54" s="85">
        <v>1320</v>
      </c>
      <c r="S54" s="83">
        <f t="shared" ref="S54:S56" si="68">R54/($J54+$K54)*$B$4</f>
        <v>16.814285714285713</v>
      </c>
      <c r="T54" s="85">
        <v>1347</v>
      </c>
      <c r="U54" s="83">
        <f t="shared" ref="U54:U56" si="69">T54/($J54+$K54)*$B$4</f>
        <v>17.158214285714287</v>
      </c>
      <c r="V54" s="85">
        <v>1368</v>
      </c>
      <c r="W54" s="83">
        <f t="shared" ref="W54:W56" si="70">V54/($J54+$K54)*$B$4</f>
        <v>17.425714285714285</v>
      </c>
      <c r="X54" s="85">
        <v>1498</v>
      </c>
      <c r="Y54" s="83">
        <f t="shared" ref="Y54:Y56" si="71">X54/($J54+$K54)*$B$4</f>
        <v>19.081666666666667</v>
      </c>
      <c r="Z54" s="145">
        <v>1642</v>
      </c>
      <c r="AA54" s="83">
        <f t="shared" ref="AA54:AA56" si="72">Z54/($J54+$K54)*$B$4</f>
        <v>20.915952380952383</v>
      </c>
      <c r="AB54" s="85">
        <v>0</v>
      </c>
      <c r="AC54" s="83">
        <f t="shared" ref="AC54:AC56" si="73">AB54/($J54+$K54)*$B$4</f>
        <v>0</v>
      </c>
      <c r="AD54" s="85">
        <v>1218</v>
      </c>
      <c r="AE54" s="83">
        <f t="shared" ref="AE54:AE56" si="74">AD54/($J54+$K54)*$B$4</f>
        <v>15.515000000000001</v>
      </c>
      <c r="AF54" s="85">
        <v>1404</v>
      </c>
      <c r="AG54" s="83">
        <f t="shared" ref="AG54:AG56" si="75">AF54/($J54+$K54)*$B$4</f>
        <v>17.884285714285717</v>
      </c>
      <c r="AH54" s="85">
        <v>1581</v>
      </c>
      <c r="AI54" s="83">
        <f t="shared" ref="AI54:AI56" si="76">AH54/($J54+$K54)*$B$4</f>
        <v>20.138928571428576</v>
      </c>
      <c r="AJ54" s="85">
        <v>0</v>
      </c>
      <c r="AK54" s="83">
        <f t="shared" ref="AK54:AK56" si="77">AJ54/($J54+$K54)*$B$4</f>
        <v>0</v>
      </c>
    </row>
    <row r="55" spans="1:47" x14ac:dyDescent="0.2">
      <c r="A55" s="63"/>
      <c r="B55" s="63"/>
      <c r="C55" s="64"/>
      <c r="D55" s="64"/>
      <c r="E55" s="20"/>
      <c r="F55" s="20"/>
      <c r="G55" s="20"/>
      <c r="H55" s="20"/>
      <c r="I55" s="20"/>
      <c r="J55" s="116">
        <v>48</v>
      </c>
      <c r="K55" s="9">
        <v>48</v>
      </c>
      <c r="L55" s="121">
        <v>1286</v>
      </c>
      <c r="M55" s="122">
        <f t="shared" si="65"/>
        <v>14.333541666666669</v>
      </c>
      <c r="N55" s="121">
        <v>1345</v>
      </c>
      <c r="O55" s="122">
        <f t="shared" si="66"/>
        <v>14.991145833333334</v>
      </c>
      <c r="P55" s="121">
        <v>1309</v>
      </c>
      <c r="Q55" s="122">
        <f t="shared" si="67"/>
        <v>14.589895833333333</v>
      </c>
      <c r="R55" s="121">
        <v>1416</v>
      </c>
      <c r="S55" s="122">
        <f t="shared" si="68"/>
        <v>15.782500000000001</v>
      </c>
      <c r="T55" s="121">
        <v>1462</v>
      </c>
      <c r="U55" s="122">
        <f t="shared" si="69"/>
        <v>16.295208333333335</v>
      </c>
      <c r="V55" s="121">
        <v>1491</v>
      </c>
      <c r="W55" s="122">
        <f t="shared" si="70"/>
        <v>16.618437500000002</v>
      </c>
      <c r="X55" s="121">
        <v>1594</v>
      </c>
      <c r="Y55" s="122">
        <f t="shared" si="71"/>
        <v>17.766458333333336</v>
      </c>
      <c r="Z55" s="146">
        <v>1900</v>
      </c>
      <c r="AA55" s="122">
        <f t="shared" si="72"/>
        <v>21.177083333333336</v>
      </c>
      <c r="AB55" s="121">
        <v>0</v>
      </c>
      <c r="AC55" s="122">
        <f t="shared" si="73"/>
        <v>0</v>
      </c>
      <c r="AD55" s="121">
        <v>1317</v>
      </c>
      <c r="AE55" s="122">
        <f t="shared" si="74"/>
        <v>14.679062500000001</v>
      </c>
      <c r="AF55" s="121">
        <v>1516</v>
      </c>
      <c r="AG55" s="122">
        <f t="shared" si="75"/>
        <v>16.897083333333335</v>
      </c>
      <c r="AH55" s="121">
        <v>1679</v>
      </c>
      <c r="AI55" s="122">
        <f t="shared" si="76"/>
        <v>18.713854166666668</v>
      </c>
      <c r="AJ55" s="121">
        <v>0</v>
      </c>
      <c r="AK55" s="122">
        <f t="shared" si="77"/>
        <v>0</v>
      </c>
    </row>
    <row r="56" spans="1:47" ht="12" thickBot="1" x14ac:dyDescent="0.25">
      <c r="A56" s="63"/>
      <c r="B56" s="63"/>
      <c r="C56" s="64"/>
      <c r="D56" s="64"/>
      <c r="E56" s="20"/>
      <c r="F56" s="20"/>
      <c r="G56" s="20"/>
      <c r="H56" s="20"/>
      <c r="I56" s="20"/>
      <c r="J56" s="114">
        <v>60</v>
      </c>
      <c r="K56" s="115">
        <v>48</v>
      </c>
      <c r="L56" s="123">
        <v>1386</v>
      </c>
      <c r="M56" s="124">
        <f t="shared" si="65"/>
        <v>13.731666666666667</v>
      </c>
      <c r="N56" s="123">
        <v>1445</v>
      </c>
      <c r="O56" s="124">
        <f t="shared" si="66"/>
        <v>14.316203703703705</v>
      </c>
      <c r="P56" s="123">
        <v>1409</v>
      </c>
      <c r="Q56" s="124">
        <f t="shared" si="67"/>
        <v>13.959537037037038</v>
      </c>
      <c r="R56" s="123">
        <v>1516</v>
      </c>
      <c r="S56" s="124">
        <f t="shared" si="68"/>
        <v>15.01962962962963</v>
      </c>
      <c r="T56" s="123">
        <v>1562</v>
      </c>
      <c r="U56" s="124">
        <f t="shared" si="69"/>
        <v>15.475370370370372</v>
      </c>
      <c r="V56" s="123">
        <v>1591</v>
      </c>
      <c r="W56" s="124">
        <f t="shared" si="70"/>
        <v>15.762685185185186</v>
      </c>
      <c r="X56" s="123">
        <v>1694</v>
      </c>
      <c r="Y56" s="124">
        <f t="shared" si="71"/>
        <v>16.78314814814815</v>
      </c>
      <c r="Z56" s="147">
        <v>2155</v>
      </c>
      <c r="AA56" s="124">
        <f t="shared" si="72"/>
        <v>21.350462962962961</v>
      </c>
      <c r="AB56" s="123">
        <v>0</v>
      </c>
      <c r="AC56" s="124">
        <f t="shared" si="73"/>
        <v>0</v>
      </c>
      <c r="AD56" s="123">
        <v>1419</v>
      </c>
      <c r="AE56" s="124">
        <f t="shared" si="74"/>
        <v>14.058611111111112</v>
      </c>
      <c r="AF56" s="123">
        <v>1632</v>
      </c>
      <c r="AG56" s="124">
        <f t="shared" si="75"/>
        <v>16.16888888888889</v>
      </c>
      <c r="AH56" s="123">
        <v>1782</v>
      </c>
      <c r="AI56" s="124">
        <f t="shared" si="76"/>
        <v>17.655000000000001</v>
      </c>
      <c r="AJ56" s="123">
        <v>0</v>
      </c>
      <c r="AK56" s="124">
        <f t="shared" si="77"/>
        <v>0</v>
      </c>
    </row>
  </sheetData>
  <pageMargins left="0.45" right="0.7" top="0.25" bottom="0.5" header="0.3" footer="0.3"/>
  <pageSetup scale="8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R o f 4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B G h /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o f 4 U i i K R 7 g O A A A A E Q A A A B M A H A B G b 3 J t d W x h c y 9 T Z W N 0 a W 9 u M S 5 t I K I Y A C i g F A A A A A A A A A A A A A A A A A A A A A A A A A A A A C t O T S 7 J z M 9 T C I b Q h t Y A U E s B A i 0 A F A A C A A g A R o f 4 U n M l 5 d C j A A A A 9 Q A A A B I A A A A A A A A A A A A A A A A A A A A A A E N v b m Z p Z y 9 Q Y W N r Y W d l L n h t b F B L A Q I t A B Q A A g A I A E a H + F I P y u m r p A A A A O k A A A A T A A A A A A A A A A A A A A A A A O 8 A A A B b Q 2 9 u d G V u d F 9 U e X B l c 1 0 u e G 1 s U E s B A i 0 A F A A C A A g A R o f 4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H D b H U A 5 C U 1 M v 5 6 E Q t W 5 d 8 A A A A A A A g A A A A A A A 2 Y A A M A A A A A Q A A A A c + M X B z Q e O Z 4 r L R 9 W 6 e 1 i q w A A A A A E g A A A o A A A A B A A A A A 1 Q I 4 p N X B T d a A d J G D S k 1 O v U A A A A J n X z T 2 y D / F 4 U m Z X l Y x g o 1 u o O P N G C e A F R p 7 i N 1 m q R I g Y w J G i 3 F v + O 6 c Q e C e d P m 4 i / O 4 H y w 8 P k I S H i x 1 v H O R t F B 2 2 A G K y e b 0 H / m E F N 2 r 6 J 4 u j F A A A A P T f w z i y o P d X O B b J 8 u b R j x 8 s j I y G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E31FA98FC0914FAC64676AFD073C6D" ma:contentTypeVersion="15" ma:contentTypeDescription="Create a new document." ma:contentTypeScope="" ma:versionID="3d7be5218e2339ac24ed0b2179413969">
  <xsd:schema xmlns:xsd="http://www.w3.org/2001/XMLSchema" xmlns:xs="http://www.w3.org/2001/XMLSchema" xmlns:p="http://schemas.microsoft.com/office/2006/metadata/properties" xmlns:ns2="e071b727-ac56-4a93-9ed5-ceff46d0439e" xmlns:ns3="d3ee5abd-a5ad-414a-bda2-f9db4211ae68" targetNamespace="http://schemas.microsoft.com/office/2006/metadata/properties" ma:root="true" ma:fieldsID="80e801a2b989b3a92a609ca97c3f7799" ns2:_="" ns3:_="">
    <xsd:import namespace="e071b727-ac56-4a93-9ed5-ceff46d0439e"/>
    <xsd:import namespace="d3ee5abd-a5ad-414a-bda2-f9db4211ae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71b727-ac56-4a93-9ed5-ceff46d043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35dfeb5-f6b4-4e75-a83b-d5cf857ad0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ee5abd-a5ad-414a-bda2-f9db4211ae6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adef7377-5502-4756-b3f6-cc765a7f63be}" ma:internalName="TaxCatchAll" ma:showField="CatchAllData" ma:web="d3ee5abd-a5ad-414a-bda2-f9db4211ae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3ee5abd-a5ad-414a-bda2-f9db4211ae68" xsi:nil="true"/>
    <lcf76f155ced4ddcb4097134ff3c332f xmlns="e071b727-ac56-4a93-9ed5-ceff46d0439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EF3CDE6-7A6D-4456-B1CA-54D27EAC56C4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7D3D162-B435-409D-9087-A18D7E613B43}"/>
</file>

<file path=customXml/itemProps3.xml><?xml version="1.0" encoding="utf-8"?>
<ds:datastoreItem xmlns:ds="http://schemas.openxmlformats.org/officeDocument/2006/customXml" ds:itemID="{E11A3B71-718A-4EE8-961B-00B9E5D62A8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3C7FCB0-5337-4800-A6E8-4B6DF542D708}">
  <ds:schemaRefs>
    <ds:schemaRef ds:uri="http://schemas.microsoft.com/office/2006/metadata/properties"/>
    <ds:schemaRef ds:uri="http://schemas.microsoft.com/office/infopath/2007/PartnerControls"/>
    <ds:schemaRef ds:uri="d3ee5abd-a5ad-414a-bda2-f9db4211ae68"/>
    <ds:schemaRef ds:uri="d7729f29-7954-4d3a-b73b-b5a978696a8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Financing</vt:lpstr>
      <vt:lpstr>Insulation</vt:lpstr>
      <vt:lpstr>Windows</vt:lpstr>
      <vt:lpstr>Simplified</vt:lpstr>
      <vt:lpstr>Restoration</vt:lpstr>
      <vt:lpstr>Aeris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Vogel</dc:creator>
  <cp:keywords/>
  <dc:description/>
  <cp:lastModifiedBy>Grant Vogel</cp:lastModifiedBy>
  <cp:revision/>
  <dcterms:created xsi:type="dcterms:W3CDTF">2022-01-06T15:12:31Z</dcterms:created>
  <dcterms:modified xsi:type="dcterms:W3CDTF">2023-02-19T15:38:15Z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0x0101004B4CCEC756AD9B4495CF0350D21AE388</vt:lpwstr>
  </property>
  <property fmtid="{D5CDD505-2E9C-101B-9397-08002B2CF9AE}" pid="3" name="MediaServiceImageTags">
    <vt:lpwstr/>
  </property>
</Properties>
</file>