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centito\Desktop\PPS\Desarrollo PPS\"/>
    </mc:Choice>
  </mc:AlternateContent>
  <xr:revisionPtr revIDLastSave="0" documentId="8_{87C5E2D5-5F65-418B-9ED4-973414D35664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Resistividad Suelo" sheetId="2" r:id="rId1"/>
    <sheet name="Seccion Conductor" sheetId="1" r:id="rId2"/>
    <sheet name="Jabalinas" sheetId="5" r:id="rId3"/>
    <sheet name="Conductores Enterrados" sheetId="6" r:id="rId4"/>
    <sheet name="Tablas 1" sheetId="3" state="hidden" r:id="rId5"/>
    <sheet name="Tablas 2" sheetId="4" state="hidden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5" l="1"/>
  <c r="S4" i="4"/>
  <c r="S5" i="4"/>
  <c r="S6" i="4"/>
  <c r="S3" i="4"/>
  <c r="R6" i="4"/>
  <c r="R5" i="4"/>
  <c r="R4" i="4"/>
  <c r="R3" i="4"/>
  <c r="C13" i="4" l="1"/>
  <c r="C12" i="4"/>
  <c r="C11" i="4"/>
  <c r="G8" i="1" s="1"/>
  <c r="G11" i="1" s="1"/>
  <c r="G18" i="3" l="1"/>
  <c r="F18" i="3"/>
  <c r="E18" i="3"/>
  <c r="H12" i="6"/>
  <c r="I9" i="3" l="1"/>
  <c r="H9" i="3"/>
  <c r="G8" i="3"/>
  <c r="G10" i="3" l="1"/>
  <c r="G8" i="5" l="1"/>
  <c r="F11" i="5" s="1"/>
  <c r="D7" i="2"/>
  <c r="H18" i="3" l="1"/>
  <c r="E12" i="6" l="1"/>
  <c r="G14" i="6" s="1"/>
</calcChain>
</file>

<file path=xl/sharedStrings.xml><?xml version="1.0" encoding="utf-8"?>
<sst xmlns="http://schemas.openxmlformats.org/spreadsheetml/2006/main" count="112" uniqueCount="88">
  <si>
    <t>Valor de K</t>
  </si>
  <si>
    <t>Material del conductor</t>
  </si>
  <si>
    <t>Material aislante</t>
  </si>
  <si>
    <t>Corriente de falla</t>
  </si>
  <si>
    <t>Seccion minima del conductor</t>
  </si>
  <si>
    <t>Sección Mínima del Conductor</t>
  </si>
  <si>
    <t>La sección del conductor no deberá ser menor a 25 mm2 para cobre, 35mm2 para acero-cobre y 35mm2 para aluminio.</t>
  </si>
  <si>
    <t>Tiempo de actuación</t>
  </si>
  <si>
    <t>Resitividad del Suelo</t>
  </si>
  <si>
    <t>Tipo de suelo</t>
  </si>
  <si>
    <t>Precipitaciones Anuales</t>
  </si>
  <si>
    <t>Resistividad</t>
  </si>
  <si>
    <t>B</t>
  </si>
  <si>
    <t>Tabla resistividad del Suelo</t>
  </si>
  <si>
    <t>A</t>
  </si>
  <si>
    <t>C</t>
  </si>
  <si>
    <t>Aluvial</t>
  </si>
  <si>
    <t>Arcillas</t>
  </si>
  <si>
    <t>Gredas</t>
  </si>
  <si>
    <t>Tierra Calcárea</t>
  </si>
  <si>
    <t>Arenisca Porosa</t>
  </si>
  <si>
    <t>Cuarzos y piedra caliza</t>
  </si>
  <si>
    <t>Granito</t>
  </si>
  <si>
    <t>Pizarras rajadizas</t>
  </si>
  <si>
    <t>Pizarras Arcillosas</t>
  </si>
  <si>
    <t>Resistencia de Dispersión para Jabalinas</t>
  </si>
  <si>
    <t>Largo de Jabalina</t>
  </si>
  <si>
    <t>Diametro de la Jabalina</t>
  </si>
  <si>
    <t>Resistividad del Suelo</t>
  </si>
  <si>
    <t>Cantidad de Jabalinas</t>
  </si>
  <si>
    <t>Distancia entre Jabalinas</t>
  </si>
  <si>
    <t>Resistencia de Dispersión para Conductores Enterrados</t>
  </si>
  <si>
    <t>Diametro del Conductor</t>
  </si>
  <si>
    <t>Profundidad</t>
  </si>
  <si>
    <t>Disposicion del Conductor</t>
  </si>
  <si>
    <t>Aumento % de la Disp.</t>
  </si>
  <si>
    <t>Riesgo de Incendio</t>
  </si>
  <si>
    <t>a</t>
  </si>
  <si>
    <t>e</t>
  </si>
  <si>
    <t>Tabla para cantidad de jabalinas y distancia entre ellas</t>
  </si>
  <si>
    <t>Recto</t>
  </si>
  <si>
    <t>Angulo 90°</t>
  </si>
  <si>
    <t>Estrella 3 Puntas</t>
  </si>
  <si>
    <t>Estrella 4 Puntas</t>
  </si>
  <si>
    <t>Estrella 6 Puntas</t>
  </si>
  <si>
    <t>Estrella 8 Puntas</t>
  </si>
  <si>
    <t>Ordenamiento de Cond. Enterrados</t>
  </si>
  <si>
    <t>Ecuaciones para Cond Enterrados</t>
  </si>
  <si>
    <t>Ec 1 L/h</t>
  </si>
  <si>
    <t>Ec 2 L/d</t>
  </si>
  <si>
    <t>0,0604*LN(G34)-0,2987</t>
  </si>
  <si>
    <t>0,0757*LN(F36)+0,4653</t>
  </si>
  <si>
    <t>Valores</t>
  </si>
  <si>
    <t>L</t>
  </si>
  <si>
    <t>d</t>
  </si>
  <si>
    <t>h</t>
  </si>
  <si>
    <t>Valor de C</t>
  </si>
  <si>
    <t>Aumento por Proximidad</t>
  </si>
  <si>
    <t>Calculo</t>
  </si>
  <si>
    <t>Dj/L</t>
  </si>
  <si>
    <t>Aumento %</t>
  </si>
  <si>
    <t>Aumento por Diam. / Largo</t>
  </si>
  <si>
    <t>Largo del Conductor   "L"</t>
  </si>
  <si>
    <r>
      <t>Resistividad del Suelo  "</t>
    </r>
    <r>
      <rPr>
        <sz val="11"/>
        <color theme="1"/>
        <rFont val="Calibri"/>
        <family val="2"/>
      </rPr>
      <t>ρ"</t>
    </r>
  </si>
  <si>
    <t>Resistividad de la Puesta a Tierra  "R"</t>
  </si>
  <si>
    <t xml:space="preserve">Tabla 6 - </t>
  </si>
  <si>
    <t xml:space="preserve">Tabla 7 - </t>
  </si>
  <si>
    <t xml:space="preserve">Tabla 8 - </t>
  </si>
  <si>
    <t>Visible</t>
  </si>
  <si>
    <t>Normal</t>
  </si>
  <si>
    <t>Con Riesgo</t>
  </si>
  <si>
    <t>PVC</t>
  </si>
  <si>
    <t>PEX/EPR</t>
  </si>
  <si>
    <t>Caucho Butílico</t>
  </si>
  <si>
    <t>Cobre</t>
  </si>
  <si>
    <t>Cobre-Acero</t>
  </si>
  <si>
    <t>Aluminio</t>
  </si>
  <si>
    <t>Acero</t>
  </si>
  <si>
    <t>Dispocision de Conductores</t>
  </si>
  <si>
    <t>Resistencia de la Puesta a Tierra</t>
  </si>
  <si>
    <t>MEDIA TENSION</t>
  </si>
  <si>
    <t>Valores Norm Para Jabalinas</t>
  </si>
  <si>
    <t>3/8 "</t>
  </si>
  <si>
    <t>1/2 "</t>
  </si>
  <si>
    <t>5/8 "</t>
  </si>
  <si>
    <t>3/4 "</t>
  </si>
  <si>
    <t>mm</t>
  </si>
  <si>
    <t>BAJA 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</si>
</sst>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.##\ &quot;m&quot;"/>
    <numFmt numFmtId="165" formatCode="\ #\ &quot;cm&quot;"/>
    <numFmt numFmtId="166" formatCode="\ #\ &quot;mm&quot;"/>
    <numFmt numFmtId="167" formatCode="\ #\ &quot;Ω&quot;"/>
    <numFmt numFmtId="168" formatCode="\ #.0\ &quot;Ω&quot;"/>
    <numFmt numFmtId="169" formatCode="0.0%"/>
    <numFmt numFmtId="170" formatCode="\ #\ &quot;A&quot;"/>
    <numFmt numFmtId="171" formatCode="#.0000\ &quot;s&quot;"/>
    <numFmt numFmtId="172" formatCode="#\ &quot;mm2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3">
    <xf numFmtId="0" fontId="0" fillId="0" borderId="0" xfId="0"/>
    <xf numFmtId="0" fontId="0" fillId="3" borderId="0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0" xfId="0" applyFill="1"/>
    <xf numFmtId="0" fontId="0" fillId="3" borderId="0" xfId="0" applyFill="1" applyBorder="1" applyAlignment="1">
      <alignment horizontal="center" wrapText="1"/>
    </xf>
    <xf numFmtId="0" fontId="0" fillId="4" borderId="13" xfId="0" applyFill="1" applyBorder="1"/>
    <xf numFmtId="0" fontId="0" fillId="12" borderId="2" xfId="0" applyFill="1" applyBorder="1"/>
    <xf numFmtId="0" fontId="0" fillId="12" borderId="0" xfId="0" applyFill="1" applyBorder="1"/>
    <xf numFmtId="0" fontId="0" fillId="12" borderId="3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12" borderId="1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12" borderId="4" xfId="0" applyFill="1" applyBorder="1"/>
    <xf numFmtId="0" fontId="0" fillId="12" borderId="14" xfId="0" applyFill="1" applyBorder="1"/>
    <xf numFmtId="0" fontId="0" fillId="12" borderId="5" xfId="0" applyFill="1" applyBorder="1"/>
    <xf numFmtId="0" fontId="0" fillId="13" borderId="0" xfId="0" applyFill="1"/>
    <xf numFmtId="0" fontId="0" fillId="13" borderId="0" xfId="0" applyFill="1" applyAlignment="1"/>
    <xf numFmtId="0" fontId="0" fillId="5" borderId="0" xfId="0" applyFill="1" applyBorder="1"/>
    <xf numFmtId="0" fontId="0" fillId="10" borderId="1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14" xfId="0" applyFill="1" applyBorder="1"/>
    <xf numFmtId="0" fontId="0" fillId="10" borderId="5" xfId="0" applyFill="1" applyBorder="1"/>
    <xf numFmtId="0" fontId="0" fillId="2" borderId="0" xfId="0" applyFill="1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/>
    <xf numFmtId="0" fontId="0" fillId="0" borderId="15" xfId="0" applyBorder="1"/>
    <xf numFmtId="0" fontId="0" fillId="0" borderId="16" xfId="0" applyBorder="1"/>
    <xf numFmtId="164" fontId="0" fillId="4" borderId="13" xfId="0" applyNumberFormat="1" applyFill="1" applyBorder="1"/>
    <xf numFmtId="165" fontId="0" fillId="4" borderId="13" xfId="0" applyNumberFormat="1" applyFill="1" applyBorder="1"/>
    <xf numFmtId="165" fontId="0" fillId="10" borderId="0" xfId="0" applyNumberFormat="1" applyFill="1" applyBorder="1"/>
    <xf numFmtId="166" fontId="0" fillId="4" borderId="13" xfId="0" applyNumberFormat="1" applyFill="1" applyBorder="1"/>
    <xf numFmtId="167" fontId="0" fillId="4" borderId="13" xfId="0" applyNumberFormat="1" applyFill="1" applyBorder="1"/>
    <xf numFmtId="9" fontId="0" fillId="2" borderId="0" xfId="0" applyNumberFormat="1" applyFill="1" applyBorder="1"/>
    <xf numFmtId="2" fontId="0" fillId="2" borderId="0" xfId="0" applyNumberFormat="1" applyFill="1" applyBorder="1"/>
    <xf numFmtId="0" fontId="0" fillId="13" borderId="2" xfId="0" applyFill="1" applyBorder="1"/>
    <xf numFmtId="0" fontId="0" fillId="13" borderId="0" xfId="0" applyFill="1" applyBorder="1"/>
    <xf numFmtId="0" fontId="0" fillId="13" borderId="3" xfId="0" applyFill="1" applyBorder="1"/>
    <xf numFmtId="169" fontId="0" fillId="5" borderId="0" xfId="1" applyNumberFormat="1" applyFont="1" applyFill="1" applyBorder="1"/>
    <xf numFmtId="167" fontId="0" fillId="12" borderId="0" xfId="0" applyNumberFormat="1" applyFill="1" applyBorder="1"/>
    <xf numFmtId="169" fontId="0" fillId="12" borderId="0" xfId="1" applyNumberFormat="1" applyFont="1" applyFill="1" applyBorder="1"/>
    <xf numFmtId="0" fontId="0" fillId="15" borderId="0" xfId="0" applyFill="1"/>
    <xf numFmtId="0" fontId="0" fillId="3" borderId="0" xfId="0" applyFill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6" borderId="25" xfId="0" applyFill="1" applyBorder="1"/>
    <xf numFmtId="0" fontId="0" fillId="6" borderId="13" xfId="0" applyFill="1" applyBorder="1"/>
    <xf numFmtId="0" fontId="0" fillId="6" borderId="11" xfId="0" applyFill="1" applyBorder="1"/>
    <xf numFmtId="0" fontId="0" fillId="3" borderId="25" xfId="0" applyFill="1" applyBorder="1"/>
    <xf numFmtId="0" fontId="0" fillId="3" borderId="13" xfId="0" applyFill="1" applyBorder="1"/>
    <xf numFmtId="0" fontId="0" fillId="3" borderId="11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170" fontId="0" fillId="0" borderId="10" xfId="0" applyNumberFormat="1" applyBorder="1"/>
    <xf numFmtId="171" fontId="0" fillId="0" borderId="11" xfId="0" applyNumberFormat="1" applyBorder="1"/>
    <xf numFmtId="49" fontId="0" fillId="10" borderId="2" xfId="0" applyNumberFormat="1" applyFill="1" applyBorder="1"/>
    <xf numFmtId="49" fontId="0" fillId="10" borderId="4" xfId="0" applyNumberFormat="1" applyFill="1" applyBorder="1"/>
    <xf numFmtId="166" fontId="0" fillId="4" borderId="13" xfId="0" applyNumberFormat="1" applyFill="1" applyBorder="1" applyAlignment="1">
      <alignment horizontal="right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167" fontId="0" fillId="5" borderId="7" xfId="0" applyNumberFormat="1" applyFill="1" applyBorder="1" applyAlignment="1">
      <alignment horizontal="center"/>
    </xf>
    <xf numFmtId="167" fontId="0" fillId="5" borderId="8" xfId="0" applyNumberForma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172" fontId="0" fillId="5" borderId="12" xfId="0" applyNumberFormat="1" applyFill="1" applyBorder="1" applyAlignment="1">
      <alignment horizontal="center"/>
    </xf>
    <xf numFmtId="172" fontId="0" fillId="5" borderId="8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168" fontId="6" fillId="2" borderId="14" xfId="0" applyNumberFormat="1" applyFont="1" applyFill="1" applyBorder="1" applyAlignment="1">
      <alignment horizontal="center"/>
    </xf>
    <xf numFmtId="168" fontId="6" fillId="2" borderId="5" xfId="0" applyNumberFormat="1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6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142874</xdr:rowOff>
    </xdr:from>
    <xdr:to>
      <xdr:col>14</xdr:col>
      <xdr:colOff>352425</xdr:colOff>
      <xdr:row>34</xdr:row>
      <xdr:rowOff>156854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E6AE67-350D-44D7-9149-DD15BA4E4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42874"/>
          <a:ext cx="4581525" cy="6576705"/>
        </a:xfrm>
        <a:prstGeom prst="rect">
          <a:avLst/>
        </a:prstGeom>
      </xdr:spPr>
    </xdr:pic>
    <xdr:clientData/>
  </xdr:twoCellAnchor>
  <xdr:twoCellAnchor editAs="oneCell">
    <xdr:from>
      <xdr:col>0</xdr:col>
      <xdr:colOff>819150</xdr:colOff>
      <xdr:row>7</xdr:row>
      <xdr:rowOff>114300</xdr:rowOff>
    </xdr:from>
    <xdr:to>
      <xdr:col>5</xdr:col>
      <xdr:colOff>181450</xdr:colOff>
      <xdr:row>36</xdr:row>
      <xdr:rowOff>48387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C3F880-158D-4B47-B647-8B9508F36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1533525"/>
          <a:ext cx="3400900" cy="5458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2</xdr:row>
      <xdr:rowOff>61744</xdr:rowOff>
    </xdr:from>
    <xdr:to>
      <xdr:col>7</xdr:col>
      <xdr:colOff>133350</xdr:colOff>
      <xdr:row>4</xdr:row>
      <xdr:rowOff>146454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C4475-2335-441B-AF3C-87904DF26D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383" t="44537" r="62293" b="45046"/>
        <a:stretch/>
      </xdr:blipFill>
      <xdr:spPr>
        <a:xfrm>
          <a:off x="5505450" y="509419"/>
          <a:ext cx="1257300" cy="713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647701</xdr:colOff>
      <xdr:row>9</xdr:row>
      <xdr:rowOff>180976</xdr:rowOff>
    </xdr:from>
    <xdr:to>
      <xdr:col>5</xdr:col>
      <xdr:colOff>1590676</xdr:colOff>
      <xdr:row>9</xdr:row>
      <xdr:rowOff>1499778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AD799-01BA-48A3-93DB-5F544EB572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228" t="51569" r="33227" b="4936"/>
        <a:stretch/>
      </xdr:blipFill>
      <xdr:spPr>
        <a:xfrm>
          <a:off x="1514476" y="2076451"/>
          <a:ext cx="3562350" cy="13188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244318</xdr:colOff>
      <xdr:row>12</xdr:row>
      <xdr:rowOff>92120</xdr:rowOff>
    </xdr:from>
    <xdr:to>
      <xdr:col>7</xdr:col>
      <xdr:colOff>622985</xdr:colOff>
      <xdr:row>12</xdr:row>
      <xdr:rowOff>1201616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E86CC-AE04-4C1C-A2DC-B79F8E5758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638" t="58719" r="11513" b="10737"/>
        <a:stretch/>
      </xdr:blipFill>
      <xdr:spPr>
        <a:xfrm>
          <a:off x="1702376" y="2011774"/>
          <a:ext cx="5089878" cy="1109496"/>
        </a:xfrm>
        <a:prstGeom prst="rect">
          <a:avLst/>
        </a:prstGeom>
      </xdr:spPr>
    </xdr:pic>
    <xdr:clientData/>
  </xdr:twoCellAnchor>
  <xdr:twoCellAnchor editAs="oneCell">
    <xdr:from>
      <xdr:col>4</xdr:col>
      <xdr:colOff>443593</xdr:colOff>
      <xdr:row>4</xdr:row>
      <xdr:rowOff>89809</xdr:rowOff>
    </xdr:from>
    <xdr:to>
      <xdr:col>6</xdr:col>
      <xdr:colOff>688522</xdr:colOff>
      <xdr:row>4</xdr:row>
      <xdr:rowOff>686859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81C6FE-9B0A-435F-B2B9-8B73EF54D5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9002" t="75776" r="26534" b="13638"/>
        <a:stretch/>
      </xdr:blipFill>
      <xdr:spPr>
        <a:xfrm>
          <a:off x="3739243" y="918484"/>
          <a:ext cx="1454604" cy="59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47AC-8A86-4616-9217-9BFEA859CE12}">
  <dimension ref="B1:T8"/>
  <sheetViews>
    <sheetView showGridLines="0" zoomScale="110" zoomScaleNormal="110" workbookViewId="0">
      <selection activeCell="F7" sqref="F7"/>
    </sheetView>
  </sheetViews>
  <sheetFormatPr defaultRowHeight="15" x14ac:dyDescent="0.25"/>
  <cols>
    <col min="1" max="1" width="13" style="34" customWidth="1"/>
    <col min="2" max="2" width="2.42578125" style="34" customWidth="1"/>
    <col min="3" max="3" width="22.5703125" style="34" customWidth="1"/>
    <col min="4" max="4" width="19.7109375" style="34" customWidth="1"/>
    <col min="5" max="5" width="2.85546875" style="34" customWidth="1"/>
    <col min="6" max="11" width="9.140625" style="34"/>
    <col min="12" max="12" width="2.85546875" style="34" customWidth="1"/>
    <col min="13" max="13" width="3.140625" style="34" customWidth="1"/>
    <col min="14" max="14" width="22" style="34" customWidth="1"/>
    <col min="15" max="15" width="10.28515625" style="34" customWidth="1"/>
    <col min="16" max="16" width="3" style="34" customWidth="1"/>
    <col min="17" max="17" width="23.5703125" style="34" customWidth="1"/>
    <col min="18" max="18" width="15.5703125" style="34" customWidth="1"/>
    <col min="19" max="19" width="3.7109375" style="34" customWidth="1"/>
    <col min="20" max="16384" width="9.140625" style="34"/>
  </cols>
  <sheetData>
    <row r="1" spans="2:20" ht="15.75" thickBot="1" x14ac:dyDescent="0.3"/>
    <row r="2" spans="2:20" ht="19.5" thickBot="1" x14ac:dyDescent="0.35">
      <c r="B2" s="91" t="s">
        <v>8</v>
      </c>
      <c r="C2" s="92"/>
      <c r="D2" s="92"/>
      <c r="E2" s="93"/>
      <c r="T2" s="35"/>
    </row>
    <row r="3" spans="2:20" x14ac:dyDescent="0.25">
      <c r="B3" s="16"/>
      <c r="C3" s="17"/>
      <c r="D3" s="17"/>
      <c r="E3" s="18"/>
    </row>
    <row r="4" spans="2:20" x14ac:dyDescent="0.25">
      <c r="B4" s="16"/>
      <c r="C4" s="17" t="s">
        <v>9</v>
      </c>
      <c r="D4" s="15" t="s">
        <v>17</v>
      </c>
      <c r="E4" s="18"/>
    </row>
    <row r="5" spans="2:20" x14ac:dyDescent="0.25">
      <c r="B5" s="16"/>
      <c r="C5" s="17" t="s">
        <v>10</v>
      </c>
      <c r="D5" s="15" t="s">
        <v>14</v>
      </c>
      <c r="E5" s="18"/>
    </row>
    <row r="6" spans="2:20" ht="15.75" thickBot="1" x14ac:dyDescent="0.3">
      <c r="B6" s="16"/>
      <c r="C6" s="17"/>
      <c r="D6" s="17"/>
      <c r="E6" s="18"/>
    </row>
    <row r="7" spans="2:20" ht="15.75" thickBot="1" x14ac:dyDescent="0.3">
      <c r="B7" s="94" t="s">
        <v>11</v>
      </c>
      <c r="C7" s="95"/>
      <c r="D7" s="96">
        <f>VLOOKUP(D4,'Tablas 1'!A4:D12,HLOOKUP(D5,'Tablas 1'!A2:D3,2,FALSE),FALSE)</f>
        <v>10</v>
      </c>
      <c r="E7" s="97"/>
    </row>
    <row r="8" spans="2:20" x14ac:dyDescent="0.25">
      <c r="T8" s="35"/>
    </row>
  </sheetData>
  <mergeCells count="3">
    <mergeCell ref="B2:E2"/>
    <mergeCell ref="B7:C7"/>
    <mergeCell ref="D7:E7"/>
  </mergeCells>
  <dataValidations count="1">
    <dataValidation type="list" allowBlank="1" showInputMessage="1" showErrorMessage="1" promptTitle="Condiciones Climática:" prompt="A - Precip. Normales y Abundantes ( &gt;500 mm/año)_x000a__x000a_B - Precip. Escasas ( &lt; 500 mm/año)_x000a__x000a_C - Aguas Subterraneas Salinas" sqref="D5" xr:uid="{49EBF3A9-80A7-4024-A31E-9E18E209DC77}">
      <formula1>"A,B,C"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F605DA-9591-4577-B6D6-378554B5FFB0}">
          <x14:formula1>
            <xm:f>'Tablas 1'!$A$15:$A$20</xm:f>
          </x14:formula1>
          <xm:sqref>R13</xm:sqref>
        </x14:dataValidation>
        <x14:dataValidation type="list" allowBlank="1" showInputMessage="1" showErrorMessage="1" xr:uid="{62F281B5-059D-4DBB-95B9-6AFE69F2B135}">
          <x14:formula1>
            <xm:f>'Tablas 1'!$A$4:$A$12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showGridLines="0" workbookViewId="0">
      <selection activeCell="N11" sqref="N11"/>
    </sheetView>
  </sheetViews>
  <sheetFormatPr defaultRowHeight="15" x14ac:dyDescent="0.25"/>
  <cols>
    <col min="1" max="1" width="15.140625" customWidth="1"/>
    <col min="2" max="2" width="4.85546875" customWidth="1"/>
    <col min="3" max="3" width="27.28515625" customWidth="1"/>
    <col min="4" max="4" width="12.42578125" customWidth="1"/>
    <col min="5" max="5" width="6.7109375" customWidth="1"/>
    <col min="6" max="6" width="19.5703125" bestFit="1" customWidth="1"/>
    <col min="7" max="7" width="19.5703125" customWidth="1"/>
    <col min="8" max="8" width="4.85546875" customWidth="1"/>
  </cols>
  <sheetData>
    <row r="1" spans="1:25" ht="15.75" thickBo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thickBot="1" x14ac:dyDescent="0.35">
      <c r="A2" s="13"/>
      <c r="B2" s="105" t="s">
        <v>5</v>
      </c>
      <c r="C2" s="106"/>
      <c r="D2" s="106"/>
      <c r="E2" s="106"/>
      <c r="F2" s="106"/>
      <c r="G2" s="106"/>
      <c r="H2" s="10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35.25" customHeight="1" x14ac:dyDescent="0.25">
      <c r="A3" s="13"/>
      <c r="B3" s="3"/>
      <c r="C3" s="104" t="s">
        <v>6</v>
      </c>
      <c r="D3" s="104"/>
      <c r="E3" s="104"/>
      <c r="F3" s="104"/>
      <c r="G3" s="1"/>
      <c r="H3" s="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4.25" customHeight="1" thickBot="1" x14ac:dyDescent="0.3">
      <c r="A4" s="13"/>
      <c r="B4" s="3"/>
      <c r="C4" s="14"/>
      <c r="D4" s="14"/>
      <c r="E4" s="14"/>
      <c r="F4" s="14"/>
      <c r="G4" s="1"/>
      <c r="H4" s="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thickBot="1" x14ac:dyDescent="0.3">
      <c r="A5" s="13"/>
      <c r="B5" s="3"/>
      <c r="C5" s="102" t="s">
        <v>0</v>
      </c>
      <c r="D5" s="103"/>
      <c r="E5" s="5"/>
      <c r="F5" s="1"/>
      <c r="G5" s="1"/>
      <c r="H5" s="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x14ac:dyDescent="0.25">
      <c r="A6" s="13"/>
      <c r="B6" s="3"/>
      <c r="C6" s="9" t="s">
        <v>78</v>
      </c>
      <c r="D6" s="7">
        <v>6</v>
      </c>
      <c r="E6" s="1"/>
      <c r="F6" s="10" t="s">
        <v>3</v>
      </c>
      <c r="G6" s="83">
        <v>13000</v>
      </c>
      <c r="H6" s="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x14ac:dyDescent="0.25">
      <c r="A7" s="13"/>
      <c r="B7" s="3"/>
      <c r="C7" s="3" t="s">
        <v>1</v>
      </c>
      <c r="D7" s="8" t="s">
        <v>75</v>
      </c>
      <c r="E7" s="1"/>
      <c r="F7" s="3" t="s">
        <v>7</v>
      </c>
      <c r="G7" s="84">
        <v>0.02</v>
      </c>
      <c r="H7" s="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.75" thickBot="1" x14ac:dyDescent="0.3">
      <c r="A8" s="13"/>
      <c r="B8" s="3"/>
      <c r="C8" s="9" t="s">
        <v>36</v>
      </c>
      <c r="D8" s="8" t="s">
        <v>69</v>
      </c>
      <c r="E8" s="1"/>
      <c r="F8" s="11" t="s">
        <v>0</v>
      </c>
      <c r="G8" s="12">
        <f>VLOOKUP('Seccion Conductor'!D6,'Tablas 2'!B11:C13,2,FALSE)</f>
        <v>92</v>
      </c>
      <c r="H8" s="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.75" thickBot="1" x14ac:dyDescent="0.3">
      <c r="A9" s="13"/>
      <c r="B9" s="3"/>
      <c r="C9" s="4" t="s">
        <v>2</v>
      </c>
      <c r="D9" s="6" t="s">
        <v>71</v>
      </c>
      <c r="E9" s="1"/>
      <c r="F9" s="1"/>
      <c r="G9" s="1"/>
      <c r="H9" s="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.75" thickBot="1" x14ac:dyDescent="0.3">
      <c r="A10" s="13"/>
      <c r="B10" s="3"/>
      <c r="C10" s="1"/>
      <c r="D10" s="1"/>
      <c r="E10" s="1"/>
      <c r="F10" s="1"/>
      <c r="G10" s="1"/>
      <c r="H10" s="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.75" thickBot="1" x14ac:dyDescent="0.3">
      <c r="A11" s="13"/>
      <c r="B11" s="98" t="s">
        <v>4</v>
      </c>
      <c r="C11" s="99"/>
      <c r="D11" s="99"/>
      <c r="E11" s="99"/>
      <c r="F11" s="99"/>
      <c r="G11" s="100">
        <f>G6*SQRT(G7)/G8</f>
        <v>19.983452511793736</v>
      </c>
      <c r="H11" s="101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</sheetData>
  <mergeCells count="5">
    <mergeCell ref="B11:F11"/>
    <mergeCell ref="G11:H11"/>
    <mergeCell ref="C5:D5"/>
    <mergeCell ref="C3:F3"/>
    <mergeCell ref="B2:H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- Tabla 6: Conductores desnudos que no estén en contacto con materiales dañables_x000a__x000a_- Tabla 7: Conductores aislados no incorporados y cables desnudos en contacto con cables aislados_x000a__x000a_- Tabla 8: Conductores incorporados" xr:uid="{D9B4404D-45C6-433C-9126-98BDB74158F2}">
          <x14:formula1>
            <xm:f>'Tablas 2'!$B$11:$B$13</xm:f>
          </x14:formula1>
          <xm:sqref>D6</xm:sqref>
        </x14:dataValidation>
        <x14:dataValidation type="list" allowBlank="1" showInputMessage="1" showErrorMessage="1" xr:uid="{D39D78E6-D404-45AE-A516-887B7BEBFE68}">
          <x14:formula1>
            <xm:f>'Tablas 2'!$B$5:$B$8</xm:f>
          </x14:formula1>
          <xm:sqref>D7</xm:sqref>
        </x14:dataValidation>
        <x14:dataValidation type="list" allowBlank="1" showInputMessage="1" showErrorMessage="1" xr:uid="{15DF2D3F-FED0-4B58-8E48-006ED3889B55}">
          <x14:formula1>
            <xm:f>'Tablas 2'!$C$3:$E$3</xm:f>
          </x14:formula1>
          <xm:sqref>D8</xm:sqref>
        </x14:dataValidation>
        <x14:dataValidation type="list" allowBlank="1" showInputMessage="1" showErrorMessage="1" prompt="Material del aislante o material en contacto con el conductor desnudo" xr:uid="{81548B74-686E-4BC4-810F-A5400CD61A01}">
          <x14:formula1>
            <xm:f>'Tablas 2'!$H$3:$J$3</xm:f>
          </x14:formula1>
          <xm:sqref>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357A-B160-4289-A7CC-6C5BBEB41589}">
  <dimension ref="B1:H11"/>
  <sheetViews>
    <sheetView showGridLines="0" tabSelected="1" workbookViewId="0">
      <selection activeCell="G8" sqref="G8"/>
    </sheetView>
  </sheetViews>
  <sheetFormatPr defaultRowHeight="15" x14ac:dyDescent="0.25"/>
  <cols>
    <col min="1" max="1" width="9.140625" style="66"/>
    <col min="2" max="2" width="3.85546875" style="66" customWidth="1"/>
    <col min="3" max="3" width="23.140625" style="66" customWidth="1"/>
    <col min="4" max="4" width="12.5703125" style="66" customWidth="1"/>
    <col min="5" max="5" width="3.5703125" style="66" customWidth="1"/>
    <col min="6" max="6" width="25.42578125" style="66" customWidth="1"/>
    <col min="7" max="7" width="12.42578125" style="66" customWidth="1"/>
    <col min="8" max="8" width="2.42578125" style="66" customWidth="1"/>
    <col min="9" max="16384" width="9.140625" style="66"/>
  </cols>
  <sheetData>
    <row r="1" spans="2:8" ht="15.75" thickBot="1" x14ac:dyDescent="0.3"/>
    <row r="2" spans="2:8" ht="19.5" thickBot="1" x14ac:dyDescent="0.35">
      <c r="B2" s="91" t="s">
        <v>25</v>
      </c>
      <c r="C2" s="92"/>
      <c r="D2" s="92"/>
      <c r="E2" s="92"/>
      <c r="F2" s="92"/>
      <c r="G2" s="92"/>
      <c r="H2" s="93"/>
    </row>
    <row r="3" spans="2:8" ht="12.75" customHeight="1" x14ac:dyDescent="0.25">
      <c r="B3" s="28"/>
      <c r="C3" s="29"/>
      <c r="D3" s="29"/>
      <c r="E3" s="29"/>
      <c r="F3" s="29"/>
      <c r="G3" s="29"/>
      <c r="H3" s="30"/>
    </row>
    <row r="4" spans="2:8" ht="16.5" customHeight="1" x14ac:dyDescent="0.25">
      <c r="B4" s="16"/>
      <c r="C4" s="112" t="s">
        <v>87</v>
      </c>
      <c r="D4" s="113"/>
      <c r="E4" s="113"/>
      <c r="F4" s="113"/>
      <c r="G4" s="114"/>
      <c r="H4" s="18"/>
    </row>
    <row r="5" spans="2:8" ht="15" customHeight="1" x14ac:dyDescent="0.25">
      <c r="B5" s="16"/>
      <c r="C5" s="17"/>
      <c r="D5" s="17"/>
      <c r="E5" s="17"/>
      <c r="F5" s="17"/>
      <c r="G5" s="17"/>
      <c r="H5" s="18"/>
    </row>
    <row r="6" spans="2:8" x14ac:dyDescent="0.25">
      <c r="B6" s="16"/>
      <c r="C6" s="36" t="s">
        <v>26</v>
      </c>
      <c r="D6" s="53">
        <v>3</v>
      </c>
      <c r="E6" s="17"/>
      <c r="F6" s="36" t="s">
        <v>29</v>
      </c>
      <c r="G6" s="15">
        <v>5</v>
      </c>
      <c r="H6" s="18"/>
    </row>
    <row r="7" spans="2:8" x14ac:dyDescent="0.25">
      <c r="B7" s="16"/>
      <c r="C7" s="17" t="s">
        <v>27</v>
      </c>
      <c r="D7" s="87" t="s">
        <v>83</v>
      </c>
      <c r="E7" s="17"/>
      <c r="F7" s="17" t="s">
        <v>30</v>
      </c>
      <c r="G7" s="53">
        <v>3</v>
      </c>
      <c r="H7" s="18"/>
    </row>
    <row r="8" spans="2:8" x14ac:dyDescent="0.25">
      <c r="B8" s="16"/>
      <c r="C8" s="36" t="s">
        <v>28</v>
      </c>
      <c r="D8" s="57">
        <v>50</v>
      </c>
      <c r="E8" s="17"/>
      <c r="F8" s="36" t="s">
        <v>57</v>
      </c>
      <c r="G8" s="63">
        <f>IF(G6=1,0,'Tablas 1'!G10:I10/100)</f>
        <v>0.41283000000000003</v>
      </c>
      <c r="H8" s="18"/>
    </row>
    <row r="9" spans="2:8" ht="16.5" customHeight="1" x14ac:dyDescent="0.25">
      <c r="B9" s="16"/>
      <c r="C9" s="17"/>
      <c r="D9" s="64"/>
      <c r="E9" s="17"/>
      <c r="F9" s="17" t="s">
        <v>61</v>
      </c>
      <c r="G9" s="65">
        <f>IF(1000*D6/(VLOOKUP(D7,'Tablas 2'!Q3:S6,2,FALSE)) &lt; 100, -0.25,IF(1000*D6/(VLOOKUP(D7,'Tablas 2'!Q3:S6,2,FALSE))&lt; 600, 0, 0.2))</f>
        <v>0.2</v>
      </c>
      <c r="H9" s="18"/>
    </row>
    <row r="10" spans="2:8" ht="129" customHeight="1" thickBot="1" x14ac:dyDescent="0.3">
      <c r="B10" s="31"/>
      <c r="C10" s="32"/>
      <c r="D10" s="32"/>
      <c r="E10" s="32"/>
      <c r="F10" s="32"/>
      <c r="G10" s="32"/>
      <c r="H10" s="33"/>
    </row>
    <row r="11" spans="2:8" ht="16.5" thickBot="1" x14ac:dyDescent="0.3">
      <c r="B11" s="108" t="s">
        <v>79</v>
      </c>
      <c r="C11" s="109"/>
      <c r="D11" s="109"/>
      <c r="E11" s="109"/>
      <c r="F11" s="110">
        <f>(1+G8)*(1+G9)*D8/(D6*G6)</f>
        <v>5.6513199999999992</v>
      </c>
      <c r="G11" s="110"/>
      <c r="H11" s="111"/>
    </row>
  </sheetData>
  <mergeCells count="4">
    <mergeCell ref="B2:H2"/>
    <mergeCell ref="B11:E11"/>
    <mergeCell ref="F11:H11"/>
    <mergeCell ref="C4:G4"/>
  </mergeCells>
  <conditionalFormatting sqref="F11:H11">
    <cfRule type="expression" dxfId="1" priority="1">
      <formula>IF(F11&lt;(IF(C4="MEDIA TENSION",10,2)),TRUE,FALSE)</formula>
    </cfRule>
  </conditionalFormatting>
  <dataValidations count="1">
    <dataValidation type="list" allowBlank="1" showInputMessage="1" showErrorMessage="1" sqref="C4:G4" xr:uid="{709771E6-481C-4E80-BB40-5E149E3BCA77}">
      <formula1>"BAJA TENSION,MEDIA TENSION"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32D54A-E7B5-4873-ACA4-B3A8A6BDA218}">
          <x14:formula1>
            <xm:f>'Tablas 1'!$G$4:$R$4</xm:f>
          </x14:formula1>
          <xm:sqref>G6</xm:sqref>
        </x14:dataValidation>
        <x14:dataValidation type="list" allowBlank="1" showInputMessage="1" showErrorMessage="1" xr:uid="{1DC8E146-1BF6-46F9-836C-E3968060B70F}">
          <x14:formula1>
            <xm:f>'Tablas 2'!$Q$3:$Q$6</xm:f>
          </x14:formula1>
          <xm:sqref>D7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F105-22F1-4073-811B-489BEC7E36E2}">
  <dimension ref="C1:I14"/>
  <sheetViews>
    <sheetView showGridLines="0" topLeftCell="B1" zoomScaleNormal="100" workbookViewId="0">
      <selection activeCell="O13" sqref="O13"/>
    </sheetView>
  </sheetViews>
  <sheetFormatPr defaultRowHeight="15" x14ac:dyDescent="0.25"/>
  <cols>
    <col min="1" max="2" width="9.140625" style="67"/>
    <col min="3" max="3" width="3.5703125" style="67" customWidth="1"/>
    <col min="4" max="4" width="27.5703125" style="67" customWidth="1"/>
    <col min="5" max="5" width="12.140625" style="67" customWidth="1"/>
    <col min="6" max="6" width="6" style="67" customWidth="1"/>
    <col min="7" max="7" width="24.85546875" style="67" customWidth="1"/>
    <col min="8" max="8" width="16.42578125" style="67" customWidth="1"/>
    <col min="9" max="9" width="4.42578125" style="67" customWidth="1"/>
    <col min="10" max="16384" width="9.140625" style="67"/>
  </cols>
  <sheetData>
    <row r="1" spans="3:9" ht="6" customHeight="1" x14ac:dyDescent="0.25"/>
    <row r="2" spans="3:9" ht="7.5" customHeight="1" x14ac:dyDescent="0.25"/>
    <row r="3" spans="3:9" ht="6" customHeight="1" thickBot="1" x14ac:dyDescent="0.3"/>
    <row r="4" spans="3:9" ht="19.5" thickBot="1" x14ac:dyDescent="0.35">
      <c r="C4" s="115" t="s">
        <v>31</v>
      </c>
      <c r="D4" s="116"/>
      <c r="E4" s="116"/>
      <c r="F4" s="116"/>
      <c r="G4" s="116"/>
      <c r="H4" s="116"/>
      <c r="I4" s="117"/>
    </row>
    <row r="5" spans="3:9" ht="63.75" customHeight="1" x14ac:dyDescent="0.25">
      <c r="C5" s="37"/>
      <c r="D5" s="38"/>
      <c r="E5" s="38"/>
      <c r="F5" s="38"/>
      <c r="G5" s="38"/>
      <c r="H5" s="38"/>
      <c r="I5" s="39"/>
    </row>
    <row r="6" spans="3:9" ht="17.25" customHeight="1" x14ac:dyDescent="0.25">
      <c r="C6" s="40"/>
      <c r="D6" s="112" t="s">
        <v>80</v>
      </c>
      <c r="E6" s="113"/>
      <c r="F6" s="113"/>
      <c r="G6" s="113"/>
      <c r="H6" s="114"/>
      <c r="I6" s="42"/>
    </row>
    <row r="7" spans="3:9" ht="15" customHeight="1" x14ac:dyDescent="0.25">
      <c r="C7" s="40"/>
      <c r="D7" s="41"/>
      <c r="E7" s="41"/>
      <c r="F7" s="41"/>
      <c r="G7" s="41"/>
      <c r="H7" s="41"/>
      <c r="I7" s="42"/>
    </row>
    <row r="8" spans="3:9" x14ac:dyDescent="0.25">
      <c r="C8" s="40"/>
      <c r="D8" s="46" t="s">
        <v>62</v>
      </c>
      <c r="E8" s="53">
        <v>40</v>
      </c>
      <c r="F8" s="41"/>
      <c r="G8" s="46" t="s">
        <v>63</v>
      </c>
      <c r="H8" s="57">
        <v>50</v>
      </c>
      <c r="I8" s="42"/>
    </row>
    <row r="9" spans="3:9" x14ac:dyDescent="0.25">
      <c r="C9" s="40"/>
      <c r="D9" s="41" t="s">
        <v>32</v>
      </c>
      <c r="E9" s="56">
        <v>25</v>
      </c>
      <c r="F9" s="41"/>
      <c r="G9" s="41" t="s">
        <v>34</v>
      </c>
      <c r="H9" s="15" t="s">
        <v>45</v>
      </c>
      <c r="I9" s="42"/>
    </row>
    <row r="10" spans="3:9" x14ac:dyDescent="0.25">
      <c r="C10" s="40"/>
      <c r="D10" s="46" t="s">
        <v>33</v>
      </c>
      <c r="E10" s="54">
        <v>100</v>
      </c>
      <c r="F10" s="41"/>
      <c r="G10" s="41"/>
      <c r="H10" s="41"/>
      <c r="I10" s="42"/>
    </row>
    <row r="11" spans="3:9" x14ac:dyDescent="0.25">
      <c r="C11" s="40"/>
      <c r="D11" s="41"/>
      <c r="E11" s="55"/>
      <c r="F11" s="41"/>
      <c r="G11" s="41"/>
      <c r="H11" s="41"/>
      <c r="I11" s="42"/>
    </row>
    <row r="12" spans="3:9" x14ac:dyDescent="0.25">
      <c r="C12" s="40"/>
      <c r="D12" s="46" t="s">
        <v>56</v>
      </c>
      <c r="E12" s="59">
        <f>'Tablas 1'!H18</f>
        <v>0.8914648127333884</v>
      </c>
      <c r="F12" s="41"/>
      <c r="G12" s="46" t="s">
        <v>35</v>
      </c>
      <c r="H12" s="58">
        <f>VLOOKUP(H9,'Tablas 1'!A15:B20,2,FALSE)</f>
        <v>0.65</v>
      </c>
      <c r="I12" s="42"/>
    </row>
    <row r="13" spans="3:9" ht="100.5" customHeight="1" thickBot="1" x14ac:dyDescent="0.3">
      <c r="C13" s="43"/>
      <c r="D13" s="44"/>
      <c r="E13" s="44"/>
      <c r="F13" s="44"/>
      <c r="G13" s="44"/>
      <c r="H13" s="44"/>
      <c r="I13" s="45"/>
    </row>
    <row r="14" spans="3:9" ht="16.5" thickBot="1" x14ac:dyDescent="0.3">
      <c r="C14" s="118" t="s">
        <v>64</v>
      </c>
      <c r="D14" s="119"/>
      <c r="E14" s="119"/>
      <c r="F14" s="119"/>
      <c r="G14" s="110">
        <f>(H12+1)*E12*2*H8/E8</f>
        <v>3.6772923525252272</v>
      </c>
      <c r="H14" s="110"/>
      <c r="I14" s="111"/>
    </row>
  </sheetData>
  <mergeCells count="4">
    <mergeCell ref="C4:I4"/>
    <mergeCell ref="C14:F14"/>
    <mergeCell ref="G14:I14"/>
    <mergeCell ref="D6:H6"/>
  </mergeCells>
  <conditionalFormatting sqref="G14:I14">
    <cfRule type="expression" dxfId="0" priority="1">
      <formula>IF(G14&lt;(IF(D6="MEDIA TENSION",10,2)),TRUE,FALSE)</formula>
    </cfRule>
  </conditionalFormatting>
  <dataValidations count="1">
    <dataValidation type="list" allowBlank="1" showInputMessage="1" showErrorMessage="1" sqref="D6:H6" xr:uid="{98710E31-EE3B-4FAB-B310-99E88BDAB159}">
      <formula1>"MEDIA TENSION,BAJA TENSION"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88584A-EA48-494F-A516-77D2AB1DEA0C}">
          <x14:formula1>
            <xm:f>'Tablas 1'!$A$15:$A$20</xm:f>
          </x14:formula1>
          <xm:sqref>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71DF-2627-4E41-A865-BA2F4DA32F50}">
  <dimension ref="A1:R20"/>
  <sheetViews>
    <sheetView workbookViewId="0">
      <selection activeCell="G10" sqref="G10:I10"/>
    </sheetView>
  </sheetViews>
  <sheetFormatPr defaultRowHeight="15" x14ac:dyDescent="0.25"/>
  <cols>
    <col min="1" max="1" width="22.28515625" customWidth="1"/>
    <col min="2" max="2" width="11" customWidth="1"/>
    <col min="6" max="6" width="12.140625" customWidth="1"/>
  </cols>
  <sheetData>
    <row r="1" spans="1:18" ht="15.75" thickBot="1" x14ac:dyDescent="0.3">
      <c r="A1" s="124" t="s">
        <v>13</v>
      </c>
      <c r="B1" s="120"/>
      <c r="C1" s="120"/>
      <c r="D1" s="121"/>
    </row>
    <row r="2" spans="1:18" ht="15.75" thickBot="1" x14ac:dyDescent="0.3">
      <c r="A2" s="25" t="s">
        <v>9</v>
      </c>
      <c r="B2" s="26" t="s">
        <v>14</v>
      </c>
      <c r="C2" s="26" t="s">
        <v>12</v>
      </c>
      <c r="D2" s="27" t="s">
        <v>15</v>
      </c>
      <c r="F2" s="125" t="s">
        <v>39</v>
      </c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</row>
    <row r="3" spans="1:18" ht="15.75" thickBot="1" x14ac:dyDescent="0.3">
      <c r="A3" s="60"/>
      <c r="B3" s="61">
        <v>2</v>
      </c>
      <c r="C3" s="61">
        <v>3</v>
      </c>
      <c r="D3" s="62">
        <v>4</v>
      </c>
      <c r="F3" s="47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9"/>
    </row>
    <row r="4" spans="1:18" x14ac:dyDescent="0.25">
      <c r="A4" s="19" t="s">
        <v>16</v>
      </c>
      <c r="B4" s="20">
        <v>5</v>
      </c>
      <c r="C4" s="20">
        <v>20</v>
      </c>
      <c r="D4" s="21">
        <v>3</v>
      </c>
      <c r="F4" s="50"/>
      <c r="G4" s="51">
        <v>1</v>
      </c>
      <c r="H4" s="51">
        <v>2</v>
      </c>
      <c r="I4" s="51">
        <v>3</v>
      </c>
      <c r="J4" s="51">
        <v>4</v>
      </c>
      <c r="K4" s="51">
        <v>5</v>
      </c>
      <c r="L4" s="51">
        <v>6</v>
      </c>
      <c r="M4" s="51">
        <v>7</v>
      </c>
      <c r="N4" s="51">
        <v>8</v>
      </c>
      <c r="O4" s="51">
        <v>9</v>
      </c>
      <c r="P4" s="51">
        <v>10</v>
      </c>
      <c r="Q4" s="51">
        <v>11</v>
      </c>
      <c r="R4" s="52">
        <v>12</v>
      </c>
    </row>
    <row r="5" spans="1:18" x14ac:dyDescent="0.25">
      <c r="A5" s="19" t="s">
        <v>17</v>
      </c>
      <c r="B5" s="20">
        <v>10</v>
      </c>
      <c r="C5" s="20">
        <v>80</v>
      </c>
      <c r="D5" s="21">
        <v>7</v>
      </c>
      <c r="F5" s="19" t="s">
        <v>37</v>
      </c>
      <c r="G5">
        <v>1</v>
      </c>
      <c r="H5">
        <v>12.475</v>
      </c>
      <c r="I5">
        <v>23.597999999999999</v>
      </c>
      <c r="J5">
        <v>33.393999999999998</v>
      </c>
      <c r="K5">
        <v>41.283000000000001</v>
      </c>
      <c r="L5">
        <v>49.165999999999997</v>
      </c>
      <c r="M5">
        <v>54.591999999999999</v>
      </c>
      <c r="N5">
        <v>60.006999999999998</v>
      </c>
      <c r="O5">
        <v>65.245999999999995</v>
      </c>
      <c r="P5">
        <v>70.471000000000004</v>
      </c>
      <c r="Q5">
        <v>76.156999999999996</v>
      </c>
      <c r="R5" s="21">
        <v>81.792000000000002</v>
      </c>
    </row>
    <row r="6" spans="1:18" ht="15.75" thickBot="1" x14ac:dyDescent="0.3">
      <c r="A6" s="19" t="s">
        <v>18</v>
      </c>
      <c r="B6" s="20">
        <v>20</v>
      </c>
      <c r="C6" s="20">
        <v>250</v>
      </c>
      <c r="D6" s="21">
        <v>7</v>
      </c>
      <c r="F6" s="22" t="s">
        <v>38</v>
      </c>
      <c r="G6" s="23">
        <v>1</v>
      </c>
      <c r="H6" s="23">
        <v>-0.88100000000000001</v>
      </c>
      <c r="I6" s="23">
        <v>-0.90500000000000003</v>
      </c>
      <c r="J6" s="23">
        <v>-0.87</v>
      </c>
      <c r="K6" s="23">
        <v>-0.88800000000000001</v>
      </c>
      <c r="L6" s="23">
        <v>-0.90200000000000002</v>
      </c>
      <c r="M6" s="23">
        <v>-0.90600000000000003</v>
      </c>
      <c r="N6" s="23">
        <v>-0.91100000000000003</v>
      </c>
      <c r="O6" s="23">
        <v>-0.90600000000000003</v>
      </c>
      <c r="P6" s="23">
        <v>-0.90300000000000002</v>
      </c>
      <c r="Q6" s="23">
        <v>-0.92600000000000005</v>
      </c>
      <c r="R6" s="24">
        <v>-0.94599999999999995</v>
      </c>
    </row>
    <row r="7" spans="1:18" ht="15.75" thickBot="1" x14ac:dyDescent="0.3">
      <c r="A7" s="19" t="s">
        <v>19</v>
      </c>
      <c r="B7" s="20">
        <v>50</v>
      </c>
      <c r="C7" s="20">
        <v>250</v>
      </c>
      <c r="D7" s="21">
        <v>25</v>
      </c>
      <c r="F7" s="125" t="s">
        <v>58</v>
      </c>
      <c r="G7" s="126"/>
      <c r="H7" s="126"/>
      <c r="I7" s="127"/>
    </row>
    <row r="8" spans="1:18" x14ac:dyDescent="0.25">
      <c r="A8" s="19" t="s">
        <v>20</v>
      </c>
      <c r="B8" s="20">
        <v>100</v>
      </c>
      <c r="C8" s="20">
        <v>1000</v>
      </c>
      <c r="D8" s="21">
        <v>25</v>
      </c>
      <c r="F8" s="50" t="s">
        <v>59</v>
      </c>
      <c r="G8" s="51">
        <f>Jabalinas!G7/Jabalinas!D6</f>
        <v>1</v>
      </c>
      <c r="H8" s="51" t="s">
        <v>37</v>
      </c>
      <c r="I8" s="52" t="s">
        <v>38</v>
      </c>
    </row>
    <row r="9" spans="1:18" ht="15.75" thickBot="1" x14ac:dyDescent="0.3">
      <c r="A9" s="19" t="s">
        <v>21</v>
      </c>
      <c r="B9" s="20">
        <v>300</v>
      </c>
      <c r="C9" s="20">
        <v>1000</v>
      </c>
      <c r="D9" s="21">
        <v>80</v>
      </c>
      <c r="F9" s="22"/>
      <c r="G9" s="23"/>
      <c r="H9" s="23">
        <f>HLOOKUP(Jabalinas!G6,'Tablas 1'!G4:R6,2,FALSE)</f>
        <v>41.283000000000001</v>
      </c>
      <c r="I9" s="24">
        <f>HLOOKUP(Jabalinas!G6,'Tablas 1'!G4:R6,3,FALSE)</f>
        <v>-0.88800000000000001</v>
      </c>
    </row>
    <row r="10" spans="1:18" ht="15.75" thickBot="1" x14ac:dyDescent="0.3">
      <c r="A10" s="19" t="s">
        <v>24</v>
      </c>
      <c r="B10" s="20">
        <v>1000</v>
      </c>
      <c r="C10" s="20">
        <v>2000</v>
      </c>
      <c r="D10" s="21">
        <v>80</v>
      </c>
      <c r="F10" s="22" t="s">
        <v>60</v>
      </c>
      <c r="G10" s="126">
        <f>H9*(G8^I9)</f>
        <v>41.283000000000001</v>
      </c>
      <c r="H10" s="126"/>
      <c r="I10" s="127"/>
    </row>
    <row r="11" spans="1:18" x14ac:dyDescent="0.25">
      <c r="A11" s="19" t="s">
        <v>22</v>
      </c>
      <c r="B11" s="20">
        <v>1000</v>
      </c>
      <c r="C11" s="20">
        <v>2000</v>
      </c>
      <c r="D11" s="21">
        <v>80</v>
      </c>
    </row>
    <row r="12" spans="1:18" ht="15.75" thickBot="1" x14ac:dyDescent="0.3">
      <c r="A12" s="22" t="s">
        <v>23</v>
      </c>
      <c r="B12" s="23">
        <v>2000</v>
      </c>
      <c r="C12" s="23">
        <v>3000</v>
      </c>
      <c r="D12" s="24">
        <v>80</v>
      </c>
    </row>
    <row r="13" spans="1:18" ht="15.75" thickBot="1" x14ac:dyDescent="0.3"/>
    <row r="14" spans="1:18" ht="15.75" thickBot="1" x14ac:dyDescent="0.3">
      <c r="A14" s="125" t="s">
        <v>46</v>
      </c>
      <c r="B14" s="127"/>
      <c r="D14" s="125" t="s">
        <v>47</v>
      </c>
      <c r="E14" s="126"/>
      <c r="F14" s="126"/>
      <c r="G14" s="126"/>
      <c r="H14" s="127"/>
    </row>
    <row r="15" spans="1:18" x14ac:dyDescent="0.25">
      <c r="A15" s="19" t="s">
        <v>40</v>
      </c>
      <c r="B15" s="21">
        <v>0</v>
      </c>
      <c r="D15" s="19" t="s">
        <v>48</v>
      </c>
      <c r="E15" s="120" t="s">
        <v>51</v>
      </c>
      <c r="F15" s="120"/>
      <c r="G15" s="120"/>
      <c r="H15" s="121"/>
    </row>
    <row r="16" spans="1:18" ht="15.75" thickBot="1" x14ac:dyDescent="0.3">
      <c r="A16" s="19" t="s">
        <v>41</v>
      </c>
      <c r="B16" s="21">
        <v>0.03</v>
      </c>
      <c r="D16" s="19" t="s">
        <v>49</v>
      </c>
      <c r="E16" s="122" t="s">
        <v>50</v>
      </c>
      <c r="F16" s="122"/>
      <c r="G16" s="122"/>
      <c r="H16" s="123"/>
    </row>
    <row r="17" spans="1:8" x14ac:dyDescent="0.25">
      <c r="A17" s="19" t="s">
        <v>42</v>
      </c>
      <c r="B17" s="21">
        <v>0.06</v>
      </c>
      <c r="D17" s="50"/>
      <c r="E17" s="51" t="s">
        <v>53</v>
      </c>
      <c r="F17" s="51" t="s">
        <v>54</v>
      </c>
      <c r="G17" s="51" t="s">
        <v>55</v>
      </c>
      <c r="H17" s="52" t="s">
        <v>15</v>
      </c>
    </row>
    <row r="18" spans="1:8" ht="15.75" thickBot="1" x14ac:dyDescent="0.3">
      <c r="A18" s="19" t="s">
        <v>43</v>
      </c>
      <c r="B18" s="21">
        <v>0.12</v>
      </c>
      <c r="D18" s="22" t="s">
        <v>52</v>
      </c>
      <c r="E18" s="23">
        <f>'Conductores Enterrados'!E8</f>
        <v>40</v>
      </c>
      <c r="F18" s="23">
        <f>'Conductores Enterrados'!E9/1000</f>
        <v>2.5000000000000001E-2</v>
      </c>
      <c r="G18" s="23">
        <f>'Conductores Enterrados'!E10/100</f>
        <v>1</v>
      </c>
      <c r="H18" s="24">
        <f>0.0757*LN(E18/G18)+0.4653+0.0604*LN(E18/F18)-0.2987</f>
        <v>0.8914648127333884</v>
      </c>
    </row>
    <row r="19" spans="1:8" x14ac:dyDescent="0.25">
      <c r="A19" s="19" t="s">
        <v>44</v>
      </c>
      <c r="B19" s="21">
        <v>0.42</v>
      </c>
    </row>
    <row r="20" spans="1:8" ht="15.75" thickBot="1" x14ac:dyDescent="0.3">
      <c r="A20" s="22" t="s">
        <v>45</v>
      </c>
      <c r="B20" s="24">
        <v>0.65</v>
      </c>
    </row>
  </sheetData>
  <mergeCells count="8">
    <mergeCell ref="E15:H15"/>
    <mergeCell ref="E16:H16"/>
    <mergeCell ref="A1:D1"/>
    <mergeCell ref="F2:R2"/>
    <mergeCell ref="A14:B14"/>
    <mergeCell ref="D14:H14"/>
    <mergeCell ref="F7:I7"/>
    <mergeCell ref="G10: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2933-47DA-4C2E-811D-A00A61DFEF69}">
  <dimension ref="B1:S13"/>
  <sheetViews>
    <sheetView topLeftCell="D1" workbookViewId="0">
      <selection activeCell="R15" sqref="R15"/>
    </sheetView>
  </sheetViews>
  <sheetFormatPr defaultRowHeight="15" x14ac:dyDescent="0.25"/>
  <cols>
    <col min="5" max="5" width="11.42578125" customWidth="1"/>
    <col min="10" max="10" width="14.28515625" customWidth="1"/>
    <col min="15" max="15" width="14.5703125" customWidth="1"/>
    <col min="17" max="17" width="11.5703125" customWidth="1"/>
    <col min="18" max="18" width="15.85546875" customWidth="1"/>
  </cols>
  <sheetData>
    <row r="1" spans="2:19" ht="15.75" thickBot="1" x14ac:dyDescent="0.3"/>
    <row r="2" spans="2:19" x14ac:dyDescent="0.25">
      <c r="B2" s="128" t="s">
        <v>65</v>
      </c>
      <c r="C2" s="129"/>
      <c r="D2" s="129"/>
      <c r="E2" s="130"/>
      <c r="G2" s="128" t="s">
        <v>66</v>
      </c>
      <c r="H2" s="129"/>
      <c r="I2" s="129"/>
      <c r="J2" s="130"/>
      <c r="L2" s="128" t="s">
        <v>67</v>
      </c>
      <c r="M2" s="129"/>
      <c r="N2" s="129"/>
      <c r="O2" s="130"/>
      <c r="Q2" s="131" t="s">
        <v>81</v>
      </c>
      <c r="R2" s="132"/>
      <c r="S2" s="88" t="s">
        <v>86</v>
      </c>
    </row>
    <row r="3" spans="2:19" ht="15.75" thickBot="1" x14ac:dyDescent="0.3">
      <c r="B3" s="68"/>
      <c r="C3" s="69" t="s">
        <v>68</v>
      </c>
      <c r="D3" s="69" t="s">
        <v>69</v>
      </c>
      <c r="E3" s="70" t="s">
        <v>70</v>
      </c>
      <c r="G3" s="68"/>
      <c r="H3" s="69" t="s">
        <v>71</v>
      </c>
      <c r="I3" s="69" t="s">
        <v>72</v>
      </c>
      <c r="J3" s="70" t="s">
        <v>73</v>
      </c>
      <c r="L3" s="68"/>
      <c r="M3" s="69" t="s">
        <v>71</v>
      </c>
      <c r="N3" s="69" t="s">
        <v>72</v>
      </c>
      <c r="O3" s="70" t="s">
        <v>73</v>
      </c>
      <c r="Q3" s="85" t="s">
        <v>82</v>
      </c>
      <c r="R3" s="42">
        <f>3/8</f>
        <v>0.375</v>
      </c>
      <c r="S3" s="89">
        <f>R3*25.4</f>
        <v>9.5249999999999986</v>
      </c>
    </row>
    <row r="4" spans="2:19" x14ac:dyDescent="0.25">
      <c r="B4" s="71"/>
      <c r="C4" s="72">
        <v>2</v>
      </c>
      <c r="D4" s="72">
        <v>3</v>
      </c>
      <c r="E4" s="73">
        <v>4</v>
      </c>
      <c r="G4" s="71"/>
      <c r="H4" s="72">
        <v>2</v>
      </c>
      <c r="I4" s="72">
        <v>3</v>
      </c>
      <c r="J4" s="73">
        <v>4</v>
      </c>
      <c r="L4" s="71"/>
      <c r="M4" s="72">
        <v>2</v>
      </c>
      <c r="N4" s="72">
        <v>3</v>
      </c>
      <c r="O4" s="73">
        <v>4</v>
      </c>
      <c r="Q4" s="85" t="s">
        <v>83</v>
      </c>
      <c r="R4" s="42">
        <f>1/2</f>
        <v>0.5</v>
      </c>
      <c r="S4" s="89">
        <f>R4*25.4</f>
        <v>12.7</v>
      </c>
    </row>
    <row r="5" spans="2:19" x14ac:dyDescent="0.25">
      <c r="B5" s="74" t="s">
        <v>74</v>
      </c>
      <c r="C5" s="75">
        <v>228</v>
      </c>
      <c r="D5" s="75">
        <v>159</v>
      </c>
      <c r="E5" s="76">
        <v>138</v>
      </c>
      <c r="G5" s="74" t="s">
        <v>74</v>
      </c>
      <c r="H5" s="75">
        <v>143</v>
      </c>
      <c r="I5" s="75">
        <v>176</v>
      </c>
      <c r="J5" s="76">
        <v>166</v>
      </c>
      <c r="L5" s="74" t="s">
        <v>74</v>
      </c>
      <c r="M5" s="75">
        <v>115</v>
      </c>
      <c r="N5" s="75">
        <v>143</v>
      </c>
      <c r="O5" s="76">
        <v>134</v>
      </c>
      <c r="Q5" s="85" t="s">
        <v>84</v>
      </c>
      <c r="R5" s="42">
        <f>5/8</f>
        <v>0.625</v>
      </c>
      <c r="S5" s="89">
        <f>R5*25.4</f>
        <v>15.875</v>
      </c>
    </row>
    <row r="6" spans="2:19" ht="15.75" thickBot="1" x14ac:dyDescent="0.3">
      <c r="B6" s="77" t="s">
        <v>75</v>
      </c>
      <c r="C6" s="78">
        <v>132</v>
      </c>
      <c r="D6" s="78">
        <v>92</v>
      </c>
      <c r="E6" s="79">
        <v>79</v>
      </c>
      <c r="G6" s="77" t="s">
        <v>75</v>
      </c>
      <c r="H6" s="78">
        <v>82</v>
      </c>
      <c r="I6" s="78">
        <v>101</v>
      </c>
      <c r="J6" s="79">
        <v>96</v>
      </c>
      <c r="L6" s="77" t="s">
        <v>75</v>
      </c>
      <c r="M6" s="78">
        <v>66</v>
      </c>
      <c r="N6" s="78">
        <v>83</v>
      </c>
      <c r="O6" s="79">
        <v>77</v>
      </c>
      <c r="Q6" s="86" t="s">
        <v>85</v>
      </c>
      <c r="R6" s="45">
        <f>3/4</f>
        <v>0.75</v>
      </c>
      <c r="S6" s="90">
        <f>R6*25.4</f>
        <v>19.049999999999997</v>
      </c>
    </row>
    <row r="7" spans="2:19" x14ac:dyDescent="0.25">
      <c r="B7" s="74" t="s">
        <v>76</v>
      </c>
      <c r="C7" s="75">
        <v>151</v>
      </c>
      <c r="D7" s="75">
        <v>105</v>
      </c>
      <c r="E7" s="76">
        <v>92</v>
      </c>
      <c r="G7" s="74" t="s">
        <v>76</v>
      </c>
      <c r="H7" s="75">
        <v>95</v>
      </c>
      <c r="I7" s="75">
        <v>116</v>
      </c>
      <c r="J7" s="76">
        <v>110</v>
      </c>
      <c r="L7" s="74" t="s">
        <v>76</v>
      </c>
      <c r="M7" s="75">
        <v>76</v>
      </c>
      <c r="N7" s="75">
        <v>95</v>
      </c>
      <c r="O7" s="76">
        <v>89</v>
      </c>
    </row>
    <row r="8" spans="2:19" ht="15.75" thickBot="1" x14ac:dyDescent="0.3">
      <c r="B8" s="80" t="s">
        <v>77</v>
      </c>
      <c r="C8" s="81">
        <v>82</v>
      </c>
      <c r="D8" s="81">
        <v>58</v>
      </c>
      <c r="E8" s="82">
        <v>50</v>
      </c>
      <c r="G8" s="80" t="s">
        <v>77</v>
      </c>
      <c r="H8" s="81">
        <v>52</v>
      </c>
      <c r="I8" s="81">
        <v>64</v>
      </c>
      <c r="J8" s="82">
        <v>60</v>
      </c>
      <c r="L8" s="80" t="s">
        <v>77</v>
      </c>
      <c r="M8" s="81">
        <v>0</v>
      </c>
      <c r="N8" s="81">
        <v>0</v>
      </c>
      <c r="O8" s="82">
        <v>0</v>
      </c>
    </row>
    <row r="9" spans="2:19" ht="15.75" thickBot="1" x14ac:dyDescent="0.3"/>
    <row r="10" spans="2:19" ht="15.75" thickBot="1" x14ac:dyDescent="0.3">
      <c r="B10" s="126" t="s">
        <v>0</v>
      </c>
      <c r="C10" s="126"/>
    </row>
    <row r="11" spans="2:19" x14ac:dyDescent="0.25">
      <c r="B11" s="50">
        <v>6</v>
      </c>
      <c r="C11" s="52">
        <f>VLOOKUP('Seccion Conductor'!D7,'Tablas 2'!B5:E8,(HLOOKUP('Seccion Conductor'!D8,'Tablas 2'!C3:E4,2,FALSE)),FALSE)</f>
        <v>92</v>
      </c>
    </row>
    <row r="12" spans="2:19" x14ac:dyDescent="0.25">
      <c r="B12" s="19">
        <v>7</v>
      </c>
      <c r="C12" s="21">
        <f>VLOOKUP('Seccion Conductor'!D7,'Tablas 2'!G5:J8,HLOOKUP('Seccion Conductor'!D9,'Tablas 2'!H3:J4,2,FALSE),FALSE)</f>
        <v>82</v>
      </c>
    </row>
    <row r="13" spans="2:19" ht="15.75" thickBot="1" x14ac:dyDescent="0.3">
      <c r="B13" s="22">
        <v>8</v>
      </c>
      <c r="C13" s="24">
        <f>VLOOKUP('Seccion Conductor'!D7,'Tablas 2'!L5:O8,HLOOKUP('Seccion Conductor'!D9,'Tablas 2'!M3:O4,2,FALSE),FALSE)</f>
        <v>66</v>
      </c>
    </row>
  </sheetData>
  <mergeCells count="5">
    <mergeCell ref="B2:E2"/>
    <mergeCell ref="G2:J2"/>
    <mergeCell ref="L2:O2"/>
    <mergeCell ref="B10:C10"/>
    <mergeCell ref="Q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Resistividad Suelo</vt:lpstr>
      <vt:lpstr>Seccion Conductor</vt:lpstr>
      <vt:lpstr>Jabalinas</vt:lpstr>
      <vt:lpstr>Conductores Enterrados</vt:lpstr>
      <vt:lpstr>Tablas 1</vt:lpstr>
      <vt:lpstr>Tablas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Vicentito</dc:creator>
  <cp:lastModifiedBy>Vicentito</cp:lastModifiedBy>
  <dcterms:created xsi:type="dcterms:W3CDTF">2015-06-05T18:17:20Z</dcterms:created>
  <dcterms:modified xsi:type="dcterms:W3CDTF">2021-08-13T00:01:48Z</dcterms:modified>
</cp:coreProperties>
</file>