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84395986\Downloads\"/>
    </mc:Choice>
  </mc:AlternateContent>
  <bookViews>
    <workbookView xWindow="0" yWindow="0" windowWidth="20490" windowHeight="7620" activeTab="4"/>
  </bookViews>
  <sheets>
    <sheet name="Planilha1" sheetId="1" r:id="rId1"/>
    <sheet name="trabalho" sheetId="2" r:id="rId2"/>
    <sheet name="simulações 7" sheetId="3" r:id="rId3"/>
    <sheet name="simulação 7" sheetId="4" r:id="rId4"/>
    <sheet name="comparaçã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4" l="1"/>
  <c r="J14" i="4"/>
  <c r="J15" i="4" s="1"/>
  <c r="J16" i="4" s="1"/>
  <c r="L13" i="4"/>
  <c r="M15" i="4" s="1"/>
  <c r="B42" i="4"/>
  <c r="B39" i="4"/>
  <c r="K13" i="4"/>
  <c r="H13" i="4"/>
  <c r="G13" i="4"/>
  <c r="F13" i="4"/>
  <c r="D13" i="4"/>
  <c r="E13" i="4" s="1"/>
  <c r="C13" i="4"/>
  <c r="K12" i="4"/>
  <c r="L12" i="4" s="1"/>
  <c r="G12" i="4"/>
  <c r="H12" i="4" s="1"/>
  <c r="F12" i="4"/>
  <c r="D12" i="4"/>
  <c r="E12" i="4" s="1"/>
  <c r="C12" i="4"/>
  <c r="L11" i="4"/>
  <c r="K11" i="4"/>
  <c r="H11" i="4"/>
  <c r="G11" i="4"/>
  <c r="F11" i="4"/>
  <c r="D11" i="4"/>
  <c r="E11" i="4" s="1"/>
  <c r="C11" i="4"/>
  <c r="K10" i="4"/>
  <c r="L10" i="4" s="1"/>
  <c r="G10" i="4"/>
  <c r="H10" i="4" s="1"/>
  <c r="F10" i="4"/>
  <c r="D10" i="4"/>
  <c r="E10" i="4" s="1"/>
  <c r="C10" i="4"/>
  <c r="L9" i="4"/>
  <c r="K9" i="4"/>
  <c r="H9" i="4"/>
  <c r="G9" i="4"/>
  <c r="F9" i="4"/>
  <c r="D9" i="4"/>
  <c r="E9" i="4" s="1"/>
  <c r="C9" i="4"/>
  <c r="K8" i="4"/>
  <c r="L8" i="4" s="1"/>
  <c r="G8" i="4"/>
  <c r="H8" i="4" s="1"/>
  <c r="F8" i="4"/>
  <c r="D8" i="4"/>
  <c r="E8" i="4" s="1"/>
  <c r="C8" i="4"/>
  <c r="L7" i="4"/>
  <c r="K7" i="4"/>
  <c r="H7" i="4"/>
  <c r="G7" i="4"/>
  <c r="F7" i="4"/>
  <c r="D7" i="4"/>
  <c r="E7" i="4" s="1"/>
  <c r="C7" i="4"/>
  <c r="K6" i="4"/>
  <c r="L6" i="4" s="1"/>
  <c r="G6" i="4"/>
  <c r="H6" i="4" s="1"/>
  <c r="F6" i="4"/>
  <c r="D6" i="4"/>
  <c r="E6" i="4" s="1"/>
  <c r="C6" i="4"/>
  <c r="L5" i="4"/>
  <c r="K5" i="4"/>
  <c r="H5" i="4"/>
  <c r="G5" i="4"/>
  <c r="F5" i="4"/>
  <c r="D5" i="4"/>
  <c r="E5" i="4" s="1"/>
  <c r="C5" i="4"/>
  <c r="K4" i="4"/>
  <c r="L4" i="4" s="1"/>
  <c r="G4" i="4"/>
  <c r="H4" i="4" s="1"/>
  <c r="F4" i="4"/>
  <c r="D4" i="4"/>
  <c r="E4" i="4" s="1"/>
  <c r="C4" i="4"/>
  <c r="L3" i="4"/>
  <c r="K3" i="4"/>
  <c r="H3" i="4"/>
  <c r="G3" i="4"/>
  <c r="F3" i="4"/>
  <c r="D3" i="4"/>
  <c r="E3" i="4" s="1"/>
  <c r="C3" i="4"/>
  <c r="K2" i="4"/>
  <c r="L2" i="4" s="1"/>
  <c r="G2" i="4"/>
  <c r="H2" i="4" s="1"/>
  <c r="H14" i="4" s="1"/>
  <c r="B43" i="4" s="1"/>
  <c r="B44" i="4" s="1"/>
  <c r="F2" i="4"/>
  <c r="D2" i="4"/>
  <c r="E2" i="4" s="1"/>
  <c r="E14" i="4" s="1"/>
  <c r="C2" i="4"/>
  <c r="M16" i="3"/>
  <c r="M15" i="3"/>
  <c r="J14" i="3"/>
  <c r="K2" i="3"/>
  <c r="G2" i="3"/>
  <c r="B42" i="3"/>
  <c r="G9" i="3" s="1"/>
  <c r="B39" i="3"/>
  <c r="J15" i="3"/>
  <c r="J16" i="3" s="1"/>
  <c r="L13" i="3"/>
  <c r="K13" i="3"/>
  <c r="F13" i="3"/>
  <c r="D13" i="3"/>
  <c r="E13" i="3" s="1"/>
  <c r="C13" i="3"/>
  <c r="L12" i="3"/>
  <c r="K12" i="3"/>
  <c r="F12" i="3"/>
  <c r="D12" i="3"/>
  <c r="E12" i="3" s="1"/>
  <c r="C12" i="3"/>
  <c r="L11" i="3"/>
  <c r="K11" i="3"/>
  <c r="F11" i="3"/>
  <c r="D11" i="3"/>
  <c r="E11" i="3" s="1"/>
  <c r="C11" i="3"/>
  <c r="L10" i="3"/>
  <c r="K10" i="3"/>
  <c r="F10" i="3"/>
  <c r="D10" i="3"/>
  <c r="E10" i="3" s="1"/>
  <c r="C10" i="3"/>
  <c r="L9" i="3"/>
  <c r="K9" i="3"/>
  <c r="F9" i="3"/>
  <c r="D9" i="3"/>
  <c r="E9" i="3" s="1"/>
  <c r="C9" i="3"/>
  <c r="L8" i="3"/>
  <c r="K8" i="3"/>
  <c r="F8" i="3"/>
  <c r="D8" i="3"/>
  <c r="E8" i="3" s="1"/>
  <c r="C8" i="3"/>
  <c r="L7" i="3"/>
  <c r="K7" i="3"/>
  <c r="F7" i="3"/>
  <c r="D7" i="3"/>
  <c r="E7" i="3" s="1"/>
  <c r="C7" i="3"/>
  <c r="L6" i="3"/>
  <c r="K6" i="3"/>
  <c r="F6" i="3"/>
  <c r="D6" i="3"/>
  <c r="E6" i="3" s="1"/>
  <c r="C6" i="3"/>
  <c r="L5" i="3"/>
  <c r="K5" i="3"/>
  <c r="F5" i="3"/>
  <c r="D5" i="3"/>
  <c r="E5" i="3" s="1"/>
  <c r="C5" i="3"/>
  <c r="L4" i="3"/>
  <c r="K4" i="3"/>
  <c r="F4" i="3"/>
  <c r="D4" i="3"/>
  <c r="E4" i="3" s="1"/>
  <c r="C4" i="3"/>
  <c r="L3" i="3"/>
  <c r="K3" i="3"/>
  <c r="F3" i="3"/>
  <c r="D3" i="3"/>
  <c r="E3" i="3" s="1"/>
  <c r="C3" i="3"/>
  <c r="L2" i="3"/>
  <c r="F2" i="3"/>
  <c r="D2" i="3"/>
  <c r="E2" i="3" s="1"/>
  <c r="C2" i="3"/>
  <c r="O15" i="4" l="1"/>
  <c r="I12" i="4"/>
  <c r="J12" i="4" s="1"/>
  <c r="I10" i="4"/>
  <c r="J10" i="4" s="1"/>
  <c r="I8" i="4"/>
  <c r="J8" i="4" s="1"/>
  <c r="I6" i="4"/>
  <c r="J6" i="4" s="1"/>
  <c r="I4" i="4"/>
  <c r="J4" i="4" s="1"/>
  <c r="I2" i="4"/>
  <c r="J2" i="4" s="1"/>
  <c r="I13" i="4"/>
  <c r="J13" i="4" s="1"/>
  <c r="I11" i="4"/>
  <c r="J11" i="4" s="1"/>
  <c r="I9" i="4"/>
  <c r="J9" i="4" s="1"/>
  <c r="I3" i="4"/>
  <c r="J3" i="4" s="1"/>
  <c r="I7" i="4"/>
  <c r="J7" i="4" s="1"/>
  <c r="I5" i="4"/>
  <c r="J5" i="4" s="1"/>
  <c r="O15" i="3"/>
  <c r="G10" i="3"/>
  <c r="H10" i="3" s="1"/>
  <c r="G4" i="3"/>
  <c r="H4" i="3" s="1"/>
  <c r="G7" i="3"/>
  <c r="H7" i="3" s="1"/>
  <c r="H9" i="3"/>
  <c r="G12" i="3"/>
  <c r="H12" i="3" s="1"/>
  <c r="G3" i="3"/>
  <c r="H3" i="3" s="1"/>
  <c r="G8" i="3"/>
  <c r="H8" i="3" s="1"/>
  <c r="G11" i="3"/>
  <c r="H11" i="3" s="1"/>
  <c r="G13" i="3"/>
  <c r="H13" i="3" s="1"/>
  <c r="H2" i="3"/>
  <c r="G5" i="3"/>
  <c r="H5" i="3" s="1"/>
  <c r="G6" i="3"/>
  <c r="H6" i="3" s="1"/>
  <c r="E14" i="3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J14" i="2"/>
  <c r="M16" i="2"/>
  <c r="J16" i="2"/>
  <c r="J15" i="2"/>
  <c r="B43" i="2"/>
  <c r="B44" i="2" s="1"/>
  <c r="L10" i="1"/>
  <c r="J3" i="1"/>
  <c r="I3" i="1"/>
  <c r="H14" i="2"/>
  <c r="E14" i="2"/>
  <c r="H3" i="2"/>
  <c r="H4" i="2"/>
  <c r="H5" i="2"/>
  <c r="H6" i="2"/>
  <c r="H7" i="2"/>
  <c r="H8" i="2"/>
  <c r="H9" i="2"/>
  <c r="H10" i="2"/>
  <c r="H11" i="2"/>
  <c r="H12" i="2"/>
  <c r="H13" i="2"/>
  <c r="H2" i="2"/>
  <c r="H3" i="1"/>
  <c r="G2" i="2"/>
  <c r="C43" i="1"/>
  <c r="G3" i="2"/>
  <c r="G4" i="2"/>
  <c r="G5" i="2"/>
  <c r="G6" i="2"/>
  <c r="G7" i="2"/>
  <c r="G8" i="2"/>
  <c r="G9" i="2"/>
  <c r="G10" i="2"/>
  <c r="G11" i="2"/>
  <c r="G12" i="2"/>
  <c r="G13" i="2"/>
  <c r="B42" i="2"/>
  <c r="C42" i="1"/>
  <c r="B40" i="2"/>
  <c r="B39" i="2"/>
  <c r="C39" i="1"/>
  <c r="C2" i="2"/>
  <c r="C40" i="1"/>
  <c r="H14" i="3" l="1"/>
  <c r="B43" i="3" s="1"/>
  <c r="B44" i="3" s="1"/>
  <c r="M15" i="2"/>
  <c r="O15" i="2" s="1"/>
  <c r="I6" i="2"/>
  <c r="J6" i="2" s="1"/>
  <c r="I10" i="2"/>
  <c r="J10" i="2" s="1"/>
  <c r="I2" i="2"/>
  <c r="J2" i="2" s="1"/>
  <c r="I3" i="2"/>
  <c r="J3" i="2" s="1"/>
  <c r="I7" i="2"/>
  <c r="J7" i="2" s="1"/>
  <c r="I11" i="2"/>
  <c r="J11" i="2" s="1"/>
  <c r="I5" i="2"/>
  <c r="J5" i="2" s="1"/>
  <c r="I13" i="2"/>
  <c r="J13" i="2" s="1"/>
  <c r="I4" i="2"/>
  <c r="J4" i="2" s="1"/>
  <c r="I8" i="2"/>
  <c r="J8" i="2" s="1"/>
  <c r="I12" i="2"/>
  <c r="J12" i="2" s="1"/>
  <c r="I9" i="2"/>
  <c r="J9" i="2" s="1"/>
  <c r="I7" i="3" l="1"/>
  <c r="J7" i="3" s="1"/>
  <c r="I10" i="3"/>
  <c r="J10" i="3" s="1"/>
  <c r="I2" i="3"/>
  <c r="J2" i="3" s="1"/>
  <c r="I11" i="3"/>
  <c r="J11" i="3" s="1"/>
  <c r="I6" i="3"/>
  <c r="J6" i="3" s="1"/>
  <c r="I9" i="3"/>
  <c r="J9" i="3" s="1"/>
  <c r="I4" i="3"/>
  <c r="J4" i="3" s="1"/>
  <c r="I13" i="3"/>
  <c r="J13" i="3" s="1"/>
  <c r="I5" i="3"/>
  <c r="J5" i="3" s="1"/>
  <c r="I8" i="3"/>
  <c r="J8" i="3" s="1"/>
  <c r="I3" i="3"/>
  <c r="J3" i="3" s="1"/>
  <c r="I12" i="3"/>
  <c r="J12" i="3" s="1"/>
  <c r="G3" i="1"/>
  <c r="F3" i="2"/>
  <c r="F4" i="2"/>
  <c r="F5" i="2"/>
  <c r="F6" i="2"/>
  <c r="F7" i="2"/>
  <c r="F8" i="2"/>
  <c r="F9" i="2"/>
  <c r="F10" i="2"/>
  <c r="F11" i="2"/>
  <c r="F12" i="2"/>
  <c r="F13" i="2"/>
  <c r="F2" i="2"/>
  <c r="F3" i="1"/>
  <c r="E3" i="2"/>
  <c r="E4" i="2"/>
  <c r="E5" i="2"/>
  <c r="E6" i="2"/>
  <c r="E7" i="2"/>
  <c r="E8" i="2"/>
  <c r="E9" i="2"/>
  <c r="E10" i="2"/>
  <c r="E11" i="2"/>
  <c r="E12" i="2"/>
  <c r="E13" i="2"/>
  <c r="E2" i="2"/>
  <c r="E3" i="1"/>
  <c r="D3" i="2"/>
  <c r="D4" i="2"/>
  <c r="D5" i="2"/>
  <c r="D6" i="2"/>
  <c r="D7" i="2"/>
  <c r="D8" i="2"/>
  <c r="D9" i="2"/>
  <c r="D10" i="2"/>
  <c r="D11" i="2"/>
  <c r="D12" i="2"/>
  <c r="D13" i="2"/>
  <c r="D2" i="2"/>
  <c r="D3" i="1"/>
  <c r="C3" i="2"/>
  <c r="C4" i="2"/>
  <c r="C5" i="2"/>
  <c r="C6" i="2"/>
  <c r="C7" i="2"/>
  <c r="C8" i="2"/>
  <c r="C9" i="2"/>
  <c r="C10" i="2"/>
  <c r="C11" i="2"/>
  <c r="C12" i="2"/>
  <c r="C13" i="2"/>
  <c r="L13" i="1" l="1"/>
  <c r="L12" i="1"/>
  <c r="L11" i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H1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H16" i="1" l="1"/>
  <c r="C44" i="1" s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I7" i="1" l="1"/>
  <c r="J7" i="1" s="1"/>
  <c r="I11" i="1"/>
  <c r="J11" i="1" s="1"/>
  <c r="I15" i="1"/>
  <c r="J15" i="1" s="1"/>
  <c r="I4" i="1"/>
  <c r="J4" i="1" s="1"/>
  <c r="I8" i="1"/>
  <c r="J8" i="1" s="1"/>
  <c r="I12" i="1"/>
  <c r="J12" i="1" s="1"/>
  <c r="I5" i="1"/>
  <c r="J5" i="1" s="1"/>
  <c r="I9" i="1"/>
  <c r="J9" i="1" s="1"/>
  <c r="I13" i="1"/>
  <c r="J13" i="1" s="1"/>
  <c r="I6" i="1"/>
  <c r="J6" i="1" s="1"/>
  <c r="I10" i="1"/>
  <c r="J10" i="1" s="1"/>
  <c r="I14" i="1"/>
  <c r="J14" i="1" s="1"/>
  <c r="J16" i="1" l="1"/>
</calcChain>
</file>

<file path=xl/comments1.xml><?xml version="1.0" encoding="utf-8"?>
<comments xmlns="http://schemas.openxmlformats.org/spreadsheetml/2006/main">
  <authors>
    <author>VICTORIA OLIVEIRA CABRAL HASSAN</author>
  </authors>
  <commentList>
    <comment ref="J3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esta faltando arvore, não retirar
</t>
        </r>
      </text>
    </comment>
    <comment ref="J8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as positivas podem ser removidas</t>
        </r>
      </text>
    </comment>
    <comment ref="A9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intervir com 40 por conta da legislação</t>
        </r>
      </text>
    </comment>
    <comment ref="J16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somar apenas as positivas</t>
        </r>
      </text>
    </comment>
    <comment ref="C40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colocar uma casa após a virgula arredondando pra cima
</t>
        </r>
      </text>
    </comment>
  </commentList>
</comments>
</file>

<file path=xl/comments2.xml><?xml version="1.0" encoding="utf-8"?>
<comments xmlns="http://schemas.openxmlformats.org/spreadsheetml/2006/main">
  <authors>
    <author>VICTORIA OLIVEIRA CABRAL HASSAN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 partir daqui é necessário regressão
</t>
        </r>
      </text>
    </comment>
    <comment ref="O15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uma floresta de 40 anos com 27 de taxa de corte é um sitio ruim, se fizer manejo pode diminuir o ciclo de corte</t>
        </r>
      </text>
    </comment>
  </commentList>
</comments>
</file>

<file path=xl/comments3.xml><?xml version="1.0" encoding="utf-8"?>
<comments xmlns="http://schemas.openxmlformats.org/spreadsheetml/2006/main">
  <authors>
    <author>VICTORIA OLIVEIRA CABRAL HASSAN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 partir daqui é necessário regressão
</t>
        </r>
      </text>
    </comment>
    <comment ref="O15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uma floresta de 40 anos com 27 de taxa de corte é um sitio ruim, se fizer manejo pode diminuir o ciclo de corte</t>
        </r>
      </text>
    </comment>
  </commentList>
</comments>
</file>

<file path=xl/comments4.xml><?xml version="1.0" encoding="utf-8"?>
<comments xmlns="http://schemas.openxmlformats.org/spreadsheetml/2006/main">
  <authors>
    <author>VICTORIA OLIVEIRA CABRAL HASSAN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a partir daqui é necessário regressão
</t>
        </r>
      </text>
    </comment>
    <comment ref="O15" authorId="0" shapeId="0">
      <text>
        <r>
          <rPr>
            <b/>
            <sz val="9"/>
            <color indexed="81"/>
            <rFont val="Segoe UI"/>
            <family val="2"/>
          </rPr>
          <t>VICTORIA OLIVEIRA CABRAL HASSAN:</t>
        </r>
        <r>
          <rPr>
            <sz val="9"/>
            <color indexed="81"/>
            <rFont val="Segoe UI"/>
            <family val="2"/>
          </rPr>
          <t xml:space="preserve">
uma floresta de 40 anos com 27 de taxa de corte é um sitio ruim, se fizer manejo pode diminuir o ciclo de corte</t>
        </r>
      </text>
    </comment>
  </commentList>
</comments>
</file>

<file path=xl/sharedStrings.xml><?xml version="1.0" encoding="utf-8"?>
<sst xmlns="http://schemas.openxmlformats.org/spreadsheetml/2006/main" count="197" uniqueCount="58">
  <si>
    <t>c</t>
  </si>
  <si>
    <t>Freq.obs/há</t>
  </si>
  <si>
    <t>Meyer</t>
  </si>
  <si>
    <t>ln y = b0 + b1xi (classe de diametro / c)</t>
  </si>
  <si>
    <t>ln y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</si>
  <si>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</si>
  <si>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</si>
  <si>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</si>
  <si>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</si>
  <si>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</si>
  <si>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</si>
  <si>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</si>
  <si>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</si>
  <si>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</si>
  <si>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</si>
  <si>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</si>
  <si>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</si>
  <si>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</si>
  <si>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</si>
  <si>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</si>
  <si>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</si>
  <si>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</si>
  <si>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</si>
  <si>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</si>
  <si>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</si>
  <si>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</si>
  <si>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</si>
  <si>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</si>
  <si>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</si>
  <si>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</si>
  <si>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Liocourt:</t>
  </si>
  <si>
    <t>ln q = (b0 + b1xi) - (b0+b1xi+1)</t>
  </si>
  <si>
    <t>q</t>
  </si>
  <si>
    <t>ln q</t>
  </si>
  <si>
    <t>rec.b1 = ln(q)/(xi-xi+1)</t>
  </si>
  <si>
    <t>rec.b1</t>
  </si>
  <si>
    <t>g</t>
  </si>
  <si>
    <t>xi2</t>
  </si>
  <si>
    <t>rec.b0 = ln (g*40000)/(pi()*soma( c )*exp(b1*xi))</t>
  </si>
  <si>
    <t>expo1*xi</t>
  </si>
  <si>
    <t>xi2*exp...</t>
  </si>
  <si>
    <t>G</t>
  </si>
  <si>
    <t>rec.b0</t>
  </si>
  <si>
    <t>ln rec.b0</t>
  </si>
  <si>
    <t>freq est./há</t>
  </si>
  <si>
    <t>Nretirar</t>
  </si>
  <si>
    <t>Centro de classe (cm)</t>
  </si>
  <si>
    <r>
      <t>FO (ha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</si>
  <si>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h</t>
  </si>
  <si>
    <t>v</t>
  </si>
  <si>
    <t>Total retirar</t>
  </si>
  <si>
    <t>%retirar</t>
  </si>
  <si>
    <t>Volume Retirar</t>
  </si>
  <si>
    <t>IMAtotal</t>
  </si>
  <si>
    <t>Taxa Corte</t>
  </si>
  <si>
    <t>q 1,3</t>
  </si>
  <si>
    <t>q 1,1</t>
  </si>
  <si>
    <t>q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</si>
</sst>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frequência estimada pela equação de Meyer</a:t>
            </a:r>
          </a:p>
        </c:rich>
      </c:tx>
      <c:layout>
        <c:manualLayout>
          <c:xMode val="edge"/>
          <c:yMode val="edge"/>
          <c:x val="0.15003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trabalho!$I$2:$I$13</c:f>
              <c:numCache>
                <c:formatCode>0.0</c:formatCode>
                <c:ptCount val="12"/>
                <c:pt idx="0">
                  <c:v>84.994086915314483</c:v>
                </c:pt>
                <c:pt idx="1">
                  <c:v>65.38006685793421</c:v>
                </c:pt>
                <c:pt idx="2">
                  <c:v>50.292359121487834</c:v>
                </c:pt>
                <c:pt idx="3">
                  <c:v>38.686430093452174</c:v>
                </c:pt>
                <c:pt idx="4">
                  <c:v>29.758792379578601</c:v>
                </c:pt>
                <c:pt idx="5">
                  <c:v>22.891378753522005</c:v>
                </c:pt>
                <c:pt idx="6">
                  <c:v>17.608752887324616</c:v>
                </c:pt>
                <c:pt idx="7">
                  <c:v>13.545194528711246</c:v>
                </c:pt>
                <c:pt idx="8">
                  <c:v>10.419380406700956</c:v>
                </c:pt>
                <c:pt idx="9">
                  <c:v>8.0149080051545827</c:v>
                </c:pt>
                <c:pt idx="10">
                  <c:v>6.1653138501189089</c:v>
                </c:pt>
                <c:pt idx="11">
                  <c:v>4.742549115476085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7-4D34-933E-F0668D92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01887"/>
        <c:axId val="1651296895"/>
      </c:barChart>
      <c:catAx>
        <c:axId val="16513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da classe de diâmetro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6895"/>
        <c:crosses val="autoZero"/>
        <c:auto val="1"/>
        <c:lblAlgn val="ctr"/>
        <c:lblOffset val="100"/>
        <c:noMultiLvlLbl val="0"/>
      </c:catAx>
      <c:valAx>
        <c:axId val="1651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recalculada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estimada x Frequência observada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Frequência Observada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trabalho!$B$2:$B$13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1-4560-9FD0-05F0BF21EB87}"/>
            </c:ext>
          </c:extLst>
        </c:ser>
        <c:ser>
          <c:idx val="1"/>
          <c:order val="1"/>
          <c:tx>
            <c:v>Frequência Estimada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trabalho!$I$2:$I$13</c:f>
              <c:numCache>
                <c:formatCode>0.0</c:formatCode>
                <c:ptCount val="12"/>
                <c:pt idx="0">
                  <c:v>84.994086915314483</c:v>
                </c:pt>
                <c:pt idx="1">
                  <c:v>65.38006685793421</c:v>
                </c:pt>
                <c:pt idx="2">
                  <c:v>50.292359121487834</c:v>
                </c:pt>
                <c:pt idx="3">
                  <c:v>38.686430093452174</c:v>
                </c:pt>
                <c:pt idx="4">
                  <c:v>29.758792379578601</c:v>
                </c:pt>
                <c:pt idx="5">
                  <c:v>22.891378753522005</c:v>
                </c:pt>
                <c:pt idx="6">
                  <c:v>17.608752887324616</c:v>
                </c:pt>
                <c:pt idx="7">
                  <c:v>13.545194528711246</c:v>
                </c:pt>
                <c:pt idx="8">
                  <c:v>10.419380406700956</c:v>
                </c:pt>
                <c:pt idx="9">
                  <c:v>8.0149080051545827</c:v>
                </c:pt>
                <c:pt idx="10">
                  <c:v>6.1653138501189089</c:v>
                </c:pt>
                <c:pt idx="11">
                  <c:v>4.742549115476085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1-4560-9FD0-05F0BF21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5423"/>
        <c:axId val="1651356255"/>
      </c:lineChart>
      <c:catAx>
        <c:axId val="16513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diamétrico</a:t>
                </a:r>
                <a:r>
                  <a:rPr lang="pt-BR" baseline="0"/>
                  <a:t> de classe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6255"/>
        <c:crosses val="autoZero"/>
        <c:auto val="1"/>
        <c:lblAlgn val="ctr"/>
        <c:lblOffset val="100"/>
        <c:noMultiLvlLbl val="0"/>
      </c:catAx>
      <c:valAx>
        <c:axId val="1651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Árvores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frequência estimada pela equação de Meyer</a:t>
            </a:r>
          </a:p>
        </c:rich>
      </c:tx>
      <c:layout>
        <c:manualLayout>
          <c:xMode val="edge"/>
          <c:yMode val="edge"/>
          <c:x val="0.15003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'simulações 7'!$I$2:$I$13</c:f>
              <c:numCache>
                <c:formatCode>#,#00</c:formatCode>
                <c:ptCount val="12"/>
                <c:pt idx="0">
                  <c:v>45.459927833606898</c:v>
                </c:pt>
                <c:pt idx="1">
                  <c:v>41.327207121460816</c:v>
                </c:pt>
                <c:pt idx="2">
                  <c:v>37.570188292237098</c:v>
                </c:pt>
                <c:pt idx="3">
                  <c:v>34.154716629306456</c:v>
                </c:pt>
                <c:pt idx="4">
                  <c:v>31.049742390278581</c:v>
                </c:pt>
                <c:pt idx="5">
                  <c:v>28.227038536616895</c:v>
                </c:pt>
                <c:pt idx="6">
                  <c:v>25.660944124197179</c:v>
                </c:pt>
                <c:pt idx="7">
                  <c:v>23.328131021997439</c:v>
                </c:pt>
                <c:pt idx="8">
                  <c:v>21.207391838179483</c:v>
                </c:pt>
                <c:pt idx="9">
                  <c:v>19.279447125617715</c:v>
                </c:pt>
                <c:pt idx="10">
                  <c:v>17.526770114197916</c:v>
                </c:pt>
                <c:pt idx="11">
                  <c:v>15.933427376543561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B-4444-9336-1ED6B8AB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01887"/>
        <c:axId val="1651296895"/>
      </c:barChart>
      <c:catAx>
        <c:axId val="16513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da classe de diâmetro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6895"/>
        <c:crosses val="autoZero"/>
        <c:auto val="1"/>
        <c:lblAlgn val="ctr"/>
        <c:lblOffset val="100"/>
        <c:noMultiLvlLbl val="0"/>
      </c:catAx>
      <c:valAx>
        <c:axId val="1651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recalculada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estimada x Frequência observada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Frequência Observada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trabalho!$B$2:$B$13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521-A5A1-31E8E2B4C095}"/>
            </c:ext>
          </c:extLst>
        </c:ser>
        <c:ser>
          <c:idx val="1"/>
          <c:order val="1"/>
          <c:tx>
            <c:v>Frequência Estimada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'simulações 7'!$I$2:$I$13</c:f>
              <c:numCache>
                <c:formatCode>#,#00</c:formatCode>
                <c:ptCount val="12"/>
                <c:pt idx="0">
                  <c:v>45.459927833606898</c:v>
                </c:pt>
                <c:pt idx="1">
                  <c:v>41.327207121460816</c:v>
                </c:pt>
                <c:pt idx="2">
                  <c:v>37.570188292237098</c:v>
                </c:pt>
                <c:pt idx="3">
                  <c:v>34.154716629306456</c:v>
                </c:pt>
                <c:pt idx="4">
                  <c:v>31.049742390278581</c:v>
                </c:pt>
                <c:pt idx="5">
                  <c:v>28.227038536616895</c:v>
                </c:pt>
                <c:pt idx="6">
                  <c:v>25.660944124197179</c:v>
                </c:pt>
                <c:pt idx="7">
                  <c:v>23.328131021997439</c:v>
                </c:pt>
                <c:pt idx="8">
                  <c:v>21.207391838179483</c:v>
                </c:pt>
                <c:pt idx="9">
                  <c:v>19.279447125617715</c:v>
                </c:pt>
                <c:pt idx="10">
                  <c:v>17.526770114197916</c:v>
                </c:pt>
                <c:pt idx="11">
                  <c:v>15.933427376543561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F-4521-A5A1-31E8E2B4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5423"/>
        <c:axId val="1651356255"/>
      </c:lineChart>
      <c:catAx>
        <c:axId val="16513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diamétrico</a:t>
                </a:r>
                <a:r>
                  <a:rPr lang="pt-BR" baseline="0"/>
                  <a:t> de classe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6255"/>
        <c:crosses val="autoZero"/>
        <c:auto val="1"/>
        <c:lblAlgn val="ctr"/>
        <c:lblOffset val="100"/>
        <c:noMultiLvlLbl val="0"/>
      </c:catAx>
      <c:valAx>
        <c:axId val="1651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Árvores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frequência estimada pela equação de Meyer</a:t>
            </a:r>
          </a:p>
        </c:rich>
      </c:tx>
      <c:layout>
        <c:manualLayout>
          <c:xMode val="edge"/>
          <c:yMode val="edge"/>
          <c:x val="0.15003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Frequência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'simulação 7'!$I$2:$I$13</c:f>
              <c:numCache>
                <c:formatCode>#,#00</c:formatCode>
                <c:ptCount val="12"/>
                <c:pt idx="0">
                  <c:v>134.70210747933143</c:v>
                </c:pt>
                <c:pt idx="1">
                  <c:v>89.801404986221016</c:v>
                </c:pt>
                <c:pt idx="2">
                  <c:v>59.867603324147325</c:v>
                </c:pt>
                <c:pt idx="3">
                  <c:v>39.91173554943154</c:v>
                </c:pt>
                <c:pt idx="4">
                  <c:v>26.607823699621033</c:v>
                </c:pt>
                <c:pt idx="5">
                  <c:v>17.738549133080685</c:v>
                </c:pt>
                <c:pt idx="6">
                  <c:v>11.825699422053793</c:v>
                </c:pt>
                <c:pt idx="7">
                  <c:v>7.8837996147025269</c:v>
                </c:pt>
                <c:pt idx="8">
                  <c:v>5.2558664098016834</c:v>
                </c:pt>
                <c:pt idx="9">
                  <c:v>3.5039109398677915</c:v>
                </c:pt>
                <c:pt idx="10">
                  <c:v>2.3359406265785272</c:v>
                </c:pt>
                <c:pt idx="11">
                  <c:v>1.557293751052351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F-4FFE-8FF7-E52EBCC2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01887"/>
        <c:axId val="1651296895"/>
      </c:barChart>
      <c:catAx>
        <c:axId val="16513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da classe de diâmetro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6895"/>
        <c:crosses val="autoZero"/>
        <c:auto val="1"/>
        <c:lblAlgn val="ctr"/>
        <c:lblOffset val="100"/>
        <c:noMultiLvlLbl val="0"/>
      </c:catAx>
      <c:valAx>
        <c:axId val="1651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recalculada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estimada x Frequência observada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Frequência Observada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trabalho!$B$2:$B$13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D-424E-9BA4-7F6461085FB1}"/>
            </c:ext>
          </c:extLst>
        </c:ser>
        <c:ser>
          <c:idx val="1"/>
          <c:order val="1"/>
          <c:tx>
            <c:v>Frequência Estimada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trabalho!$A$2:$A$13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</c:numCache>
            </c:numRef>
          </c:cat>
          <c:val>
            <c:numRef>
              <c:f>'simulação 7'!$I$2:$I$13</c:f>
              <c:numCache>
                <c:formatCode>#,#00</c:formatCode>
                <c:ptCount val="12"/>
                <c:pt idx="0">
                  <c:v>134.70210747933143</c:v>
                </c:pt>
                <c:pt idx="1">
                  <c:v>89.801404986221016</c:v>
                </c:pt>
                <c:pt idx="2">
                  <c:v>59.867603324147325</c:v>
                </c:pt>
                <c:pt idx="3">
                  <c:v>39.91173554943154</c:v>
                </c:pt>
                <c:pt idx="4">
                  <c:v>26.607823699621033</c:v>
                </c:pt>
                <c:pt idx="5">
                  <c:v>17.738549133080685</c:v>
                </c:pt>
                <c:pt idx="6">
                  <c:v>11.825699422053793</c:v>
                </c:pt>
                <c:pt idx="7">
                  <c:v>7.8837996147025269</c:v>
                </c:pt>
                <c:pt idx="8">
                  <c:v>5.2558664098016834</c:v>
                </c:pt>
                <c:pt idx="9">
                  <c:v>3.5039109398677915</c:v>
                </c:pt>
                <c:pt idx="10">
                  <c:v>2.3359406265785272</c:v>
                </c:pt>
                <c:pt idx="11">
                  <c:v>1.557293751052351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D-424E-9BA4-7F646108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55423"/>
        <c:axId val="1651356255"/>
      </c:lineChart>
      <c:catAx>
        <c:axId val="165135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diamétrico</a:t>
                </a:r>
                <a:r>
                  <a:rPr lang="pt-BR" baseline="0"/>
                  <a:t> de classe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6255"/>
        <c:crosses val="autoZero"/>
        <c:auto val="1"/>
        <c:lblAlgn val="ctr"/>
        <c:lblOffset val="100"/>
        <c:noMultiLvlLbl val="0"/>
      </c:catAx>
      <c:valAx>
        <c:axId val="16513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Árvores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15</xdr:row>
      <xdr:rowOff>171450</xdr:rowOff>
    </xdr:from>
    <xdr:to>
      <xdr:col>10</xdr:col>
      <xdr:colOff>238125</xdr:colOff>
      <xdr:row>30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152400</xdr:rowOff>
    </xdr:from>
    <xdr:to>
      <xdr:col>17</xdr:col>
      <xdr:colOff>590550</xdr:colOff>
      <xdr:row>30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15</xdr:row>
      <xdr:rowOff>171450</xdr:rowOff>
    </xdr:from>
    <xdr:to>
      <xdr:col>10</xdr:col>
      <xdr:colOff>238125</xdr:colOff>
      <xdr:row>30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152400</xdr:rowOff>
    </xdr:from>
    <xdr:to>
      <xdr:col>17</xdr:col>
      <xdr:colOff>590550</xdr:colOff>
      <xdr:row>30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15</xdr:row>
      <xdr:rowOff>171450</xdr:rowOff>
    </xdr:from>
    <xdr:to>
      <xdr:col>10</xdr:col>
      <xdr:colOff>238125</xdr:colOff>
      <xdr:row>30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152400</xdr:rowOff>
    </xdr:from>
    <xdr:to>
      <xdr:col>17</xdr:col>
      <xdr:colOff>590550</xdr:colOff>
      <xdr:row>30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9</xdr:col>
      <xdr:colOff>105585</xdr:colOff>
      <xdr:row>14</xdr:row>
      <xdr:rowOff>98156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525"/>
          <a:ext cx="4944285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0</xdr:row>
      <xdr:rowOff>47625</xdr:rowOff>
    </xdr:from>
    <xdr:to>
      <xdr:col>17</xdr:col>
      <xdr:colOff>348672</xdr:colOff>
      <xdr:row>14</xdr:row>
      <xdr:rowOff>136256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47625"/>
          <a:ext cx="5054022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9</xdr:col>
      <xdr:colOff>67485</xdr:colOff>
      <xdr:row>29</xdr:row>
      <xdr:rowOff>88631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857500"/>
          <a:ext cx="4944285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14</xdr:row>
      <xdr:rowOff>180975</xdr:rowOff>
    </xdr:from>
    <xdr:to>
      <xdr:col>17</xdr:col>
      <xdr:colOff>320097</xdr:colOff>
      <xdr:row>29</xdr:row>
      <xdr:rowOff>79106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29275" y="2847975"/>
          <a:ext cx="5054022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9</xdr:col>
      <xdr:colOff>67485</xdr:colOff>
      <xdr:row>44</xdr:row>
      <xdr:rowOff>88631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5715000"/>
          <a:ext cx="4944285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29</xdr:row>
      <xdr:rowOff>180975</xdr:rowOff>
    </xdr:from>
    <xdr:to>
      <xdr:col>17</xdr:col>
      <xdr:colOff>301047</xdr:colOff>
      <xdr:row>44</xdr:row>
      <xdr:rowOff>79106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0225" y="5705475"/>
          <a:ext cx="5054022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workbookViewId="0">
      <selection activeCell="L10" sqref="L10"/>
    </sheetView>
  </sheetViews>
  <sheetFormatPr defaultRowHeight="15" x14ac:dyDescent="0.25"/>
  <cols>
    <col min="9" max="9" width="11.42578125" bestFit="1" customWidth="1"/>
    <col min="10" max="10" width="11.42578125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36</v>
      </c>
      <c r="E1" t="s">
        <v>41</v>
      </c>
      <c r="F1" t="s">
        <v>37</v>
      </c>
      <c r="G1" t="s">
        <v>39</v>
      </c>
      <c r="H1" t="s">
        <v>40</v>
      </c>
      <c r="I1" t="s">
        <v>44</v>
      </c>
      <c r="J1" t="s">
        <v>45</v>
      </c>
      <c r="K1" t="s">
        <v>2</v>
      </c>
      <c r="L1" t="s">
        <v>30</v>
      </c>
      <c r="M1" t="s">
        <v>31</v>
      </c>
      <c r="P1" t="s">
        <v>34</v>
      </c>
    </row>
    <row r="2" spans="1:16" x14ac:dyDescent="0.25">
      <c r="K2" t="s">
        <v>3</v>
      </c>
      <c r="P2" t="s">
        <v>38</v>
      </c>
    </row>
    <row r="3" spans="1:16" x14ac:dyDescent="0.25">
      <c r="A3" s="6">
        <v>10</v>
      </c>
      <c r="B3" s="6">
        <v>115</v>
      </c>
      <c r="C3" s="7">
        <f>LN(B3)</f>
        <v>4.7449321283632502</v>
      </c>
      <c r="D3" s="6">
        <f>PI()*A3^2/40000</f>
        <v>7.8539816339744835E-3</v>
      </c>
      <c r="E3" s="6">
        <f>D3*B3</f>
        <v>0.90320788790706563</v>
      </c>
      <c r="F3" s="6">
        <f>A3*A3</f>
        <v>100</v>
      </c>
      <c r="G3" s="6">
        <f>EXP($C$42*A3)</f>
        <v>0.51020408163265307</v>
      </c>
      <c r="H3" s="6">
        <f>F3*G3</f>
        <v>51.020408163265309</v>
      </c>
      <c r="I3" s="9">
        <f>EXP($C$44+$C$42*A3)</f>
        <v>141.52133667196279</v>
      </c>
      <c r="J3" s="9">
        <f>B3-I3</f>
        <v>-26.521336671962786</v>
      </c>
    </row>
    <row r="4" spans="1:16" x14ac:dyDescent="0.25">
      <c r="A4" s="6">
        <v>15</v>
      </c>
      <c r="B4" s="6">
        <v>73</v>
      </c>
      <c r="C4" s="7">
        <f t="shared" ref="C4:C15" si="0">LN(B4)</f>
        <v>4.290459441148391</v>
      </c>
      <c r="D4" s="6">
        <f t="shared" ref="D4:D15" si="1">PI()*A4^2/40000</f>
        <v>1.7671458676442587E-2</v>
      </c>
      <c r="E4" s="6">
        <f t="shared" ref="E4:E15" si="2">D4*B4</f>
        <v>1.2900164833803089</v>
      </c>
      <c r="F4" s="6">
        <f t="shared" ref="F4:F15" si="3">A4*A4</f>
        <v>225</v>
      </c>
      <c r="G4" s="6">
        <f t="shared" ref="G4:G15" si="4">EXP($C$42*A4)</f>
        <v>0.36443148688046645</v>
      </c>
      <c r="H4" s="6">
        <f t="shared" ref="H4:H15" si="5">F4*G4</f>
        <v>81.997084548104951</v>
      </c>
      <c r="I4" s="9">
        <f t="shared" ref="I4:I15" si="6">EXP($C$44+$C$42*A4)</f>
        <v>101.086669051402</v>
      </c>
      <c r="J4" s="9">
        <f t="shared" ref="J4:J15" si="7">B4-I4</f>
        <v>-28.086669051401998</v>
      </c>
    </row>
    <row r="5" spans="1:16" x14ac:dyDescent="0.25">
      <c r="A5" s="6">
        <v>20</v>
      </c>
      <c r="B5" s="6">
        <v>42</v>
      </c>
      <c r="C5" s="7">
        <f t="shared" si="0"/>
        <v>3.7376696182833684</v>
      </c>
      <c r="D5" s="6">
        <f t="shared" si="1"/>
        <v>3.1415926535897934E-2</v>
      </c>
      <c r="E5" s="6">
        <f t="shared" si="2"/>
        <v>1.3194689145077132</v>
      </c>
      <c r="F5" s="6">
        <f t="shared" si="3"/>
        <v>400</v>
      </c>
      <c r="G5" s="6">
        <f t="shared" si="4"/>
        <v>0.26030820491461887</v>
      </c>
      <c r="H5" s="6">
        <f t="shared" si="5"/>
        <v>104.12328196584755</v>
      </c>
      <c r="I5" s="9">
        <f t="shared" si="6"/>
        <v>72.204763608144276</v>
      </c>
      <c r="J5" s="9">
        <f t="shared" si="7"/>
        <v>-30.204763608144276</v>
      </c>
    </row>
    <row r="6" spans="1:16" x14ac:dyDescent="0.25">
      <c r="A6" s="6">
        <v>25</v>
      </c>
      <c r="B6" s="6">
        <v>38</v>
      </c>
      <c r="C6" s="7">
        <f t="shared" si="0"/>
        <v>3.6375861597263857</v>
      </c>
      <c r="D6" s="6">
        <f t="shared" si="1"/>
        <v>4.9087385212340517E-2</v>
      </c>
      <c r="E6" s="6">
        <f t="shared" si="2"/>
        <v>1.8653206380689396</v>
      </c>
      <c r="F6" s="6">
        <f t="shared" si="3"/>
        <v>625</v>
      </c>
      <c r="G6" s="6">
        <f t="shared" si="4"/>
        <v>0.18593443208187066</v>
      </c>
      <c r="H6" s="6">
        <f t="shared" si="5"/>
        <v>116.20902005116916</v>
      </c>
      <c r="I6" s="9">
        <f t="shared" si="6"/>
        <v>51.574831148674484</v>
      </c>
      <c r="J6" s="9">
        <f t="shared" si="7"/>
        <v>-13.574831148674484</v>
      </c>
    </row>
    <row r="7" spans="1:16" x14ac:dyDescent="0.25">
      <c r="A7" s="6">
        <v>30</v>
      </c>
      <c r="B7" s="6">
        <v>33</v>
      </c>
      <c r="C7" s="7">
        <f t="shared" si="0"/>
        <v>3.4965075614664802</v>
      </c>
      <c r="D7" s="6">
        <f t="shared" si="1"/>
        <v>7.0685834705770348E-2</v>
      </c>
      <c r="E7" s="6">
        <f t="shared" si="2"/>
        <v>2.3326325452904215</v>
      </c>
      <c r="F7" s="6">
        <f t="shared" si="3"/>
        <v>900</v>
      </c>
      <c r="G7" s="6">
        <f t="shared" si="4"/>
        <v>0.13281030862990759</v>
      </c>
      <c r="H7" s="6">
        <f t="shared" si="5"/>
        <v>119.52927776691683</v>
      </c>
      <c r="I7" s="9">
        <f t="shared" si="6"/>
        <v>36.839165106196063</v>
      </c>
      <c r="J7" s="9">
        <f t="shared" si="7"/>
        <v>-3.839165106196063</v>
      </c>
    </row>
    <row r="8" spans="1:16" x14ac:dyDescent="0.25">
      <c r="A8" s="6">
        <v>35</v>
      </c>
      <c r="B8" s="6">
        <v>36</v>
      </c>
      <c r="C8" s="7">
        <f t="shared" si="0"/>
        <v>3.5835189384561099</v>
      </c>
      <c r="D8" s="6">
        <f t="shared" si="1"/>
        <v>9.6211275016187411E-2</v>
      </c>
      <c r="E8" s="6">
        <f t="shared" si="2"/>
        <v>3.4636059005827469</v>
      </c>
      <c r="F8" s="6">
        <f t="shared" si="3"/>
        <v>1225</v>
      </c>
      <c r="G8" s="6">
        <f t="shared" si="4"/>
        <v>9.4864506164219708E-2</v>
      </c>
      <c r="H8" s="6">
        <f t="shared" si="5"/>
        <v>116.20902005116915</v>
      </c>
      <c r="I8" s="9">
        <f t="shared" si="6"/>
        <v>26.313689361568613</v>
      </c>
      <c r="J8" s="9">
        <f t="shared" si="7"/>
        <v>9.6863106384313866</v>
      </c>
    </row>
    <row r="9" spans="1:16" x14ac:dyDescent="0.25">
      <c r="A9" s="6">
        <v>40</v>
      </c>
      <c r="B9" s="6">
        <v>32</v>
      </c>
      <c r="C9" s="7">
        <f t="shared" si="0"/>
        <v>3.4657359027997265</v>
      </c>
      <c r="D9" s="6">
        <f t="shared" si="1"/>
        <v>0.12566370614359174</v>
      </c>
      <c r="E9" s="6">
        <f t="shared" si="2"/>
        <v>4.0212385965949355</v>
      </c>
      <c r="F9" s="6">
        <f t="shared" si="3"/>
        <v>1600</v>
      </c>
      <c r="G9" s="6">
        <f t="shared" si="4"/>
        <v>6.7760361545871214E-2</v>
      </c>
      <c r="H9" s="6">
        <f t="shared" si="5"/>
        <v>108.41657847339394</v>
      </c>
      <c r="I9" s="9">
        <f t="shared" si="6"/>
        <v>18.795492401120438</v>
      </c>
      <c r="J9" s="9">
        <f t="shared" si="7"/>
        <v>13.204507598879562</v>
      </c>
    </row>
    <row r="10" spans="1:16" x14ac:dyDescent="0.25">
      <c r="A10">
        <v>45</v>
      </c>
      <c r="B10">
        <v>27</v>
      </c>
      <c r="C10" s="1">
        <f t="shared" si="0"/>
        <v>3.2958368660043291</v>
      </c>
      <c r="D10">
        <f t="shared" si="1"/>
        <v>0.15904312808798327</v>
      </c>
      <c r="E10">
        <f t="shared" si="2"/>
        <v>4.2941644583755485</v>
      </c>
      <c r="F10">
        <f t="shared" si="3"/>
        <v>2025</v>
      </c>
      <c r="G10">
        <f t="shared" si="4"/>
        <v>4.8400258247050888E-2</v>
      </c>
      <c r="H10">
        <f t="shared" si="5"/>
        <v>98.010522950278045</v>
      </c>
      <c r="I10" s="9">
        <f t="shared" si="6"/>
        <v>13.425351715086032</v>
      </c>
      <c r="J10" s="9">
        <f t="shared" si="7"/>
        <v>13.574648284913968</v>
      </c>
      <c r="L10">
        <f>42*200</f>
        <v>8400</v>
      </c>
    </row>
    <row r="11" spans="1:16" x14ac:dyDescent="0.25">
      <c r="A11">
        <v>50</v>
      </c>
      <c r="B11">
        <v>15</v>
      </c>
      <c r="C11" s="1">
        <f t="shared" si="0"/>
        <v>2.7080502011022101</v>
      </c>
      <c r="D11">
        <f t="shared" si="1"/>
        <v>0.19634954084936207</v>
      </c>
      <c r="E11">
        <f t="shared" si="2"/>
        <v>2.9452431127404308</v>
      </c>
      <c r="F11">
        <f t="shared" si="3"/>
        <v>2500</v>
      </c>
      <c r="G11">
        <f t="shared" si="4"/>
        <v>3.4571613033607777E-2</v>
      </c>
      <c r="H11">
        <f t="shared" si="5"/>
        <v>86.429032584019438</v>
      </c>
      <c r="I11" s="9">
        <f t="shared" si="6"/>
        <v>9.5895369393471661</v>
      </c>
      <c r="J11" s="9">
        <f t="shared" si="7"/>
        <v>5.4104630606528339</v>
      </c>
      <c r="L11">
        <f>L10*150</f>
        <v>1260000</v>
      </c>
    </row>
    <row r="12" spans="1:16" x14ac:dyDescent="0.25">
      <c r="A12">
        <v>55</v>
      </c>
      <c r="B12">
        <v>4</v>
      </c>
      <c r="C12" s="1">
        <f t="shared" si="0"/>
        <v>1.3862943611198906</v>
      </c>
      <c r="D12">
        <f t="shared" si="1"/>
        <v>0.23758294442772812</v>
      </c>
      <c r="E12">
        <f t="shared" si="2"/>
        <v>0.95033177771091248</v>
      </c>
      <c r="F12">
        <f t="shared" si="3"/>
        <v>3025</v>
      </c>
      <c r="G12">
        <f t="shared" si="4"/>
        <v>2.4694009309719839E-2</v>
      </c>
      <c r="H12">
        <f t="shared" si="5"/>
        <v>74.699378161902516</v>
      </c>
      <c r="I12" s="9">
        <f t="shared" si="6"/>
        <v>6.8496692423908332</v>
      </c>
      <c r="J12" s="9">
        <f t="shared" si="7"/>
        <v>-2.8496692423908332</v>
      </c>
      <c r="L12">
        <f>L11/18</f>
        <v>70000</v>
      </c>
    </row>
    <row r="13" spans="1:16" x14ac:dyDescent="0.25">
      <c r="A13">
        <v>60</v>
      </c>
      <c r="B13">
        <v>4</v>
      </c>
      <c r="C13" s="1">
        <f t="shared" si="0"/>
        <v>1.3862943611198906</v>
      </c>
      <c r="D13">
        <f t="shared" si="1"/>
        <v>0.28274333882308139</v>
      </c>
      <c r="E13">
        <f t="shared" si="2"/>
        <v>1.1309733552923256</v>
      </c>
      <c r="F13">
        <f t="shared" si="3"/>
        <v>3600</v>
      </c>
      <c r="G13">
        <f t="shared" si="4"/>
        <v>1.7638578078371308E-2</v>
      </c>
      <c r="H13">
        <f t="shared" si="5"/>
        <v>63.498881082136705</v>
      </c>
      <c r="I13" s="9">
        <f t="shared" si="6"/>
        <v>4.8926208874220212</v>
      </c>
      <c r="J13" s="9">
        <f t="shared" si="7"/>
        <v>-0.89262088742202117</v>
      </c>
      <c r="L13">
        <f>L12/12</f>
        <v>5833.333333333333</v>
      </c>
    </row>
    <row r="14" spans="1:16" x14ac:dyDescent="0.25">
      <c r="A14">
        <v>65</v>
      </c>
      <c r="B14">
        <v>3</v>
      </c>
      <c r="C14" s="1">
        <f t="shared" si="0"/>
        <v>1.0986122886681098</v>
      </c>
      <c r="D14">
        <f t="shared" si="1"/>
        <v>0.33183072403542191</v>
      </c>
      <c r="E14">
        <f t="shared" si="2"/>
        <v>0.99549217210626573</v>
      </c>
      <c r="F14">
        <f t="shared" si="3"/>
        <v>4225</v>
      </c>
      <c r="G14">
        <f t="shared" si="4"/>
        <v>1.259898434169379E-2</v>
      </c>
      <c r="H14">
        <f t="shared" si="5"/>
        <v>53.230708843656267</v>
      </c>
      <c r="I14" s="9">
        <f t="shared" si="6"/>
        <v>3.4947292053014434</v>
      </c>
      <c r="J14" s="9">
        <f t="shared" si="7"/>
        <v>-0.49472920530144338</v>
      </c>
    </row>
    <row r="15" spans="1:16" x14ac:dyDescent="0.25">
      <c r="A15">
        <v>70</v>
      </c>
      <c r="B15">
        <v>2</v>
      </c>
      <c r="C15" s="1">
        <f t="shared" si="0"/>
        <v>0.69314718055994529</v>
      </c>
      <c r="D15">
        <f t="shared" si="1"/>
        <v>0.38484510006474965</v>
      </c>
      <c r="E15">
        <f t="shared" si="2"/>
        <v>0.76969020012949929</v>
      </c>
      <c r="F15">
        <f t="shared" si="3"/>
        <v>4900</v>
      </c>
      <c r="G15">
        <f t="shared" si="4"/>
        <v>8.9992745297812794E-3</v>
      </c>
      <c r="H15">
        <f t="shared" si="5"/>
        <v>44.096445195928268</v>
      </c>
      <c r="I15" s="9">
        <f t="shared" si="6"/>
        <v>2.4962351466438881</v>
      </c>
      <c r="J15" s="9">
        <f t="shared" si="7"/>
        <v>-0.49623514664388813</v>
      </c>
    </row>
    <row r="16" spans="1:16" x14ac:dyDescent="0.25">
      <c r="E16">
        <f>SUM(E3:E9)</f>
        <v>15.195490966332132</v>
      </c>
      <c r="H16">
        <f>SUM(H3:H9)</f>
        <v>697.50467101986692</v>
      </c>
      <c r="J16" s="8">
        <f>SUM(J8,J9,J10,J11,J14,J15)</f>
        <v>40.884965230932409</v>
      </c>
    </row>
    <row r="17" spans="2:13" x14ac:dyDescent="0.25">
      <c r="J17" s="10">
        <v>0.1</v>
      </c>
    </row>
    <row r="19" spans="2:13" x14ac:dyDescent="0.25">
      <c r="B19" t="s">
        <v>5</v>
      </c>
    </row>
    <row r="20" spans="2:13" ht="15.75" thickBot="1" x14ac:dyDescent="0.3"/>
    <row r="21" spans="2:13" x14ac:dyDescent="0.25">
      <c r="B21" s="5" t="s">
        <v>6</v>
      </c>
      <c r="C21" s="5"/>
    </row>
    <row r="22" spans="2:13" x14ac:dyDescent="0.25">
      <c r="B22" s="2" t="s">
        <v>7</v>
      </c>
      <c r="C22" s="2">
        <v>0.9516925651653716</v>
      </c>
    </row>
    <row r="23" spans="2:13" x14ac:dyDescent="0.25">
      <c r="B23" s="2" t="s">
        <v>8</v>
      </c>
      <c r="C23" s="2">
        <v>0.90571873859104512</v>
      </c>
    </row>
    <row r="24" spans="2:13" x14ac:dyDescent="0.25">
      <c r="B24" s="2" t="s">
        <v>9</v>
      </c>
      <c r="C24" s="2">
        <v>0.89714771482659472</v>
      </c>
    </row>
    <row r="25" spans="2:13" x14ac:dyDescent="0.25">
      <c r="B25" s="2" t="s">
        <v>10</v>
      </c>
      <c r="C25" s="2">
        <v>0.42034630078390878</v>
      </c>
    </row>
    <row r="26" spans="2:13" ht="15.75" thickBot="1" x14ac:dyDescent="0.3">
      <c r="B26" s="3" t="s">
        <v>11</v>
      </c>
      <c r="C26" s="3">
        <v>13</v>
      </c>
    </row>
    <row r="28" spans="2:13" ht="15.75" thickBot="1" x14ac:dyDescent="0.3">
      <c r="B28" t="s">
        <v>12</v>
      </c>
    </row>
    <row r="29" spans="2:13" x14ac:dyDescent="0.25">
      <c r="B29" s="4"/>
      <c r="C29" s="4" t="s">
        <v>17</v>
      </c>
      <c r="D29" s="4" t="s">
        <v>18</v>
      </c>
      <c r="E29" s="4"/>
      <c r="F29" s="4"/>
      <c r="G29" s="4"/>
      <c r="H29" s="4"/>
      <c r="I29" s="4"/>
      <c r="J29" s="4"/>
      <c r="K29" s="4" t="s">
        <v>19</v>
      </c>
      <c r="L29" s="4" t="s">
        <v>20</v>
      </c>
      <c r="M29" s="4" t="s">
        <v>21</v>
      </c>
    </row>
    <row r="30" spans="2:13" x14ac:dyDescent="0.25">
      <c r="B30" s="2" t="s">
        <v>13</v>
      </c>
      <c r="C30" s="2">
        <v>1</v>
      </c>
      <c r="D30" s="2">
        <v>18.671323920550726</v>
      </c>
      <c r="E30" s="2"/>
      <c r="F30" s="2"/>
      <c r="G30" s="2"/>
      <c r="H30" s="2"/>
      <c r="I30" s="2"/>
      <c r="J30" s="2"/>
      <c r="K30" s="2">
        <v>18.671323920550726</v>
      </c>
      <c r="L30" s="2">
        <v>105.67217679965421</v>
      </c>
      <c r="M30" s="2">
        <v>5.6080137838171922E-7</v>
      </c>
    </row>
    <row r="31" spans="2:13" x14ac:dyDescent="0.25">
      <c r="B31" s="2" t="s">
        <v>14</v>
      </c>
      <c r="C31" s="2">
        <v>11</v>
      </c>
      <c r="D31" s="2">
        <v>1.9436011384098795</v>
      </c>
      <c r="E31" s="2"/>
      <c r="F31" s="2"/>
      <c r="G31" s="2"/>
      <c r="H31" s="2"/>
      <c r="I31" s="2"/>
      <c r="J31" s="2"/>
      <c r="K31" s="2">
        <v>0.17669101258271633</v>
      </c>
      <c r="L31" s="2"/>
      <c r="M31" s="2"/>
    </row>
    <row r="32" spans="2:13" ht="15.75" thickBot="1" x14ac:dyDescent="0.3">
      <c r="B32" s="3" t="s">
        <v>15</v>
      </c>
      <c r="C32" s="3">
        <v>12</v>
      </c>
      <c r="D32" s="3">
        <v>20.614925058960605</v>
      </c>
      <c r="E32" s="3"/>
      <c r="F32" s="3"/>
      <c r="G32" s="3"/>
      <c r="H32" s="3"/>
      <c r="I32" s="3"/>
      <c r="J32" s="3"/>
      <c r="K32" s="3"/>
      <c r="L32" s="3"/>
      <c r="M32" s="3"/>
    </row>
    <row r="33" spans="2:16" ht="15.75" thickBot="1" x14ac:dyDescent="0.3"/>
    <row r="34" spans="2:16" x14ac:dyDescent="0.25">
      <c r="B34" s="4"/>
      <c r="C34" s="4" t="s">
        <v>22</v>
      </c>
      <c r="D34" s="4" t="s">
        <v>10</v>
      </c>
      <c r="E34" s="4"/>
      <c r="F34" s="4"/>
      <c r="G34" s="4"/>
      <c r="H34" s="4"/>
      <c r="I34" s="4"/>
      <c r="J34" s="4"/>
      <c r="K34" s="4" t="s">
        <v>23</v>
      </c>
      <c r="L34" s="4" t="s">
        <v>24</v>
      </c>
      <c r="M34" s="4" t="s">
        <v>25</v>
      </c>
      <c r="N34" s="4" t="s">
        <v>26</v>
      </c>
      <c r="O34" s="4" t="s">
        <v>27</v>
      </c>
      <c r="P34" s="4" t="s">
        <v>28</v>
      </c>
    </row>
    <row r="35" spans="2:16" x14ac:dyDescent="0.25">
      <c r="B35" s="2" t="s">
        <v>16</v>
      </c>
      <c r="C35" s="2">
        <v>5.4488812058156739</v>
      </c>
      <c r="D35" s="2">
        <v>0.2751812487767053</v>
      </c>
      <c r="E35" s="2"/>
      <c r="F35" s="2"/>
      <c r="G35" s="2"/>
      <c r="H35" s="2"/>
      <c r="I35" s="2"/>
      <c r="J35" s="2"/>
      <c r="K35" s="2">
        <v>19.801062863251801</v>
      </c>
      <c r="L35" s="2">
        <v>5.9491863111714872E-10</v>
      </c>
      <c r="M35" s="2">
        <v>4.8432113609226599</v>
      </c>
      <c r="N35" s="2">
        <v>6.0545510507086879</v>
      </c>
      <c r="O35" s="2">
        <v>4.8432113609226599</v>
      </c>
      <c r="P35" s="2">
        <v>6.0545510507086879</v>
      </c>
    </row>
    <row r="36" spans="2:16" ht="15.75" thickBot="1" x14ac:dyDescent="0.3">
      <c r="B36" s="3" t="s">
        <v>29</v>
      </c>
      <c r="C36" s="3">
        <v>-6.4059251282280155E-2</v>
      </c>
      <c r="D36" s="3">
        <v>6.2316281643418807E-3</v>
      </c>
      <c r="E36" s="3"/>
      <c r="F36" s="3"/>
      <c r="G36" s="3"/>
      <c r="H36" s="3"/>
      <c r="I36" s="3"/>
      <c r="J36" s="3"/>
      <c r="K36" s="3">
        <v>-10.279697310702014</v>
      </c>
      <c r="L36" s="3">
        <v>5.6080137838171922E-7</v>
      </c>
      <c r="M36" s="3">
        <v>-7.7774972395205727E-2</v>
      </c>
      <c r="N36" s="3">
        <v>-5.0343530169354576E-2</v>
      </c>
      <c r="O36" s="3">
        <v>-7.7774972395205727E-2</v>
      </c>
      <c r="P36" s="3">
        <v>-5.0343530169354576E-2</v>
      </c>
    </row>
    <row r="39" spans="2:16" x14ac:dyDescent="0.25">
      <c r="B39" t="s">
        <v>33</v>
      </c>
      <c r="C39">
        <f>(C35+C36*10)-(C35+C36*15)</f>
        <v>0.32029625641140047</v>
      </c>
    </row>
    <row r="40" spans="2:16" x14ac:dyDescent="0.25">
      <c r="B40" t="s">
        <v>32</v>
      </c>
      <c r="C40">
        <f>EXP(C39)</f>
        <v>1.3775358077052069</v>
      </c>
    </row>
    <row r="42" spans="2:16" x14ac:dyDescent="0.25">
      <c r="B42" t="s">
        <v>35</v>
      </c>
      <c r="C42" s="6">
        <f>LN(1.4)/-5</f>
        <v>-6.7294447324242584E-2</v>
      </c>
    </row>
    <row r="43" spans="2:16" x14ac:dyDescent="0.25">
      <c r="B43" t="s">
        <v>43</v>
      </c>
      <c r="C43">
        <f>(15.1955*40000)/(PI()*H16)</f>
        <v>277.38181987704701</v>
      </c>
    </row>
    <row r="44" spans="2:16" x14ac:dyDescent="0.25">
      <c r="B44" t="s">
        <v>42</v>
      </c>
      <c r="C44" s="6">
        <f>LN(C43)</f>
        <v>5.6253949681593198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workbookViewId="0">
      <selection activeCell="M33" sqref="M33"/>
    </sheetView>
  </sheetViews>
  <sheetFormatPr defaultRowHeight="15" x14ac:dyDescent="0.25"/>
  <cols>
    <col min="1" max="1" width="22" bestFit="1" customWidth="1"/>
    <col min="2" max="2" width="9.7109375" bestFit="1" customWidth="1"/>
    <col min="9" max="9" width="14.5703125" bestFit="1" customWidth="1"/>
    <col min="12" max="12" width="14.5703125" bestFit="1" customWidth="1"/>
    <col min="13" max="13" width="9.5703125" bestFit="1" customWidth="1"/>
    <col min="14" max="14" width="10.28515625" bestFit="1" customWidth="1"/>
  </cols>
  <sheetData>
    <row r="1" spans="1:15" ht="18.75" x14ac:dyDescent="0.25">
      <c r="A1" s="16" t="s">
        <v>46</v>
      </c>
      <c r="B1" s="16" t="s">
        <v>47</v>
      </c>
      <c r="C1" s="11" t="s">
        <v>4</v>
      </c>
      <c r="D1" s="11" t="s">
        <v>36</v>
      </c>
      <c r="E1" s="11" t="s">
        <v>41</v>
      </c>
      <c r="F1" s="11" t="s">
        <v>37</v>
      </c>
      <c r="G1" s="11" t="s">
        <v>39</v>
      </c>
      <c r="H1" s="11" t="s">
        <v>40</v>
      </c>
      <c r="I1" s="11" t="s">
        <v>44</v>
      </c>
      <c r="J1" s="11" t="s">
        <v>45</v>
      </c>
      <c r="K1" s="11" t="s">
        <v>48</v>
      </c>
      <c r="L1" s="11" t="s">
        <v>49</v>
      </c>
      <c r="M1" s="11"/>
    </row>
    <row r="2" spans="1:15" x14ac:dyDescent="0.25">
      <c r="A2" s="12">
        <v>12.5</v>
      </c>
      <c r="B2" s="12">
        <v>69</v>
      </c>
      <c r="C2" s="15">
        <f>LN(B2)</f>
        <v>4.2341065045972597</v>
      </c>
      <c r="D2" s="17">
        <f>PI()*A2^2/40000</f>
        <v>1.2271846303085129E-2</v>
      </c>
      <c r="E2" s="17">
        <f>D2*B2</f>
        <v>0.84675739491287394</v>
      </c>
      <c r="F2" s="15">
        <f>A2*A2</f>
        <v>156.25</v>
      </c>
      <c r="G2" s="19">
        <f>EXP(A2*$B$42)</f>
        <v>0.51896924219350837</v>
      </c>
      <c r="H2" s="19">
        <f>G2*F2</f>
        <v>81.088944092735687</v>
      </c>
      <c r="I2" s="15">
        <f>EXP($B$44+$B$42*A2)</f>
        <v>84.994086915314483</v>
      </c>
      <c r="J2" s="20">
        <f>B2-I2</f>
        <v>-15.994086915314483</v>
      </c>
      <c r="K2" s="15">
        <f>7.4373+(0.2077*A2)</f>
        <v>10.03355</v>
      </c>
      <c r="L2" s="13">
        <f xml:space="preserve"> 0.0071+(0.00005*A2^2)+(0.00003*(A2^2*K2))+(0.00004*(A2*K2^2))-(0.0006*K2^2)</f>
        <v>5.1877553064750011E-2</v>
      </c>
      <c r="M2" s="13"/>
    </row>
    <row r="3" spans="1:15" x14ac:dyDescent="0.25">
      <c r="A3" s="12">
        <v>17.5</v>
      </c>
      <c r="B3" s="12">
        <v>55</v>
      </c>
      <c r="C3" s="15">
        <f t="shared" ref="C3:C13" si="0">LN(B3)</f>
        <v>4.0073331852324712</v>
      </c>
      <c r="D3" s="17">
        <f t="shared" ref="D3:D13" si="1">PI()*A3^2/40000</f>
        <v>2.4052818754046853E-2</v>
      </c>
      <c r="E3" s="17">
        <f t="shared" ref="E3:E13" si="2">D3*B3</f>
        <v>1.322905031472577</v>
      </c>
      <c r="F3" s="15">
        <f t="shared" ref="F3:F13" si="3">A3*A3</f>
        <v>306.25</v>
      </c>
      <c r="G3" s="19">
        <f t="shared" ref="G3:G13" si="4">EXP(A3*$B$42)</f>
        <v>0.39920710937962184</v>
      </c>
      <c r="H3" s="19">
        <f t="shared" ref="H3:H13" si="5">G3*F3</f>
        <v>122.25717724750919</v>
      </c>
      <c r="I3" s="15">
        <f t="shared" ref="I3:I13" si="6">EXP($B$44+$B$42*A3)</f>
        <v>65.38006685793421</v>
      </c>
      <c r="J3" s="20">
        <f t="shared" ref="J3:J13" si="7">B3-I3</f>
        <v>-10.38006685793421</v>
      </c>
      <c r="K3" s="15">
        <f t="shared" ref="K3:K13" si="8">7.4373+(0.2077*A3)</f>
        <v>11.072049999999999</v>
      </c>
      <c r="L3" s="13">
        <f t="shared" ref="L3:L13" si="9" xml:space="preserve"> 0.0071+(0.00005*A3^2)+(0.00003*(A3^2*K3))+(0.00004*(A3*K3^2))-(0.0006*K3^2)</f>
        <v>0.13639598849524998</v>
      </c>
      <c r="M3" s="13"/>
    </row>
    <row r="4" spans="1:15" x14ac:dyDescent="0.25">
      <c r="A4" s="12">
        <v>22.5</v>
      </c>
      <c r="B4" s="12">
        <v>35</v>
      </c>
      <c r="C4" s="15">
        <f t="shared" si="0"/>
        <v>3.5553480614894135</v>
      </c>
      <c r="D4" s="17">
        <f t="shared" si="1"/>
        <v>3.9760782021995816E-2</v>
      </c>
      <c r="E4" s="17">
        <f t="shared" si="2"/>
        <v>1.3916273707698537</v>
      </c>
      <c r="F4" s="15">
        <f t="shared" si="3"/>
        <v>506.25</v>
      </c>
      <c r="G4" s="19">
        <f t="shared" si="4"/>
        <v>0.30708239183047831</v>
      </c>
      <c r="H4" s="19">
        <f t="shared" si="5"/>
        <v>155.46046086417965</v>
      </c>
      <c r="I4" s="15">
        <f t="shared" si="6"/>
        <v>50.292359121487834</v>
      </c>
      <c r="J4" s="20">
        <f t="shared" si="7"/>
        <v>-15.292359121487834</v>
      </c>
      <c r="K4" s="15">
        <f t="shared" si="8"/>
        <v>12.11055</v>
      </c>
      <c r="L4" s="13">
        <f t="shared" si="9"/>
        <v>0.26034110451574999</v>
      </c>
      <c r="M4" s="13"/>
    </row>
    <row r="5" spans="1:15" x14ac:dyDescent="0.25">
      <c r="A5" s="12">
        <v>27.5</v>
      </c>
      <c r="B5" s="12">
        <v>33</v>
      </c>
      <c r="C5" s="15">
        <f t="shared" si="0"/>
        <v>3.4965075614664802</v>
      </c>
      <c r="D5" s="17">
        <f t="shared" si="1"/>
        <v>5.939573610693203E-2</v>
      </c>
      <c r="E5" s="17">
        <f t="shared" si="2"/>
        <v>1.9600592915287569</v>
      </c>
      <c r="F5" s="15">
        <f t="shared" si="3"/>
        <v>756.25</v>
      </c>
      <c r="G5" s="19">
        <f t="shared" si="4"/>
        <v>0.23621722448498331</v>
      </c>
      <c r="H5" s="19">
        <f t="shared" si="5"/>
        <v>178.63927601676863</v>
      </c>
      <c r="I5" s="15">
        <f t="shared" si="6"/>
        <v>38.686430093452174</v>
      </c>
      <c r="J5" s="20">
        <f t="shared" si="7"/>
        <v>-5.6864300934521737</v>
      </c>
      <c r="K5" s="15">
        <f t="shared" si="8"/>
        <v>13.149049999999999</v>
      </c>
      <c r="L5" s="13">
        <f t="shared" si="9"/>
        <v>0.42968032982624993</v>
      </c>
      <c r="M5" s="13"/>
    </row>
    <row r="6" spans="1:15" x14ac:dyDescent="0.25">
      <c r="A6" s="12">
        <v>32.5</v>
      </c>
      <c r="B6" s="12">
        <v>29</v>
      </c>
      <c r="C6" s="15">
        <f t="shared" si="0"/>
        <v>3.3672958299864741</v>
      </c>
      <c r="D6" s="17">
        <f t="shared" si="1"/>
        <v>8.2957681008855477E-2</v>
      </c>
      <c r="E6" s="17">
        <f t="shared" si="2"/>
        <v>2.4057727492568088</v>
      </c>
      <c r="F6" s="15">
        <f t="shared" si="3"/>
        <v>1056.25</v>
      </c>
      <c r="G6" s="19">
        <f t="shared" si="4"/>
        <v>0.18170555729614102</v>
      </c>
      <c r="H6" s="19">
        <f t="shared" si="5"/>
        <v>191.92649489404894</v>
      </c>
      <c r="I6" s="15">
        <f t="shared" si="6"/>
        <v>29.758792379578601</v>
      </c>
      <c r="J6" s="20">
        <f t="shared" si="7"/>
        <v>-0.75879237957860113</v>
      </c>
      <c r="K6" s="15">
        <f t="shared" si="8"/>
        <v>14.187549999999998</v>
      </c>
      <c r="L6" s="13">
        <f t="shared" si="9"/>
        <v>0.65038109312674997</v>
      </c>
      <c r="M6" s="13"/>
    </row>
    <row r="7" spans="1:15" x14ac:dyDescent="0.25">
      <c r="A7" s="12">
        <v>37.5</v>
      </c>
      <c r="B7" s="12">
        <v>24</v>
      </c>
      <c r="C7" s="15">
        <f t="shared" si="0"/>
        <v>3.1780538303479458</v>
      </c>
      <c r="D7" s="17">
        <f t="shared" si="1"/>
        <v>0.11044661672776618</v>
      </c>
      <c r="E7" s="17">
        <f t="shared" si="2"/>
        <v>2.6507188014663883</v>
      </c>
      <c r="F7" s="15">
        <f t="shared" si="3"/>
        <v>1406.25</v>
      </c>
      <c r="G7" s="19">
        <f t="shared" si="4"/>
        <v>0.13977350561241617</v>
      </c>
      <c r="H7" s="19">
        <f t="shared" si="5"/>
        <v>196.55649226746024</v>
      </c>
      <c r="I7" s="15">
        <f t="shared" si="6"/>
        <v>22.891378753522005</v>
      </c>
      <c r="J7" s="20">
        <f t="shared" si="7"/>
        <v>1.1086212464779948</v>
      </c>
      <c r="K7" s="15">
        <f t="shared" si="8"/>
        <v>15.226050000000001</v>
      </c>
      <c r="L7" s="13">
        <f t="shared" si="9"/>
        <v>0.92841082311724998</v>
      </c>
      <c r="M7" s="13"/>
    </row>
    <row r="8" spans="1:15" x14ac:dyDescent="0.25">
      <c r="A8" s="12">
        <v>42.5</v>
      </c>
      <c r="B8" s="12">
        <v>27</v>
      </c>
      <c r="C8" s="15">
        <f t="shared" si="0"/>
        <v>3.2958368660043291</v>
      </c>
      <c r="D8" s="17">
        <f t="shared" si="1"/>
        <v>0.1418625432636641</v>
      </c>
      <c r="E8" s="17">
        <f t="shared" si="2"/>
        <v>3.8302886681189308</v>
      </c>
      <c r="F8" s="15">
        <f t="shared" si="3"/>
        <v>1806.25</v>
      </c>
      <c r="G8" s="19">
        <f t="shared" si="4"/>
        <v>0.10751808124032013</v>
      </c>
      <c r="H8" s="19">
        <f t="shared" si="5"/>
        <v>194.20453424032823</v>
      </c>
      <c r="I8" s="15">
        <f t="shared" si="6"/>
        <v>17.608752887324616</v>
      </c>
      <c r="J8" s="20">
        <f t="shared" si="7"/>
        <v>9.3912471126753836</v>
      </c>
      <c r="K8" s="15">
        <f t="shared" si="8"/>
        <v>16.26455</v>
      </c>
      <c r="L8" s="13">
        <f t="shared" si="9"/>
        <v>1.2697369484977499</v>
      </c>
      <c r="M8" s="13"/>
    </row>
    <row r="9" spans="1:15" x14ac:dyDescent="0.25">
      <c r="A9" s="11">
        <v>47.5</v>
      </c>
      <c r="B9" s="11">
        <v>29</v>
      </c>
      <c r="C9" s="15">
        <f t="shared" si="0"/>
        <v>3.3672958299864741</v>
      </c>
      <c r="D9" s="17">
        <f t="shared" si="1"/>
        <v>0.17720546061654927</v>
      </c>
      <c r="E9" s="17">
        <f t="shared" si="2"/>
        <v>5.1389583578799289</v>
      </c>
      <c r="F9" s="15">
        <f t="shared" si="3"/>
        <v>2256.25</v>
      </c>
      <c r="G9" s="19">
        <f t="shared" si="4"/>
        <v>8.2706216338707797E-2</v>
      </c>
      <c r="H9" s="19">
        <f t="shared" si="5"/>
        <v>186.60590061420947</v>
      </c>
      <c r="I9" s="15">
        <f t="shared" si="6"/>
        <v>13.545194528711246</v>
      </c>
      <c r="J9" s="15">
        <f t="shared" si="7"/>
        <v>15.454805471288754</v>
      </c>
      <c r="K9" s="15">
        <f t="shared" si="8"/>
        <v>17.303049999999999</v>
      </c>
      <c r="L9" s="13">
        <f t="shared" si="9"/>
        <v>1.6803268979682504</v>
      </c>
      <c r="M9" s="13"/>
    </row>
    <row r="10" spans="1:15" x14ac:dyDescent="0.25">
      <c r="A10" s="11">
        <v>52.5</v>
      </c>
      <c r="B10" s="11">
        <v>13</v>
      </c>
      <c r="C10" s="15">
        <f t="shared" si="0"/>
        <v>2.5649493574615367</v>
      </c>
      <c r="D10" s="17">
        <f t="shared" si="1"/>
        <v>0.21647536878642168</v>
      </c>
      <c r="E10" s="17">
        <f t="shared" si="2"/>
        <v>2.8141797942234819</v>
      </c>
      <c r="F10" s="15">
        <f t="shared" si="3"/>
        <v>2756.25</v>
      </c>
      <c r="G10" s="19">
        <f t="shared" si="4"/>
        <v>6.3620166414390597E-2</v>
      </c>
      <c r="H10" s="19">
        <f t="shared" si="5"/>
        <v>175.35308367966408</v>
      </c>
      <c r="I10" s="15">
        <f t="shared" si="6"/>
        <v>10.419380406700956</v>
      </c>
      <c r="J10" s="15">
        <f t="shared" si="7"/>
        <v>2.5806195932990441</v>
      </c>
      <c r="K10" s="15">
        <f t="shared" si="8"/>
        <v>18.341549999999998</v>
      </c>
      <c r="L10" s="13">
        <f t="shared" si="9"/>
        <v>2.1661481002287495</v>
      </c>
      <c r="M10" s="13"/>
    </row>
    <row r="11" spans="1:15" x14ac:dyDescent="0.25">
      <c r="A11" s="11">
        <v>57.5</v>
      </c>
      <c r="B11" s="11">
        <v>7</v>
      </c>
      <c r="C11" s="15">
        <f t="shared" si="0"/>
        <v>1.9459101490553132</v>
      </c>
      <c r="D11" s="17">
        <f t="shared" si="1"/>
        <v>0.25967226777328134</v>
      </c>
      <c r="E11" s="17">
        <f t="shared" si="2"/>
        <v>1.8177058744129693</v>
      </c>
      <c r="F11" s="15">
        <f t="shared" si="3"/>
        <v>3306.25</v>
      </c>
      <c r="G11" s="19">
        <f t="shared" si="4"/>
        <v>4.8938589549531245E-2</v>
      </c>
      <c r="H11" s="19">
        <f t="shared" si="5"/>
        <v>161.80321169813769</v>
      </c>
      <c r="I11" s="15">
        <f t="shared" si="6"/>
        <v>8.0149080051545827</v>
      </c>
      <c r="J11" s="15">
        <f t="shared" si="7"/>
        <v>-1.0149080051545827</v>
      </c>
      <c r="K11" s="15">
        <f t="shared" si="8"/>
        <v>19.380050000000001</v>
      </c>
      <c r="L11" s="13">
        <f t="shared" si="9"/>
        <v>2.7331679839792504</v>
      </c>
      <c r="M11" s="13"/>
    </row>
    <row r="12" spans="1:15" x14ac:dyDescent="0.25">
      <c r="A12" s="11">
        <v>62.5</v>
      </c>
      <c r="B12" s="11">
        <v>5</v>
      </c>
      <c r="C12" s="15">
        <f t="shared" si="0"/>
        <v>1.6094379124341003</v>
      </c>
      <c r="D12" s="17">
        <f t="shared" si="1"/>
        <v>0.30679615757712825</v>
      </c>
      <c r="E12" s="17">
        <f t="shared" si="2"/>
        <v>1.5339807878856413</v>
      </c>
      <c r="F12" s="15">
        <f t="shared" si="3"/>
        <v>3906.25</v>
      </c>
      <c r="G12" s="19">
        <f t="shared" si="4"/>
        <v>3.7645068884254791E-2</v>
      </c>
      <c r="H12" s="19">
        <f t="shared" si="5"/>
        <v>147.05105032912027</v>
      </c>
      <c r="I12" s="15">
        <f t="shared" si="6"/>
        <v>6.1653138501189089</v>
      </c>
      <c r="J12" s="15">
        <f t="shared" si="7"/>
        <v>-1.1653138501189089</v>
      </c>
      <c r="K12" s="15">
        <f t="shared" si="8"/>
        <v>20.41855</v>
      </c>
      <c r="L12" s="13">
        <f t="shared" si="9"/>
        <v>3.3873539779197501</v>
      </c>
      <c r="M12" s="13"/>
    </row>
    <row r="13" spans="1:15" x14ac:dyDescent="0.25">
      <c r="A13" s="11">
        <v>67.5</v>
      </c>
      <c r="B13" s="11">
        <v>2</v>
      </c>
      <c r="C13" s="15">
        <f t="shared" si="0"/>
        <v>0.69314718055994529</v>
      </c>
      <c r="D13" s="17">
        <f t="shared" si="1"/>
        <v>0.35784703819796237</v>
      </c>
      <c r="E13" s="17">
        <f t="shared" si="2"/>
        <v>0.71569407639592475</v>
      </c>
      <c r="F13" s="15">
        <f t="shared" si="3"/>
        <v>4556.25</v>
      </c>
      <c r="G13" s="19">
        <f t="shared" si="4"/>
        <v>2.8957745295580616E-2</v>
      </c>
      <c r="H13" s="19">
        <f t="shared" si="5"/>
        <v>131.93872700298917</v>
      </c>
      <c r="I13" s="15">
        <f t="shared" si="6"/>
        <v>4.742549115476085</v>
      </c>
      <c r="J13" s="15">
        <f t="shared" si="7"/>
        <v>-2.742549115476085</v>
      </c>
      <c r="K13" s="15">
        <f t="shared" si="8"/>
        <v>21.457049999999999</v>
      </c>
      <c r="L13" s="13">
        <f t="shared" si="9"/>
        <v>4.1346735107502504</v>
      </c>
      <c r="M13" s="13"/>
    </row>
    <row r="14" spans="1:15" x14ac:dyDescent="0.25">
      <c r="E14" s="13">
        <f>SUM(E2:E8)</f>
        <v>14.408129307526188</v>
      </c>
      <c r="G14" s="1"/>
      <c r="H14" s="1">
        <f>SUM(H2:H8)</f>
        <v>1120.1333796230306</v>
      </c>
      <c r="J14" s="15">
        <f>1+9+16+3</f>
        <v>29</v>
      </c>
      <c r="L14" s="13"/>
      <c r="M14" s="13"/>
    </row>
    <row r="15" spans="1:15" x14ac:dyDescent="0.25">
      <c r="I15" t="s">
        <v>50</v>
      </c>
      <c r="J15" s="15">
        <f>84*J14</f>
        <v>2436</v>
      </c>
      <c r="L15" t="s">
        <v>52</v>
      </c>
      <c r="M15" s="13">
        <f>1*L7+9*L8+16*L9+3*L10</f>
        <v>45.739718027775254</v>
      </c>
      <c r="N15" t="s">
        <v>54</v>
      </c>
      <c r="O15" s="14">
        <f>M15/M16</f>
        <v>27.915604533277541</v>
      </c>
    </row>
    <row r="16" spans="1:15" x14ac:dyDescent="0.25">
      <c r="I16" t="s">
        <v>51</v>
      </c>
      <c r="J16" s="14">
        <f>J15*100/(SUM(B2:B13)*84)</f>
        <v>8.8414634146341466</v>
      </c>
      <c r="L16" t="s">
        <v>53</v>
      </c>
      <c r="M16">
        <f>0.0565*29</f>
        <v>1.6385000000000001</v>
      </c>
    </row>
    <row r="19" spans="1:6" x14ac:dyDescent="0.25">
      <c r="A19" t="s">
        <v>5</v>
      </c>
    </row>
    <row r="20" spans="1:6" ht="15.75" thickBot="1" x14ac:dyDescent="0.3"/>
    <row r="21" spans="1:6" x14ac:dyDescent="0.25">
      <c r="A21" s="5" t="s">
        <v>6</v>
      </c>
      <c r="B21" s="5"/>
    </row>
    <row r="22" spans="1:6" x14ac:dyDescent="0.25">
      <c r="A22" s="2" t="s">
        <v>7</v>
      </c>
      <c r="B22" s="2">
        <v>0.92147225478356698</v>
      </c>
    </row>
    <row r="23" spans="1:6" x14ac:dyDescent="0.25">
      <c r="A23" s="2" t="s">
        <v>8</v>
      </c>
      <c r="B23" s="2">
        <v>0.84911111633591096</v>
      </c>
    </row>
    <row r="24" spans="1:6" x14ac:dyDescent="0.25">
      <c r="A24" s="2" t="s">
        <v>9</v>
      </c>
      <c r="B24" s="2">
        <v>0.83402222796950198</v>
      </c>
    </row>
    <row r="25" spans="1:6" x14ac:dyDescent="0.25">
      <c r="A25" s="2" t="s">
        <v>10</v>
      </c>
      <c r="B25" s="2">
        <v>0.4254880050539267</v>
      </c>
    </row>
    <row r="26" spans="1:6" ht="15.75" thickBot="1" x14ac:dyDescent="0.3">
      <c r="A26" s="3" t="s">
        <v>11</v>
      </c>
      <c r="B26" s="3">
        <v>12</v>
      </c>
    </row>
    <row r="28" spans="1:6" ht="15.75" thickBot="1" x14ac:dyDescent="0.3">
      <c r="A28" t="s">
        <v>12</v>
      </c>
    </row>
    <row r="29" spans="1:6" x14ac:dyDescent="0.25">
      <c r="A29" s="4"/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0" spans="1:6" x14ac:dyDescent="0.25">
      <c r="A30" s="2" t="s">
        <v>13</v>
      </c>
      <c r="B30" s="2">
        <v>1</v>
      </c>
      <c r="C30" s="2">
        <v>10.187835499134598</v>
      </c>
      <c r="D30" s="2">
        <v>10.187835499134598</v>
      </c>
      <c r="E30" s="2">
        <v>56.273934548168185</v>
      </c>
      <c r="F30" s="2">
        <v>2.0590210727263534E-5</v>
      </c>
    </row>
    <row r="31" spans="1:6" x14ac:dyDescent="0.25">
      <c r="A31" s="2" t="s">
        <v>14</v>
      </c>
      <c r="B31" s="2">
        <v>10</v>
      </c>
      <c r="C31" s="2">
        <v>1.8104004244477037</v>
      </c>
      <c r="D31" s="2">
        <v>0.18104004244477037</v>
      </c>
      <c r="E31" s="2"/>
      <c r="F31" s="2"/>
    </row>
    <row r="32" spans="1:6" ht="15.75" thickBot="1" x14ac:dyDescent="0.3">
      <c r="A32" s="3" t="s">
        <v>15</v>
      </c>
      <c r="B32" s="3">
        <v>11</v>
      </c>
      <c r="C32" s="3">
        <v>11.998235923582302</v>
      </c>
      <c r="D32" s="3"/>
      <c r="E32" s="3"/>
      <c r="F32" s="3"/>
    </row>
    <row r="33" spans="1:9" ht="15.75" thickBot="1" x14ac:dyDescent="0.3"/>
    <row r="34" spans="1:9" x14ac:dyDescent="0.25">
      <c r="A34" s="4"/>
      <c r="B34" s="4" t="s">
        <v>22</v>
      </c>
      <c r="C34" s="4" t="s">
        <v>10</v>
      </c>
      <c r="D34" s="4" t="s">
        <v>23</v>
      </c>
      <c r="E34" s="4" t="s">
        <v>24</v>
      </c>
      <c r="F34" s="4" t="s">
        <v>25</v>
      </c>
      <c r="G34" s="4" t="s">
        <v>26</v>
      </c>
      <c r="H34" s="4" t="s">
        <v>27</v>
      </c>
      <c r="I34" s="4" t="s">
        <v>28</v>
      </c>
    </row>
    <row r="35" spans="1:9" x14ac:dyDescent="0.25">
      <c r="A35" s="2" t="s">
        <v>16</v>
      </c>
      <c r="B35" s="2">
        <v>5.0782550041847587</v>
      </c>
      <c r="C35" s="2">
        <v>0.31001868379968139</v>
      </c>
      <c r="D35" s="2">
        <v>16.380480498607863</v>
      </c>
      <c r="E35" s="2">
        <v>1.4961766030346517E-8</v>
      </c>
      <c r="F35" s="2">
        <v>4.3874903299690411</v>
      </c>
      <c r="G35" s="2">
        <v>5.7690196784004764</v>
      </c>
      <c r="H35" s="2">
        <v>4.3874903299690411</v>
      </c>
      <c r="I35" s="2">
        <v>5.7690196784004764</v>
      </c>
    </row>
    <row r="36" spans="1:9" ht="15.75" thickBot="1" x14ac:dyDescent="0.3">
      <c r="A36" s="3" t="s">
        <v>29</v>
      </c>
      <c r="B36" s="3">
        <v>-5.338299537832366E-2</v>
      </c>
      <c r="C36" s="3">
        <v>7.1162188916040568E-3</v>
      </c>
      <c r="D36" s="3">
        <v>-7.5015954668435834</v>
      </c>
      <c r="E36" s="3">
        <v>2.05902107272635E-5</v>
      </c>
      <c r="F36" s="3">
        <v>-6.9238919169945359E-2</v>
      </c>
      <c r="G36" s="3">
        <v>-3.752707158670196E-2</v>
      </c>
      <c r="H36" s="3">
        <v>-6.9238919169945359E-2</v>
      </c>
      <c r="I36" s="3">
        <v>-3.752707158670196E-2</v>
      </c>
    </row>
    <row r="39" spans="1:9" x14ac:dyDescent="0.25">
      <c r="A39" t="s">
        <v>33</v>
      </c>
      <c r="B39">
        <f>(B35+B36*10)-(B35+B36*15)</f>
        <v>0.26691497689161903</v>
      </c>
    </row>
    <row r="40" spans="1:9" x14ac:dyDescent="0.25">
      <c r="A40" t="s">
        <v>32</v>
      </c>
      <c r="B40" s="14">
        <f>EXP(B39)</f>
        <v>1.305929407432739</v>
      </c>
    </row>
    <row r="42" spans="1:9" x14ac:dyDescent="0.25">
      <c r="A42" t="s">
        <v>35</v>
      </c>
      <c r="B42" s="18">
        <f>LN(1.3)/-5</f>
        <v>-5.2472852893498213E-2</v>
      </c>
    </row>
    <row r="43" spans="1:9" x14ac:dyDescent="0.25">
      <c r="A43" t="s">
        <v>43</v>
      </c>
      <c r="B43" s="1">
        <f>(14.4081*40000)/(PI()*H14)</f>
        <v>163.77480591349317</v>
      </c>
    </row>
    <row r="44" spans="1:9" x14ac:dyDescent="0.25">
      <c r="A44" t="s">
        <v>42</v>
      </c>
      <c r="B44" s="21">
        <f>LN(B43)</f>
        <v>5.0984923495370555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opLeftCell="A4" workbookViewId="0">
      <selection activeCell="L33" sqref="L33"/>
    </sheetView>
  </sheetViews>
  <sheetFormatPr defaultRowHeight="15" x14ac:dyDescent="0.25"/>
  <cols>
    <col min="1" max="1" width="22" bestFit="1" customWidth="1"/>
    <col min="2" max="2" width="9.7109375" bestFit="1" customWidth="1"/>
    <col min="9" max="9" width="14.5703125" bestFit="1" customWidth="1"/>
    <col min="12" max="12" width="14.5703125" bestFit="1" customWidth="1"/>
    <col min="13" max="13" width="9.5703125" bestFit="1" customWidth="1"/>
    <col min="14" max="14" width="10.28515625" bestFit="1" customWidth="1"/>
  </cols>
  <sheetData>
    <row r="1" spans="1:15" ht="18.75" x14ac:dyDescent="0.25">
      <c r="A1" s="16" t="s">
        <v>46</v>
      </c>
      <c r="B1" s="16" t="s">
        <v>47</v>
      </c>
      <c r="C1" s="11" t="s">
        <v>4</v>
      </c>
      <c r="D1" s="11" t="s">
        <v>36</v>
      </c>
      <c r="E1" s="11" t="s">
        <v>41</v>
      </c>
      <c r="F1" s="11" t="s">
        <v>37</v>
      </c>
      <c r="G1" s="11" t="s">
        <v>39</v>
      </c>
      <c r="H1" s="11" t="s">
        <v>40</v>
      </c>
      <c r="I1" s="11" t="s">
        <v>44</v>
      </c>
      <c r="J1" s="11" t="s">
        <v>45</v>
      </c>
      <c r="K1" s="11" t="s">
        <v>48</v>
      </c>
      <c r="L1" s="11" t="s">
        <v>49</v>
      </c>
      <c r="M1" s="11"/>
    </row>
    <row r="2" spans="1:15" x14ac:dyDescent="0.25">
      <c r="A2" s="12">
        <v>12.5</v>
      </c>
      <c r="B2" s="12">
        <v>69</v>
      </c>
      <c r="C2" s="15">
        <f>LN(B2)</f>
        <v>4.2341065045972597</v>
      </c>
      <c r="D2" s="17">
        <f>PI()*A2^2/40000</f>
        <v>1.2271846303085129E-2</v>
      </c>
      <c r="E2" s="17">
        <f>D2*B2</f>
        <v>0.84675739491287394</v>
      </c>
      <c r="F2" s="15">
        <f>A2*A2</f>
        <v>156.25</v>
      </c>
      <c r="G2" s="19">
        <f>EXP(A2*$B$42)</f>
        <v>0.78798561094677033</v>
      </c>
      <c r="H2" s="19">
        <f>G2*F2</f>
        <v>123.12275171043287</v>
      </c>
      <c r="I2" s="15">
        <f>EXP($B$44+$B$42*A2)</f>
        <v>45.459927833606898</v>
      </c>
      <c r="J2" s="20">
        <f>B2-I2</f>
        <v>23.540072166393102</v>
      </c>
      <c r="K2" s="15">
        <f>7.4373+(0.2077*A2)</f>
        <v>10.03355</v>
      </c>
      <c r="L2" s="13">
        <f xml:space="preserve"> 0.0071+(0.00005*A2^2)+(0.00003*(A2^2*K2))+(0.00004*(A2*K2^2))-(0.0006*K2^2)</f>
        <v>5.1877553064750011E-2</v>
      </c>
      <c r="M2" s="13"/>
    </row>
    <row r="3" spans="1:15" x14ac:dyDescent="0.25">
      <c r="A3" s="12">
        <v>17.5</v>
      </c>
      <c r="B3" s="12">
        <v>55</v>
      </c>
      <c r="C3" s="15">
        <f t="shared" ref="C3:C13" si="0">LN(B3)</f>
        <v>4.0073331852324712</v>
      </c>
      <c r="D3" s="17">
        <f t="shared" ref="D3:D13" si="1">PI()*A3^2/40000</f>
        <v>2.4052818754046853E-2</v>
      </c>
      <c r="E3" s="17">
        <f t="shared" ref="E3:E13" si="2">D3*B3</f>
        <v>1.322905031472577</v>
      </c>
      <c r="F3" s="15">
        <f t="shared" ref="F3:F13" si="3">A3*A3</f>
        <v>306.25</v>
      </c>
      <c r="G3" s="19">
        <f t="shared" ref="G3:G13" si="4">EXP(A3*$B$42)</f>
        <v>0.71635055540615489</v>
      </c>
      <c r="H3" s="19">
        <f t="shared" ref="H3:H13" si="5">G3*F3</f>
        <v>219.38235759313494</v>
      </c>
      <c r="I3" s="15">
        <f t="shared" ref="I3:I13" si="6">EXP($B$44+$B$42*A3)</f>
        <v>41.327207121460816</v>
      </c>
      <c r="J3" s="20">
        <f t="shared" ref="J3:J13" si="7">B3-I3</f>
        <v>13.672792878539184</v>
      </c>
      <c r="K3" s="15">
        <f t="shared" ref="K3:K13" si="8">7.4373+(0.2077*A3)</f>
        <v>11.072049999999999</v>
      </c>
      <c r="L3" s="13">
        <f t="shared" ref="L3:L13" si="9" xml:space="preserve"> 0.0071+(0.00005*A3^2)+(0.00003*(A3^2*K3))+(0.00004*(A3*K3^2))-(0.0006*K3^2)</f>
        <v>0.13639598849524998</v>
      </c>
      <c r="M3" s="13"/>
    </row>
    <row r="4" spans="1:15" x14ac:dyDescent="0.25">
      <c r="A4" s="12">
        <v>22.5</v>
      </c>
      <c r="B4" s="12">
        <v>35</v>
      </c>
      <c r="C4" s="15">
        <f t="shared" si="0"/>
        <v>3.5553480614894135</v>
      </c>
      <c r="D4" s="17">
        <f t="shared" si="1"/>
        <v>3.9760782021995816E-2</v>
      </c>
      <c r="E4" s="17">
        <f t="shared" si="2"/>
        <v>1.3916273707698537</v>
      </c>
      <c r="F4" s="15">
        <f t="shared" si="3"/>
        <v>506.25</v>
      </c>
      <c r="G4" s="19">
        <f t="shared" si="4"/>
        <v>0.65122777764195894</v>
      </c>
      <c r="H4" s="19">
        <f t="shared" si="5"/>
        <v>329.68406243124173</v>
      </c>
      <c r="I4" s="15">
        <f t="shared" si="6"/>
        <v>37.570188292237098</v>
      </c>
      <c r="J4" s="20">
        <f t="shared" si="7"/>
        <v>-2.5701882922370984</v>
      </c>
      <c r="K4" s="15">
        <f t="shared" si="8"/>
        <v>12.11055</v>
      </c>
      <c r="L4" s="13">
        <f t="shared" si="9"/>
        <v>0.26034110451574999</v>
      </c>
      <c r="M4" s="13"/>
    </row>
    <row r="5" spans="1:15" x14ac:dyDescent="0.25">
      <c r="A5" s="12">
        <v>27.5</v>
      </c>
      <c r="B5" s="12">
        <v>33</v>
      </c>
      <c r="C5" s="15">
        <f t="shared" si="0"/>
        <v>3.4965075614664802</v>
      </c>
      <c r="D5" s="17">
        <f t="shared" si="1"/>
        <v>5.939573610693203E-2</v>
      </c>
      <c r="E5" s="17">
        <f t="shared" si="2"/>
        <v>1.9600592915287569</v>
      </c>
      <c r="F5" s="15">
        <f t="shared" si="3"/>
        <v>756.25</v>
      </c>
      <c r="G5" s="19">
        <f t="shared" si="4"/>
        <v>0.59202525240178072</v>
      </c>
      <c r="H5" s="19">
        <f t="shared" si="5"/>
        <v>447.71909712884667</v>
      </c>
      <c r="I5" s="15">
        <f t="shared" si="6"/>
        <v>34.154716629306456</v>
      </c>
      <c r="J5" s="20">
        <f t="shared" si="7"/>
        <v>-1.1547166293064564</v>
      </c>
      <c r="K5" s="15">
        <f t="shared" si="8"/>
        <v>13.149049999999999</v>
      </c>
      <c r="L5" s="13">
        <f t="shared" si="9"/>
        <v>0.42968032982624993</v>
      </c>
      <c r="M5" s="13"/>
    </row>
    <row r="6" spans="1:15" x14ac:dyDescent="0.25">
      <c r="A6" s="12">
        <v>32.5</v>
      </c>
      <c r="B6" s="12">
        <v>29</v>
      </c>
      <c r="C6" s="15">
        <f t="shared" si="0"/>
        <v>3.3672958299864741</v>
      </c>
      <c r="D6" s="17">
        <f t="shared" si="1"/>
        <v>8.2957681008855477E-2</v>
      </c>
      <c r="E6" s="17">
        <f t="shared" si="2"/>
        <v>2.4057727492568088</v>
      </c>
      <c r="F6" s="15">
        <f t="shared" si="3"/>
        <v>1056.25</v>
      </c>
      <c r="G6" s="19">
        <f t="shared" si="4"/>
        <v>0.53820477491070973</v>
      </c>
      <c r="H6" s="19">
        <f t="shared" si="5"/>
        <v>568.47879349943719</v>
      </c>
      <c r="I6" s="15">
        <f t="shared" si="6"/>
        <v>31.049742390278581</v>
      </c>
      <c r="J6" s="20">
        <f t="shared" si="7"/>
        <v>-2.0497423902785812</v>
      </c>
      <c r="K6" s="15">
        <f t="shared" si="8"/>
        <v>14.187549999999998</v>
      </c>
      <c r="L6" s="13">
        <f t="shared" si="9"/>
        <v>0.65038109312674997</v>
      </c>
      <c r="M6" s="13"/>
    </row>
    <row r="7" spans="1:15" x14ac:dyDescent="0.25">
      <c r="A7" s="12">
        <v>37.5</v>
      </c>
      <c r="B7" s="12">
        <v>24</v>
      </c>
      <c r="C7" s="15">
        <f t="shared" si="0"/>
        <v>3.1780538303479458</v>
      </c>
      <c r="D7" s="17">
        <f t="shared" si="1"/>
        <v>0.11044661672776618</v>
      </c>
      <c r="E7" s="17">
        <f t="shared" si="2"/>
        <v>2.6507188014663883</v>
      </c>
      <c r="F7" s="15">
        <f t="shared" si="3"/>
        <v>1406.25</v>
      </c>
      <c r="G7" s="19">
        <f t="shared" si="4"/>
        <v>0.4892770681006452</v>
      </c>
      <c r="H7" s="19">
        <f t="shared" si="5"/>
        <v>688.04587701653236</v>
      </c>
      <c r="I7" s="15">
        <f t="shared" si="6"/>
        <v>28.227038536616895</v>
      </c>
      <c r="J7" s="20">
        <f t="shared" si="7"/>
        <v>-4.2270385366168952</v>
      </c>
      <c r="K7" s="15">
        <f t="shared" si="8"/>
        <v>15.226050000000001</v>
      </c>
      <c r="L7" s="13">
        <f t="shared" si="9"/>
        <v>0.92841082311724998</v>
      </c>
      <c r="M7" s="13"/>
    </row>
    <row r="8" spans="1:15" x14ac:dyDescent="0.25">
      <c r="A8" s="12">
        <v>42.5</v>
      </c>
      <c r="B8" s="12">
        <v>27</v>
      </c>
      <c r="C8" s="15">
        <f t="shared" si="0"/>
        <v>3.2958368660043291</v>
      </c>
      <c r="D8" s="17">
        <f t="shared" si="1"/>
        <v>0.1418625432636641</v>
      </c>
      <c r="E8" s="17">
        <f t="shared" si="2"/>
        <v>3.8302886681189308</v>
      </c>
      <c r="F8" s="15">
        <f t="shared" si="3"/>
        <v>1806.25</v>
      </c>
      <c r="G8" s="19">
        <f t="shared" si="4"/>
        <v>0.44479733463695015</v>
      </c>
      <c r="H8" s="19">
        <f t="shared" si="5"/>
        <v>803.4151856879912</v>
      </c>
      <c r="I8" s="15">
        <f t="shared" si="6"/>
        <v>25.660944124197179</v>
      </c>
      <c r="J8" s="20">
        <f t="shared" si="7"/>
        <v>1.3390558758028206</v>
      </c>
      <c r="K8" s="15">
        <f t="shared" si="8"/>
        <v>16.26455</v>
      </c>
      <c r="L8" s="13">
        <f t="shared" si="9"/>
        <v>1.2697369484977499</v>
      </c>
      <c r="M8" s="13"/>
    </row>
    <row r="9" spans="1:15" x14ac:dyDescent="0.25">
      <c r="A9" s="11">
        <v>47.5</v>
      </c>
      <c r="B9" s="11">
        <v>29</v>
      </c>
      <c r="C9" s="15">
        <f t="shared" si="0"/>
        <v>3.3672958299864741</v>
      </c>
      <c r="D9" s="17">
        <f t="shared" si="1"/>
        <v>0.17720546061654927</v>
      </c>
      <c r="E9" s="17">
        <f t="shared" si="2"/>
        <v>5.1389583578799289</v>
      </c>
      <c r="F9" s="15">
        <f t="shared" si="3"/>
        <v>2256.25</v>
      </c>
      <c r="G9" s="19">
        <f t="shared" si="4"/>
        <v>0.4043612133063183</v>
      </c>
      <c r="H9" s="19">
        <f t="shared" si="5"/>
        <v>912.33998752238062</v>
      </c>
      <c r="I9" s="15">
        <f t="shared" si="6"/>
        <v>23.328131021997439</v>
      </c>
      <c r="J9" s="15">
        <f t="shared" si="7"/>
        <v>5.6718689780025606</v>
      </c>
      <c r="K9" s="15">
        <f t="shared" si="8"/>
        <v>17.303049999999999</v>
      </c>
      <c r="L9" s="13">
        <f t="shared" si="9"/>
        <v>1.6803268979682504</v>
      </c>
      <c r="M9" s="13"/>
    </row>
    <row r="10" spans="1:15" x14ac:dyDescent="0.25">
      <c r="A10" s="11">
        <v>52.5</v>
      </c>
      <c r="B10" s="11">
        <v>13</v>
      </c>
      <c r="C10" s="15">
        <f t="shared" si="0"/>
        <v>2.5649493574615367</v>
      </c>
      <c r="D10" s="17">
        <f t="shared" si="1"/>
        <v>0.21647536878642168</v>
      </c>
      <c r="E10" s="17">
        <f t="shared" si="2"/>
        <v>2.8141797942234819</v>
      </c>
      <c r="F10" s="15">
        <f t="shared" si="3"/>
        <v>2756.25</v>
      </c>
      <c r="G10" s="19">
        <f t="shared" si="4"/>
        <v>0.36760110300574383</v>
      </c>
      <c r="H10" s="19">
        <f t="shared" si="5"/>
        <v>1013.2005401595815</v>
      </c>
      <c r="I10" s="15">
        <f t="shared" si="6"/>
        <v>21.207391838179483</v>
      </c>
      <c r="J10" s="15">
        <f t="shared" si="7"/>
        <v>-8.2073918381794826</v>
      </c>
      <c r="K10" s="15">
        <f t="shared" si="8"/>
        <v>18.341549999999998</v>
      </c>
      <c r="L10" s="13">
        <f t="shared" si="9"/>
        <v>2.1661481002287495</v>
      </c>
      <c r="M10" s="13"/>
    </row>
    <row r="11" spans="1:15" x14ac:dyDescent="0.25">
      <c r="A11" s="11">
        <v>57.5</v>
      </c>
      <c r="B11" s="11">
        <v>7</v>
      </c>
      <c r="C11" s="15">
        <f t="shared" si="0"/>
        <v>1.9459101490553132</v>
      </c>
      <c r="D11" s="17">
        <f t="shared" si="1"/>
        <v>0.25967226777328134</v>
      </c>
      <c r="E11" s="17">
        <f t="shared" si="2"/>
        <v>1.8177058744129693</v>
      </c>
      <c r="F11" s="15">
        <f t="shared" si="3"/>
        <v>3306.25</v>
      </c>
      <c r="G11" s="19">
        <f t="shared" si="4"/>
        <v>0.33418282091431262</v>
      </c>
      <c r="H11" s="19">
        <f t="shared" si="5"/>
        <v>1104.8919516479461</v>
      </c>
      <c r="I11" s="15">
        <f t="shared" si="6"/>
        <v>19.279447125617715</v>
      </c>
      <c r="J11" s="15">
        <f t="shared" si="7"/>
        <v>-12.279447125617715</v>
      </c>
      <c r="K11" s="15">
        <f t="shared" si="8"/>
        <v>19.380050000000001</v>
      </c>
      <c r="L11" s="13">
        <f t="shared" si="9"/>
        <v>2.7331679839792504</v>
      </c>
      <c r="M11" s="13"/>
    </row>
    <row r="12" spans="1:15" x14ac:dyDescent="0.25">
      <c r="A12" s="11">
        <v>62.5</v>
      </c>
      <c r="B12" s="11">
        <v>5</v>
      </c>
      <c r="C12" s="15">
        <f t="shared" si="0"/>
        <v>1.6094379124341003</v>
      </c>
      <c r="D12" s="17">
        <f t="shared" si="1"/>
        <v>0.30679615757712825</v>
      </c>
      <c r="E12" s="17">
        <f t="shared" si="2"/>
        <v>1.5339807878856413</v>
      </c>
      <c r="F12" s="15">
        <f t="shared" si="3"/>
        <v>3906.25</v>
      </c>
      <c r="G12" s="19">
        <f t="shared" si="4"/>
        <v>0.30380256446755688</v>
      </c>
      <c r="H12" s="19">
        <f t="shared" si="5"/>
        <v>1186.7287674513941</v>
      </c>
      <c r="I12" s="15">
        <f t="shared" si="6"/>
        <v>17.526770114197916</v>
      </c>
      <c r="J12" s="15">
        <f t="shared" si="7"/>
        <v>-12.526770114197916</v>
      </c>
      <c r="K12" s="15">
        <f t="shared" si="8"/>
        <v>20.41855</v>
      </c>
      <c r="L12" s="13">
        <f t="shared" si="9"/>
        <v>3.3873539779197501</v>
      </c>
      <c r="M12" s="13"/>
    </row>
    <row r="13" spans="1:15" x14ac:dyDescent="0.25">
      <c r="A13" s="11">
        <v>67.5</v>
      </c>
      <c r="B13" s="11">
        <v>2</v>
      </c>
      <c r="C13" s="15">
        <f t="shared" si="0"/>
        <v>0.69314718055994529</v>
      </c>
      <c r="D13" s="17">
        <f t="shared" si="1"/>
        <v>0.35784703819796237</v>
      </c>
      <c r="E13" s="17">
        <f t="shared" si="2"/>
        <v>0.71569407639592475</v>
      </c>
      <c r="F13" s="15">
        <f t="shared" si="3"/>
        <v>4556.25</v>
      </c>
      <c r="G13" s="19">
        <f t="shared" si="4"/>
        <v>0.27618414951596076</v>
      </c>
      <c r="H13" s="19">
        <f t="shared" si="5"/>
        <v>1258.3640312320963</v>
      </c>
      <c r="I13" s="15">
        <f t="shared" si="6"/>
        <v>15.933427376543561</v>
      </c>
      <c r="J13" s="15">
        <f t="shared" si="7"/>
        <v>-13.933427376543561</v>
      </c>
      <c r="K13" s="15">
        <f t="shared" si="8"/>
        <v>21.457049999999999</v>
      </c>
      <c r="L13" s="13">
        <f t="shared" si="9"/>
        <v>4.1346735107502504</v>
      </c>
      <c r="M13" s="13"/>
    </row>
    <row r="14" spans="1:15" x14ac:dyDescent="0.25">
      <c r="E14" s="13">
        <f>SUM(E2:E8)</f>
        <v>14.408129307526188</v>
      </c>
      <c r="G14" s="1"/>
      <c r="H14" s="1">
        <f>SUM(H2:H8)</f>
        <v>3179.8481250676173</v>
      </c>
      <c r="J14" s="15">
        <f>23+14+1+6</f>
        <v>44</v>
      </c>
      <c r="L14" s="13"/>
      <c r="M14" s="13"/>
    </row>
    <row r="15" spans="1:15" x14ac:dyDescent="0.25">
      <c r="I15" t="s">
        <v>50</v>
      </c>
      <c r="J15" s="15">
        <f>84*J14</f>
        <v>3696</v>
      </c>
      <c r="L15" t="s">
        <v>52</v>
      </c>
      <c r="M15" s="13">
        <f>23*L2+14*L3+1*L8+6*L9</f>
        <v>14.454425895730003</v>
      </c>
      <c r="N15" t="s">
        <v>54</v>
      </c>
      <c r="O15" s="14">
        <f>M15/M16</f>
        <v>5.8143306097063565</v>
      </c>
    </row>
    <row r="16" spans="1:15" x14ac:dyDescent="0.25">
      <c r="I16" t="s">
        <v>51</v>
      </c>
      <c r="J16" s="14">
        <f>J15*100/(SUM(B2:B13)*84)</f>
        <v>13.414634146341463</v>
      </c>
      <c r="L16" t="s">
        <v>53</v>
      </c>
      <c r="M16">
        <f>0.0565*44</f>
        <v>2.4860000000000002</v>
      </c>
    </row>
    <row r="19" spans="1:6" x14ac:dyDescent="0.25">
      <c r="A19" t="s">
        <v>5</v>
      </c>
    </row>
    <row r="20" spans="1:6" ht="15.75" thickBot="1" x14ac:dyDescent="0.3"/>
    <row r="21" spans="1:6" x14ac:dyDescent="0.25">
      <c r="A21" s="5" t="s">
        <v>6</v>
      </c>
      <c r="B21" s="5"/>
    </row>
    <row r="22" spans="1:6" x14ac:dyDescent="0.25">
      <c r="A22" s="2" t="s">
        <v>7</v>
      </c>
      <c r="B22" s="2">
        <v>0.92147225478356698</v>
      </c>
    </row>
    <row r="23" spans="1:6" x14ac:dyDescent="0.25">
      <c r="A23" s="2" t="s">
        <v>8</v>
      </c>
      <c r="B23" s="2">
        <v>0.84911111633591096</v>
      </c>
    </row>
    <row r="24" spans="1:6" x14ac:dyDescent="0.25">
      <c r="A24" s="2" t="s">
        <v>9</v>
      </c>
      <c r="B24" s="2">
        <v>0.83402222796950198</v>
      </c>
    </row>
    <row r="25" spans="1:6" x14ac:dyDescent="0.25">
      <c r="A25" s="2" t="s">
        <v>10</v>
      </c>
      <c r="B25" s="2">
        <v>0.4254880050539267</v>
      </c>
    </row>
    <row r="26" spans="1:6" ht="15.75" thickBot="1" x14ac:dyDescent="0.3">
      <c r="A26" s="3" t="s">
        <v>11</v>
      </c>
      <c r="B26" s="3">
        <v>12</v>
      </c>
    </row>
    <row r="28" spans="1:6" ht="15.75" thickBot="1" x14ac:dyDescent="0.3">
      <c r="A28" t="s">
        <v>12</v>
      </c>
    </row>
    <row r="29" spans="1:6" x14ac:dyDescent="0.25">
      <c r="A29" s="4"/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0" spans="1:6" x14ac:dyDescent="0.25">
      <c r="A30" s="2" t="s">
        <v>13</v>
      </c>
      <c r="B30" s="2">
        <v>1</v>
      </c>
      <c r="C30" s="2">
        <v>10.187835499134598</v>
      </c>
      <c r="D30" s="2">
        <v>10.187835499134598</v>
      </c>
      <c r="E30" s="2">
        <v>56.273934548168185</v>
      </c>
      <c r="F30" s="2">
        <v>2.0590210727263534E-5</v>
      </c>
    </row>
    <row r="31" spans="1:6" x14ac:dyDescent="0.25">
      <c r="A31" s="2" t="s">
        <v>14</v>
      </c>
      <c r="B31" s="2">
        <v>10</v>
      </c>
      <c r="C31" s="2">
        <v>1.8104004244477037</v>
      </c>
      <c r="D31" s="2">
        <v>0.18104004244477037</v>
      </c>
      <c r="E31" s="2"/>
      <c r="F31" s="2"/>
    </row>
    <row r="32" spans="1:6" ht="15.75" thickBot="1" x14ac:dyDescent="0.3">
      <c r="A32" s="3" t="s">
        <v>15</v>
      </c>
      <c r="B32" s="3">
        <v>11</v>
      </c>
      <c r="C32" s="3">
        <v>11.998235923582302</v>
      </c>
      <c r="D32" s="3"/>
      <c r="E32" s="3"/>
      <c r="F32" s="3"/>
    </row>
    <row r="33" spans="1:9" ht="15.75" thickBot="1" x14ac:dyDescent="0.3"/>
    <row r="34" spans="1:9" x14ac:dyDescent="0.25">
      <c r="A34" s="4"/>
      <c r="B34" s="4" t="s">
        <v>22</v>
      </c>
      <c r="C34" s="4" t="s">
        <v>10</v>
      </c>
      <c r="D34" s="4" t="s">
        <v>23</v>
      </c>
      <c r="E34" s="4" t="s">
        <v>24</v>
      </c>
      <c r="F34" s="4" t="s">
        <v>25</v>
      </c>
      <c r="G34" s="4" t="s">
        <v>26</v>
      </c>
      <c r="H34" s="4" t="s">
        <v>27</v>
      </c>
      <c r="I34" s="4" t="s">
        <v>28</v>
      </c>
    </row>
    <row r="35" spans="1:9" x14ac:dyDescent="0.25">
      <c r="A35" s="2" t="s">
        <v>16</v>
      </c>
      <c r="B35" s="2">
        <v>5.0782550041847587</v>
      </c>
      <c r="C35" s="2">
        <v>0.31001868379968139</v>
      </c>
      <c r="D35" s="2">
        <v>16.380480498607863</v>
      </c>
      <c r="E35" s="2">
        <v>1.4961766030346517E-8</v>
      </c>
      <c r="F35" s="2">
        <v>4.3874903299690411</v>
      </c>
      <c r="G35" s="2">
        <v>5.7690196784004764</v>
      </c>
      <c r="H35" s="2">
        <v>4.3874903299690411</v>
      </c>
      <c r="I35" s="2">
        <v>5.7690196784004764</v>
      </c>
    </row>
    <row r="36" spans="1:9" ht="15.75" thickBot="1" x14ac:dyDescent="0.3">
      <c r="A36" s="3" t="s">
        <v>29</v>
      </c>
      <c r="B36" s="3">
        <v>-5.338299537832366E-2</v>
      </c>
      <c r="C36" s="3">
        <v>7.1162188916040568E-3</v>
      </c>
      <c r="D36" s="3">
        <v>-7.5015954668435834</v>
      </c>
      <c r="E36" s="3">
        <v>2.05902107272635E-5</v>
      </c>
      <c r="F36" s="3">
        <v>-6.9238919169945359E-2</v>
      </c>
      <c r="G36" s="3">
        <v>-3.752707158670196E-2</v>
      </c>
      <c r="H36" s="3">
        <v>-6.9238919169945359E-2</v>
      </c>
      <c r="I36" s="3">
        <v>-3.752707158670196E-2</v>
      </c>
    </row>
    <row r="39" spans="1:9" x14ac:dyDescent="0.25">
      <c r="A39" t="s">
        <v>33</v>
      </c>
      <c r="B39">
        <f>(B35+B36*10)-(B35+B36*15)</f>
        <v>0.26691497689161903</v>
      </c>
    </row>
    <row r="40" spans="1:9" x14ac:dyDescent="0.25">
      <c r="A40" t="s">
        <v>32</v>
      </c>
      <c r="B40" s="14">
        <v>1.1000000000000001</v>
      </c>
    </row>
    <row r="42" spans="1:9" x14ac:dyDescent="0.25">
      <c r="A42" t="s">
        <v>35</v>
      </c>
      <c r="B42" s="18">
        <f>LN(1.1)/-5</f>
        <v>-1.9062035960864986E-2</v>
      </c>
    </row>
    <row r="43" spans="1:9" x14ac:dyDescent="0.25">
      <c r="A43" t="s">
        <v>43</v>
      </c>
      <c r="B43" s="1">
        <f>(14.4081*40000)/(PI()*H14)</f>
        <v>57.691317204366811</v>
      </c>
    </row>
    <row r="44" spans="1:9" x14ac:dyDescent="0.25">
      <c r="A44" t="s">
        <v>42</v>
      </c>
      <c r="B44" s="21">
        <f>LN(B43)</f>
        <v>4.0551066804637976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opLeftCell="A4" workbookViewId="0">
      <selection activeCell="O15" sqref="O15"/>
    </sheetView>
  </sheetViews>
  <sheetFormatPr defaultRowHeight="15" x14ac:dyDescent="0.25"/>
  <cols>
    <col min="1" max="1" width="22" bestFit="1" customWidth="1"/>
    <col min="2" max="2" width="9.7109375" bestFit="1" customWidth="1"/>
    <col min="9" max="9" width="14.5703125" bestFit="1" customWidth="1"/>
    <col min="12" max="12" width="14.5703125" bestFit="1" customWidth="1"/>
    <col min="13" max="13" width="9.5703125" bestFit="1" customWidth="1"/>
    <col min="14" max="14" width="10.28515625" bestFit="1" customWidth="1"/>
  </cols>
  <sheetData>
    <row r="1" spans="1:15" ht="18.75" x14ac:dyDescent="0.25">
      <c r="A1" s="16" t="s">
        <v>46</v>
      </c>
      <c r="B1" s="16" t="s">
        <v>47</v>
      </c>
      <c r="C1" s="11" t="s">
        <v>4</v>
      </c>
      <c r="D1" s="11" t="s">
        <v>36</v>
      </c>
      <c r="E1" s="11" t="s">
        <v>41</v>
      </c>
      <c r="F1" s="11" t="s">
        <v>37</v>
      </c>
      <c r="G1" s="11" t="s">
        <v>39</v>
      </c>
      <c r="H1" s="11" t="s">
        <v>40</v>
      </c>
      <c r="I1" s="11" t="s">
        <v>44</v>
      </c>
      <c r="J1" s="11" t="s">
        <v>45</v>
      </c>
      <c r="K1" s="11" t="s">
        <v>48</v>
      </c>
      <c r="L1" s="11" t="s">
        <v>49</v>
      </c>
      <c r="M1" s="11"/>
    </row>
    <row r="2" spans="1:15" x14ac:dyDescent="0.25">
      <c r="A2" s="12">
        <v>12.5</v>
      </c>
      <c r="B2" s="12">
        <v>69</v>
      </c>
      <c r="C2" s="15">
        <f>LN(B2)</f>
        <v>4.2341065045972597</v>
      </c>
      <c r="D2" s="17">
        <f>PI()*A2^2/40000</f>
        <v>1.2271846303085129E-2</v>
      </c>
      <c r="E2" s="17">
        <f>D2*B2</f>
        <v>0.84675739491287394</v>
      </c>
      <c r="F2" s="15">
        <f>A2*A2</f>
        <v>156.25</v>
      </c>
      <c r="G2" s="19">
        <f>EXP(A2*$B$42)</f>
        <v>0.36288736930121163</v>
      </c>
      <c r="H2" s="19">
        <f>G2*F2</f>
        <v>56.701151453314317</v>
      </c>
      <c r="I2" s="15">
        <f>EXP($B$44+$B$42*A2)</f>
        <v>134.70210747933143</v>
      </c>
      <c r="J2" s="20">
        <f>B2-I2</f>
        <v>-65.702107479331431</v>
      </c>
      <c r="K2" s="15">
        <f>7.4373+(0.2077*A2)</f>
        <v>10.03355</v>
      </c>
      <c r="L2" s="13">
        <f xml:space="preserve"> 0.0071+(0.00005*A2^2)+(0.00003*(A2^2*K2))+(0.00004*(A2*K2^2))-(0.0006*K2^2)</f>
        <v>5.1877553064750011E-2</v>
      </c>
      <c r="M2" s="13"/>
    </row>
    <row r="3" spans="1:15" x14ac:dyDescent="0.25">
      <c r="A3" s="12">
        <v>17.5</v>
      </c>
      <c r="B3" s="12">
        <v>55</v>
      </c>
      <c r="C3" s="15">
        <f t="shared" ref="C3:C13" si="0">LN(B3)</f>
        <v>4.0073331852324712</v>
      </c>
      <c r="D3" s="17">
        <f t="shared" ref="D3:D13" si="1">PI()*A3^2/40000</f>
        <v>2.4052818754046853E-2</v>
      </c>
      <c r="E3" s="17">
        <f t="shared" ref="E3:E13" si="2">D3*B3</f>
        <v>1.322905031472577</v>
      </c>
      <c r="F3" s="15">
        <f t="shared" ref="F3:F13" si="3">A3*A3</f>
        <v>306.25</v>
      </c>
      <c r="G3" s="19">
        <f t="shared" ref="G3:G13" si="4">EXP(A3*$B$42)</f>
        <v>0.24192491286747442</v>
      </c>
      <c r="H3" s="19">
        <f t="shared" ref="H3:H13" si="5">G3*F3</f>
        <v>74.089504565664043</v>
      </c>
      <c r="I3" s="15">
        <f t="shared" ref="I3:I13" si="6">EXP($B$44+$B$42*A3)</f>
        <v>89.801404986221016</v>
      </c>
      <c r="J3" s="20">
        <f t="shared" ref="J3:J13" si="7">B3-I3</f>
        <v>-34.801404986221016</v>
      </c>
      <c r="K3" s="15">
        <f t="shared" ref="K3:K13" si="8">7.4373+(0.2077*A3)</f>
        <v>11.072049999999999</v>
      </c>
      <c r="L3" s="13">
        <f t="shared" ref="L3:L13" si="9" xml:space="preserve"> 0.0071+(0.00005*A3^2)+(0.00003*(A3^2*K3))+(0.00004*(A3*K3^2))-(0.0006*K3^2)</f>
        <v>0.13639598849524998</v>
      </c>
      <c r="M3" s="13"/>
    </row>
    <row r="4" spans="1:15" x14ac:dyDescent="0.25">
      <c r="A4" s="12">
        <v>22.5</v>
      </c>
      <c r="B4" s="12">
        <v>35</v>
      </c>
      <c r="C4" s="15">
        <f t="shared" si="0"/>
        <v>3.5553480614894135</v>
      </c>
      <c r="D4" s="17">
        <f t="shared" si="1"/>
        <v>3.9760782021995816E-2</v>
      </c>
      <c r="E4" s="17">
        <f t="shared" si="2"/>
        <v>1.3916273707698537</v>
      </c>
      <c r="F4" s="15">
        <f t="shared" si="3"/>
        <v>506.25</v>
      </c>
      <c r="G4" s="19">
        <f t="shared" si="4"/>
        <v>0.16128327524498293</v>
      </c>
      <c r="H4" s="19">
        <f t="shared" si="5"/>
        <v>81.649658092772611</v>
      </c>
      <c r="I4" s="15">
        <f t="shared" si="6"/>
        <v>59.867603324147325</v>
      </c>
      <c r="J4" s="20">
        <f t="shared" si="7"/>
        <v>-24.867603324147325</v>
      </c>
      <c r="K4" s="15">
        <f t="shared" si="8"/>
        <v>12.11055</v>
      </c>
      <c r="L4" s="13">
        <f t="shared" si="9"/>
        <v>0.26034110451574999</v>
      </c>
      <c r="M4" s="13"/>
    </row>
    <row r="5" spans="1:15" x14ac:dyDescent="0.25">
      <c r="A5" s="12">
        <v>27.5</v>
      </c>
      <c r="B5" s="12">
        <v>33</v>
      </c>
      <c r="C5" s="15">
        <f t="shared" si="0"/>
        <v>3.4965075614664802</v>
      </c>
      <c r="D5" s="17">
        <f t="shared" si="1"/>
        <v>5.939573610693203E-2</v>
      </c>
      <c r="E5" s="17">
        <f t="shared" si="2"/>
        <v>1.9600592915287569</v>
      </c>
      <c r="F5" s="15">
        <f t="shared" si="3"/>
        <v>756.25</v>
      </c>
      <c r="G5" s="19">
        <f t="shared" si="4"/>
        <v>0.10752218349665529</v>
      </c>
      <c r="H5" s="19">
        <f t="shared" si="5"/>
        <v>81.31365126934557</v>
      </c>
      <c r="I5" s="15">
        <f t="shared" si="6"/>
        <v>39.91173554943154</v>
      </c>
      <c r="J5" s="20">
        <f t="shared" si="7"/>
        <v>-6.9117355494315404</v>
      </c>
      <c r="K5" s="15">
        <f t="shared" si="8"/>
        <v>13.149049999999999</v>
      </c>
      <c r="L5" s="13">
        <f t="shared" si="9"/>
        <v>0.42968032982624993</v>
      </c>
      <c r="M5" s="13"/>
    </row>
    <row r="6" spans="1:15" x14ac:dyDescent="0.25">
      <c r="A6" s="12">
        <v>32.5</v>
      </c>
      <c r="B6" s="12">
        <v>29</v>
      </c>
      <c r="C6" s="15">
        <f t="shared" si="0"/>
        <v>3.3672958299864741</v>
      </c>
      <c r="D6" s="17">
        <f t="shared" si="1"/>
        <v>8.2957681008855477E-2</v>
      </c>
      <c r="E6" s="17">
        <f t="shared" si="2"/>
        <v>2.4057727492568088</v>
      </c>
      <c r="F6" s="15">
        <f t="shared" si="3"/>
        <v>1056.25</v>
      </c>
      <c r="G6" s="19">
        <f t="shared" si="4"/>
        <v>7.1681455664436872E-2</v>
      </c>
      <c r="H6" s="19">
        <f t="shared" si="5"/>
        <v>75.713537545561451</v>
      </c>
      <c r="I6" s="15">
        <f t="shared" si="6"/>
        <v>26.607823699621033</v>
      </c>
      <c r="J6" s="20">
        <f t="shared" si="7"/>
        <v>2.3921763003789671</v>
      </c>
      <c r="K6" s="15">
        <f t="shared" si="8"/>
        <v>14.187549999999998</v>
      </c>
      <c r="L6" s="13">
        <f t="shared" si="9"/>
        <v>0.65038109312674997</v>
      </c>
      <c r="M6" s="13"/>
    </row>
    <row r="7" spans="1:15" x14ac:dyDescent="0.25">
      <c r="A7" s="12">
        <v>37.5</v>
      </c>
      <c r="B7" s="12">
        <v>24</v>
      </c>
      <c r="C7" s="15">
        <f t="shared" si="0"/>
        <v>3.1780538303479458</v>
      </c>
      <c r="D7" s="17">
        <f t="shared" si="1"/>
        <v>0.11044661672776618</v>
      </c>
      <c r="E7" s="17">
        <f t="shared" si="2"/>
        <v>2.6507188014663883</v>
      </c>
      <c r="F7" s="15">
        <f t="shared" si="3"/>
        <v>1406.25</v>
      </c>
      <c r="G7" s="19">
        <f t="shared" si="4"/>
        <v>4.7787637109624574E-2</v>
      </c>
      <c r="H7" s="19">
        <f t="shared" si="5"/>
        <v>67.201364685409558</v>
      </c>
      <c r="I7" s="15">
        <f t="shared" si="6"/>
        <v>17.738549133080685</v>
      </c>
      <c r="J7" s="20">
        <f t="shared" si="7"/>
        <v>6.261450866919315</v>
      </c>
      <c r="K7" s="15">
        <f t="shared" si="8"/>
        <v>15.226050000000001</v>
      </c>
      <c r="L7" s="13">
        <f t="shared" si="9"/>
        <v>0.92841082311724998</v>
      </c>
      <c r="M7" s="13"/>
    </row>
    <row r="8" spans="1:15" x14ac:dyDescent="0.25">
      <c r="A8" s="12">
        <v>42.5</v>
      </c>
      <c r="B8" s="12">
        <v>27</v>
      </c>
      <c r="C8" s="15">
        <f t="shared" si="0"/>
        <v>3.2958368660043291</v>
      </c>
      <c r="D8" s="17">
        <f t="shared" si="1"/>
        <v>0.1418625432636641</v>
      </c>
      <c r="E8" s="17">
        <f t="shared" si="2"/>
        <v>3.8302886681189308</v>
      </c>
      <c r="F8" s="15">
        <f t="shared" si="3"/>
        <v>1806.25</v>
      </c>
      <c r="G8" s="19">
        <f t="shared" si="4"/>
        <v>3.1858424739749723E-2</v>
      </c>
      <c r="H8" s="19">
        <f t="shared" si="5"/>
        <v>57.544279686172935</v>
      </c>
      <c r="I8" s="15">
        <f t="shared" si="6"/>
        <v>11.825699422053793</v>
      </c>
      <c r="J8" s="20">
        <f t="shared" si="7"/>
        <v>15.174300577946207</v>
      </c>
      <c r="K8" s="15">
        <f t="shared" si="8"/>
        <v>16.26455</v>
      </c>
      <c r="L8" s="13">
        <f t="shared" si="9"/>
        <v>1.2697369484977499</v>
      </c>
      <c r="M8" s="13"/>
    </row>
    <row r="9" spans="1:15" x14ac:dyDescent="0.25">
      <c r="A9" s="11">
        <v>47.5</v>
      </c>
      <c r="B9" s="11">
        <v>29</v>
      </c>
      <c r="C9" s="15">
        <f t="shared" si="0"/>
        <v>3.3672958299864741</v>
      </c>
      <c r="D9" s="17">
        <f t="shared" si="1"/>
        <v>0.17720546061654927</v>
      </c>
      <c r="E9" s="17">
        <f t="shared" si="2"/>
        <v>5.1389583578799289</v>
      </c>
      <c r="F9" s="15">
        <f t="shared" si="3"/>
        <v>2256.25</v>
      </c>
      <c r="G9" s="19">
        <f t="shared" si="4"/>
        <v>2.123894982649981E-2</v>
      </c>
      <c r="H9" s="19">
        <f t="shared" si="5"/>
        <v>47.920380546040192</v>
      </c>
      <c r="I9" s="15">
        <f t="shared" si="6"/>
        <v>7.8837996147025269</v>
      </c>
      <c r="J9" s="15">
        <f t="shared" si="7"/>
        <v>21.116200385297475</v>
      </c>
      <c r="K9" s="15">
        <f t="shared" si="8"/>
        <v>17.303049999999999</v>
      </c>
      <c r="L9" s="13">
        <f t="shared" si="9"/>
        <v>1.6803268979682504</v>
      </c>
      <c r="M9" s="13"/>
    </row>
    <row r="10" spans="1:15" x14ac:dyDescent="0.25">
      <c r="A10" s="11">
        <v>52.5</v>
      </c>
      <c r="B10" s="11">
        <v>13</v>
      </c>
      <c r="C10" s="15">
        <f t="shared" si="0"/>
        <v>2.5649493574615367</v>
      </c>
      <c r="D10" s="17">
        <f t="shared" si="1"/>
        <v>0.21647536878642168</v>
      </c>
      <c r="E10" s="17">
        <f t="shared" si="2"/>
        <v>2.8141797942234819</v>
      </c>
      <c r="F10" s="15">
        <f t="shared" si="3"/>
        <v>2756.25</v>
      </c>
      <c r="G10" s="19">
        <f t="shared" si="4"/>
        <v>1.4159299884333204E-2</v>
      </c>
      <c r="H10" s="19">
        <f t="shared" si="5"/>
        <v>39.026570306193392</v>
      </c>
      <c r="I10" s="15">
        <f t="shared" si="6"/>
        <v>5.2558664098016834</v>
      </c>
      <c r="J10" s="15">
        <f t="shared" si="7"/>
        <v>7.7441335901983166</v>
      </c>
      <c r="K10" s="15">
        <f t="shared" si="8"/>
        <v>18.341549999999998</v>
      </c>
      <c r="L10" s="13">
        <f t="shared" si="9"/>
        <v>2.1661481002287495</v>
      </c>
      <c r="M10" s="13"/>
    </row>
    <row r="11" spans="1:15" x14ac:dyDescent="0.25">
      <c r="A11" s="11">
        <v>57.5</v>
      </c>
      <c r="B11" s="11">
        <v>7</v>
      </c>
      <c r="C11" s="15">
        <f t="shared" si="0"/>
        <v>1.9459101490553132</v>
      </c>
      <c r="D11" s="17">
        <f t="shared" si="1"/>
        <v>0.25967226777328134</v>
      </c>
      <c r="E11" s="17">
        <f t="shared" si="2"/>
        <v>1.8177058744129693</v>
      </c>
      <c r="F11" s="15">
        <f t="shared" si="3"/>
        <v>3306.25</v>
      </c>
      <c r="G11" s="19">
        <f t="shared" si="4"/>
        <v>9.4395332562221424E-3</v>
      </c>
      <c r="H11" s="19">
        <f t="shared" si="5"/>
        <v>31.209456828384457</v>
      </c>
      <c r="I11" s="15">
        <f t="shared" si="6"/>
        <v>3.5039109398677915</v>
      </c>
      <c r="J11" s="15">
        <f t="shared" si="7"/>
        <v>3.4960890601322085</v>
      </c>
      <c r="K11" s="15">
        <f t="shared" si="8"/>
        <v>19.380050000000001</v>
      </c>
      <c r="L11" s="13">
        <f t="shared" si="9"/>
        <v>2.7331679839792504</v>
      </c>
      <c r="M11" s="13"/>
    </row>
    <row r="12" spans="1:15" x14ac:dyDescent="0.25">
      <c r="A12" s="11">
        <v>62.5</v>
      </c>
      <c r="B12" s="11">
        <v>5</v>
      </c>
      <c r="C12" s="15">
        <f t="shared" si="0"/>
        <v>1.6094379124341003</v>
      </c>
      <c r="D12" s="17">
        <f t="shared" si="1"/>
        <v>0.30679615757712825</v>
      </c>
      <c r="E12" s="17">
        <f t="shared" si="2"/>
        <v>1.5339807878856413</v>
      </c>
      <c r="F12" s="15">
        <f t="shared" si="3"/>
        <v>3906.25</v>
      </c>
      <c r="G12" s="19">
        <f t="shared" si="4"/>
        <v>6.2930221708147596E-3</v>
      </c>
      <c r="H12" s="19">
        <f t="shared" si="5"/>
        <v>24.582117854745153</v>
      </c>
      <c r="I12" s="15">
        <f t="shared" si="6"/>
        <v>2.3359406265785272</v>
      </c>
      <c r="J12" s="15">
        <f t="shared" si="7"/>
        <v>2.6640593734214728</v>
      </c>
      <c r="K12" s="15">
        <f t="shared" si="8"/>
        <v>20.41855</v>
      </c>
      <c r="L12" s="13">
        <f t="shared" si="9"/>
        <v>3.3873539779197501</v>
      </c>
      <c r="M12" s="13"/>
    </row>
    <row r="13" spans="1:15" x14ac:dyDescent="0.25">
      <c r="A13" s="11">
        <v>67.5</v>
      </c>
      <c r="B13" s="11">
        <v>2</v>
      </c>
      <c r="C13" s="15">
        <f t="shared" si="0"/>
        <v>0.69314718055994529</v>
      </c>
      <c r="D13" s="17">
        <f t="shared" si="1"/>
        <v>0.35784703819796237</v>
      </c>
      <c r="E13" s="17">
        <f t="shared" si="2"/>
        <v>0.71569407639592475</v>
      </c>
      <c r="F13" s="15">
        <f t="shared" si="3"/>
        <v>4556.25</v>
      </c>
      <c r="G13" s="19">
        <f t="shared" si="4"/>
        <v>4.1953481138765052E-3</v>
      </c>
      <c r="H13" s="19">
        <f t="shared" si="5"/>
        <v>19.115054843849826</v>
      </c>
      <c r="I13" s="15">
        <f t="shared" si="6"/>
        <v>1.557293751052351</v>
      </c>
      <c r="J13" s="15">
        <f t="shared" si="7"/>
        <v>0.44270624894764898</v>
      </c>
      <c r="K13" s="15">
        <f t="shared" si="8"/>
        <v>21.457049999999999</v>
      </c>
      <c r="L13" s="13">
        <f xml:space="preserve"> 0.0071+(0.00005*A13^2)+(0.00003*(A13^2*K13))+(0.00004*(A13*K13^2))-(0.0006*K13^2)</f>
        <v>4.1346735107502504</v>
      </c>
      <c r="M13" s="13"/>
    </row>
    <row r="14" spans="1:15" x14ac:dyDescent="0.25">
      <c r="E14" s="13">
        <f>SUM(E2:E8)</f>
        <v>14.408129307526188</v>
      </c>
      <c r="G14" s="1"/>
      <c r="H14" s="1">
        <f>SUM(H2:H8)</f>
        <v>494.21314729824053</v>
      </c>
      <c r="J14" s="15">
        <f>2+6+15+21+8+3+3+1</f>
        <v>59</v>
      </c>
      <c r="L14" s="13"/>
      <c r="M14" s="13"/>
    </row>
    <row r="15" spans="1:15" x14ac:dyDescent="0.25">
      <c r="I15" t="s">
        <v>50</v>
      </c>
      <c r="J15" s="15">
        <f>84*J14</f>
        <v>4956</v>
      </c>
      <c r="L15" t="s">
        <v>52</v>
      </c>
      <c r="M15" s="13">
        <f>2*L6+6*L7+15*L8+21*L9+8*L10+3*L11+3*L12+1*L13</f>
        <v>101.02957040803375</v>
      </c>
      <c r="N15" t="s">
        <v>54</v>
      </c>
      <c r="O15" s="14">
        <f>M15/M16</f>
        <v>30.307355754622396</v>
      </c>
    </row>
    <row r="16" spans="1:15" x14ac:dyDescent="0.25">
      <c r="I16" t="s">
        <v>51</v>
      </c>
      <c r="J16" s="14">
        <f>J15*100/(SUM(B2:B13)*84)</f>
        <v>17.987804878048781</v>
      </c>
      <c r="L16" t="s">
        <v>53</v>
      </c>
      <c r="M16">
        <f>0.0565*59</f>
        <v>3.3334999999999999</v>
      </c>
    </row>
    <row r="19" spans="1:6" x14ac:dyDescent="0.25">
      <c r="A19" t="s">
        <v>5</v>
      </c>
    </row>
    <row r="20" spans="1:6" ht="15.75" thickBot="1" x14ac:dyDescent="0.3"/>
    <row r="21" spans="1:6" x14ac:dyDescent="0.25">
      <c r="A21" s="5" t="s">
        <v>6</v>
      </c>
      <c r="B21" s="5"/>
    </row>
    <row r="22" spans="1:6" x14ac:dyDescent="0.25">
      <c r="A22" s="2" t="s">
        <v>7</v>
      </c>
      <c r="B22" s="2">
        <v>0.92147225478356698</v>
      </c>
    </row>
    <row r="23" spans="1:6" x14ac:dyDescent="0.25">
      <c r="A23" s="2" t="s">
        <v>8</v>
      </c>
      <c r="B23" s="2">
        <v>0.84911111633591096</v>
      </c>
    </row>
    <row r="24" spans="1:6" x14ac:dyDescent="0.25">
      <c r="A24" s="2" t="s">
        <v>9</v>
      </c>
      <c r="B24" s="2">
        <v>0.83402222796950198</v>
      </c>
    </row>
    <row r="25" spans="1:6" x14ac:dyDescent="0.25">
      <c r="A25" s="2" t="s">
        <v>10</v>
      </c>
      <c r="B25" s="2">
        <v>0.4254880050539267</v>
      </c>
    </row>
    <row r="26" spans="1:6" ht="15.75" thickBot="1" x14ac:dyDescent="0.3">
      <c r="A26" s="3" t="s">
        <v>11</v>
      </c>
      <c r="B26" s="3">
        <v>12</v>
      </c>
    </row>
    <row r="28" spans="1:6" ht="15.75" thickBot="1" x14ac:dyDescent="0.3">
      <c r="A28" t="s">
        <v>12</v>
      </c>
    </row>
    <row r="29" spans="1:6" x14ac:dyDescent="0.25">
      <c r="A29" s="4"/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0" spans="1:6" x14ac:dyDescent="0.25">
      <c r="A30" s="2" t="s">
        <v>13</v>
      </c>
      <c r="B30" s="2">
        <v>1</v>
      </c>
      <c r="C30" s="2">
        <v>10.187835499134598</v>
      </c>
      <c r="D30" s="2">
        <v>10.187835499134598</v>
      </c>
      <c r="E30" s="2">
        <v>56.273934548168185</v>
      </c>
      <c r="F30" s="2">
        <v>2.0590210727263534E-5</v>
      </c>
    </row>
    <row r="31" spans="1:6" x14ac:dyDescent="0.25">
      <c r="A31" s="2" t="s">
        <v>14</v>
      </c>
      <c r="B31" s="2">
        <v>10</v>
      </c>
      <c r="C31" s="2">
        <v>1.8104004244477037</v>
      </c>
      <c r="D31" s="2">
        <v>0.18104004244477037</v>
      </c>
      <c r="E31" s="2"/>
      <c r="F31" s="2"/>
    </row>
    <row r="32" spans="1:6" ht="15.75" thickBot="1" x14ac:dyDescent="0.3">
      <c r="A32" s="3" t="s">
        <v>15</v>
      </c>
      <c r="B32" s="3">
        <v>11</v>
      </c>
      <c r="C32" s="3">
        <v>11.998235923582302</v>
      </c>
      <c r="D32" s="3"/>
      <c r="E32" s="3"/>
      <c r="F32" s="3"/>
    </row>
    <row r="33" spans="1:9" ht="15.75" thickBot="1" x14ac:dyDescent="0.3"/>
    <row r="34" spans="1:9" x14ac:dyDescent="0.25">
      <c r="A34" s="4"/>
      <c r="B34" s="4" t="s">
        <v>22</v>
      </c>
      <c r="C34" s="4" t="s">
        <v>10</v>
      </c>
      <c r="D34" s="4" t="s">
        <v>23</v>
      </c>
      <c r="E34" s="4" t="s">
        <v>24</v>
      </c>
      <c r="F34" s="4" t="s">
        <v>25</v>
      </c>
      <c r="G34" s="4" t="s">
        <v>26</v>
      </c>
      <c r="H34" s="4" t="s">
        <v>27</v>
      </c>
      <c r="I34" s="4" t="s">
        <v>28</v>
      </c>
    </row>
    <row r="35" spans="1:9" x14ac:dyDescent="0.25">
      <c r="A35" s="2" t="s">
        <v>16</v>
      </c>
      <c r="B35" s="2">
        <v>5.0782550041847587</v>
      </c>
      <c r="C35" s="2">
        <v>0.31001868379968139</v>
      </c>
      <c r="D35" s="2">
        <v>16.380480498607863</v>
      </c>
      <c r="E35" s="2">
        <v>1.4961766030346517E-8</v>
      </c>
      <c r="F35" s="2">
        <v>4.3874903299690411</v>
      </c>
      <c r="G35" s="2">
        <v>5.7690196784004764</v>
      </c>
      <c r="H35" s="2">
        <v>4.3874903299690411</v>
      </c>
      <c r="I35" s="2">
        <v>5.7690196784004764</v>
      </c>
    </row>
    <row r="36" spans="1:9" ht="15.75" thickBot="1" x14ac:dyDescent="0.3">
      <c r="A36" s="3" t="s">
        <v>29</v>
      </c>
      <c r="B36" s="3">
        <v>-5.338299537832366E-2</v>
      </c>
      <c r="C36" s="3">
        <v>7.1162188916040568E-3</v>
      </c>
      <c r="D36" s="3">
        <v>-7.5015954668435834</v>
      </c>
      <c r="E36" s="3">
        <v>2.05902107272635E-5</v>
      </c>
      <c r="F36" s="3">
        <v>-6.9238919169945359E-2</v>
      </c>
      <c r="G36" s="3">
        <v>-3.752707158670196E-2</v>
      </c>
      <c r="H36" s="3">
        <v>-6.9238919169945359E-2</v>
      </c>
      <c r="I36" s="3">
        <v>-3.752707158670196E-2</v>
      </c>
    </row>
    <row r="39" spans="1:9" x14ac:dyDescent="0.25">
      <c r="A39" t="s">
        <v>33</v>
      </c>
      <c r="B39">
        <f>(B35+B36*10)-(B35+B36*15)</f>
        <v>0.26691497689161903</v>
      </c>
    </row>
    <row r="40" spans="1:9" x14ac:dyDescent="0.25">
      <c r="A40" t="s">
        <v>32</v>
      </c>
      <c r="B40" s="14">
        <v>1.5</v>
      </c>
    </row>
    <row r="42" spans="1:9" x14ac:dyDescent="0.25">
      <c r="A42" t="s">
        <v>35</v>
      </c>
      <c r="B42" s="18">
        <f>LN(1.5)/-5</f>
        <v>-8.1093021621632871E-2</v>
      </c>
    </row>
    <row r="43" spans="1:9" x14ac:dyDescent="0.25">
      <c r="A43" t="s">
        <v>43</v>
      </c>
      <c r="B43" s="1">
        <f>(14.4081*40000)/(PI()*H14)</f>
        <v>371.19535942713696</v>
      </c>
    </row>
    <row r="44" spans="1:9" x14ac:dyDescent="0.25">
      <c r="A44" t="s">
        <v>42</v>
      </c>
      <c r="B44" s="21">
        <f>LN(B43)</f>
        <v>5.9167284992906275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workbookViewId="0">
      <selection activeCell="A33" sqref="A33"/>
    </sheetView>
  </sheetViews>
  <sheetFormatPr defaultRowHeight="15" x14ac:dyDescent="0.25"/>
  <cols>
    <col min="1" max="1" width="10.28515625" bestFit="1" customWidth="1"/>
  </cols>
  <sheetData>
    <row r="1" spans="1:1" x14ac:dyDescent="0.25">
      <c r="A1" s="6" t="s">
        <v>55</v>
      </c>
    </row>
    <row r="2" spans="1:1" x14ac:dyDescent="0.25">
      <c r="A2" t="s">
        <v>54</v>
      </c>
    </row>
    <row r="3" spans="1:1" x14ac:dyDescent="0.25">
      <c r="A3">
        <v>27.9</v>
      </c>
    </row>
    <row r="16" spans="1:1" x14ac:dyDescent="0.25">
      <c r="A16" s="6" t="s">
        <v>56</v>
      </c>
    </row>
    <row r="17" spans="1:1" x14ac:dyDescent="0.25">
      <c r="A17" t="s">
        <v>54</v>
      </c>
    </row>
    <row r="18" spans="1:1" x14ac:dyDescent="0.25">
      <c r="A18">
        <v>5.8</v>
      </c>
    </row>
    <row r="31" spans="1:1" x14ac:dyDescent="0.25">
      <c r="A31" s="6" t="s">
        <v>57</v>
      </c>
    </row>
    <row r="32" spans="1:1" x14ac:dyDescent="0.25">
      <c r="A32" t="s">
        <v>54</v>
      </c>
    </row>
    <row r="33" spans="1:1" x14ac:dyDescent="0.25">
      <c r="A33">
        <v>30.3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trabalho</vt:lpstr>
      <vt:lpstr>simulações 7</vt:lpstr>
      <vt:lpstr>simulação 7</vt:lpstr>
      <vt:lpstr>comparação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OLIVEIRA CABRAL HASSAN</dc:creator>
  <cp:lastModifiedBy>VICTORIA OLIVEIRA CABRAL HASSAN</cp:lastModifiedBy>
  <dcterms:created xsi:type="dcterms:W3CDTF">2024-08-20T18:09:07Z</dcterms:created>
  <dcterms:modified xsi:type="dcterms:W3CDTF">2024-08-27T17:43:07Z</dcterms:modified>
</cp:coreProperties>
</file>