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84395986\Downloads\"/>
    </mc:Choice>
  </mc:AlternateContent>
  <bookViews>
    <workbookView xWindow="0" yWindow="0" windowWidth="20490" windowHeight="7620" activeTab="1"/>
  </bookViews>
  <sheets>
    <sheet name="Planilha1" sheetId="1" r:id="rId1"/>
    <sheet name="trabalho" sheetId="2" r:id="rId2"/>
  </sheets>
  <definedNames>
    <definedName name="_xlchart.v1.0" hidden="1">trabalho!$A$2:$A$13</definedName>
    <definedName name="_xlchart.v1.1" hidden="1">trabalho!$B$2:$B$13</definedName>
    <definedName name="_xlchart.v1.2" hidden="1">trabalho!$I$2:$I$13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14" i="2"/>
  <c r="M16" i="2"/>
  <c r="J16" i="2"/>
  <c r="J15" i="2"/>
  <c r="B43" i="2"/>
  <c r="B44" i="2" s="1"/>
  <c r="L10" i="1"/>
  <c r="J3" i="1"/>
  <c r="I3" i="1"/>
  <c r="H14" i="2"/>
  <c r="E14" i="2"/>
  <c r="H3" i="2"/>
  <c r="H4" i="2"/>
  <c r="H5" i="2"/>
  <c r="H6" i="2"/>
  <c r="H7" i="2"/>
  <c r="H8" i="2"/>
  <c r="H9" i="2"/>
  <c r="H10" i="2"/>
  <c r="H11" i="2"/>
  <c r="H12" i="2"/>
  <c r="H13" i="2"/>
  <c r="H2" i="2"/>
  <c r="H3" i="1"/>
  <c r="G2" i="2"/>
  <c r="C43" i="1"/>
  <c r="G3" i="2"/>
  <c r="G4" i="2"/>
  <c r="G5" i="2"/>
  <c r="G6" i="2"/>
  <c r="G7" i="2"/>
  <c r="G8" i="2"/>
  <c r="G9" i="2"/>
  <c r="G10" i="2"/>
  <c r="G11" i="2"/>
  <c r="G12" i="2"/>
  <c r="G13" i="2"/>
  <c r="B42" i="2"/>
  <c r="C42" i="1"/>
  <c r="B40" i="2"/>
  <c r="B39" i="2"/>
  <c r="C39" i="1"/>
  <c r="C2" i="2"/>
  <c r="C40" i="1"/>
  <c r="M15" i="2" l="1"/>
  <c r="O15" i="2" s="1"/>
  <c r="I6" i="2"/>
  <c r="J6" i="2" s="1"/>
  <c r="I10" i="2"/>
  <c r="J10" i="2" s="1"/>
  <c r="I2" i="2"/>
  <c r="J2" i="2" s="1"/>
  <c r="I3" i="2"/>
  <c r="J3" i="2" s="1"/>
  <c r="I7" i="2"/>
  <c r="J7" i="2" s="1"/>
  <c r="I11" i="2"/>
  <c r="J11" i="2" s="1"/>
  <c r="I5" i="2"/>
  <c r="J5" i="2" s="1"/>
  <c r="I13" i="2"/>
  <c r="J13" i="2" s="1"/>
  <c r="I4" i="2"/>
  <c r="J4" i="2" s="1"/>
  <c r="I8" i="2"/>
  <c r="J8" i="2" s="1"/>
  <c r="I12" i="2"/>
  <c r="J12" i="2" s="1"/>
  <c r="I9" i="2"/>
  <c r="J9" i="2" s="1"/>
  <c r="G3" i="1" l="1"/>
  <c r="F3" i="2"/>
  <c r="F4" i="2"/>
  <c r="F5" i="2"/>
  <c r="F6" i="2"/>
  <c r="F7" i="2"/>
  <c r="F8" i="2"/>
  <c r="F9" i="2"/>
  <c r="F10" i="2"/>
  <c r="F11" i="2"/>
  <c r="F12" i="2"/>
  <c r="F13" i="2"/>
  <c r="F2" i="2"/>
  <c r="F3" i="1"/>
  <c r="E3" i="2"/>
  <c r="E4" i="2"/>
  <c r="E5" i="2"/>
  <c r="E6" i="2"/>
  <c r="E7" i="2"/>
  <c r="E8" i="2"/>
  <c r="E9" i="2"/>
  <c r="E10" i="2"/>
  <c r="E11" i="2"/>
  <c r="E12" i="2"/>
  <c r="E13" i="2"/>
  <c r="E2" i="2"/>
  <c r="E3" i="1"/>
  <c r="D3" i="2"/>
  <c r="D4" i="2"/>
  <c r="D5" i="2"/>
  <c r="D6" i="2"/>
  <c r="D7" i="2"/>
  <c r="D8" i="2"/>
  <c r="D9" i="2"/>
  <c r="D10" i="2"/>
  <c r="D11" i="2"/>
  <c r="D12" i="2"/>
  <c r="D13" i="2"/>
  <c r="D2" i="2"/>
  <c r="D3" i="1"/>
  <c r="C3" i="2"/>
  <c r="C4" i="2"/>
  <c r="C5" i="2"/>
  <c r="C6" i="2"/>
  <c r="C7" i="2"/>
  <c r="C8" i="2"/>
  <c r="C9" i="2"/>
  <c r="C10" i="2"/>
  <c r="C11" i="2"/>
  <c r="C12" i="2"/>
  <c r="C13" i="2"/>
  <c r="L13" i="1" l="1"/>
  <c r="L12" i="1"/>
  <c r="L11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H1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H16" i="1" l="1"/>
  <c r="C44" i="1" s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I7" i="1" l="1"/>
  <c r="J7" i="1" s="1"/>
  <c r="I11" i="1"/>
  <c r="J11" i="1" s="1"/>
  <c r="I15" i="1"/>
  <c r="J15" i="1" s="1"/>
  <c r="I4" i="1"/>
  <c r="J4" i="1" s="1"/>
  <c r="I8" i="1"/>
  <c r="J8" i="1" s="1"/>
  <c r="I12" i="1"/>
  <c r="J12" i="1" s="1"/>
  <c r="I5" i="1"/>
  <c r="J5" i="1" s="1"/>
  <c r="I9" i="1"/>
  <c r="J9" i="1" s="1"/>
  <c r="I13" i="1"/>
  <c r="J13" i="1" s="1"/>
  <c r="I6" i="1"/>
  <c r="J6" i="1" s="1"/>
  <c r="I10" i="1"/>
  <c r="J10" i="1" s="1"/>
  <c r="I14" i="1"/>
  <c r="J14" i="1" s="1"/>
  <c r="J16" i="1" l="1"/>
</calcChain>
</file>

<file path=xl/comments1.xml><?xml version="1.0" encoding="utf-8"?>
<comments xmlns="http://schemas.openxmlformats.org/spreadsheetml/2006/main">
  <authors>
    <author>VICTORIA OLIVEIRA CABRAL HASSAN</author>
  </authors>
  <commentList>
    <comment ref="J3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esta faltando arvore, não retirar
</t>
        </r>
      </text>
    </comment>
    <comment ref="J8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as positivas podem ser removidas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intervir com 40 por conta da legislação</t>
        </r>
      </text>
    </comment>
    <comment ref="J16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somar apenas as positivas</t>
        </r>
      </text>
    </comment>
    <comment ref="C40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colocar uma casa após a virgula arredondando pra cima
</t>
        </r>
      </text>
    </comment>
  </commentList>
</comments>
</file>

<file path=xl/comments2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sharedStrings.xml><?xml version="1.0" encoding="utf-8"?>
<sst xmlns="http://schemas.openxmlformats.org/spreadsheetml/2006/main" count="95" uniqueCount="55">
  <si>
    <t>c</t>
  </si>
  <si>
    <t>Freq.obs/há</t>
  </si>
  <si>
    <t>Meyer</t>
  </si>
  <si>
    <t>ln y = b0 + b1xi (classe de diametro / c)</t>
  </si>
  <si>
    <t>ln 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</si>
  <si>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</si>
  <si>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</si>
  <si>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</si>
  <si>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</si>
  <si>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</si>
  <si>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</si>
  <si>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</si>
  <si>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</si>
  <si>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</si>
  <si>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</si>
  <si>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</si>
  <si>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</si>
  <si>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</si>
  <si>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</si>
  <si>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</si>
  <si>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</si>
  <si>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</si>
  <si>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</si>
  <si>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</si>
  <si>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</si>
  <si>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</si>
  <si>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</si>
  <si>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</si>
  <si>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</si>
  <si>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</si>
  <si>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Liocourt:</t>
  </si>
  <si>
    <t>ln q = (b0 + b1xi) - (b0+b1xi+1)</t>
  </si>
  <si>
    <t>q</t>
  </si>
  <si>
    <t>ln q</t>
  </si>
  <si>
    <t>rec.b1 = ln(q)/(xi-xi+1)</t>
  </si>
  <si>
    <t>rec.b1</t>
  </si>
  <si>
    <t>g</t>
  </si>
  <si>
    <t>xi2</t>
  </si>
  <si>
    <t>rec.b0 = ln (g*40000)/(pi()*soma( c )*exp(b1*xi))</t>
  </si>
  <si>
    <t>expo1*xi</t>
  </si>
  <si>
    <t>xi2*exp...</t>
  </si>
  <si>
    <t>G</t>
  </si>
  <si>
    <t>rec.b0</t>
  </si>
  <si>
    <t>ln rec.b0</t>
  </si>
  <si>
    <t>freq est./há</t>
  </si>
  <si>
    <t>Nretirar</t>
  </si>
  <si>
    <t>Centro de classe (cm)</t>
  </si>
  <si>
    <r>
      <t>FO (ha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</si>
  <si>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h</t>
  </si>
  <si>
    <t>v</t>
  </si>
  <si>
    <t>Total retirar</t>
  </si>
  <si>
    <t>%retirar</t>
  </si>
  <si>
    <t>Volume Retirar</t>
  </si>
  <si>
    <t>IMAtotal</t>
  </si>
  <si>
    <t>Taxa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</si>
</sst>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0"/>
    <numFmt numFmtId="171" formatCode="0.0"/>
    <numFmt numFmtId="172" formatCode="0.000000"/>
    <numFmt numFmtId="173" formatCode="0.0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9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2" fontId="0" fillId="0" borderId="0" xfId="0" applyNumberFormat="1"/>
    <xf numFmtId="2" fontId="0" fillId="0" borderId="0" xfId="0" applyNumberFormat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7-4D34-933E-F0668D9239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1-4560-9FD0-05F0BF21EB87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1-4560-9FD0-05F0BF21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L10" sqref="L10"/>
    </sheetView>
  </sheetViews>
  <sheetFormatPr defaultRowHeight="15" x14ac:dyDescent="0.25"/>
  <cols>
    <col min="9" max="9" width="11.42578125" bestFit="1" customWidth="1"/>
    <col min="10" max="10" width="11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36</v>
      </c>
      <c r="E1" t="s">
        <v>41</v>
      </c>
      <c r="F1" t="s">
        <v>37</v>
      </c>
      <c r="G1" t="s">
        <v>39</v>
      </c>
      <c r="H1" t="s">
        <v>40</v>
      </c>
      <c r="I1" t="s">
        <v>44</v>
      </c>
      <c r="J1" t="s">
        <v>45</v>
      </c>
      <c r="K1" t="s">
        <v>2</v>
      </c>
      <c r="L1" t="s">
        <v>30</v>
      </c>
      <c r="M1" t="s">
        <v>31</v>
      </c>
      <c r="P1" t="s">
        <v>34</v>
      </c>
    </row>
    <row r="2" spans="1:16" x14ac:dyDescent="0.25">
      <c r="K2" t="s">
        <v>3</v>
      </c>
      <c r="P2" t="s">
        <v>38</v>
      </c>
    </row>
    <row r="3" spans="1:16" x14ac:dyDescent="0.25">
      <c r="A3" s="6">
        <v>10</v>
      </c>
      <c r="B3" s="6">
        <v>115</v>
      </c>
      <c r="C3" s="7">
        <f>LN(B3)</f>
        <v>4.7449321283632502</v>
      </c>
      <c r="D3" s="6">
        <f>PI()*A3^2/40000</f>
        <v>7.8539816339744835E-3</v>
      </c>
      <c r="E3" s="6">
        <f>D3*B3</f>
        <v>0.90320788790706563</v>
      </c>
      <c r="F3" s="6">
        <f>A3*A3</f>
        <v>100</v>
      </c>
      <c r="G3" s="6">
        <f>EXP($C$42*A3)</f>
        <v>0.51020408163265307</v>
      </c>
      <c r="H3" s="6">
        <f>F3*G3</f>
        <v>51.020408163265309</v>
      </c>
      <c r="I3" s="9">
        <f>EXP($C$44+$C$42*A3)</f>
        <v>141.52133667196279</v>
      </c>
      <c r="J3" s="9">
        <f>B3-I3</f>
        <v>-26.521336671962786</v>
      </c>
    </row>
    <row r="4" spans="1:16" x14ac:dyDescent="0.25">
      <c r="A4" s="6">
        <v>15</v>
      </c>
      <c r="B4" s="6">
        <v>73</v>
      </c>
      <c r="C4" s="7">
        <f t="shared" ref="C4:C15" si="0">LN(B4)</f>
        <v>4.290459441148391</v>
      </c>
      <c r="D4" s="6">
        <f t="shared" ref="D4:D15" si="1">PI()*A4^2/40000</f>
        <v>1.7671458676442587E-2</v>
      </c>
      <c r="E4" s="6">
        <f t="shared" ref="E4:E15" si="2">D4*B4</f>
        <v>1.2900164833803089</v>
      </c>
      <c r="F4" s="6">
        <f t="shared" ref="F4:F15" si="3">A4*A4</f>
        <v>225</v>
      </c>
      <c r="G4" s="6">
        <f t="shared" ref="G4:G15" si="4">EXP($C$42*A4)</f>
        <v>0.36443148688046645</v>
      </c>
      <c r="H4" s="6">
        <f t="shared" ref="H4:H15" si="5">F4*G4</f>
        <v>81.997084548104951</v>
      </c>
      <c r="I4" s="9">
        <f t="shared" ref="I4:I15" si="6">EXP($C$44+$C$42*A4)</f>
        <v>101.086669051402</v>
      </c>
      <c r="J4" s="9">
        <f t="shared" ref="J4:J15" si="7">B4-I4</f>
        <v>-28.086669051401998</v>
      </c>
    </row>
    <row r="5" spans="1:16" x14ac:dyDescent="0.25">
      <c r="A5" s="6">
        <v>20</v>
      </c>
      <c r="B5" s="6">
        <v>42</v>
      </c>
      <c r="C5" s="7">
        <f t="shared" si="0"/>
        <v>3.7376696182833684</v>
      </c>
      <c r="D5" s="6">
        <f t="shared" si="1"/>
        <v>3.1415926535897934E-2</v>
      </c>
      <c r="E5" s="6">
        <f t="shared" si="2"/>
        <v>1.3194689145077132</v>
      </c>
      <c r="F5" s="6">
        <f t="shared" si="3"/>
        <v>400</v>
      </c>
      <c r="G5" s="6">
        <f t="shared" si="4"/>
        <v>0.26030820491461887</v>
      </c>
      <c r="H5" s="6">
        <f t="shared" si="5"/>
        <v>104.12328196584755</v>
      </c>
      <c r="I5" s="9">
        <f t="shared" si="6"/>
        <v>72.204763608144276</v>
      </c>
      <c r="J5" s="9">
        <f t="shared" si="7"/>
        <v>-30.204763608144276</v>
      </c>
    </row>
    <row r="6" spans="1:16" x14ac:dyDescent="0.25">
      <c r="A6" s="6">
        <v>25</v>
      </c>
      <c r="B6" s="6">
        <v>38</v>
      </c>
      <c r="C6" s="7">
        <f t="shared" si="0"/>
        <v>3.6375861597263857</v>
      </c>
      <c r="D6" s="6">
        <f t="shared" si="1"/>
        <v>4.9087385212340517E-2</v>
      </c>
      <c r="E6" s="6">
        <f t="shared" si="2"/>
        <v>1.8653206380689396</v>
      </c>
      <c r="F6" s="6">
        <f t="shared" si="3"/>
        <v>625</v>
      </c>
      <c r="G6" s="6">
        <f t="shared" si="4"/>
        <v>0.18593443208187066</v>
      </c>
      <c r="H6" s="6">
        <f t="shared" si="5"/>
        <v>116.20902005116916</v>
      </c>
      <c r="I6" s="9">
        <f t="shared" si="6"/>
        <v>51.574831148674484</v>
      </c>
      <c r="J6" s="9">
        <f t="shared" si="7"/>
        <v>-13.574831148674484</v>
      </c>
    </row>
    <row r="7" spans="1:16" x14ac:dyDescent="0.25">
      <c r="A7" s="6">
        <v>30</v>
      </c>
      <c r="B7" s="6">
        <v>33</v>
      </c>
      <c r="C7" s="7">
        <f t="shared" si="0"/>
        <v>3.4965075614664802</v>
      </c>
      <c r="D7" s="6">
        <f t="shared" si="1"/>
        <v>7.0685834705770348E-2</v>
      </c>
      <c r="E7" s="6">
        <f t="shared" si="2"/>
        <v>2.3326325452904215</v>
      </c>
      <c r="F7" s="6">
        <f t="shared" si="3"/>
        <v>900</v>
      </c>
      <c r="G7" s="6">
        <f t="shared" si="4"/>
        <v>0.13281030862990759</v>
      </c>
      <c r="H7" s="6">
        <f t="shared" si="5"/>
        <v>119.52927776691683</v>
      </c>
      <c r="I7" s="9">
        <f t="shared" si="6"/>
        <v>36.839165106196063</v>
      </c>
      <c r="J7" s="9">
        <f t="shared" si="7"/>
        <v>-3.839165106196063</v>
      </c>
    </row>
    <row r="8" spans="1:16" x14ac:dyDescent="0.25">
      <c r="A8" s="6">
        <v>35</v>
      </c>
      <c r="B8" s="6">
        <v>36</v>
      </c>
      <c r="C8" s="7">
        <f t="shared" si="0"/>
        <v>3.5835189384561099</v>
      </c>
      <c r="D8" s="6">
        <f t="shared" si="1"/>
        <v>9.6211275016187411E-2</v>
      </c>
      <c r="E8" s="6">
        <f t="shared" si="2"/>
        <v>3.4636059005827469</v>
      </c>
      <c r="F8" s="6">
        <f t="shared" si="3"/>
        <v>1225</v>
      </c>
      <c r="G8" s="6">
        <f t="shared" si="4"/>
        <v>9.4864506164219708E-2</v>
      </c>
      <c r="H8" s="6">
        <f t="shared" si="5"/>
        <v>116.20902005116915</v>
      </c>
      <c r="I8" s="9">
        <f t="shared" si="6"/>
        <v>26.313689361568613</v>
      </c>
      <c r="J8" s="9">
        <f t="shared" si="7"/>
        <v>9.6863106384313866</v>
      </c>
    </row>
    <row r="9" spans="1:16" x14ac:dyDescent="0.25">
      <c r="A9" s="6">
        <v>40</v>
      </c>
      <c r="B9" s="6">
        <v>32</v>
      </c>
      <c r="C9" s="7">
        <f t="shared" si="0"/>
        <v>3.4657359027997265</v>
      </c>
      <c r="D9" s="6">
        <f t="shared" si="1"/>
        <v>0.12566370614359174</v>
      </c>
      <c r="E9" s="6">
        <f t="shared" si="2"/>
        <v>4.0212385965949355</v>
      </c>
      <c r="F9" s="6">
        <f t="shared" si="3"/>
        <v>1600</v>
      </c>
      <c r="G9" s="6">
        <f t="shared" si="4"/>
        <v>6.7760361545871214E-2</v>
      </c>
      <c r="H9" s="6">
        <f t="shared" si="5"/>
        <v>108.41657847339394</v>
      </c>
      <c r="I9" s="9">
        <f t="shared" si="6"/>
        <v>18.795492401120438</v>
      </c>
      <c r="J9" s="9">
        <f t="shared" si="7"/>
        <v>13.204507598879562</v>
      </c>
    </row>
    <row r="10" spans="1:16" x14ac:dyDescent="0.25">
      <c r="A10">
        <v>45</v>
      </c>
      <c r="B10">
        <v>27</v>
      </c>
      <c r="C10" s="1">
        <f t="shared" si="0"/>
        <v>3.2958368660043291</v>
      </c>
      <c r="D10">
        <f t="shared" si="1"/>
        <v>0.15904312808798327</v>
      </c>
      <c r="E10">
        <f t="shared" si="2"/>
        <v>4.2941644583755485</v>
      </c>
      <c r="F10">
        <f t="shared" si="3"/>
        <v>2025</v>
      </c>
      <c r="G10">
        <f t="shared" si="4"/>
        <v>4.8400258247050888E-2</v>
      </c>
      <c r="H10">
        <f t="shared" si="5"/>
        <v>98.010522950278045</v>
      </c>
      <c r="I10" s="9">
        <f t="shared" si="6"/>
        <v>13.425351715086032</v>
      </c>
      <c r="J10" s="9">
        <f t="shared" si="7"/>
        <v>13.574648284913968</v>
      </c>
      <c r="L10">
        <f>42*200</f>
        <v>8400</v>
      </c>
    </row>
    <row r="11" spans="1:16" x14ac:dyDescent="0.25">
      <c r="A11">
        <v>50</v>
      </c>
      <c r="B11">
        <v>15</v>
      </c>
      <c r="C11" s="1">
        <f t="shared" si="0"/>
        <v>2.7080502011022101</v>
      </c>
      <c r="D11">
        <f t="shared" si="1"/>
        <v>0.19634954084936207</v>
      </c>
      <c r="E11">
        <f t="shared" si="2"/>
        <v>2.9452431127404308</v>
      </c>
      <c r="F11">
        <f t="shared" si="3"/>
        <v>2500</v>
      </c>
      <c r="G11">
        <f t="shared" si="4"/>
        <v>3.4571613033607777E-2</v>
      </c>
      <c r="H11">
        <f t="shared" si="5"/>
        <v>86.429032584019438</v>
      </c>
      <c r="I11" s="9">
        <f t="shared" si="6"/>
        <v>9.5895369393471661</v>
      </c>
      <c r="J11" s="9">
        <f t="shared" si="7"/>
        <v>5.4104630606528339</v>
      </c>
      <c r="L11">
        <f>L10*150</f>
        <v>1260000</v>
      </c>
    </row>
    <row r="12" spans="1:16" x14ac:dyDescent="0.25">
      <c r="A12">
        <v>55</v>
      </c>
      <c r="B12">
        <v>4</v>
      </c>
      <c r="C12" s="1">
        <f t="shared" si="0"/>
        <v>1.3862943611198906</v>
      </c>
      <c r="D12">
        <f t="shared" si="1"/>
        <v>0.23758294442772812</v>
      </c>
      <c r="E12">
        <f t="shared" si="2"/>
        <v>0.95033177771091248</v>
      </c>
      <c r="F12">
        <f t="shared" si="3"/>
        <v>3025</v>
      </c>
      <c r="G12">
        <f t="shared" si="4"/>
        <v>2.4694009309719839E-2</v>
      </c>
      <c r="H12">
        <f t="shared" si="5"/>
        <v>74.699378161902516</v>
      </c>
      <c r="I12" s="9">
        <f t="shared" si="6"/>
        <v>6.8496692423908332</v>
      </c>
      <c r="J12" s="9">
        <f t="shared" si="7"/>
        <v>-2.8496692423908332</v>
      </c>
      <c r="L12">
        <f>L11/18</f>
        <v>70000</v>
      </c>
    </row>
    <row r="13" spans="1:16" x14ac:dyDescent="0.25">
      <c r="A13">
        <v>60</v>
      </c>
      <c r="B13">
        <v>4</v>
      </c>
      <c r="C13" s="1">
        <f t="shared" si="0"/>
        <v>1.3862943611198906</v>
      </c>
      <c r="D13">
        <f t="shared" si="1"/>
        <v>0.28274333882308139</v>
      </c>
      <c r="E13">
        <f t="shared" si="2"/>
        <v>1.1309733552923256</v>
      </c>
      <c r="F13">
        <f t="shared" si="3"/>
        <v>3600</v>
      </c>
      <c r="G13">
        <f t="shared" si="4"/>
        <v>1.7638578078371308E-2</v>
      </c>
      <c r="H13">
        <f t="shared" si="5"/>
        <v>63.498881082136705</v>
      </c>
      <c r="I13" s="9">
        <f t="shared" si="6"/>
        <v>4.8926208874220212</v>
      </c>
      <c r="J13" s="9">
        <f t="shared" si="7"/>
        <v>-0.89262088742202117</v>
      </c>
      <c r="L13">
        <f>L12/12</f>
        <v>5833.333333333333</v>
      </c>
    </row>
    <row r="14" spans="1:16" x14ac:dyDescent="0.25">
      <c r="A14">
        <v>65</v>
      </c>
      <c r="B14">
        <v>3</v>
      </c>
      <c r="C14" s="1">
        <f t="shared" si="0"/>
        <v>1.0986122886681098</v>
      </c>
      <c r="D14">
        <f t="shared" si="1"/>
        <v>0.33183072403542191</v>
      </c>
      <c r="E14">
        <f t="shared" si="2"/>
        <v>0.99549217210626573</v>
      </c>
      <c r="F14">
        <f t="shared" si="3"/>
        <v>4225</v>
      </c>
      <c r="G14">
        <f t="shared" si="4"/>
        <v>1.259898434169379E-2</v>
      </c>
      <c r="H14">
        <f t="shared" si="5"/>
        <v>53.230708843656267</v>
      </c>
      <c r="I14" s="9">
        <f t="shared" si="6"/>
        <v>3.4947292053014434</v>
      </c>
      <c r="J14" s="9">
        <f t="shared" si="7"/>
        <v>-0.49472920530144338</v>
      </c>
    </row>
    <row r="15" spans="1:16" x14ac:dyDescent="0.25">
      <c r="A15">
        <v>70</v>
      </c>
      <c r="B15">
        <v>2</v>
      </c>
      <c r="C15" s="1">
        <f t="shared" si="0"/>
        <v>0.69314718055994529</v>
      </c>
      <c r="D15">
        <f t="shared" si="1"/>
        <v>0.38484510006474965</v>
      </c>
      <c r="E15">
        <f t="shared" si="2"/>
        <v>0.76969020012949929</v>
      </c>
      <c r="F15">
        <f t="shared" si="3"/>
        <v>4900</v>
      </c>
      <c r="G15">
        <f t="shared" si="4"/>
        <v>8.9992745297812794E-3</v>
      </c>
      <c r="H15">
        <f t="shared" si="5"/>
        <v>44.096445195928268</v>
      </c>
      <c r="I15" s="9">
        <f t="shared" si="6"/>
        <v>2.4962351466438881</v>
      </c>
      <c r="J15" s="9">
        <f t="shared" si="7"/>
        <v>-0.49623514664388813</v>
      </c>
    </row>
    <row r="16" spans="1:16" x14ac:dyDescent="0.25">
      <c r="E16">
        <f>SUM(E3:E9)</f>
        <v>15.195490966332132</v>
      </c>
      <c r="H16">
        <f>SUM(H3:H9)</f>
        <v>697.50467101986692</v>
      </c>
      <c r="J16" s="8">
        <f>SUM(J8,J9,J10,J11,J14,J15)</f>
        <v>40.884965230932409</v>
      </c>
    </row>
    <row r="17" spans="2:13" x14ac:dyDescent="0.25">
      <c r="J17" s="10">
        <v>0.1</v>
      </c>
    </row>
    <row r="19" spans="2:13" x14ac:dyDescent="0.25">
      <c r="B19" t="s">
        <v>5</v>
      </c>
    </row>
    <row r="20" spans="2:13" ht="15.75" thickBot="1" x14ac:dyDescent="0.3"/>
    <row r="21" spans="2:13" x14ac:dyDescent="0.25">
      <c r="B21" s="5" t="s">
        <v>6</v>
      </c>
      <c r="C21" s="5"/>
    </row>
    <row r="22" spans="2:13" x14ac:dyDescent="0.25">
      <c r="B22" s="2" t="s">
        <v>7</v>
      </c>
      <c r="C22" s="2">
        <v>0.9516925651653716</v>
      </c>
    </row>
    <row r="23" spans="2:13" x14ac:dyDescent="0.25">
      <c r="B23" s="2" t="s">
        <v>8</v>
      </c>
      <c r="C23" s="2">
        <v>0.90571873859104512</v>
      </c>
    </row>
    <row r="24" spans="2:13" x14ac:dyDescent="0.25">
      <c r="B24" s="2" t="s">
        <v>9</v>
      </c>
      <c r="C24" s="2">
        <v>0.89714771482659472</v>
      </c>
    </row>
    <row r="25" spans="2:13" x14ac:dyDescent="0.25">
      <c r="B25" s="2" t="s">
        <v>10</v>
      </c>
      <c r="C25" s="2">
        <v>0.42034630078390878</v>
      </c>
    </row>
    <row r="26" spans="2:13" ht="15.75" thickBot="1" x14ac:dyDescent="0.3">
      <c r="B26" s="3" t="s">
        <v>11</v>
      </c>
      <c r="C26" s="3">
        <v>13</v>
      </c>
    </row>
    <row r="28" spans="2:13" ht="15.75" thickBot="1" x14ac:dyDescent="0.3">
      <c r="B28" t="s">
        <v>12</v>
      </c>
    </row>
    <row r="29" spans="2:13" x14ac:dyDescent="0.25">
      <c r="B29" s="4"/>
      <c r="C29" s="4" t="s">
        <v>17</v>
      </c>
      <c r="D29" s="4" t="s">
        <v>18</v>
      </c>
      <c r="E29" s="4"/>
      <c r="F29" s="4"/>
      <c r="G29" s="4"/>
      <c r="H29" s="4"/>
      <c r="I29" s="4"/>
      <c r="J29" s="4"/>
      <c r="K29" s="4" t="s">
        <v>19</v>
      </c>
      <c r="L29" s="4" t="s">
        <v>20</v>
      </c>
      <c r="M29" s="4" t="s">
        <v>21</v>
      </c>
    </row>
    <row r="30" spans="2:13" x14ac:dyDescent="0.25">
      <c r="B30" s="2" t="s">
        <v>13</v>
      </c>
      <c r="C30" s="2">
        <v>1</v>
      </c>
      <c r="D30" s="2">
        <v>18.671323920550726</v>
      </c>
      <c r="E30" s="2"/>
      <c r="F30" s="2"/>
      <c r="G30" s="2"/>
      <c r="H30" s="2"/>
      <c r="I30" s="2"/>
      <c r="J30" s="2"/>
      <c r="K30" s="2">
        <v>18.671323920550726</v>
      </c>
      <c r="L30" s="2">
        <v>105.67217679965421</v>
      </c>
      <c r="M30" s="2">
        <v>5.6080137838171922E-7</v>
      </c>
    </row>
    <row r="31" spans="2:13" x14ac:dyDescent="0.25">
      <c r="B31" s="2" t="s">
        <v>14</v>
      </c>
      <c r="C31" s="2">
        <v>11</v>
      </c>
      <c r="D31" s="2">
        <v>1.9436011384098795</v>
      </c>
      <c r="E31" s="2"/>
      <c r="F31" s="2"/>
      <c r="G31" s="2"/>
      <c r="H31" s="2"/>
      <c r="I31" s="2"/>
      <c r="J31" s="2"/>
      <c r="K31" s="2">
        <v>0.17669101258271633</v>
      </c>
      <c r="L31" s="2"/>
      <c r="M31" s="2"/>
    </row>
    <row r="32" spans="2:13" ht="15.75" thickBot="1" x14ac:dyDescent="0.3">
      <c r="B32" s="3" t="s">
        <v>15</v>
      </c>
      <c r="C32" s="3">
        <v>12</v>
      </c>
      <c r="D32" s="3">
        <v>20.614925058960605</v>
      </c>
      <c r="E32" s="3"/>
      <c r="F32" s="3"/>
      <c r="G32" s="3"/>
      <c r="H32" s="3"/>
      <c r="I32" s="3"/>
      <c r="J32" s="3"/>
      <c r="K32" s="3"/>
      <c r="L32" s="3"/>
      <c r="M32" s="3"/>
    </row>
    <row r="33" spans="2:16" ht="15.75" thickBot="1" x14ac:dyDescent="0.3"/>
    <row r="34" spans="2:16" x14ac:dyDescent="0.25">
      <c r="B34" s="4"/>
      <c r="C34" s="4" t="s">
        <v>22</v>
      </c>
      <c r="D34" s="4" t="s">
        <v>10</v>
      </c>
      <c r="E34" s="4"/>
      <c r="F34" s="4"/>
      <c r="G34" s="4"/>
      <c r="H34" s="4"/>
      <c r="I34" s="4"/>
      <c r="J34" s="4"/>
      <c r="K34" s="4" t="s">
        <v>23</v>
      </c>
      <c r="L34" s="4" t="s">
        <v>24</v>
      </c>
      <c r="M34" s="4" t="s">
        <v>25</v>
      </c>
      <c r="N34" s="4" t="s">
        <v>26</v>
      </c>
      <c r="O34" s="4" t="s">
        <v>27</v>
      </c>
      <c r="P34" s="4" t="s">
        <v>28</v>
      </c>
    </row>
    <row r="35" spans="2:16" x14ac:dyDescent="0.25">
      <c r="B35" s="2" t="s">
        <v>16</v>
      </c>
      <c r="C35" s="2">
        <v>5.4488812058156739</v>
      </c>
      <c r="D35" s="2">
        <v>0.2751812487767053</v>
      </c>
      <c r="E35" s="2"/>
      <c r="F35" s="2"/>
      <c r="G35" s="2"/>
      <c r="H35" s="2"/>
      <c r="I35" s="2"/>
      <c r="J35" s="2"/>
      <c r="K35" s="2">
        <v>19.801062863251801</v>
      </c>
      <c r="L35" s="2">
        <v>5.9491863111714872E-10</v>
      </c>
      <c r="M35" s="2">
        <v>4.8432113609226599</v>
      </c>
      <c r="N35" s="2">
        <v>6.0545510507086879</v>
      </c>
      <c r="O35" s="2">
        <v>4.8432113609226599</v>
      </c>
      <c r="P35" s="2">
        <v>6.0545510507086879</v>
      </c>
    </row>
    <row r="36" spans="2:16" ht="15.75" thickBot="1" x14ac:dyDescent="0.3">
      <c r="B36" s="3" t="s">
        <v>29</v>
      </c>
      <c r="C36" s="3">
        <v>-6.4059251282280155E-2</v>
      </c>
      <c r="D36" s="3">
        <v>6.2316281643418807E-3</v>
      </c>
      <c r="E36" s="3"/>
      <c r="F36" s="3"/>
      <c r="G36" s="3"/>
      <c r="H36" s="3"/>
      <c r="I36" s="3"/>
      <c r="J36" s="3"/>
      <c r="K36" s="3">
        <v>-10.279697310702014</v>
      </c>
      <c r="L36" s="3">
        <v>5.6080137838171922E-7</v>
      </c>
      <c r="M36" s="3">
        <v>-7.7774972395205727E-2</v>
      </c>
      <c r="N36" s="3">
        <v>-5.0343530169354576E-2</v>
      </c>
      <c r="O36" s="3">
        <v>-7.7774972395205727E-2</v>
      </c>
      <c r="P36" s="3">
        <v>-5.0343530169354576E-2</v>
      </c>
    </row>
    <row r="39" spans="2:16" x14ac:dyDescent="0.25">
      <c r="B39" t="s">
        <v>33</v>
      </c>
      <c r="C39">
        <f>(C35+C36*10)-(C35+C36*15)</f>
        <v>0.32029625641140047</v>
      </c>
    </row>
    <row r="40" spans="2:16" x14ac:dyDescent="0.25">
      <c r="B40" t="s">
        <v>32</v>
      </c>
      <c r="C40">
        <f>EXP(C39)</f>
        <v>1.3775358077052069</v>
      </c>
    </row>
    <row r="42" spans="2:16" x14ac:dyDescent="0.25">
      <c r="B42" t="s">
        <v>35</v>
      </c>
      <c r="C42" s="6">
        <f>LN(1.4)/-5</f>
        <v>-6.7294447324242584E-2</v>
      </c>
    </row>
    <row r="43" spans="2:16" x14ac:dyDescent="0.25">
      <c r="B43" t="s">
        <v>43</v>
      </c>
      <c r="C43">
        <f>(15.1955*40000)/(PI()*H16)</f>
        <v>277.38181987704701</v>
      </c>
    </row>
    <row r="44" spans="2:16" x14ac:dyDescent="0.25">
      <c r="B44" t="s">
        <v>42</v>
      </c>
      <c r="C44" s="6">
        <f>LN(C43)</f>
        <v>5.6253949681593198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abSelected="1" topLeftCell="B1" workbookViewId="0">
      <selection activeCell="S9" sqref="S9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0.51896924219350837</v>
      </c>
      <c r="H2" s="19">
        <f>G2*F2</f>
        <v>81.088944092735687</v>
      </c>
      <c r="I2" s="15">
        <f>EXP($B$44+$B$42*A2)</f>
        <v>84.994086915314483</v>
      </c>
      <c r="J2" s="20">
        <f>B2-I2</f>
        <v>-15.994086915314483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0.39920710937962184</v>
      </c>
      <c r="H3" s="19">
        <f t="shared" ref="H3:H13" si="5">G3*F3</f>
        <v>122.25717724750919</v>
      </c>
      <c r="I3" s="15">
        <f t="shared" ref="I3:I13" si="6">EXP($B$44+$B$42*A3)</f>
        <v>65.38006685793421</v>
      </c>
      <c r="J3" s="20">
        <f t="shared" ref="J3:J14" si="7">B3-I3</f>
        <v>-10.38006685793421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0.30708239183047831</v>
      </c>
      <c r="H4" s="19">
        <f t="shared" si="5"/>
        <v>155.46046086417965</v>
      </c>
      <c r="I4" s="15">
        <f t="shared" si="6"/>
        <v>50.292359121487834</v>
      </c>
      <c r="J4" s="20">
        <f t="shared" si="7"/>
        <v>-15.292359121487834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0.23621722448498331</v>
      </c>
      <c r="H5" s="19">
        <f t="shared" si="5"/>
        <v>178.63927601676863</v>
      </c>
      <c r="I5" s="15">
        <f t="shared" si="6"/>
        <v>38.686430093452174</v>
      </c>
      <c r="J5" s="20">
        <f t="shared" si="7"/>
        <v>-5.6864300934521737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0.18170555729614102</v>
      </c>
      <c r="H6" s="19">
        <f t="shared" si="5"/>
        <v>191.92649489404894</v>
      </c>
      <c r="I6" s="15">
        <f t="shared" si="6"/>
        <v>29.758792379578601</v>
      </c>
      <c r="J6" s="20">
        <f t="shared" si="7"/>
        <v>-0.75879237957860113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0.13977350561241617</v>
      </c>
      <c r="H7" s="19">
        <f t="shared" si="5"/>
        <v>196.55649226746024</v>
      </c>
      <c r="I7" s="15">
        <f t="shared" si="6"/>
        <v>22.891378753522005</v>
      </c>
      <c r="J7" s="20">
        <f t="shared" si="7"/>
        <v>1.1086212464779948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0.10751808124032013</v>
      </c>
      <c r="H8" s="19">
        <f t="shared" si="5"/>
        <v>194.20453424032823</v>
      </c>
      <c r="I8" s="15">
        <f t="shared" si="6"/>
        <v>17.608752887324616</v>
      </c>
      <c r="J8" s="20">
        <f t="shared" si="7"/>
        <v>9.3912471126753836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8.2706216338707797E-2</v>
      </c>
      <c r="H9" s="19">
        <f t="shared" si="5"/>
        <v>186.60590061420947</v>
      </c>
      <c r="I9" s="15">
        <f t="shared" si="6"/>
        <v>13.545194528711246</v>
      </c>
      <c r="J9" s="15">
        <f t="shared" si="7"/>
        <v>15.454805471288754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6.3620166414390597E-2</v>
      </c>
      <c r="H10" s="19">
        <f t="shared" si="5"/>
        <v>175.35308367966408</v>
      </c>
      <c r="I10" s="15">
        <f t="shared" si="6"/>
        <v>10.419380406700956</v>
      </c>
      <c r="J10" s="15">
        <f t="shared" si="7"/>
        <v>2.5806195932990441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4.8938589549531245E-2</v>
      </c>
      <c r="H11" s="19">
        <f t="shared" si="5"/>
        <v>161.80321169813769</v>
      </c>
      <c r="I11" s="15">
        <f t="shared" si="6"/>
        <v>8.0149080051545827</v>
      </c>
      <c r="J11" s="15">
        <f t="shared" si="7"/>
        <v>-1.0149080051545827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3.7645068884254791E-2</v>
      </c>
      <c r="H12" s="19">
        <f t="shared" si="5"/>
        <v>147.05105032912027</v>
      </c>
      <c r="I12" s="15">
        <f t="shared" si="6"/>
        <v>6.1653138501189089</v>
      </c>
      <c r="J12" s="15">
        <f t="shared" si="7"/>
        <v>-1.1653138501189089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2.8957745295580616E-2</v>
      </c>
      <c r="H13" s="19">
        <f t="shared" si="5"/>
        <v>131.93872700298917</v>
      </c>
      <c r="I13" s="15">
        <f t="shared" si="6"/>
        <v>4.742549115476085</v>
      </c>
      <c r="J13" s="15">
        <f t="shared" si="7"/>
        <v>-2.742549115476085</v>
      </c>
      <c r="K13" s="15">
        <f t="shared" si="8"/>
        <v>21.457049999999999</v>
      </c>
      <c r="L13" s="13">
        <f t="shared" si="9"/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1120.1333796230306</v>
      </c>
      <c r="J14" s="15">
        <f>1+9+16+3</f>
        <v>29</v>
      </c>
      <c r="L14" s="13"/>
      <c r="M14" s="13"/>
    </row>
    <row r="15" spans="1:15" x14ac:dyDescent="0.25">
      <c r="I15" t="s">
        <v>50</v>
      </c>
      <c r="J15" s="15">
        <f>84*J14</f>
        <v>2436</v>
      </c>
      <c r="L15" t="s">
        <v>52</v>
      </c>
      <c r="M15" s="13">
        <f>1*L7+9*L8+16*L9+3*L10</f>
        <v>45.739718027775254</v>
      </c>
      <c r="N15" t="s">
        <v>54</v>
      </c>
      <c r="O15" s="14">
        <f>M15/M16</f>
        <v>27.915604533277541</v>
      </c>
    </row>
    <row r="16" spans="1:15" x14ac:dyDescent="0.25">
      <c r="I16" t="s">
        <v>51</v>
      </c>
      <c r="J16" s="14">
        <f>J15*100/(SUM(B2:B13)*84)</f>
        <v>8.8414634146341466</v>
      </c>
      <c r="L16" t="s">
        <v>53</v>
      </c>
      <c r="M16">
        <f>0.0565*29</f>
        <v>1.6385000000000001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f>EXP(B39)</f>
        <v>1.305929407432739</v>
      </c>
    </row>
    <row r="42" spans="1:9" x14ac:dyDescent="0.25">
      <c r="A42" t="s">
        <v>35</v>
      </c>
      <c r="B42" s="18">
        <f>LN(1.3)/-5</f>
        <v>-5.2472852893498213E-2</v>
      </c>
    </row>
    <row r="43" spans="1:9" x14ac:dyDescent="0.25">
      <c r="A43" t="s">
        <v>43</v>
      </c>
      <c r="B43" s="1">
        <f>(14.4081*40000)/(PI()*H14)</f>
        <v>163.77480591349317</v>
      </c>
    </row>
    <row r="44" spans="1:9" x14ac:dyDescent="0.25">
      <c r="A44" t="s">
        <v>42</v>
      </c>
      <c r="B44" s="21">
        <f>LN(B43)</f>
        <v>5.0984923495370555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OLIVEIRA CABRAL HASSAN</dc:creator>
  <cp:lastModifiedBy>VICTORIA OLIVEIRA CABRAL HASSAN</cp:lastModifiedBy>
  <dcterms:created xsi:type="dcterms:W3CDTF">2024-08-20T18:09:07Z</dcterms:created>
  <dcterms:modified xsi:type="dcterms:W3CDTF">2024-08-26T18:19:09Z</dcterms:modified>
</cp:coreProperties>
</file>