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.xml" ContentType="application/inkml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e1d3294ae0e9b3/Documents/Financial modelling/000. PROJECT/"/>
    </mc:Choice>
  </mc:AlternateContent>
  <xr:revisionPtr revIDLastSave="5503" documentId="13_ncr:1_{DD486496-2B70-447A-98D9-F2E49C8F2BC9}" xr6:coauthVersionLast="47" xr6:coauthVersionMax="47" xr10:uidLastSave="{400E593C-D81F-47AF-9E31-863060336C2F}"/>
  <bookViews>
    <workbookView xWindow="-120" yWindow="-120" windowWidth="29040" windowHeight="15720" tabRatio="881" activeTab="6" xr2:uid="{00000000-000D-0000-FFFF-FFFF00000000}"/>
  </bookViews>
  <sheets>
    <sheet name="Financial Statement Modelling" sheetId="66" r:id="rId1"/>
    <sheet name="DCF" sheetId="80" r:id="rId2"/>
    <sheet name="Trading Comps =&gt;" sheetId="85" r:id="rId3"/>
    <sheet name="Input Tab" sheetId="88" r:id="rId4"/>
    <sheet name="Operating Metrics" sheetId="90" r:id="rId5"/>
    <sheet name="Valuation Metrics" sheetId="91" r:id="rId6"/>
    <sheet name="Football Field" sheetId="92" r:id="rId7"/>
  </sheets>
  <externalReferences>
    <externalReference r:id="rId8"/>
  </externalReferences>
  <definedNames>
    <definedName name="CIQWBGuid" hidden="1">"a611639b-bab1-425e-aaa5-008c326fdfdb"</definedName>
    <definedName name="INPUTS">'Input Tab'!$9:$277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43588.5561574074</definedName>
    <definedName name="IQ_QTD" hidden="1">750000</definedName>
    <definedName name="IQ_TODAY" hidden="1">0</definedName>
    <definedName name="IQ_YTDMONTH" hidden="1">130000</definedName>
    <definedName name="METRICS">'Input Tab'!$C$9:$C$278</definedName>
    <definedName name="MLNK841c85bef3244d5c8fb6b3f84988d79e" hidden="1">#REF!</definedName>
    <definedName name="MLNKa7775792bf444a4785f8ed5c82461a24" hidden="1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'Financial Statement Modelling'!$W$88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92" l="1"/>
  <c r="I257" i="88" l="1"/>
  <c r="O129" i="80"/>
  <c r="F99" i="80"/>
  <c r="E99" i="80" s="1"/>
  <c r="H99" i="80"/>
  <c r="I99" i="80" s="1"/>
  <c r="C129" i="80"/>
  <c r="E129" i="80"/>
  <c r="C12" i="80"/>
  <c r="H8" i="80" l="1"/>
  <c r="H6" i="80"/>
  <c r="E164" i="66" l="1"/>
  <c r="G226" i="66"/>
  <c r="E174" i="80"/>
  <c r="G3" i="92"/>
  <c r="C3" i="92"/>
  <c r="J6" i="90"/>
  <c r="E38" i="88" l="1"/>
  <c r="E39" i="88" s="1"/>
  <c r="G38" i="88"/>
  <c r="G39" i="88" s="1"/>
  <c r="I38" i="88"/>
  <c r="I39" i="88" s="1"/>
  <c r="K38" i="88"/>
  <c r="K39" i="88" s="1"/>
  <c r="J42" i="88"/>
  <c r="H42" i="88"/>
  <c r="F42" i="88"/>
  <c r="F41" i="88"/>
  <c r="H41" i="88"/>
  <c r="J41" i="88"/>
  <c r="C17" i="90"/>
  <c r="C17" i="91" s="1"/>
  <c r="B39" i="91" s="1"/>
  <c r="K223" i="88"/>
  <c r="K216" i="88" s="1"/>
  <c r="K226" i="88"/>
  <c r="K219" i="88" s="1"/>
  <c r="K225" i="88"/>
  <c r="K218" i="88" s="1"/>
  <c r="K224" i="88"/>
  <c r="K217" i="88" s="1"/>
  <c r="D16" i="92"/>
  <c r="D15" i="92"/>
  <c r="I225" i="88"/>
  <c r="I218" i="88" s="1"/>
  <c r="I224" i="88"/>
  <c r="I217" i="88" s="1"/>
  <c r="I223" i="88"/>
  <c r="I216" i="88" s="1"/>
  <c r="I226" i="88"/>
  <c r="I219" i="88" s="1"/>
  <c r="G219" i="88"/>
  <c r="G218" i="88"/>
  <c r="G217" i="88"/>
  <c r="G216" i="88"/>
  <c r="C8" i="90"/>
  <c r="C8" i="91" s="1"/>
  <c r="B41" i="91" s="1"/>
  <c r="M6" i="91"/>
  <c r="Q6" i="91" s="1"/>
  <c r="C10" i="90"/>
  <c r="C10" i="91" s="1"/>
  <c r="B42" i="91" s="1"/>
  <c r="C9" i="90"/>
  <c r="C9" i="91" s="1"/>
  <c r="B23" i="91" s="1"/>
  <c r="R6" i="90"/>
  <c r="Y6" i="90" s="1"/>
  <c r="AD6" i="90" s="1"/>
  <c r="AK6" i="90" s="1"/>
  <c r="Q6" i="90"/>
  <c r="K129" i="88"/>
  <c r="K124" i="88"/>
  <c r="K122" i="88"/>
  <c r="K93" i="88"/>
  <c r="K79" i="88"/>
  <c r="K72" i="88"/>
  <c r="H123" i="88"/>
  <c r="J123" i="88"/>
  <c r="F123" i="88"/>
  <c r="I124" i="88"/>
  <c r="E122" i="88"/>
  <c r="I91" i="88"/>
  <c r="I79" i="88"/>
  <c r="I26" i="88"/>
  <c r="I20" i="88"/>
  <c r="B40" i="91" l="1"/>
  <c r="B24" i="91"/>
  <c r="B22" i="91"/>
  <c r="B25" i="91"/>
  <c r="X6" i="90"/>
  <c r="AC6" i="90"/>
  <c r="L6" i="90"/>
  <c r="J6" i="91" s="1"/>
  <c r="K6" i="91" s="1"/>
  <c r="O6" i="91" s="1"/>
  <c r="S6" i="91" s="1"/>
  <c r="N6" i="91" l="1"/>
  <c r="R6" i="91" s="1"/>
  <c r="S6" i="90"/>
  <c r="M6" i="90"/>
  <c r="AJ6" i="90"/>
  <c r="O6" i="90" l="1"/>
  <c r="T6" i="90"/>
  <c r="AE6" i="90"/>
  <c r="AL6" i="90" s="1"/>
  <c r="Z6" i="90"/>
  <c r="AF6" i="90" l="1"/>
  <c r="AA6" i="90"/>
  <c r="V6" i="90"/>
  <c r="AM6" i="90" l="1"/>
  <c r="AH6" i="90"/>
  <c r="G124" i="88" l="1"/>
  <c r="E226" i="88"/>
  <c r="E225" i="88"/>
  <c r="E218" i="88" s="1"/>
  <c r="E224" i="88"/>
  <c r="E217" i="88" s="1"/>
  <c r="E223" i="88"/>
  <c r="E216" i="88" s="1"/>
  <c r="E208" i="88"/>
  <c r="E179" i="88"/>
  <c r="E152" i="88"/>
  <c r="E198" i="88"/>
  <c r="K17" i="90" s="1"/>
  <c r="E124" i="88"/>
  <c r="E79" i="88"/>
  <c r="E83" i="88"/>
  <c r="K244" i="88"/>
  <c r="I244" i="88"/>
  <c r="G244" i="88"/>
  <c r="E244" i="88"/>
  <c r="K243" i="88"/>
  <c r="I243" i="88"/>
  <c r="G243" i="88"/>
  <c r="E243" i="88"/>
  <c r="K208" i="88"/>
  <c r="I208" i="88"/>
  <c r="G208" i="88"/>
  <c r="K198" i="88"/>
  <c r="K10" i="90" s="1"/>
  <c r="I198" i="88"/>
  <c r="K9" i="90" s="1"/>
  <c r="G198" i="88"/>
  <c r="K8" i="90" s="1"/>
  <c r="K175" i="88"/>
  <c r="K178" i="88" s="1"/>
  <c r="K192" i="88" s="1"/>
  <c r="K191" i="88" s="1"/>
  <c r="I175" i="88"/>
  <c r="I178" i="88" s="1"/>
  <c r="G175" i="88"/>
  <c r="G178" i="88" s="1"/>
  <c r="G192" i="88" s="1"/>
  <c r="G191" i="88" s="1"/>
  <c r="E175" i="88"/>
  <c r="E178" i="88" s="1"/>
  <c r="K148" i="88"/>
  <c r="K151" i="88" s="1"/>
  <c r="K165" i="88" s="1"/>
  <c r="K164" i="88" s="1"/>
  <c r="I148" i="88"/>
  <c r="I151" i="88" s="1"/>
  <c r="I153" i="88" s="1"/>
  <c r="I162" i="88" s="1"/>
  <c r="G148" i="88"/>
  <c r="G151" i="88" s="1"/>
  <c r="E148" i="88"/>
  <c r="E151" i="88" s="1"/>
  <c r="K144" i="88"/>
  <c r="K171" i="88" s="1"/>
  <c r="I144" i="88"/>
  <c r="I171" i="88" s="1"/>
  <c r="G144" i="88"/>
  <c r="G171" i="88" s="1"/>
  <c r="E144" i="88"/>
  <c r="E171" i="88" s="1"/>
  <c r="I121" i="88"/>
  <c r="I123" i="88" s="1"/>
  <c r="G121" i="88"/>
  <c r="G123" i="88" s="1"/>
  <c r="E121" i="88"/>
  <c r="E123" i="88" s="1"/>
  <c r="K121" i="88"/>
  <c r="K123" i="88" s="1"/>
  <c r="K117" i="88"/>
  <c r="I117" i="88"/>
  <c r="G117" i="88"/>
  <c r="E117" i="88"/>
  <c r="K107" i="88"/>
  <c r="I107" i="88"/>
  <c r="G107" i="88"/>
  <c r="E107" i="88"/>
  <c r="K106" i="88"/>
  <c r="I106" i="88"/>
  <c r="G106" i="88"/>
  <c r="E106" i="88"/>
  <c r="K101" i="88"/>
  <c r="G10" i="90" s="1"/>
  <c r="G10" i="91" s="1"/>
  <c r="I101" i="88"/>
  <c r="G9" i="90" s="1"/>
  <c r="G9" i="91" s="1"/>
  <c r="G101" i="88"/>
  <c r="G8" i="90" s="1"/>
  <c r="G8" i="91" s="1"/>
  <c r="E101" i="88"/>
  <c r="G17" i="90" s="1"/>
  <c r="G17" i="91" s="1"/>
  <c r="I93" i="88"/>
  <c r="G93" i="88"/>
  <c r="E93" i="88"/>
  <c r="K89" i="88"/>
  <c r="I89" i="88"/>
  <c r="G89" i="88"/>
  <c r="E89" i="88"/>
  <c r="K75" i="88"/>
  <c r="K108" i="88" s="1"/>
  <c r="I75" i="88"/>
  <c r="I108" i="88" s="1"/>
  <c r="G75" i="88"/>
  <c r="G108" i="88" s="1"/>
  <c r="E75" i="88"/>
  <c r="E108" i="88" s="1"/>
  <c r="K70" i="88"/>
  <c r="I70" i="88"/>
  <c r="G70" i="88"/>
  <c r="E70" i="88"/>
  <c r="K54" i="88"/>
  <c r="K55" i="88" s="1"/>
  <c r="I54" i="88"/>
  <c r="I55" i="88" s="1"/>
  <c r="G54" i="88"/>
  <c r="G55" i="88" s="1"/>
  <c r="E54" i="88"/>
  <c r="E55" i="88" s="1"/>
  <c r="K49" i="88"/>
  <c r="K50" i="88" s="1"/>
  <c r="I49" i="88"/>
  <c r="I50" i="88" s="1"/>
  <c r="G49" i="88"/>
  <c r="E49" i="88"/>
  <c r="K33" i="88"/>
  <c r="K34" i="88" s="1"/>
  <c r="I33" i="88"/>
  <c r="I34" i="88" s="1"/>
  <c r="G33" i="88"/>
  <c r="G34" i="88" s="1"/>
  <c r="E33" i="88"/>
  <c r="E34" i="88" s="1"/>
  <c r="K28" i="88"/>
  <c r="I28" i="88"/>
  <c r="G28" i="88"/>
  <c r="E28" i="88"/>
  <c r="K21" i="88"/>
  <c r="I21" i="88"/>
  <c r="G21" i="88"/>
  <c r="E21" i="88"/>
  <c r="K17" i="88"/>
  <c r="I17" i="88"/>
  <c r="G17" i="88"/>
  <c r="E17" i="88"/>
  <c r="E41" i="88" l="1"/>
  <c r="K29" i="88"/>
  <c r="K42" i="88" s="1"/>
  <c r="K43" i="88" s="1"/>
  <c r="K41" i="88"/>
  <c r="G29" i="88"/>
  <c r="G42" i="88" s="1"/>
  <c r="G43" i="88" s="1"/>
  <c r="G41" i="88"/>
  <c r="I29" i="88"/>
  <c r="I42" i="88" s="1"/>
  <c r="I43" i="88" s="1"/>
  <c r="I41" i="88"/>
  <c r="E219" i="88"/>
  <c r="I125" i="88"/>
  <c r="I127" i="88" s="1"/>
  <c r="I105" i="88"/>
  <c r="I109" i="88" s="1"/>
  <c r="E105" i="88"/>
  <c r="E109" i="88" s="1"/>
  <c r="K125" i="88"/>
  <c r="E138" i="88"/>
  <c r="E222" i="88" s="1"/>
  <c r="G57" i="88"/>
  <c r="G125" i="88"/>
  <c r="G131" i="88" s="1"/>
  <c r="G135" i="88" s="1"/>
  <c r="I58" i="88"/>
  <c r="I59" i="88" s="1"/>
  <c r="I180" i="88"/>
  <c r="I189" i="88" s="1"/>
  <c r="I192" i="88"/>
  <c r="I191" i="88" s="1"/>
  <c r="I57" i="88"/>
  <c r="I138" i="88"/>
  <c r="I137" i="88" s="1"/>
  <c r="I215" i="88" s="1"/>
  <c r="I165" i="88"/>
  <c r="I164" i="88" s="1"/>
  <c r="E246" i="88"/>
  <c r="G105" i="88"/>
  <c r="G109" i="88" s="1"/>
  <c r="G246" i="88"/>
  <c r="E57" i="88"/>
  <c r="K105" i="88"/>
  <c r="K109" i="88" s="1"/>
  <c r="G165" i="88"/>
  <c r="G164" i="88" s="1"/>
  <c r="K246" i="88"/>
  <c r="I246" i="88"/>
  <c r="K58" i="88"/>
  <c r="K59" i="88" s="1"/>
  <c r="G50" i="88"/>
  <c r="G58" i="88" s="1"/>
  <c r="G59" i="88" s="1"/>
  <c r="E165" i="88"/>
  <c r="E164" i="88" s="1"/>
  <c r="E153" i="88"/>
  <c r="E192" i="88"/>
  <c r="E191" i="88" s="1"/>
  <c r="E180" i="88"/>
  <c r="E29" i="88"/>
  <c r="E50" i="88"/>
  <c r="E58" i="88" s="1"/>
  <c r="E59" i="88" s="1"/>
  <c r="G138" i="88"/>
  <c r="G153" i="88"/>
  <c r="G180" i="88"/>
  <c r="K57" i="88"/>
  <c r="K153" i="88"/>
  <c r="K180" i="88"/>
  <c r="E125" i="88"/>
  <c r="I155" i="88"/>
  <c r="I166" i="88" s="1"/>
  <c r="I167" i="88" s="1"/>
  <c r="C8" i="92" l="1"/>
  <c r="I8" i="92"/>
  <c r="G8" i="92"/>
  <c r="E8" i="92"/>
  <c r="E42" i="88"/>
  <c r="E43" i="88" s="1"/>
  <c r="E44" i="88" s="1"/>
  <c r="G247" i="88"/>
  <c r="G252" i="88" s="1"/>
  <c r="M8" i="90" s="1"/>
  <c r="I131" i="88"/>
  <c r="I135" i="88" s="1"/>
  <c r="I139" i="88" s="1"/>
  <c r="E60" i="88"/>
  <c r="G60" i="88"/>
  <c r="I222" i="88"/>
  <c r="E137" i="88"/>
  <c r="E215" i="88" s="1"/>
  <c r="I182" i="88"/>
  <c r="I193" i="88" s="1"/>
  <c r="I194" i="88" s="1"/>
  <c r="G127" i="88"/>
  <c r="G139" i="88" s="1"/>
  <c r="G140" i="88" s="1"/>
  <c r="I199" i="88"/>
  <c r="R9" i="90" s="1"/>
  <c r="I200" i="88"/>
  <c r="K138" i="88"/>
  <c r="K137" i="88" s="1"/>
  <c r="E247" i="88"/>
  <c r="E270" i="88" s="1"/>
  <c r="AF17" i="90" s="1"/>
  <c r="E200" i="88"/>
  <c r="K247" i="88"/>
  <c r="K251" i="88" s="1"/>
  <c r="L10" i="90" s="1"/>
  <c r="K60" i="88"/>
  <c r="I60" i="88"/>
  <c r="G44" i="88"/>
  <c r="I247" i="88"/>
  <c r="I271" i="88" s="1"/>
  <c r="K131" i="88"/>
  <c r="K127" i="88"/>
  <c r="K139" i="88" s="1"/>
  <c r="E189" i="88"/>
  <c r="E182" i="88"/>
  <c r="E193" i="88" s="1"/>
  <c r="E194" i="88" s="1"/>
  <c r="E155" i="88"/>
  <c r="E166" i="88" s="1"/>
  <c r="E167" i="88" s="1"/>
  <c r="E162" i="88"/>
  <c r="G222" i="88"/>
  <c r="G200" i="88"/>
  <c r="G137" i="88"/>
  <c r="K182" i="88"/>
  <c r="K193" i="88" s="1"/>
  <c r="K194" i="88" s="1"/>
  <c r="K189" i="88"/>
  <c r="E131" i="88"/>
  <c r="E127" i="88"/>
  <c r="E139" i="88" s="1"/>
  <c r="K155" i="88"/>
  <c r="K166" i="88" s="1"/>
  <c r="K167" i="88" s="1"/>
  <c r="K162" i="88"/>
  <c r="I44" i="88"/>
  <c r="G189" i="88"/>
  <c r="G182" i="88"/>
  <c r="G193" i="88" s="1"/>
  <c r="G194" i="88" s="1"/>
  <c r="K44" i="88"/>
  <c r="G162" i="88"/>
  <c r="G155" i="88"/>
  <c r="G166" i="88" s="1"/>
  <c r="G167" i="88" s="1"/>
  <c r="H9" i="90" l="1"/>
  <c r="Y9" i="90"/>
  <c r="G250" i="88"/>
  <c r="J8" i="90" s="1"/>
  <c r="O8" i="90" s="1"/>
  <c r="K277" i="88"/>
  <c r="G262" i="88"/>
  <c r="G251" i="88"/>
  <c r="L8" i="90" s="1"/>
  <c r="G263" i="88"/>
  <c r="G277" i="88"/>
  <c r="G270" i="88"/>
  <c r="AF8" i="90" s="1"/>
  <c r="K271" i="88"/>
  <c r="G269" i="88"/>
  <c r="AE8" i="90" s="1"/>
  <c r="G265" i="88"/>
  <c r="K265" i="88"/>
  <c r="G264" i="88"/>
  <c r="G257" i="88"/>
  <c r="S8" i="90" s="1"/>
  <c r="K253" i="88"/>
  <c r="G253" i="88"/>
  <c r="G276" i="88"/>
  <c r="G258" i="88"/>
  <c r="T8" i="90" s="1"/>
  <c r="G259" i="88"/>
  <c r="G275" i="88"/>
  <c r="K259" i="88"/>
  <c r="G271" i="88"/>
  <c r="I140" i="88"/>
  <c r="I202" i="88" s="1"/>
  <c r="I229" i="88"/>
  <c r="I268" i="88" s="1"/>
  <c r="AC9" i="90" s="1"/>
  <c r="G66" i="88"/>
  <c r="G102" i="88" s="1"/>
  <c r="G103" i="88" s="1"/>
  <c r="E66" i="88"/>
  <c r="E102" i="88" s="1"/>
  <c r="E265" i="88"/>
  <c r="E259" i="88"/>
  <c r="E271" i="88"/>
  <c r="E253" i="88"/>
  <c r="E250" i="88"/>
  <c r="J17" i="90" s="1"/>
  <c r="E277" i="88"/>
  <c r="E264" i="88"/>
  <c r="I201" i="88"/>
  <c r="AD9" i="90" s="1"/>
  <c r="AK9" i="90" s="1"/>
  <c r="E263" i="88"/>
  <c r="E256" i="88"/>
  <c r="Q17" i="90" s="1"/>
  <c r="K200" i="88"/>
  <c r="K222" i="88"/>
  <c r="K262" i="88" s="1"/>
  <c r="G229" i="88"/>
  <c r="G268" i="88" s="1"/>
  <c r="AC8" i="90" s="1"/>
  <c r="E199" i="88"/>
  <c r="R17" i="90" s="1"/>
  <c r="I252" i="88"/>
  <c r="M9" i="90" s="1"/>
  <c r="K66" i="88"/>
  <c r="K102" i="88" s="1"/>
  <c r="K103" i="88" s="1"/>
  <c r="E251" i="88"/>
  <c r="L17" i="90" s="1"/>
  <c r="K269" i="88"/>
  <c r="AE10" i="90" s="1"/>
  <c r="AL10" i="90" s="1"/>
  <c r="K250" i="88"/>
  <c r="J10" i="90" s="1"/>
  <c r="K270" i="88"/>
  <c r="AF10" i="90" s="1"/>
  <c r="E276" i="88"/>
  <c r="E275" i="88"/>
  <c r="E252" i="88"/>
  <c r="M17" i="90" s="1"/>
  <c r="K264" i="88"/>
  <c r="I66" i="88"/>
  <c r="I102" i="88" s="1"/>
  <c r="I103" i="88" s="1"/>
  <c r="K275" i="88"/>
  <c r="K257" i="88"/>
  <c r="S10" i="90" s="1"/>
  <c r="Z10" i="90" s="1"/>
  <c r="E262" i="88"/>
  <c r="E269" i="88"/>
  <c r="AE17" i="90" s="1"/>
  <c r="AL17" i="90" s="1"/>
  <c r="E257" i="88"/>
  <c r="S17" i="90" s="1"/>
  <c r="E258" i="88"/>
  <c r="T17" i="90" s="1"/>
  <c r="K276" i="88"/>
  <c r="K252" i="88"/>
  <c r="M10" i="90" s="1"/>
  <c r="K263" i="88"/>
  <c r="K258" i="88"/>
  <c r="T10" i="90" s="1"/>
  <c r="I269" i="88"/>
  <c r="AE9" i="90" s="1"/>
  <c r="S9" i="90"/>
  <c r="I270" i="88"/>
  <c r="AF9" i="90" s="1"/>
  <c r="I277" i="88"/>
  <c r="I276" i="88"/>
  <c r="I258" i="88"/>
  <c r="T9" i="90" s="1"/>
  <c r="I265" i="88"/>
  <c r="I250" i="88"/>
  <c r="J9" i="90" s="1"/>
  <c r="I264" i="88"/>
  <c r="I275" i="88"/>
  <c r="I259" i="88"/>
  <c r="I251" i="88"/>
  <c r="L9" i="90" s="1"/>
  <c r="I256" i="88"/>
  <c r="Q9" i="90" s="1"/>
  <c r="I253" i="88"/>
  <c r="I262" i="88"/>
  <c r="I263" i="88"/>
  <c r="E229" i="88"/>
  <c r="E268" i="88" s="1"/>
  <c r="AC17" i="90" s="1"/>
  <c r="E201" i="88"/>
  <c r="AD17" i="90" s="1"/>
  <c r="AK17" i="90" s="1"/>
  <c r="E140" i="88"/>
  <c r="K215" i="88"/>
  <c r="K256" i="88" s="1"/>
  <c r="Q10" i="90" s="1"/>
  <c r="K199" i="88"/>
  <c r="R10" i="90" s="1"/>
  <c r="G215" i="88"/>
  <c r="G256" i="88" s="1"/>
  <c r="Q8" i="90" s="1"/>
  <c r="G199" i="88"/>
  <c r="R8" i="90" s="1"/>
  <c r="G201" i="88"/>
  <c r="AD8" i="90" s="1"/>
  <c r="AK8" i="90" s="1"/>
  <c r="K140" i="88"/>
  <c r="K229" i="88"/>
  <c r="K268" i="88" s="1"/>
  <c r="AC10" i="90" s="1"/>
  <c r="AJ10" i="90" s="1"/>
  <c r="K201" i="88"/>
  <c r="AD10" i="90" s="1"/>
  <c r="AK10" i="90" s="1"/>
  <c r="G236" i="88"/>
  <c r="G274" i="88" s="1"/>
  <c r="G202" i="88"/>
  <c r="Z8" i="90" l="1"/>
  <c r="AL8" i="90"/>
  <c r="X10" i="90"/>
  <c r="X9" i="90"/>
  <c r="O10" i="90"/>
  <c r="AJ17" i="90"/>
  <c r="I236" i="88"/>
  <c r="I274" i="88" s="1"/>
  <c r="O17" i="90"/>
  <c r="E103" i="88"/>
  <c r="I10" i="92"/>
  <c r="G10" i="92"/>
  <c r="E10" i="92"/>
  <c r="C10" i="92"/>
  <c r="H8" i="90"/>
  <c r="Y8" i="90"/>
  <c r="X17" i="90"/>
  <c r="H10" i="90"/>
  <c r="Y10" i="90"/>
  <c r="X8" i="90"/>
  <c r="AA9" i="90"/>
  <c r="V9" i="90"/>
  <c r="I111" i="88"/>
  <c r="E9" i="90" s="1"/>
  <c r="E9" i="91" s="1"/>
  <c r="F9" i="90"/>
  <c r="F9" i="91" s="1"/>
  <c r="E6" i="92"/>
  <c r="E7" i="92" s="1"/>
  <c r="E9" i="92" s="1"/>
  <c r="C6" i="92"/>
  <c r="C7" i="92" s="1"/>
  <c r="C9" i="92" s="1"/>
  <c r="AA17" i="90"/>
  <c r="V17" i="90"/>
  <c r="O9" i="90"/>
  <c r="G111" i="88"/>
  <c r="E8" i="90" s="1"/>
  <c r="E8" i="91" s="1"/>
  <c r="F8" i="90"/>
  <c r="F8" i="91" s="1"/>
  <c r="AH17" i="90"/>
  <c r="AA8" i="90"/>
  <c r="V8" i="90"/>
  <c r="AM9" i="90"/>
  <c r="AH9" i="90"/>
  <c r="I6" i="92"/>
  <c r="I7" i="92" s="1"/>
  <c r="I9" i="92" s="1"/>
  <c r="I11" i="92" s="1"/>
  <c r="E19" i="92" s="1"/>
  <c r="Z17" i="90"/>
  <c r="G6" i="92"/>
  <c r="G7" i="92" s="1"/>
  <c r="G9" i="92" s="1"/>
  <c r="H17" i="90"/>
  <c r="Y17" i="90"/>
  <c r="AJ9" i="90"/>
  <c r="AM8" i="90"/>
  <c r="AH8" i="90"/>
  <c r="AM17" i="90"/>
  <c r="Z9" i="90"/>
  <c r="Z15" i="90" s="1"/>
  <c r="AJ8" i="90"/>
  <c r="AL9" i="90"/>
  <c r="AL13" i="90" s="1"/>
  <c r="AM10" i="90"/>
  <c r="AH10" i="90"/>
  <c r="K111" i="88"/>
  <c r="E10" i="90" s="1"/>
  <c r="E10" i="91" s="1"/>
  <c r="F10" i="90"/>
  <c r="F10" i="91" s="1"/>
  <c r="AK14" i="90"/>
  <c r="AK15" i="90"/>
  <c r="AK12" i="90"/>
  <c r="AK13" i="90"/>
  <c r="AA10" i="90"/>
  <c r="V10" i="90"/>
  <c r="K236" i="88"/>
  <c r="K274" i="88" s="1"/>
  <c r="K202" i="88"/>
  <c r="E236" i="88"/>
  <c r="E274" i="88" s="1"/>
  <c r="E202" i="88"/>
  <c r="O13" i="90" l="1"/>
  <c r="H15" i="90"/>
  <c r="Z13" i="90"/>
  <c r="X12" i="90"/>
  <c r="X14" i="90"/>
  <c r="X15" i="90"/>
  <c r="X13" i="90"/>
  <c r="AM14" i="90"/>
  <c r="AM12" i="90"/>
  <c r="AM15" i="90"/>
  <c r="AM13" i="90"/>
  <c r="E111" i="88"/>
  <c r="E17" i="90" s="1"/>
  <c r="E17" i="91" s="1"/>
  <c r="F17" i="90"/>
  <c r="F17" i="91" s="1"/>
  <c r="AL14" i="90"/>
  <c r="AA15" i="90"/>
  <c r="AA12" i="90"/>
  <c r="AA13" i="90"/>
  <c r="AA14" i="90"/>
  <c r="E11" i="92"/>
  <c r="E18" i="92" s="1"/>
  <c r="O14" i="90"/>
  <c r="S10" i="91"/>
  <c r="Q10" i="91"/>
  <c r="R10" i="91"/>
  <c r="Z14" i="90"/>
  <c r="V14" i="90"/>
  <c r="V12" i="90"/>
  <c r="V15" i="90"/>
  <c r="V13" i="90"/>
  <c r="C11" i="92"/>
  <c r="C18" i="92" s="1"/>
  <c r="Z12" i="90"/>
  <c r="AL15" i="90"/>
  <c r="S9" i="91"/>
  <c r="R9" i="91"/>
  <c r="Q9" i="91"/>
  <c r="Y13" i="90"/>
  <c r="Y14" i="90"/>
  <c r="Y12" i="90"/>
  <c r="Y15" i="90"/>
  <c r="O12" i="90"/>
  <c r="J10" i="91"/>
  <c r="C25" i="91" s="1"/>
  <c r="K10" i="91"/>
  <c r="N10" i="91"/>
  <c r="C42" i="91" s="1"/>
  <c r="M10" i="91"/>
  <c r="O10" i="91"/>
  <c r="I10" i="91"/>
  <c r="AH12" i="90"/>
  <c r="AH13" i="90"/>
  <c r="AH14" i="90"/>
  <c r="AH15" i="90"/>
  <c r="AL12" i="90"/>
  <c r="AJ15" i="90"/>
  <c r="AJ13" i="90"/>
  <c r="AJ12" i="90"/>
  <c r="AJ14" i="90"/>
  <c r="G11" i="92"/>
  <c r="C19" i="92" s="1"/>
  <c r="R8" i="91"/>
  <c r="Q8" i="91"/>
  <c r="S8" i="91"/>
  <c r="K9" i="91"/>
  <c r="M9" i="91"/>
  <c r="J9" i="91"/>
  <c r="C23" i="91" s="1"/>
  <c r="N9" i="91"/>
  <c r="C40" i="91" s="1"/>
  <c r="O9" i="91"/>
  <c r="I9" i="91"/>
  <c r="H13" i="90"/>
  <c r="H14" i="90"/>
  <c r="H12" i="90"/>
  <c r="O15" i="90"/>
  <c r="O8" i="91"/>
  <c r="I8" i="91"/>
  <c r="K8" i="91"/>
  <c r="M8" i="91"/>
  <c r="J8" i="91"/>
  <c r="N8" i="91"/>
  <c r="K190" i="66"/>
  <c r="J190" i="66"/>
  <c r="I190" i="66"/>
  <c r="H190" i="66"/>
  <c r="G190" i="66"/>
  <c r="Q14" i="91" l="1"/>
  <c r="Q12" i="91"/>
  <c r="Q13" i="91"/>
  <c r="Q15" i="91"/>
  <c r="S15" i="91"/>
  <c r="K15" i="91"/>
  <c r="K13" i="91"/>
  <c r="K14" i="91"/>
  <c r="K12" i="91"/>
  <c r="O15" i="91"/>
  <c r="R12" i="91"/>
  <c r="S13" i="91"/>
  <c r="S12" i="91"/>
  <c r="S14" i="91"/>
  <c r="C41" i="91"/>
  <c r="N15" i="91"/>
  <c r="N14" i="91"/>
  <c r="N12" i="91"/>
  <c r="N13" i="91"/>
  <c r="O12" i="91"/>
  <c r="O13" i="91"/>
  <c r="O14" i="91"/>
  <c r="Q17" i="91"/>
  <c r="R17" i="91"/>
  <c r="S17" i="91"/>
  <c r="M12" i="91"/>
  <c r="M13" i="91"/>
  <c r="M15" i="91"/>
  <c r="M14" i="91"/>
  <c r="R15" i="91"/>
  <c r="R14" i="91"/>
  <c r="R13" i="91"/>
  <c r="J17" i="91"/>
  <c r="C22" i="91" s="1"/>
  <c r="K17" i="91"/>
  <c r="I17" i="91"/>
  <c r="N17" i="91"/>
  <c r="C39" i="91" s="1"/>
  <c r="O17" i="91"/>
  <c r="M17" i="91"/>
  <c r="C24" i="91"/>
  <c r="J15" i="91"/>
  <c r="J13" i="91"/>
  <c r="J12" i="91"/>
  <c r="J14" i="91"/>
  <c r="I12" i="91"/>
  <c r="I13" i="91"/>
  <c r="I15" i="91"/>
  <c r="I14" i="91"/>
  <c r="D18" i="92"/>
  <c r="D130" i="80"/>
  <c r="E175" i="80" l="1"/>
  <c r="E173" i="80"/>
  <c r="G173" i="80" s="1"/>
  <c r="M18" i="66"/>
  <c r="H309" i="66" l="1"/>
  <c r="I309" i="66"/>
  <c r="J309" i="66"/>
  <c r="K309" i="66"/>
  <c r="G309" i="66"/>
  <c r="H307" i="66"/>
  <c r="I307" i="66"/>
  <c r="J307" i="66"/>
  <c r="K307" i="66"/>
  <c r="G307" i="66"/>
  <c r="H305" i="66"/>
  <c r="I305" i="66"/>
  <c r="J305" i="66"/>
  <c r="K305" i="66"/>
  <c r="G305" i="66"/>
  <c r="H303" i="66"/>
  <c r="I303" i="66"/>
  <c r="J303" i="66"/>
  <c r="K303" i="66"/>
  <c r="G303" i="66"/>
  <c r="H301" i="66"/>
  <c r="I301" i="66"/>
  <c r="J301" i="66"/>
  <c r="K301" i="66"/>
  <c r="H299" i="66"/>
  <c r="I299" i="66"/>
  <c r="J299" i="66"/>
  <c r="K299" i="66"/>
  <c r="H297" i="66"/>
  <c r="I297" i="66"/>
  <c r="J297" i="66"/>
  <c r="K297" i="66"/>
  <c r="H295" i="66"/>
  <c r="I295" i="66"/>
  <c r="J295" i="66"/>
  <c r="K295" i="66"/>
  <c r="E193" i="66"/>
  <c r="G299" i="66"/>
  <c r="D287" i="66"/>
  <c r="G291" i="66" s="1"/>
  <c r="G45" i="66" s="1"/>
  <c r="G301" i="66" l="1"/>
  <c r="H289" i="66"/>
  <c r="H42" i="66" s="1"/>
  <c r="G290" i="66"/>
  <c r="G44" i="66" s="1"/>
  <c r="J292" i="66"/>
  <c r="F290" i="66"/>
  <c r="F291" i="66"/>
  <c r="I292" i="66"/>
  <c r="F292" i="66"/>
  <c r="H292" i="66"/>
  <c r="K291" i="66"/>
  <c r="K45" i="66" s="1"/>
  <c r="F289" i="66"/>
  <c r="K290" i="66"/>
  <c r="K44" i="66" s="1"/>
  <c r="K289" i="66"/>
  <c r="K42" i="66" s="1"/>
  <c r="J291" i="66"/>
  <c r="J45" i="66" s="1"/>
  <c r="J289" i="66"/>
  <c r="J42" i="66" s="1"/>
  <c r="I290" i="66"/>
  <c r="I44" i="66" s="1"/>
  <c r="I291" i="66"/>
  <c r="I45" i="66" s="1"/>
  <c r="G292" i="66"/>
  <c r="J290" i="66"/>
  <c r="J44" i="66" s="1"/>
  <c r="I289" i="66"/>
  <c r="I42" i="66" s="1"/>
  <c r="H290" i="66"/>
  <c r="H44" i="66" s="1"/>
  <c r="K292" i="66"/>
  <c r="H291" i="66"/>
  <c r="H45" i="66" s="1"/>
  <c r="D280" i="66" l="1"/>
  <c r="D279" i="66" s="1"/>
  <c r="D278" i="66" s="1"/>
  <c r="G198" i="66"/>
  <c r="J110" i="66"/>
  <c r="G73" i="66"/>
  <c r="H73" i="66" s="1"/>
  <c r="G110" i="66"/>
  <c r="H110" i="66"/>
  <c r="I110" i="66"/>
  <c r="K110" i="66"/>
  <c r="G199" i="66"/>
  <c r="H199" i="66" s="1"/>
  <c r="I199" i="66" s="1"/>
  <c r="J199" i="66" s="1"/>
  <c r="K199" i="66" s="1"/>
  <c r="G200" i="66"/>
  <c r="H200" i="66" s="1"/>
  <c r="I200" i="66" s="1"/>
  <c r="J200" i="66" s="1"/>
  <c r="K200" i="66" s="1"/>
  <c r="G85" i="66"/>
  <c r="H85" i="66" s="1"/>
  <c r="F191" i="66"/>
  <c r="G187" i="66" s="1"/>
  <c r="E191" i="66"/>
  <c r="I73" i="66" l="1"/>
  <c r="J73" i="66" s="1"/>
  <c r="K73" i="66" s="1"/>
  <c r="F187" i="66"/>
  <c r="F190" i="66" s="1"/>
  <c r="E190" i="66"/>
  <c r="D281" i="66"/>
  <c r="D282" i="66" s="1"/>
  <c r="D283" i="66" s="1"/>
  <c r="G114" i="66"/>
  <c r="B179" i="80"/>
  <c r="C144" i="80"/>
  <c r="E158" i="80" s="1"/>
  <c r="C161" i="80"/>
  <c r="C160" i="80" s="1"/>
  <c r="C159" i="80" s="1"/>
  <c r="C146" i="80" l="1"/>
  <c r="E154" i="80" s="1"/>
  <c r="B136" i="80" l="1"/>
  <c r="D152" i="80"/>
  <c r="D158" i="80"/>
  <c r="F158" i="80"/>
  <c r="C162" i="80"/>
  <c r="C163" i="80" s="1"/>
  <c r="G174" i="80"/>
  <c r="G175" i="80"/>
  <c r="C176" i="80"/>
  <c r="C62" i="80"/>
  <c r="C57" i="80"/>
  <c r="F164" i="66" l="1"/>
  <c r="F131" i="66"/>
  <c r="F132" i="66"/>
  <c r="E228" i="66"/>
  <c r="F228" i="66"/>
  <c r="G201" i="66"/>
  <c r="F210" i="66"/>
  <c r="E210" i="66"/>
  <c r="G209" i="66"/>
  <c r="H209" i="66" s="1"/>
  <c r="I209" i="66" s="1"/>
  <c r="J209" i="66" s="1"/>
  <c r="K209" i="66" s="1"/>
  <c r="E240" i="66" l="1"/>
  <c r="E22" i="80" l="1"/>
  <c r="F22" i="80"/>
  <c r="G22" i="80"/>
  <c r="H22" i="80"/>
  <c r="I22" i="80"/>
  <c r="C140" i="80" s="1"/>
  <c r="E14" i="80"/>
  <c r="F14" i="80"/>
  <c r="G14" i="80"/>
  <c r="H14" i="80"/>
  <c r="I14" i="80"/>
  <c r="D14" i="80"/>
  <c r="H5" i="80"/>
  <c r="C141" i="80" l="1"/>
  <c r="F176" i="80"/>
  <c r="E250" i="66"/>
  <c r="F250" i="66"/>
  <c r="F240" i="66"/>
  <c r="E241" i="66"/>
  <c r="F239" i="66"/>
  <c r="G239" i="66" s="1"/>
  <c r="H239" i="66" s="1"/>
  <c r="I239" i="66" s="1"/>
  <c r="J239" i="66" s="1"/>
  <c r="K239" i="66" s="1"/>
  <c r="E255" i="66" l="1"/>
  <c r="F255" i="66"/>
  <c r="D255" i="66"/>
  <c r="C255" i="66"/>
  <c r="C254" i="66"/>
  <c r="F171" i="66"/>
  <c r="G168" i="66" s="1"/>
  <c r="E171" i="66"/>
  <c r="F168" i="66" s="1"/>
  <c r="F174" i="66"/>
  <c r="G169" i="66" s="1"/>
  <c r="G178" i="66" l="1"/>
  <c r="G179" i="66"/>
  <c r="G102" i="66" s="1"/>
  <c r="G170" i="66"/>
  <c r="E236" i="66"/>
  <c r="F236" i="66"/>
  <c r="D202" i="66"/>
  <c r="E196" i="66" s="1"/>
  <c r="E202" i="66" s="1"/>
  <c r="F196" i="66" s="1"/>
  <c r="F202" i="66" s="1"/>
  <c r="G196" i="66" s="1"/>
  <c r="G81" i="66"/>
  <c r="H81" i="66" s="1"/>
  <c r="G65" i="66"/>
  <c r="H65" i="66" s="1"/>
  <c r="I65" i="66" s="1"/>
  <c r="J65" i="66" s="1"/>
  <c r="K65" i="66" s="1"/>
  <c r="E157" i="66"/>
  <c r="F157" i="66"/>
  <c r="F141" i="66"/>
  <c r="E141" i="66"/>
  <c r="I81" i="66" l="1"/>
  <c r="J81" i="66" s="1"/>
  <c r="K81" i="66" s="1"/>
  <c r="H170" i="66"/>
  <c r="G105" i="66"/>
  <c r="H169" i="66"/>
  <c r="H178" i="66" s="1"/>
  <c r="H179" i="66"/>
  <c r="H102" i="66" s="1"/>
  <c r="G171" i="66"/>
  <c r="G61" i="66" s="1"/>
  <c r="C234" i="66"/>
  <c r="C233" i="66"/>
  <c r="C216" i="66"/>
  <c r="C215" i="66"/>
  <c r="C127" i="66"/>
  <c r="C126" i="66"/>
  <c r="C93" i="66"/>
  <c r="C92" i="66"/>
  <c r="C53" i="66"/>
  <c r="C52" i="66"/>
  <c r="D26" i="66"/>
  <c r="I170" i="66" l="1"/>
  <c r="H105" i="66"/>
  <c r="I169" i="66"/>
  <c r="I178" i="66" s="1"/>
  <c r="H168" i="66"/>
  <c r="H171" i="66" s="1"/>
  <c r="H61" i="66" s="1"/>
  <c r="I179" i="66"/>
  <c r="G76" i="66"/>
  <c r="H76" i="66" s="1"/>
  <c r="I76" i="66" s="1"/>
  <c r="J76" i="66" s="1"/>
  <c r="K76" i="66" s="1"/>
  <c r="G62" i="66"/>
  <c r="H62" i="66" s="1"/>
  <c r="I62" i="66" s="1"/>
  <c r="J62" i="66" s="1"/>
  <c r="K62" i="66" s="1"/>
  <c r="Q130" i="80"/>
  <c r="O130" i="80"/>
  <c r="Q129" i="80"/>
  <c r="E128" i="80"/>
  <c r="C128" i="80"/>
  <c r="Q128" i="80"/>
  <c r="O128" i="80"/>
  <c r="P90" i="80"/>
  <c r="Q90" i="80" s="1"/>
  <c r="N90" i="80"/>
  <c r="M90" i="80" s="1"/>
  <c r="H90" i="80"/>
  <c r="I90" i="80" s="1"/>
  <c r="F90" i="80"/>
  <c r="E90" i="80" s="1"/>
  <c r="C55" i="80"/>
  <c r="D37" i="80"/>
  <c r="B35" i="80"/>
  <c r="D12" i="80"/>
  <c r="E12" i="80" s="1"/>
  <c r="E37" i="80" s="1"/>
  <c r="D5" i="80"/>
  <c r="D8" i="80" s="1"/>
  <c r="B3" i="80"/>
  <c r="C38" i="80" l="1"/>
  <c r="C14" i="80"/>
  <c r="P128" i="80"/>
  <c r="J170" i="66"/>
  <c r="I105" i="66"/>
  <c r="I168" i="66"/>
  <c r="I171" i="66" s="1"/>
  <c r="I61" i="66" s="1"/>
  <c r="J169" i="66"/>
  <c r="J178" i="66" s="1"/>
  <c r="P130" i="80"/>
  <c r="D128" i="80"/>
  <c r="P129" i="80"/>
  <c r="D129" i="80"/>
  <c r="J179" i="66"/>
  <c r="I102" i="66"/>
  <c r="I60" i="80"/>
  <c r="C72" i="80" s="1"/>
  <c r="C65" i="80"/>
  <c r="C152" i="80" s="1"/>
  <c r="E176" i="80" s="1"/>
  <c r="F12" i="80"/>
  <c r="D72" i="80" l="1"/>
  <c r="C151" i="80"/>
  <c r="K170" i="66"/>
  <c r="K105" i="66" s="1"/>
  <c r="J105" i="66"/>
  <c r="K169" i="66"/>
  <c r="K178" i="66" s="1"/>
  <c r="J168" i="66"/>
  <c r="J171" i="66" s="1"/>
  <c r="J61" i="66" s="1"/>
  <c r="C70" i="80"/>
  <c r="D70" i="80" s="1"/>
  <c r="K179" i="66"/>
  <c r="K102" i="66" s="1"/>
  <c r="J102" i="66"/>
  <c r="F37" i="80"/>
  <c r="G12" i="80"/>
  <c r="E151" i="80" l="1"/>
  <c r="E152" i="80" s="1"/>
  <c r="D176" i="80"/>
  <c r="G176" i="80" s="1"/>
  <c r="K168" i="66"/>
  <c r="K171" i="66" s="1"/>
  <c r="K61" i="66" s="1"/>
  <c r="G37" i="80"/>
  <c r="H12" i="80"/>
  <c r="C178" i="80" l="1"/>
  <c r="C179" i="80" s="1"/>
  <c r="C168" i="80" s="1"/>
  <c r="C158" i="80"/>
  <c r="H4" i="80"/>
  <c r="H37" i="80"/>
  <c r="I12" i="80"/>
  <c r="B43" i="80" l="1"/>
  <c r="E44" i="80"/>
  <c r="I37" i="80"/>
  <c r="B44" i="80"/>
  <c r="D101" i="80" l="1"/>
  <c r="D100" i="80" s="1"/>
  <c r="D103" i="80"/>
  <c r="D104" i="80" s="1"/>
  <c r="B128" i="80"/>
  <c r="L103" i="80"/>
  <c r="L104" i="80" s="1"/>
  <c r="G129" i="80"/>
  <c r="L101" i="80"/>
  <c r="L100" i="80" s="1"/>
  <c r="L94" i="80"/>
  <c r="L95" i="80" s="1"/>
  <c r="L92" i="80"/>
  <c r="L91" i="80" s="1"/>
  <c r="G128" i="80"/>
  <c r="D94" i="80"/>
  <c r="D95" i="80" s="1"/>
  <c r="D92" i="80"/>
  <c r="D91" i="80" s="1"/>
  <c r="E15" i="80"/>
  <c r="F15" i="80" l="1"/>
  <c r="G15" i="80" l="1"/>
  <c r="H15" i="80" l="1"/>
  <c r="I15" i="80" l="1"/>
  <c r="G83" i="66" l="1"/>
  <c r="H83" i="66" s="1"/>
  <c r="I83" i="66" s="1"/>
  <c r="J83" i="66" s="1"/>
  <c r="K83" i="66" s="1"/>
  <c r="E234" i="66"/>
  <c r="F234" i="66"/>
  <c r="D234" i="66"/>
  <c r="G264" i="66"/>
  <c r="E132" i="66"/>
  <c r="F129" i="66" s="1"/>
  <c r="G25" i="66"/>
  <c r="H25" i="66" s="1"/>
  <c r="I25" i="66" s="1"/>
  <c r="J25" i="66" s="1"/>
  <c r="K25" i="66" s="1"/>
  <c r="G101" i="66"/>
  <c r="H101" i="66"/>
  <c r="I101" i="66"/>
  <c r="J101" i="66"/>
  <c r="K101" i="66"/>
  <c r="F43" i="66"/>
  <c r="E43" i="66"/>
  <c r="H264" i="66" l="1"/>
  <c r="G117" i="66"/>
  <c r="G28" i="66"/>
  <c r="H28" i="66" s="1"/>
  <c r="I28" i="66" s="1"/>
  <c r="J28" i="66" s="1"/>
  <c r="K28" i="66" s="1"/>
  <c r="H20" i="66"/>
  <c r="H19" i="66" s="1"/>
  <c r="I20" i="66"/>
  <c r="I19" i="66" s="1"/>
  <c r="J20" i="66"/>
  <c r="J19" i="66" s="1"/>
  <c r="K20" i="66"/>
  <c r="K19" i="66" s="1"/>
  <c r="G20" i="66"/>
  <c r="G64" i="66"/>
  <c r="G161" i="66"/>
  <c r="F161" i="66"/>
  <c r="F163" i="66" s="1"/>
  <c r="E131" i="66"/>
  <c r="E155" i="66" s="1"/>
  <c r="E156" i="66" s="1"/>
  <c r="F77" i="66"/>
  <c r="G77" i="66" s="1"/>
  <c r="H77" i="66" s="1"/>
  <c r="I77" i="66" s="1"/>
  <c r="J77" i="66" s="1"/>
  <c r="K77" i="66" s="1"/>
  <c r="E77" i="66"/>
  <c r="E127" i="66"/>
  <c r="F127" i="66"/>
  <c r="D127" i="66"/>
  <c r="E27" i="80" l="1"/>
  <c r="E28" i="80" s="1"/>
  <c r="I27" i="80"/>
  <c r="I28" i="80" s="1"/>
  <c r="H27" i="80"/>
  <c r="H28" i="80" s="1"/>
  <c r="G27" i="80"/>
  <c r="G28" i="80" s="1"/>
  <c r="F27" i="80"/>
  <c r="F28" i="80" s="1"/>
  <c r="I264" i="66"/>
  <c r="H117" i="66"/>
  <c r="D143" i="66"/>
  <c r="K150" i="66" s="1"/>
  <c r="F155" i="66"/>
  <c r="F156" i="66" s="1"/>
  <c r="G156" i="66" s="1"/>
  <c r="H64" i="66"/>
  <c r="F134" i="66"/>
  <c r="E134" i="66"/>
  <c r="K43" i="66"/>
  <c r="F241" i="66"/>
  <c r="J43" i="66"/>
  <c r="I43" i="66"/>
  <c r="G19" i="66"/>
  <c r="G43" i="66" s="1"/>
  <c r="G295" i="66" l="1"/>
  <c r="G297" i="66"/>
  <c r="G289" i="66" s="1"/>
  <c r="G42" i="66" s="1"/>
  <c r="I149" i="66"/>
  <c r="J264" i="66"/>
  <c r="I117" i="66"/>
  <c r="J149" i="66"/>
  <c r="H147" i="66"/>
  <c r="K149" i="66"/>
  <c r="K151" i="66"/>
  <c r="J147" i="66"/>
  <c r="G147" i="66"/>
  <c r="I147" i="66"/>
  <c r="J150" i="66"/>
  <c r="J148" i="66"/>
  <c r="K148" i="66"/>
  <c r="H148" i="66"/>
  <c r="K147" i="66"/>
  <c r="I148" i="66"/>
  <c r="G155" i="66"/>
  <c r="H156" i="66"/>
  <c r="I64" i="66"/>
  <c r="G56" i="66"/>
  <c r="G69" i="66"/>
  <c r="H43" i="66"/>
  <c r="G277" i="66" l="1"/>
  <c r="G38" i="66"/>
  <c r="G63" i="66"/>
  <c r="G188" i="66"/>
  <c r="G55" i="66"/>
  <c r="H55" i="66" s="1"/>
  <c r="I55" i="66" s="1"/>
  <c r="G58" i="66"/>
  <c r="G57" i="66"/>
  <c r="H57" i="66" s="1"/>
  <c r="I57" i="66" s="1"/>
  <c r="J57" i="66" s="1"/>
  <c r="K57" i="66" s="1"/>
  <c r="J117" i="66"/>
  <c r="H155" i="66"/>
  <c r="I156" i="66"/>
  <c r="J64" i="66"/>
  <c r="H69" i="66"/>
  <c r="I69" i="66" s="1"/>
  <c r="J69" i="66" s="1"/>
  <c r="K69" i="66" s="1"/>
  <c r="H56" i="66"/>
  <c r="I56" i="66" l="1"/>
  <c r="J56" i="66" s="1"/>
  <c r="K56" i="66" s="1"/>
  <c r="G189" i="66"/>
  <c r="G191" i="66" s="1"/>
  <c r="G27" i="66"/>
  <c r="G103" i="66" s="1"/>
  <c r="H188" i="66"/>
  <c r="G197" i="66"/>
  <c r="G265" i="66"/>
  <c r="G258" i="66" s="1"/>
  <c r="G261" i="66" s="1"/>
  <c r="H38" i="66"/>
  <c r="G97" i="66"/>
  <c r="F277" i="66"/>
  <c r="E277" i="66" s="1"/>
  <c r="H277" i="66"/>
  <c r="I277" i="66" s="1"/>
  <c r="H58" i="66"/>
  <c r="I58" i="66" s="1"/>
  <c r="I109" i="66" s="1"/>
  <c r="G109" i="66"/>
  <c r="G164" i="66"/>
  <c r="G163" i="66" s="1"/>
  <c r="G111" i="66" s="1"/>
  <c r="H63" i="66"/>
  <c r="G98" i="66"/>
  <c r="K117" i="66"/>
  <c r="K264" i="66"/>
  <c r="I155" i="66"/>
  <c r="J156" i="66"/>
  <c r="K64" i="66"/>
  <c r="H98" i="66"/>
  <c r="J55" i="66"/>
  <c r="I98" i="66" l="1"/>
  <c r="G104" i="66"/>
  <c r="J58" i="66"/>
  <c r="K58" i="66" s="1"/>
  <c r="K109" i="66" s="1"/>
  <c r="H197" i="66"/>
  <c r="I38" i="66"/>
  <c r="I97" i="66" s="1"/>
  <c r="H265" i="66"/>
  <c r="H97" i="66"/>
  <c r="I63" i="66"/>
  <c r="H164" i="66"/>
  <c r="G112" i="66"/>
  <c r="I188" i="66"/>
  <c r="H189" i="66"/>
  <c r="H104" i="66" s="1"/>
  <c r="H27" i="66"/>
  <c r="H103" i="66" s="1"/>
  <c r="H109" i="66"/>
  <c r="J155" i="66"/>
  <c r="K156" i="66"/>
  <c r="K155" i="66" s="1"/>
  <c r="K55" i="66"/>
  <c r="J98" i="66"/>
  <c r="J109" i="66" l="1"/>
  <c r="I164" i="66"/>
  <c r="J63" i="66"/>
  <c r="I197" i="66"/>
  <c r="I265" i="66"/>
  <c r="J38" i="66"/>
  <c r="J188" i="66"/>
  <c r="I27" i="66"/>
  <c r="I103" i="66" s="1"/>
  <c r="I189" i="66"/>
  <c r="I104" i="66" s="1"/>
  <c r="K98" i="66"/>
  <c r="F86" i="66"/>
  <c r="E86" i="66"/>
  <c r="F72" i="66"/>
  <c r="E72" i="66"/>
  <c r="F70" i="66"/>
  <c r="E70" i="66"/>
  <c r="F75" i="66"/>
  <c r="E75" i="66"/>
  <c r="E244" i="66" s="1"/>
  <c r="F71" i="66"/>
  <c r="G71" i="66" s="1"/>
  <c r="H71" i="66" s="1"/>
  <c r="I71" i="66" s="1"/>
  <c r="J71" i="66" s="1"/>
  <c r="K71" i="66" s="1"/>
  <c r="E71" i="66"/>
  <c r="F54" i="66"/>
  <c r="E54" i="66"/>
  <c r="G16" i="66"/>
  <c r="E45" i="66"/>
  <c r="F45" i="66"/>
  <c r="E46" i="66"/>
  <c r="F46" i="66"/>
  <c r="E47" i="66"/>
  <c r="F47" i="66"/>
  <c r="G47" i="66" s="1"/>
  <c r="E48" i="66"/>
  <c r="F48" i="66"/>
  <c r="G48" i="66" s="1"/>
  <c r="H48" i="66" s="1"/>
  <c r="I48" i="66" s="1"/>
  <c r="J48" i="66" s="1"/>
  <c r="K48" i="66" s="1"/>
  <c r="D48" i="66"/>
  <c r="D47" i="66"/>
  <c r="D46" i="66"/>
  <c r="D45" i="66"/>
  <c r="F42" i="66"/>
  <c r="E42" i="66"/>
  <c r="E26" i="66"/>
  <c r="F26" i="66"/>
  <c r="E20" i="66"/>
  <c r="E44" i="66" s="1"/>
  <c r="F20" i="66"/>
  <c r="D20" i="66"/>
  <c r="D44" i="66" s="1"/>
  <c r="J189" i="66" l="1"/>
  <c r="J104" i="66" s="1"/>
  <c r="K188" i="66"/>
  <c r="J27" i="66"/>
  <c r="J103" i="66" s="1"/>
  <c r="J197" i="66"/>
  <c r="J265" i="66"/>
  <c r="J97" i="66"/>
  <c r="K38" i="66"/>
  <c r="K63" i="66"/>
  <c r="K164" i="66" s="1"/>
  <c r="J164" i="66"/>
  <c r="G255" i="66"/>
  <c r="G288" i="66"/>
  <c r="G177" i="66"/>
  <c r="G180" i="66" s="1"/>
  <c r="G106" i="66" s="1"/>
  <c r="F249" i="66"/>
  <c r="G249" i="66" s="1"/>
  <c r="H249" i="66" s="1"/>
  <c r="I249" i="66" s="1"/>
  <c r="J249" i="66" s="1"/>
  <c r="K249" i="66" s="1"/>
  <c r="G70" i="66"/>
  <c r="E32" i="80" s="1"/>
  <c r="E33" i="80" s="1"/>
  <c r="D32" i="80"/>
  <c r="D33" i="80" s="1"/>
  <c r="G219" i="66"/>
  <c r="G75" i="66"/>
  <c r="G244" i="66" s="1"/>
  <c r="F244" i="66"/>
  <c r="G129" i="66"/>
  <c r="G216" i="66"/>
  <c r="G234" i="66"/>
  <c r="H47" i="66"/>
  <c r="G24" i="66"/>
  <c r="F246" i="66"/>
  <c r="G46" i="66"/>
  <c r="G53" i="66"/>
  <c r="G127" i="66"/>
  <c r="G93" i="66"/>
  <c r="F67" i="66"/>
  <c r="E79" i="66"/>
  <c r="F79" i="66"/>
  <c r="E67" i="66"/>
  <c r="H16" i="66"/>
  <c r="F29" i="66"/>
  <c r="F44" i="66"/>
  <c r="D29" i="66"/>
  <c r="E29" i="66"/>
  <c r="E88" i="66" l="1"/>
  <c r="F88" i="66"/>
  <c r="K197" i="66"/>
  <c r="K97" i="66"/>
  <c r="K265" i="66"/>
  <c r="K189" i="66"/>
  <c r="K104" i="66" s="1"/>
  <c r="K27" i="66"/>
  <c r="K103" i="66" s="1"/>
  <c r="H255" i="66"/>
  <c r="H288" i="66"/>
  <c r="H70" i="66"/>
  <c r="G250" i="66"/>
  <c r="G30" i="66" s="1"/>
  <c r="G99" i="66"/>
  <c r="E26" i="80"/>
  <c r="F32" i="66"/>
  <c r="F34" i="66" s="1"/>
  <c r="D18" i="80"/>
  <c r="G115" i="66"/>
  <c r="F245" i="66"/>
  <c r="G245" i="66" s="1"/>
  <c r="H245" i="66" s="1"/>
  <c r="H75" i="66"/>
  <c r="H244" i="66" s="1"/>
  <c r="H216" i="66"/>
  <c r="H234" i="66"/>
  <c r="I47" i="66"/>
  <c r="H24" i="66"/>
  <c r="H46" i="66"/>
  <c r="G22" i="66"/>
  <c r="G21" i="66"/>
  <c r="H93" i="66"/>
  <c r="H127" i="66"/>
  <c r="F37" i="66"/>
  <c r="I16" i="66"/>
  <c r="H53" i="66"/>
  <c r="E32" i="66"/>
  <c r="E37" i="66"/>
  <c r="E39" i="66" s="1"/>
  <c r="D32" i="66"/>
  <c r="D37" i="66"/>
  <c r="D39" i="66" s="1"/>
  <c r="F32" i="80" l="1"/>
  <c r="F33" i="80" s="1"/>
  <c r="I70" i="66"/>
  <c r="G32" i="80" s="1"/>
  <c r="G33" i="80" s="1"/>
  <c r="H99" i="66"/>
  <c r="I255" i="66"/>
  <c r="I288" i="66"/>
  <c r="F207" i="66"/>
  <c r="G181" i="66"/>
  <c r="G72" i="66" s="1"/>
  <c r="F49" i="66"/>
  <c r="D22" i="80" s="1"/>
  <c r="D21" i="80" s="1"/>
  <c r="D19" i="80"/>
  <c r="F39" i="66"/>
  <c r="D16" i="80"/>
  <c r="H115" i="66"/>
  <c r="I75" i="66"/>
  <c r="I244" i="66" s="1"/>
  <c r="F257" i="66"/>
  <c r="F259" i="66" s="1"/>
  <c r="F268" i="66"/>
  <c r="I216" i="66"/>
  <c r="I234" i="66"/>
  <c r="I46" i="66"/>
  <c r="H22" i="66"/>
  <c r="J47" i="66"/>
  <c r="I24" i="66"/>
  <c r="H21" i="66"/>
  <c r="I245" i="66"/>
  <c r="I93" i="66"/>
  <c r="I127" i="66"/>
  <c r="J16" i="66"/>
  <c r="I53" i="66"/>
  <c r="D34" i="66"/>
  <c r="D49" i="66"/>
  <c r="E34" i="66"/>
  <c r="E49" i="66"/>
  <c r="F26" i="80" l="1"/>
  <c r="J255" i="66"/>
  <c r="J288" i="66"/>
  <c r="G26" i="80"/>
  <c r="I99" i="66"/>
  <c r="J70" i="66"/>
  <c r="H32" i="80" s="1"/>
  <c r="H33" i="80" s="1"/>
  <c r="H177" i="66"/>
  <c r="H180" i="66" s="1"/>
  <c r="H106" i="66" s="1"/>
  <c r="D23" i="80"/>
  <c r="I115" i="66"/>
  <c r="J75" i="66"/>
  <c r="J244" i="66" s="1"/>
  <c r="D25" i="80"/>
  <c r="D17" i="80"/>
  <c r="F262" i="66"/>
  <c r="D257" i="66"/>
  <c r="D262" i="66" s="1"/>
  <c r="D268" i="66"/>
  <c r="E257" i="66"/>
  <c r="E259" i="66" s="1"/>
  <c r="E268" i="66"/>
  <c r="F269" i="66" s="1"/>
  <c r="J216" i="66"/>
  <c r="J234" i="66"/>
  <c r="G206" i="66"/>
  <c r="F212" i="66"/>
  <c r="G212" i="66" s="1"/>
  <c r="H212" i="66" s="1"/>
  <c r="I212" i="66" s="1"/>
  <c r="J212" i="66" s="1"/>
  <c r="K212" i="66" s="1"/>
  <c r="J245" i="66"/>
  <c r="K47" i="66"/>
  <c r="K24" i="66" s="1"/>
  <c r="J24" i="66"/>
  <c r="E207" i="66"/>
  <c r="E212" i="66" s="1"/>
  <c r="D207" i="66"/>
  <c r="I21" i="66"/>
  <c r="J46" i="66"/>
  <c r="I22" i="66"/>
  <c r="J93" i="66"/>
  <c r="J127" i="66"/>
  <c r="K16" i="66"/>
  <c r="K288" i="66" s="1"/>
  <c r="J53" i="66"/>
  <c r="H26" i="80" l="1"/>
  <c r="J99" i="66"/>
  <c r="K70" i="66"/>
  <c r="I32" i="80" s="1"/>
  <c r="I33" i="80" s="1"/>
  <c r="H181" i="66"/>
  <c r="I177" i="66" s="1"/>
  <c r="I180" i="66" s="1"/>
  <c r="I106" i="66" s="1"/>
  <c r="K75" i="66"/>
  <c r="K115" i="66" s="1"/>
  <c r="D259" i="66"/>
  <c r="J115" i="66"/>
  <c r="E262" i="66"/>
  <c r="E269" i="66"/>
  <c r="K234" i="66"/>
  <c r="K255" i="66"/>
  <c r="D212" i="66"/>
  <c r="K46" i="66"/>
  <c r="K22" i="66" s="1"/>
  <c r="J22" i="66"/>
  <c r="J21" i="66"/>
  <c r="K245" i="66"/>
  <c r="K127" i="66"/>
  <c r="K216" i="66"/>
  <c r="K53" i="66"/>
  <c r="K93" i="66"/>
  <c r="H72" i="66" l="1"/>
  <c r="K99" i="66"/>
  <c r="I26" i="80"/>
  <c r="K21" i="66"/>
  <c r="I181" i="66"/>
  <c r="K244" i="66"/>
  <c r="C2" i="66"/>
  <c r="J177" i="66" l="1"/>
  <c r="J180" i="66" s="1"/>
  <c r="J106" i="66" s="1"/>
  <c r="I72" i="66"/>
  <c r="J181" i="66" l="1"/>
  <c r="F15" i="66"/>
  <c r="F254" i="66" s="1"/>
  <c r="K177" i="66" l="1"/>
  <c r="K180" i="66" s="1"/>
  <c r="K106" i="66" s="1"/>
  <c r="J72" i="66"/>
  <c r="F233" i="66"/>
  <c r="F126" i="66"/>
  <c r="E15" i="66"/>
  <c r="G15" i="66"/>
  <c r="F52" i="66"/>
  <c r="E53" i="66"/>
  <c r="F53" i="66"/>
  <c r="G254" i="66" l="1"/>
  <c r="G287" i="66"/>
  <c r="K181" i="66"/>
  <c r="K72" i="66" s="1"/>
  <c r="E233" i="66"/>
  <c r="E254" i="66"/>
  <c r="G215" i="66"/>
  <c r="G233" i="66"/>
  <c r="D15" i="66"/>
  <c r="E126" i="66"/>
  <c r="G92" i="66"/>
  <c r="G126" i="66"/>
  <c r="G146" i="66" s="1"/>
  <c r="E52" i="66"/>
  <c r="G52" i="66"/>
  <c r="H15" i="66"/>
  <c r="H254" i="66" l="1"/>
  <c r="H287" i="66"/>
  <c r="D233" i="66"/>
  <c r="D254" i="66"/>
  <c r="D126" i="66"/>
  <c r="H215" i="66"/>
  <c r="H233" i="66"/>
  <c r="C147" i="66"/>
  <c r="G152" i="66"/>
  <c r="G131" i="66" s="1"/>
  <c r="H92" i="66"/>
  <c r="H126" i="66"/>
  <c r="H146" i="66" s="1"/>
  <c r="I15" i="66"/>
  <c r="H52" i="66"/>
  <c r="I254" i="66" l="1"/>
  <c r="I287" i="66"/>
  <c r="I215" i="66"/>
  <c r="I233" i="66"/>
  <c r="H152" i="66"/>
  <c r="H131" i="66" s="1"/>
  <c r="C148" i="66"/>
  <c r="I92" i="66"/>
  <c r="I126" i="66"/>
  <c r="I146" i="66" s="1"/>
  <c r="J15" i="66"/>
  <c r="I52" i="66"/>
  <c r="J254" i="66" l="1"/>
  <c r="J287" i="66"/>
  <c r="J215" i="66"/>
  <c r="J233" i="66"/>
  <c r="I152" i="66"/>
  <c r="I131" i="66" s="1"/>
  <c r="C149" i="66"/>
  <c r="J92" i="66"/>
  <c r="J126" i="66"/>
  <c r="J146" i="66" s="1"/>
  <c r="K15" i="66"/>
  <c r="K287" i="66" s="1"/>
  <c r="J52" i="66"/>
  <c r="K233" i="66" l="1"/>
  <c r="K254" i="66"/>
  <c r="C150" i="66"/>
  <c r="J152" i="66"/>
  <c r="J131" i="66" s="1"/>
  <c r="K126" i="66"/>
  <c r="K146" i="66" s="1"/>
  <c r="K215" i="66"/>
  <c r="K52" i="66"/>
  <c r="K92" i="66"/>
  <c r="K152" i="66" l="1"/>
  <c r="K131" i="66" s="1"/>
  <c r="C151" i="66"/>
  <c r="G246" i="66" l="1"/>
  <c r="H246" i="66"/>
  <c r="I246" i="66" l="1"/>
  <c r="J246" i="66" l="1"/>
  <c r="K246" i="66" l="1"/>
  <c r="G240" i="66" l="1"/>
  <c r="G241" i="66" s="1"/>
  <c r="G236" i="66" s="1"/>
  <c r="G31" i="66" l="1"/>
  <c r="H114" i="66" l="1"/>
  <c r="I114" i="66"/>
  <c r="J114" i="66"/>
  <c r="K114" i="66"/>
  <c r="H240" i="66"/>
  <c r="I240" i="66"/>
  <c r="J240" i="66"/>
  <c r="K240" i="66"/>
  <c r="J241" i="66" l="1"/>
  <c r="J236" i="66" s="1"/>
  <c r="J31" i="66" s="1"/>
  <c r="H241" i="66"/>
  <c r="H236" i="66" s="1"/>
  <c r="H31" i="66" s="1"/>
  <c r="I241" i="66"/>
  <c r="I236" i="66" s="1"/>
  <c r="I31" i="66" s="1"/>
  <c r="K241" i="66"/>
  <c r="K236" i="66" s="1"/>
  <c r="K31" i="66" s="1"/>
  <c r="H201" i="66"/>
  <c r="I201" i="66" s="1"/>
  <c r="J201" i="66" s="1"/>
  <c r="K201" i="66" s="1"/>
  <c r="H161" i="66" l="1"/>
  <c r="H163" i="66" s="1"/>
  <c r="H111" i="66" s="1"/>
  <c r="H112" i="66" s="1"/>
  <c r="G100" i="66"/>
  <c r="I161" i="66" l="1"/>
  <c r="I163" i="66" s="1"/>
  <c r="I111" i="66" s="1"/>
  <c r="I112" i="66" s="1"/>
  <c r="J161" i="66"/>
  <c r="J163" i="66" s="1"/>
  <c r="K161" i="66"/>
  <c r="H100" i="66"/>
  <c r="G132" i="66"/>
  <c r="H129" i="66" s="1"/>
  <c r="H132" i="66" s="1"/>
  <c r="G134" i="66"/>
  <c r="H134" i="66"/>
  <c r="I134" i="66"/>
  <c r="J134" i="66"/>
  <c r="K134" i="66"/>
  <c r="G157" i="66"/>
  <c r="G23" i="66" s="1"/>
  <c r="G96" i="66" s="1"/>
  <c r="H157" i="66"/>
  <c r="H23" i="66" s="1"/>
  <c r="H96" i="66" s="1"/>
  <c r="I157" i="66"/>
  <c r="I23" i="66" s="1"/>
  <c r="I96" i="66" s="1"/>
  <c r="J157" i="66"/>
  <c r="J23" i="66" s="1"/>
  <c r="J96" i="66" s="1"/>
  <c r="K157" i="66"/>
  <c r="K23" i="66" s="1"/>
  <c r="K96" i="66" s="1"/>
  <c r="I100" i="66" l="1"/>
  <c r="J100" i="66"/>
  <c r="J111" i="66"/>
  <c r="J112" i="66" s="1"/>
  <c r="K163" i="66"/>
  <c r="K26" i="66"/>
  <c r="K29" i="66" s="1"/>
  <c r="J26" i="66"/>
  <c r="J29" i="66" s="1"/>
  <c r="I26" i="66"/>
  <c r="I29" i="66" s="1"/>
  <c r="I129" i="66"/>
  <c r="I132" i="66" s="1"/>
  <c r="H60" i="66"/>
  <c r="H26" i="66"/>
  <c r="H29" i="66" s="1"/>
  <c r="G26" i="66"/>
  <c r="G29" i="66" s="1"/>
  <c r="G60" i="66"/>
  <c r="M29" i="66" l="1"/>
  <c r="K100" i="66"/>
  <c r="K111" i="66"/>
  <c r="K112" i="66" s="1"/>
  <c r="J129" i="66"/>
  <c r="J132" i="66" s="1"/>
  <c r="I60" i="66"/>
  <c r="H18" i="80"/>
  <c r="J37" i="66"/>
  <c r="I18" i="80"/>
  <c r="K37" i="66"/>
  <c r="G18" i="80"/>
  <c r="I37" i="66"/>
  <c r="E18" i="80"/>
  <c r="C18" i="80" s="1"/>
  <c r="G37" i="66"/>
  <c r="G32" i="66"/>
  <c r="F18" i="80"/>
  <c r="H37" i="66"/>
  <c r="M37" i="66" l="1"/>
  <c r="I23" i="80"/>
  <c r="I21" i="80"/>
  <c r="I19" i="80"/>
  <c r="F21" i="80"/>
  <c r="F19" i="80"/>
  <c r="F23" i="80"/>
  <c r="H23" i="80"/>
  <c r="H21" i="80"/>
  <c r="H19" i="80"/>
  <c r="I16" i="80"/>
  <c r="K39" i="66"/>
  <c r="E21" i="80"/>
  <c r="E19" i="80"/>
  <c r="E23" i="80"/>
  <c r="H16" i="80"/>
  <c r="J39" i="66"/>
  <c r="G16" i="80"/>
  <c r="I39" i="66"/>
  <c r="G33" i="66"/>
  <c r="G34" i="66" s="1"/>
  <c r="E16" i="80"/>
  <c r="C16" i="80" s="1"/>
  <c r="G39" i="66"/>
  <c r="F16" i="80"/>
  <c r="H39" i="66"/>
  <c r="G21" i="80"/>
  <c r="G19" i="80"/>
  <c r="G23" i="80"/>
  <c r="J60" i="66"/>
  <c r="K129" i="66"/>
  <c r="K132" i="66" s="1"/>
  <c r="K60" i="66" s="1"/>
  <c r="G95" i="66" l="1"/>
  <c r="G107" i="66" s="1"/>
  <c r="G257" i="66"/>
  <c r="D277" i="66"/>
  <c r="G207" i="66"/>
  <c r="G268" i="66"/>
  <c r="G269" i="66" s="1"/>
  <c r="H17" i="80"/>
  <c r="H25" i="80"/>
  <c r="H30" i="80" s="1"/>
  <c r="H38" i="80" s="1"/>
  <c r="H39" i="80" s="1"/>
  <c r="F17" i="80"/>
  <c r="F25" i="80"/>
  <c r="F30" i="80" s="1"/>
  <c r="F38" i="80" s="1"/>
  <c r="F39" i="80" s="1"/>
  <c r="E17" i="80"/>
  <c r="E25" i="80"/>
  <c r="E30" i="80" s="1"/>
  <c r="E38" i="80" s="1"/>
  <c r="E39" i="80" s="1"/>
  <c r="G17" i="80"/>
  <c r="G25" i="80"/>
  <c r="G30" i="80" s="1"/>
  <c r="G38" i="80" s="1"/>
  <c r="G39" i="80" s="1"/>
  <c r="I17" i="80"/>
  <c r="I25" i="80"/>
  <c r="I30" i="80" s="1"/>
  <c r="I38" i="80" s="1"/>
  <c r="I42" i="80"/>
  <c r="I44" i="80" s="1"/>
  <c r="I45" i="80" s="1"/>
  <c r="G259" i="66" l="1"/>
  <c r="G262" i="66"/>
  <c r="I39" i="80"/>
  <c r="C46" i="80" s="1"/>
  <c r="I51" i="80"/>
  <c r="C43" i="80"/>
  <c r="C44" i="80" s="1"/>
  <c r="G208" i="66"/>
  <c r="G118" i="66" s="1"/>
  <c r="I46" i="80" l="1"/>
  <c r="I47" i="80" s="1"/>
  <c r="C45" i="80"/>
  <c r="C51" i="80"/>
  <c r="G210" i="66"/>
  <c r="G82" i="66" l="1"/>
  <c r="H206" i="66"/>
  <c r="C47" i="80"/>
  <c r="C69" i="80" s="1"/>
  <c r="D69" i="80"/>
  <c r="I49" i="80"/>
  <c r="I50" i="80" s="1"/>
  <c r="C71" i="80" l="1"/>
  <c r="C73" i="80" s="1"/>
  <c r="C17" i="92" s="1"/>
  <c r="C79" i="80"/>
  <c r="C82" i="80"/>
  <c r="C77" i="80"/>
  <c r="C83" i="80"/>
  <c r="C78" i="80"/>
  <c r="L90" i="80" s="1"/>
  <c r="C84" i="80"/>
  <c r="D71" i="80"/>
  <c r="D73" i="80" s="1"/>
  <c r="D79" i="80"/>
  <c r="D82" i="80"/>
  <c r="D77" i="80"/>
  <c r="D83" i="80"/>
  <c r="D78" i="80"/>
  <c r="D84" i="80"/>
  <c r="C49" i="80"/>
  <c r="C50" i="80" s="1"/>
  <c r="G221" i="66"/>
  <c r="D99" i="80" l="1"/>
  <c r="E17" i="92"/>
  <c r="D90" i="80"/>
  <c r="L99" i="80"/>
  <c r="I85" i="66"/>
  <c r="J85" i="66" s="1"/>
  <c r="K85" i="66" s="1"/>
  <c r="H198" i="66"/>
  <c r="I198" i="66" s="1"/>
  <c r="J198" i="66" s="1"/>
  <c r="K198" i="66" s="1"/>
  <c r="G202" i="66"/>
  <c r="G84" i="66" s="1"/>
  <c r="G86" i="66" s="1"/>
  <c r="D17" i="92" l="1"/>
  <c r="B129" i="80"/>
  <c r="P99" i="80"/>
  <c r="Q99" i="80" s="1"/>
  <c r="N99" i="80"/>
  <c r="M99" i="80" s="1"/>
  <c r="G130" i="80"/>
  <c r="H196" i="66"/>
  <c r="H202" i="66" s="1"/>
  <c r="I196" i="66" l="1"/>
  <c r="I202" i="66" s="1"/>
  <c r="H84" i="66"/>
  <c r="J196" i="66" l="1"/>
  <c r="J202" i="66" s="1"/>
  <c r="I84" i="66"/>
  <c r="K196" i="66" l="1"/>
  <c r="K202" i="66" s="1"/>
  <c r="K84" i="66" s="1"/>
  <c r="J84" i="66"/>
  <c r="G59" i="66" l="1"/>
  <c r="H187" i="66"/>
  <c r="H191" i="66" s="1"/>
  <c r="H59" i="66" l="1"/>
  <c r="I187" i="66" l="1"/>
  <c r="I191" i="66" l="1"/>
  <c r="I59" i="66" s="1"/>
  <c r="J187" i="66" l="1"/>
  <c r="J191" i="66" s="1"/>
  <c r="J59" i="66" s="1"/>
  <c r="K187" i="66" l="1"/>
  <c r="K191" i="66" s="1"/>
  <c r="K59" i="66" s="1"/>
  <c r="H30" i="66"/>
  <c r="I30" i="66"/>
  <c r="J30" i="66"/>
  <c r="K30" i="66"/>
  <c r="H32" i="66"/>
  <c r="I32" i="66"/>
  <c r="J32" i="66"/>
  <c r="K32" i="66"/>
  <c r="H33" i="66"/>
  <c r="I33" i="66"/>
  <c r="J33" i="66"/>
  <c r="K33" i="66"/>
  <c r="H34" i="66"/>
  <c r="I34" i="66"/>
  <c r="J34" i="66"/>
  <c r="K34" i="66"/>
  <c r="M34" i="66"/>
  <c r="G54" i="66"/>
  <c r="H54" i="66"/>
  <c r="I54" i="66"/>
  <c r="J54" i="66"/>
  <c r="K54" i="66"/>
  <c r="G67" i="66"/>
  <c r="H67" i="66"/>
  <c r="I67" i="66"/>
  <c r="J67" i="66"/>
  <c r="K67" i="66"/>
  <c r="G74" i="66"/>
  <c r="H74" i="66"/>
  <c r="I74" i="66"/>
  <c r="J74" i="66"/>
  <c r="K74" i="66"/>
  <c r="G79" i="66"/>
  <c r="H79" i="66"/>
  <c r="I79" i="66"/>
  <c r="J79" i="66"/>
  <c r="K79" i="66"/>
  <c r="H82" i="66"/>
  <c r="I82" i="66"/>
  <c r="J82" i="66"/>
  <c r="K82" i="66"/>
  <c r="H86" i="66"/>
  <c r="I86" i="66"/>
  <c r="J86" i="66"/>
  <c r="K86" i="66"/>
  <c r="G88" i="66"/>
  <c r="H88" i="66"/>
  <c r="I88" i="66"/>
  <c r="J88" i="66"/>
  <c r="K88" i="66"/>
  <c r="H95" i="66"/>
  <c r="I95" i="66"/>
  <c r="J95" i="66"/>
  <c r="K95" i="66"/>
  <c r="H107" i="66"/>
  <c r="I107" i="66"/>
  <c r="J107" i="66"/>
  <c r="K107" i="66"/>
  <c r="G116" i="66"/>
  <c r="H116" i="66"/>
  <c r="I116" i="66"/>
  <c r="J116" i="66"/>
  <c r="K116" i="66"/>
  <c r="H118" i="66"/>
  <c r="I118" i="66"/>
  <c r="J118" i="66"/>
  <c r="K118" i="66"/>
  <c r="G120" i="66"/>
  <c r="H120" i="66"/>
  <c r="I120" i="66"/>
  <c r="J120" i="66"/>
  <c r="K120" i="66"/>
  <c r="G122" i="66"/>
  <c r="H122" i="66"/>
  <c r="I122" i="66"/>
  <c r="J122" i="66"/>
  <c r="K122" i="66"/>
  <c r="I206" i="66"/>
  <c r="J206" i="66"/>
  <c r="K206" i="66"/>
  <c r="H207" i="66"/>
  <c r="I207" i="66"/>
  <c r="J207" i="66"/>
  <c r="K207" i="66"/>
  <c r="H208" i="66"/>
  <c r="I208" i="66"/>
  <c r="J208" i="66"/>
  <c r="K208" i="66"/>
  <c r="H210" i="66"/>
  <c r="I210" i="66"/>
  <c r="J210" i="66"/>
  <c r="K210" i="66"/>
  <c r="H219" i="66"/>
  <c r="I219" i="66"/>
  <c r="J219" i="66"/>
  <c r="K219" i="66"/>
  <c r="G220" i="66"/>
  <c r="H220" i="66"/>
  <c r="I220" i="66"/>
  <c r="J220" i="66"/>
  <c r="K220" i="66"/>
  <c r="H221" i="66"/>
  <c r="I221" i="66"/>
  <c r="J221" i="66"/>
  <c r="K221" i="66"/>
  <c r="G222" i="66"/>
  <c r="H222" i="66"/>
  <c r="I222" i="66"/>
  <c r="J222" i="66"/>
  <c r="K222" i="66"/>
  <c r="H226" i="66"/>
  <c r="I226" i="66"/>
  <c r="J226" i="66"/>
  <c r="K226" i="66"/>
  <c r="G227" i="66"/>
  <c r="H227" i="66"/>
  <c r="I227" i="66"/>
  <c r="J227" i="66"/>
  <c r="K227" i="66"/>
  <c r="G228" i="66"/>
  <c r="H228" i="66"/>
  <c r="I228" i="66"/>
  <c r="J228" i="66"/>
  <c r="K228" i="66"/>
  <c r="G229" i="66"/>
  <c r="H229" i="66"/>
  <c r="I229" i="66"/>
  <c r="J229" i="66"/>
  <c r="K229" i="66"/>
  <c r="H250" i="66"/>
  <c r="I250" i="66"/>
  <c r="J250" i="66"/>
  <c r="K250" i="66"/>
  <c r="H257" i="66"/>
  <c r="I257" i="66"/>
  <c r="J257" i="66"/>
  <c r="K257" i="66"/>
  <c r="H258" i="66"/>
  <c r="I258" i="66"/>
  <c r="J258" i="66"/>
  <c r="K258" i="66"/>
  <c r="H259" i="66"/>
  <c r="I259" i="66"/>
  <c r="J259" i="66"/>
  <c r="K259" i="66"/>
  <c r="H261" i="66"/>
  <c r="I261" i="66"/>
  <c r="J261" i="66"/>
  <c r="K261" i="66"/>
  <c r="H262" i="66"/>
  <c r="I262" i="66"/>
  <c r="J262" i="66"/>
  <c r="K262" i="66"/>
  <c r="H266" i="66"/>
  <c r="I266" i="66"/>
  <c r="J266" i="66"/>
  <c r="K266" i="66"/>
  <c r="H267" i="66"/>
  <c r="I267" i="66"/>
  <c r="J267" i="66"/>
  <c r="K267" i="66"/>
  <c r="H268" i="66"/>
  <c r="I268" i="66"/>
  <c r="J268" i="66"/>
  <c r="K268" i="66"/>
  <c r="H269" i="66"/>
  <c r="I269" i="66"/>
  <c r="J269" i="66"/>
  <c r="K269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Vicky Ma</author>
  </authors>
  <commentList>
    <comment ref="D11" authorId="0" shapeId="0" xr:uid="{354E7E5B-34C3-4621-BC15-915C23AA5FEE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10Q, Quarterly period ended Dec 29, 2024</t>
        </r>
      </text>
    </comment>
    <comment ref="C19" authorId="0" shapeId="0" xr:uid="{7874A1BB-39B8-4A23-9E5C-FD370578CE8C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separated from operating expense as it primarily relates to COGS. Per description on 10k pg63. </t>
        </r>
      </text>
    </comment>
    <comment ref="C38" authorId="0" shapeId="0" xr:uid="{8A53FAC6-CBFE-4C8B-9335-1C07B3052F4C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From consolidated statements of equity. P54. </t>
        </r>
      </text>
    </comment>
    <comment ref="C42" authorId="0" shapeId="0" xr:uid="{2BF7D8E5-37F3-4E8A-B196-4A3EAECB195B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Current year / Last year - 1
</t>
        </r>
      </text>
    </comment>
    <comment ref="C44" authorId="0" shapeId="0" xr:uid="{9087DE65-4E17-49A9-BE12-B5357A83FF62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Gross profit / revenue</t>
        </r>
      </text>
    </comment>
    <comment ref="C49" authorId="0" shapeId="0" xr:uid="{BD035CD6-1789-49C4-8B40-6C4FE006CE7D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Taxes / Pretax Profit</t>
        </r>
      </text>
    </comment>
    <comment ref="C130" authorId="0" shapeId="0" xr:uid="{DCBB8579-62E8-445C-BE7A-66DB59321F34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10k, cash flow statement p53</t>
        </r>
      </text>
    </comment>
    <comment ref="E131" authorId="0" shapeId="0" xr:uid="{8CB7930A-B6A0-499F-8CD6-95CE9CD199F9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10k, FY2023 p69</t>
        </r>
      </text>
    </comment>
    <comment ref="F131" authorId="0" shapeId="0" xr:uid="{9D70FC2C-62BB-4FDE-87C5-372A05E883CD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FY 2024 10k, p77</t>
        </r>
      </text>
    </comment>
    <comment ref="C137" authorId="0" shapeId="0" xr:uid="{5BB156D3-C0B6-4132-86D0-ECEF3C7BA40B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10k. Pg 74.</t>
        </r>
      </text>
    </comment>
    <comment ref="E147" authorId="0" shapeId="0" xr:uid="{97BD1778-36A1-41FE-9791-94794CBB0130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1 = Assumes full year depreciation from current period capex
0.5 = Assumes half year depreciation from current year capex</t>
        </r>
      </text>
    </comment>
    <comment ref="C162" authorId="0" shapeId="0" xr:uid="{2EE1127E-08AA-4F35-97D3-3563190D34FF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10K, PG 75</t>
        </r>
      </text>
    </comment>
    <comment ref="F169" authorId="0" shapeId="0" xr:uid="{DAE7A22E-253F-43F2-9CB1-7B22349B28FB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10k. Pg 78</t>
        </r>
      </text>
    </comment>
    <comment ref="F170" authorId="0" shapeId="0" xr:uid="{3BBD868F-BA75-48CD-881C-A42E9EFD7507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10k. P78.</t>
        </r>
      </text>
    </comment>
    <comment ref="E173" authorId="0" shapeId="0" xr:uid="{019B736A-D102-40D9-B0DE-44467B569E6F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2023 10k p7</t>
        </r>
      </text>
    </comment>
    <comment ref="F173" authorId="0" shapeId="0" xr:uid="{FE45457C-84F0-4874-96B2-10DA2DA1038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 p7</t>
        </r>
      </text>
    </comment>
    <comment ref="C183" authorId="0" shapeId="0" xr:uid="{9EDC5B48-A111-436F-88CA-EABDCE15677C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From 2024 10k, p78</t>
        </r>
      </text>
    </comment>
    <comment ref="C184" authorId="0" shapeId="0" xr:uid="{65A1A12C-384D-4C00-9EBC-B5F43CF7CFEE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10k. p78</t>
        </r>
      </text>
    </comment>
    <comment ref="C208" authorId="0" shapeId="0" xr:uid="{23367097-89B7-4996-A6CD-BA592CC8B974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10k, p54</t>
        </r>
      </text>
    </comment>
    <comment ref="C209" authorId="0" shapeId="0" xr:uid="{E3C8FA3F-6799-4B1D-9E6D-ED763FC18346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10k, p54</t>
        </r>
      </text>
    </comment>
    <comment ref="D258" authorId="0" shapeId="0" xr:uid="{0E9F6F77-F72C-4A92-B6F5-3C1DD8500B73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10k, p85</t>
        </r>
      </text>
    </comment>
    <comment ref="E258" authorId="0" shapeId="0" xr:uid="{DEDB32D9-D746-4BF0-AC0A-795196C685F7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10k, p85</t>
        </r>
      </text>
    </comment>
    <comment ref="F258" authorId="0" shapeId="0" xr:uid="{080A4B6C-FDB1-490D-AB68-05FC0B1E8F84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2024 10k, p85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Vicky Ma</author>
  </authors>
  <commentList>
    <comment ref="H7" authorId="0" shapeId="0" xr:uid="{7CBAA0E3-9912-4BEC-8633-D2188D9BC5E6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Midyear convention? (1=Yes,0=No)</t>
        </r>
      </text>
    </comment>
    <comment ref="I56" authorId="0" shapeId="0" xr:uid="{F19E267F-8EA1-4464-8712-B3FA676DFAF4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Front page</t>
        </r>
      </text>
    </comment>
    <comment ref="I57" authorId="0" shapeId="0" xr:uid="{E0DC26C9-1125-45C4-9DA5-826FF36604B1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 22</t>
        </r>
      </text>
    </comment>
    <comment ref="B62" authorId="0" shapeId="0" xr:uid="{DC01B6FB-A278-4E86-A510-E1913F65CBD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including cash and cash equivalents; short term investments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Vicky Ma</author>
  </authors>
  <commentList>
    <comment ref="E19" authorId="0" shapeId="0" xr:uid="{11EB48A1-8365-4184-8C62-FB7773F1F4B5}">
      <text>
        <r>
          <rPr>
            <b/>
            <sz val="9"/>
            <color indexed="81"/>
            <rFont val="Tahoma"/>
            <family val="2"/>
          </rPr>
          <t xml:space="preserve">Vicky Ma:
</t>
        </r>
        <r>
          <rPr>
            <sz val="9"/>
            <color indexed="81"/>
            <rFont val="Tahoma"/>
            <family val="2"/>
          </rPr>
          <t xml:space="preserve">Front pg of 12.29.2024 10Q
 </t>
        </r>
      </text>
    </comment>
    <comment ref="G19" authorId="0" shapeId="0" xr:uid="{AFE85A44-7335-4FB2-9C4F-6440A16A9B14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Front page of 12.31.2024 10K
</t>
        </r>
      </text>
    </comment>
    <comment ref="I19" authorId="0" shapeId="0" xr:uid="{85719A7C-5754-4AE4-B51C-57D9F6163BCA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Front page of 12.31.2024 10k</t>
        </r>
      </text>
    </comment>
    <comment ref="K19" authorId="0" shapeId="0" xr:uid="{3A68CAAD-46C6-4638-B2F9-75205E69731D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front page of 12.31.2024 10K</t>
        </r>
      </text>
    </comment>
    <comment ref="E20" authorId="0" shapeId="0" xr:uid="{FD5A6CCD-F4AA-4075-BDCF-17E6DB7B229F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10Q 12.29.2024. pg 22
</t>
        </r>
      </text>
    </comment>
    <comment ref="G20" authorId="0" shapeId="0" xr:uid="{905600C8-7492-48B0-8926-A2DA2BE6EBF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p64 of 12.31.2024 10k.</t>
        </r>
      </text>
    </comment>
    <comment ref="I20" authorId="0" shapeId="0" xr:uid="{E1A4BE66-BAAD-4AF1-A7F0-4D5D317522CC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p94 of 12.31.2024 10k</t>
        </r>
      </text>
    </comment>
    <comment ref="K20" authorId="0" shapeId="0" xr:uid="{387636D9-70BB-47F8-B126-92B115F963C3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p86 per 12.31.2024 10k</t>
        </r>
      </text>
    </comment>
    <comment ref="E24" authorId="0" shapeId="0" xr:uid="{634AB254-C954-4602-9BD1-BF7BC4E2C237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all info from 10Q 12.29.2024. pg 82, except exercise price is from 10K 9.29.2024</t>
        </r>
      </text>
    </comment>
    <comment ref="G26" authorId="0" shapeId="0" xr:uid="{97587AC2-C49A-4F80-AAE8-B378AB334691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p63 of 12.31.2024 10k</t>
        </r>
      </text>
    </comment>
    <comment ref="I26" authorId="0" shapeId="0" xr:uid="{F4395B94-E5D7-4015-9077-7695C0D54801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p95 of 12.31.2024 10k</t>
        </r>
      </text>
    </comment>
    <comment ref="K26" authorId="0" shapeId="0" xr:uid="{AC7F4CFB-AD7A-4ADD-8A87-A3F6438A7355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p87 12.31.2024 10k</t>
        </r>
      </text>
    </comment>
    <comment ref="G27" authorId="0" shapeId="0" xr:uid="{2118BE7A-9BCE-46A9-9607-63FCA236BB4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pg63 of 12.31.2024 10k</t>
        </r>
      </text>
    </comment>
    <comment ref="I27" authorId="0" shapeId="0" xr:uid="{7C6BB6E2-886A-4998-98AB-010BB72F2F1B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p95 of 12.31.2024 10k</t>
        </r>
      </text>
    </comment>
    <comment ref="I47" authorId="0" shapeId="0" xr:uid="{82957C90-BA99-4769-89E5-E6128FC101C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p105 12.31.2024 10k</t>
        </r>
      </text>
    </comment>
    <comment ref="I48" authorId="0" shapeId="0" xr:uid="{71AA0D91-E6B5-4E6E-89C3-B7893B2CBD40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p105 12.31.2024 10k</t>
        </r>
      </text>
    </comment>
    <comment ref="E69" authorId="0" shapeId="0" xr:uid="{5EF51BDE-E8E8-40A0-B36E-A18599D065E9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 5 of 10Q 12.29.2024</t>
        </r>
      </text>
    </comment>
    <comment ref="G69" authorId="0" shapeId="0" xr:uid="{3291052E-E02C-4856-A3C0-BAD23404062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p42 of 12.31.2024 10k</t>
        </r>
      </text>
    </comment>
    <comment ref="I69" authorId="0" shapeId="0" xr:uid="{900CFDC7-74E0-4E4A-8C37-AD3B3E03ECC9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p60 of 12.31.2024 10k</t>
        </r>
      </text>
    </comment>
    <comment ref="K69" authorId="0" shapeId="0" xr:uid="{B8847566-ED20-4946-B3E9-DF1EF831D040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p46 per 12.31.2024 10k</t>
        </r>
      </text>
    </comment>
    <comment ref="E116" authorId="0" shapeId="0" xr:uid="{60A2746B-8576-4B2F-A5C9-94828E00E742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per pg 50 of 10k 9/29/2024</t>
        </r>
      </text>
    </comment>
    <comment ref="G116" authorId="0" shapeId="0" xr:uid="{B53F3A5D-D987-4851-BADE-04ECD26E95F2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 40 of 12.31.2024 10k</t>
        </r>
      </text>
    </comment>
    <comment ref="I116" authorId="0" shapeId="0" xr:uid="{C8CB2063-4CB1-4EC0-A49B-CFEBBF6A77AC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p61 per 12.31.2024</t>
        </r>
      </text>
    </comment>
    <comment ref="K116" authorId="0" shapeId="0" xr:uid="{D7C7DA80-7BA8-4423-B300-1A3268A08FA9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p44 per 12.31.2024 10k</t>
        </r>
      </text>
    </comment>
    <comment ref="I129" authorId="0" shapeId="0" xr:uid="{9C49FC18-D237-4935-B714-65006EC02270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p64 per 12.31.2024 10k</t>
        </r>
      </text>
    </comment>
    <comment ref="K129" authorId="0" shapeId="0" xr:uid="{E9B5807F-F4AA-412F-AFC8-7F48148E1DF8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p47 per 12.31.2024 10k</t>
        </r>
      </text>
    </comment>
    <comment ref="G133" authorId="0" shapeId="0" xr:uid="{60FA9BBF-5BCA-4289-86D8-6E630A913D9F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 18 of 12.31.2024 10k</t>
        </r>
      </text>
    </comment>
    <comment ref="I133" authorId="0" shapeId="0" xr:uid="{C18ECB03-91DC-4872-B41C-DDD6B25F4D63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p40 per 12.31.2024 10k</t>
        </r>
      </text>
    </comment>
    <comment ref="G134" authorId="0" shapeId="0" xr:uid="{AF2DE67B-9B63-4F42-B663-338731890DC1}">
      <text>
        <r>
          <rPr>
            <b/>
            <sz val="9"/>
            <color indexed="81"/>
            <rFont val="Tahoma"/>
            <family val="2"/>
          </rPr>
          <t>Vicky Ma:</t>
        </r>
        <r>
          <rPr>
            <sz val="9"/>
            <color indexed="81"/>
            <rFont val="Tahoma"/>
            <family val="2"/>
          </rPr>
          <t xml:space="preserve">
pg 13 of 12.31.2024 10k</t>
        </r>
      </text>
    </comment>
  </commentList>
</comments>
</file>

<file path=xl/sharedStrings.xml><?xml version="1.0" encoding="utf-8"?>
<sst xmlns="http://schemas.openxmlformats.org/spreadsheetml/2006/main" count="948" uniqueCount="621">
  <si>
    <t>Tax rate</t>
  </si>
  <si>
    <t>Revenue growth</t>
  </si>
  <si>
    <t>Net income</t>
  </si>
  <si>
    <t>Operating profit (EBIT)</t>
  </si>
  <si>
    <t>Interest income</t>
  </si>
  <si>
    <t>Company name</t>
  </si>
  <si>
    <t>Ticker</t>
  </si>
  <si>
    <t>Fiscal year end date</t>
  </si>
  <si>
    <t>Latest fiscal year end date</t>
  </si>
  <si>
    <t>Latest closing share price date</t>
  </si>
  <si>
    <t xml:space="preserve">Fiscal year  </t>
  </si>
  <si>
    <t>Revenue</t>
  </si>
  <si>
    <t>Pretax profit</t>
  </si>
  <si>
    <t>INCOME STATEMENT</t>
  </si>
  <si>
    <t>BALANCE SHEET</t>
  </si>
  <si>
    <t>Property, plant &amp; equipment</t>
  </si>
  <si>
    <t>Total assets</t>
  </si>
  <si>
    <t>Revolver</t>
  </si>
  <si>
    <t>Total liabilities</t>
  </si>
  <si>
    <t>Total equity</t>
  </si>
  <si>
    <t>Beginning of period</t>
  </si>
  <si>
    <t>End of period</t>
  </si>
  <si>
    <t>PROPERTY, PLANT &amp; EQUIPMENT</t>
  </si>
  <si>
    <t>Plus: Capital expenditures</t>
  </si>
  <si>
    <t>Less: Depreciation</t>
  </si>
  <si>
    <t>CASH FLOW STATEMENT</t>
  </si>
  <si>
    <t>Depreciation and amortization</t>
  </si>
  <si>
    <t>Cash from operating activities</t>
  </si>
  <si>
    <t>Capital expenditures</t>
  </si>
  <si>
    <t>Cash from investing activities</t>
  </si>
  <si>
    <t>Cash from financing activities</t>
  </si>
  <si>
    <t>Net change in cash during period</t>
  </si>
  <si>
    <t>Revolver needs analysis</t>
  </si>
  <si>
    <t>Plus: Free cash flows generated during period</t>
  </si>
  <si>
    <t>Interest expense</t>
  </si>
  <si>
    <t>Interest rate on cash</t>
  </si>
  <si>
    <t>INTEREST EXPENSE AND INTEREST INCOME</t>
  </si>
  <si>
    <t>Cash at beginning of period (BOP)</t>
  </si>
  <si>
    <t>EBITDA</t>
  </si>
  <si>
    <t>Depreciation &amp; amortization</t>
  </si>
  <si>
    <t>Accounts receivable</t>
  </si>
  <si>
    <t>Inventories</t>
  </si>
  <si>
    <t>Accounts payable</t>
  </si>
  <si>
    <t>Common stock</t>
  </si>
  <si>
    <t>Plus: Net income</t>
  </si>
  <si>
    <t>Less: Dividends</t>
  </si>
  <si>
    <t>Less: Repurchases</t>
  </si>
  <si>
    <t>Decreases / (Increases) in working capital assets</t>
  </si>
  <si>
    <t>Increases / (Decreases) in working capital liabilities</t>
  </si>
  <si>
    <t>Long term debt</t>
  </si>
  <si>
    <t>Less: Minimum cash balance</t>
  </si>
  <si>
    <t>Share repurchases</t>
  </si>
  <si>
    <t>Common dividends</t>
  </si>
  <si>
    <t>Adjusted EBITDA</t>
  </si>
  <si>
    <t>Latest closing share price</t>
  </si>
  <si>
    <t>Stock based compensation</t>
  </si>
  <si>
    <t>RETAINED EARNINGS</t>
  </si>
  <si>
    <t>SENSITIVITY ANALYSIS</t>
  </si>
  <si>
    <t>Revenue growth rate</t>
  </si>
  <si>
    <t>Gross</t>
  </si>
  <si>
    <t>Profit</t>
  </si>
  <si>
    <t>Margin:</t>
  </si>
  <si>
    <t>SCENARIO ANALYSIS</t>
  </si>
  <si>
    <t>Base case</t>
  </si>
  <si>
    <t>Best case</t>
  </si>
  <si>
    <t>Weak case</t>
  </si>
  <si>
    <t>Revenue x Gross Profit Margin forecast</t>
  </si>
  <si>
    <t>Straight-line</t>
  </si>
  <si>
    <t>Pre-tax Profit x Tax Rate forecast</t>
  </si>
  <si>
    <t>Reference from interest expense schedule</t>
  </si>
  <si>
    <t>Reference from interest on cash schedule</t>
  </si>
  <si>
    <t>EBIT + D&amp;A</t>
  </si>
  <si>
    <t>EBITDA + Stock-based compensation</t>
  </si>
  <si>
    <t>Reference from income statement</t>
  </si>
  <si>
    <t>Equals: Cash available (needed) to pay down (draw from) revolver</t>
  </si>
  <si>
    <t>Grow in-line with revenue growth</t>
  </si>
  <si>
    <t>Grow in-line with cost of sales growth</t>
  </si>
  <si>
    <t>Reference from PP&amp;E schedule</t>
  </si>
  <si>
    <t>Circ break 1=off, 0=on</t>
  </si>
  <si>
    <t xml:space="preserve">Depreciation &amp; Amortization - Total </t>
  </si>
  <si>
    <t>Weighted average interest rate</t>
  </si>
  <si>
    <t>End of period balance (from B/S)</t>
  </si>
  <si>
    <t>Interest rate x average of BOP &amp; EOP LTD balances</t>
  </si>
  <si>
    <t>Weighted average interest rate on cash</t>
  </si>
  <si>
    <t>Forecast</t>
  </si>
  <si>
    <t>Other current liabilities</t>
  </si>
  <si>
    <t>Reference from 'net change in cash' line on the cash flow statement</t>
  </si>
  <si>
    <t>Total interest expense (from I/S)</t>
  </si>
  <si>
    <t>Other comprehensive income</t>
  </si>
  <si>
    <t>Long term debt (includes current portion)</t>
  </si>
  <si>
    <t>D&amp;A related to PP&amp;E as a % of capex</t>
  </si>
  <si>
    <t>Less: Amortization of intangible assets</t>
  </si>
  <si>
    <t xml:space="preserve">Plus: Additions </t>
  </si>
  <si>
    <t>IMPUTING TOTAL DEPRECIATION &amp; AMORTIZATION</t>
  </si>
  <si>
    <t>REVOLVER (MODEL PLUG)</t>
  </si>
  <si>
    <t xml:space="preserve">Growth rates &amp; margins </t>
  </si>
  <si>
    <r>
      <t xml:space="preserve">D&amp;A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related to PP&amp;E</t>
    </r>
  </si>
  <si>
    <t>as % of revenue</t>
  </si>
  <si>
    <t>Reference from D&amp;A schedule</t>
  </si>
  <si>
    <t>D&amp;A from PP&amp;E + D&amp;A not from PP&amp;E</t>
  </si>
  <si>
    <t xml:space="preserve">BOP = Previous year EOP </t>
  </si>
  <si>
    <t>Reference prior period EOP from B/S</t>
  </si>
  <si>
    <r>
      <t xml:space="preserve">CFO + CFI + CFF </t>
    </r>
    <r>
      <rPr>
        <u/>
        <sz val="11"/>
        <color theme="1"/>
        <rFont val="Calibri"/>
        <family val="2"/>
        <scheme val="minor"/>
      </rPr>
      <t>except revolver</t>
    </r>
  </si>
  <si>
    <t xml:space="preserve">Cash (paydown) / additional borrowing from revolver. Paydown not to exceed BOP balance. </t>
  </si>
  <si>
    <t>Draw / (paydown)</t>
  </si>
  <si>
    <t>Interest rate x average of BOP &amp; EOP revolver balances (circularity)</t>
  </si>
  <si>
    <t>Reference from revolver / CP schedule above</t>
  </si>
  <si>
    <t>Reference from B/S</t>
  </si>
  <si>
    <t>Interest rate x average of BOP &amp; EOP cash balances (circularity)</t>
  </si>
  <si>
    <t xml:space="preserve">Interest expense </t>
  </si>
  <si>
    <t>NM</t>
  </si>
  <si>
    <t>base case</t>
  </si>
  <si>
    <t xml:space="preserve">Variance from </t>
  </si>
  <si>
    <t>Active case:</t>
  </si>
  <si>
    <t>% growth</t>
  </si>
  <si>
    <t>EARNINGS PER SHARE</t>
  </si>
  <si>
    <t xml:space="preserve">Basic shares </t>
  </si>
  <si>
    <t>Basic EPS</t>
  </si>
  <si>
    <t>Diluted Shares</t>
  </si>
  <si>
    <t>Diluted EPS</t>
  </si>
  <si>
    <t>Share price increase</t>
  </si>
  <si>
    <t>Average share price</t>
  </si>
  <si>
    <t>Reference from RE schedule - treasury repurchases (flip sign)</t>
  </si>
  <si>
    <t xml:space="preserve">Reference SBC from I/S </t>
  </si>
  <si>
    <t>Reference from I/S</t>
  </si>
  <si>
    <t>$ amount of shares repurchased</t>
  </si>
  <si>
    <t>$ amount of new shares issued</t>
  </si>
  <si>
    <t>Net income / Basic shares</t>
  </si>
  <si>
    <t>Basic shares + Dilutive securities</t>
  </si>
  <si>
    <t>Net income/Diluted Shares</t>
  </si>
  <si>
    <t>Last period share price x (1+growth rate)</t>
  </si>
  <si>
    <t>Gross profit margin</t>
  </si>
  <si>
    <t>Revenue x 'as % of revenue' assumption</t>
  </si>
  <si>
    <t>Existing PP&amp;E</t>
  </si>
  <si>
    <t>Gross PP&amp;E</t>
  </si>
  <si>
    <t>Non-depreciable PP&amp;E (i.e. land)</t>
  </si>
  <si>
    <t>Accumulated depreciation</t>
  </si>
  <si>
    <t>Net PP&amp;E (excl. land)</t>
  </si>
  <si>
    <t>Average useful life</t>
  </si>
  <si>
    <t>Total depreciation</t>
  </si>
  <si>
    <t>Midyear adj.</t>
  </si>
  <si>
    <t>Override - If necessary for smoothing</t>
  </si>
  <si>
    <t>Based on flat DPR</t>
  </si>
  <si>
    <t>Shares outstanding (millions)</t>
  </si>
  <si>
    <t>yoy % growth in net income</t>
  </si>
  <si>
    <t>Reference net income from I/S</t>
  </si>
  <si>
    <t>Calculate year over year growth</t>
  </si>
  <si>
    <t>SBUX</t>
  </si>
  <si>
    <t>Starbucks Corporation</t>
  </si>
  <si>
    <t xml:space="preserve">Net revenues </t>
  </si>
  <si>
    <t>$ mm except per share</t>
  </si>
  <si>
    <t xml:space="preserve">Store operating expenses </t>
  </si>
  <si>
    <t xml:space="preserve">Other operating expenses </t>
  </si>
  <si>
    <t xml:space="preserve">Restructuring and impairments </t>
  </si>
  <si>
    <t xml:space="preserve">Gross Profit </t>
  </si>
  <si>
    <t>General &amp; administrative</t>
  </si>
  <si>
    <t>Production and distribution costs (COGS)</t>
  </si>
  <si>
    <t>Interest income and other, net</t>
  </si>
  <si>
    <t>Total Operating Expense</t>
  </si>
  <si>
    <t>Income from equity investees</t>
  </si>
  <si>
    <t xml:space="preserve">Gain from sale of assets </t>
  </si>
  <si>
    <t>Store operating expenses % of sales</t>
  </si>
  <si>
    <t>Other operating expenses % of sales</t>
  </si>
  <si>
    <t xml:space="preserve">General &amp; administrative % of sales </t>
  </si>
  <si>
    <t xml:space="preserve">Restructuring and impairments % of sales  </t>
  </si>
  <si>
    <t>Comments</t>
  </si>
  <si>
    <t>Goodwill</t>
  </si>
  <si>
    <t xml:space="preserve">Other long term assets </t>
  </si>
  <si>
    <t xml:space="preserve">Other intangible assets </t>
  </si>
  <si>
    <t>Prepaid expenses and other current assets</t>
  </si>
  <si>
    <t>Cash &amp; equivalents, ST investments</t>
  </si>
  <si>
    <t>Long-term investments</t>
  </si>
  <si>
    <t>Operating lease, right-of-use asset</t>
  </si>
  <si>
    <t>Deferred income taxes, net</t>
  </si>
  <si>
    <t>Stored value card liability and deferred revenue (current + non current)</t>
  </si>
  <si>
    <t>Operating lease liability (current + non current)</t>
  </si>
  <si>
    <t xml:space="preserve">Other long term liabilities </t>
  </si>
  <si>
    <t>Retained earnings (deficit)</t>
  </si>
  <si>
    <t>Additional paid in capital</t>
  </si>
  <si>
    <t>Noncontrolling interests</t>
  </si>
  <si>
    <t>Select an operating scenario</t>
  </si>
  <si>
    <t>Deferred income taxes</t>
  </si>
  <si>
    <t xml:space="preserve">Equity Investments </t>
  </si>
  <si>
    <t xml:space="preserve">Deferred income tax liabilities </t>
  </si>
  <si>
    <t xml:space="preserve">CIQ Estimate </t>
  </si>
  <si>
    <t>CIQ Estimate</t>
  </si>
  <si>
    <t xml:space="preserve">Straight-line thereafter </t>
  </si>
  <si>
    <t>Revenue x Store operating expenses % of sales</t>
  </si>
  <si>
    <t>Revenue x Other operating expenses % of sales</t>
  </si>
  <si>
    <t xml:space="preserve">Revenue x General &amp; administrative % of sales </t>
  </si>
  <si>
    <t>Straight line, non-recurring</t>
  </si>
  <si>
    <t>grow in -line with revenue growth</t>
  </si>
  <si>
    <t>Referenced from Retained Earnings schedule</t>
  </si>
  <si>
    <t>COGS</t>
  </si>
  <si>
    <t>Straight-line thereafter, non recurring</t>
  </si>
  <si>
    <t>Straight line last historical % of revenue</t>
  </si>
  <si>
    <t>Depreciation from existing PP&amp;E</t>
  </si>
  <si>
    <t xml:space="preserve">Dividend payout ratio </t>
  </si>
  <si>
    <t>Assumption that DPR will staight the same</t>
  </si>
  <si>
    <t>Straight-line last historical year repurchases</t>
  </si>
  <si>
    <t>Discounted Cash Flow Valuation</t>
  </si>
  <si>
    <t>Most recent fiscal year end</t>
  </si>
  <si>
    <t>Discount rate (WACC)</t>
  </si>
  <si>
    <t>Link from WACC</t>
  </si>
  <si>
    <t>End of first fiscal year</t>
  </si>
  <si>
    <t>Most recent quarter end date</t>
  </si>
  <si>
    <t>Share price date</t>
  </si>
  <si>
    <t xml:space="preserve">Valuation date </t>
  </si>
  <si>
    <t>Midyear adjustment?</t>
  </si>
  <si>
    <t>Portion of First Year Cash Flows</t>
  </si>
  <si>
    <t>Case active:</t>
  </si>
  <si>
    <t>Unlevered Free Cash Flows</t>
  </si>
  <si>
    <t>LTM</t>
  </si>
  <si>
    <t>Actual</t>
  </si>
  <si>
    <t>Forecasts</t>
  </si>
  <si>
    <t>Fiscal year ended</t>
  </si>
  <si>
    <t>% margin</t>
  </si>
  <si>
    <t>EBIT</t>
  </si>
  <si>
    <t>Tax on EBIT</t>
  </si>
  <si>
    <t>NOPAT (aka EBIAT)</t>
  </si>
  <si>
    <t>Changes in net working capital</t>
  </si>
  <si>
    <t>Unlevered free cash flows (UFCF)</t>
  </si>
  <si>
    <t>Net working capital (WC Assets - WC liabilities)</t>
  </si>
  <si>
    <t>Val date</t>
  </si>
  <si>
    <t xml:space="preserve">Yr 1 - Stub </t>
  </si>
  <si>
    <t>Year 2</t>
  </si>
  <si>
    <t>Year 3</t>
  </si>
  <si>
    <t>Year 4</t>
  </si>
  <si>
    <t>Year 5</t>
  </si>
  <si>
    <t>Date for discounting cash flows</t>
  </si>
  <si>
    <t>Unlevered free cash flows (UFCF) stub adjusted</t>
  </si>
  <si>
    <t>&lt;-Stub year counts first year cash flows starting at the valuation date</t>
  </si>
  <si>
    <t>Present value of of unlevered free cash flows</t>
  </si>
  <si>
    <t>Terminal value - growth in perpetuity approach</t>
  </si>
  <si>
    <t>Terminal value - EBITDA multiple approach</t>
  </si>
  <si>
    <t>Long term growth rate</t>
  </si>
  <si>
    <t>Terminal year EBITDA</t>
  </si>
  <si>
    <t>EBITDA multiple</t>
  </si>
  <si>
    <t>Present value of terminal value</t>
  </si>
  <si>
    <t>Present value of stage 1 cash flows</t>
  </si>
  <si>
    <t>Total enterprise value (TEV)</t>
  </si>
  <si>
    <t>Enterprise value (stage 1 + 2)</t>
  </si>
  <si>
    <t>Terminal value as % of TEV</t>
  </si>
  <si>
    <t>Stage 1 cash flows as % of TEV</t>
  </si>
  <si>
    <t>Cash flows as % of TEV</t>
  </si>
  <si>
    <t>Implied TV exit EBITDA multiple</t>
  </si>
  <si>
    <t>Implied terminal growth rate</t>
  </si>
  <si>
    <t>Net debt</t>
  </si>
  <si>
    <t>Shares outstanding</t>
  </si>
  <si>
    <t>Source doc</t>
  </si>
  <si>
    <t>Source date</t>
  </si>
  <si>
    <t>Date</t>
  </si>
  <si>
    <t>Shares</t>
  </si>
  <si>
    <t>Gross debt and equivalents</t>
  </si>
  <si>
    <t>Basic shares</t>
  </si>
  <si>
    <t>Debt</t>
  </si>
  <si>
    <t>Convertible debt</t>
  </si>
  <si>
    <t>Preferred stock</t>
  </si>
  <si>
    <t>Noncontrolling (minority) interests</t>
  </si>
  <si>
    <t>Convertible preferred stock</t>
  </si>
  <si>
    <t>Nonoperating assets</t>
  </si>
  <si>
    <t>Net diluted shares outstanding</t>
  </si>
  <si>
    <t xml:space="preserve">Cash </t>
  </si>
  <si>
    <t xml:space="preserve">Equity investments </t>
  </si>
  <si>
    <t>Valuation</t>
  </si>
  <si>
    <t>Perpetuity</t>
  </si>
  <si>
    <t>Enterprise value</t>
  </si>
  <si>
    <t xml:space="preserve">Equity value </t>
  </si>
  <si>
    <t>Equity value per share</t>
  </si>
  <si>
    <t>Last twelve months (LTM)</t>
  </si>
  <si>
    <t>EV / Revenue</t>
  </si>
  <si>
    <t xml:space="preserve">EV / EBITDA </t>
  </si>
  <si>
    <t>EV / EBIT</t>
  </si>
  <si>
    <t>Year 1</t>
  </si>
  <si>
    <t>Outputs</t>
  </si>
  <si>
    <t>LTM EBITDA multiple</t>
  </si>
  <si>
    <t>Long term growth rate (g):</t>
  </si>
  <si>
    <t>WACC:</t>
  </si>
  <si>
    <t xml:space="preserve">Data </t>
  </si>
  <si>
    <t>Tables</t>
  </si>
  <si>
    <t>Exit EBITDA Multiple</t>
  </si>
  <si>
    <t>Equity value range</t>
  </si>
  <si>
    <t>Football field</t>
  </si>
  <si>
    <t>Low</t>
  </si>
  <si>
    <t>Diff.</t>
  </si>
  <si>
    <t>High</t>
  </si>
  <si>
    <t>52 Week Market High/Low</t>
  </si>
  <si>
    <t>WACC Buildup</t>
  </si>
  <si>
    <t>Cost of capital assumptions</t>
  </si>
  <si>
    <t>Source</t>
  </si>
  <si>
    <t>Cost of debt</t>
  </si>
  <si>
    <t>From terminal year of UFCF forecast</t>
  </si>
  <si>
    <t>Cost of debt (after tax)</t>
  </si>
  <si>
    <t>Cost of debt x (1 - tax rate)</t>
  </si>
  <si>
    <t xml:space="preserve">Risk free rate </t>
  </si>
  <si>
    <t xml:space="preserve">Beta </t>
  </si>
  <si>
    <t>Bloomberg 2 year weekly adjusted beta</t>
  </si>
  <si>
    <t>Market risk premium</t>
  </si>
  <si>
    <t>Cost of equity</t>
  </si>
  <si>
    <t>RfR + Beta x MRP</t>
  </si>
  <si>
    <t>Capital weights (capital structure)</t>
  </si>
  <si>
    <t xml:space="preserve">Target </t>
  </si>
  <si>
    <t xml:space="preserve">Current </t>
  </si>
  <si>
    <t>(override)</t>
  </si>
  <si>
    <t>% of total</t>
  </si>
  <si>
    <t>Equity</t>
  </si>
  <si>
    <t>Cost of capital (WACC)</t>
  </si>
  <si>
    <t>WACC sensitivity to MRP and Beta</t>
  </si>
  <si>
    <t>Beta</t>
  </si>
  <si>
    <t>Market</t>
  </si>
  <si>
    <t>Risk</t>
  </si>
  <si>
    <t>Premium</t>
  </si>
  <si>
    <t>Select Beta for model</t>
  </si>
  <si>
    <t>Observed</t>
  </si>
  <si>
    <t>Industry beta</t>
  </si>
  <si>
    <t>From schedule below</t>
  </si>
  <si>
    <r>
      <t xml:space="preserve">Observed </t>
    </r>
    <r>
      <rPr>
        <sz val="11"/>
        <color theme="1"/>
        <rFont val="Symbol"/>
        <family val="1"/>
        <charset val="2"/>
      </rPr>
      <t>b</t>
    </r>
  </si>
  <si>
    <t>Market cap</t>
  </si>
  <si>
    <t>Net Debt</t>
  </si>
  <si>
    <r>
      <t xml:space="preserve">Delev. </t>
    </r>
    <r>
      <rPr>
        <sz val="11"/>
        <color theme="1"/>
        <rFont val="Symbol"/>
        <family val="1"/>
        <charset val="2"/>
      </rPr>
      <t>b</t>
    </r>
  </si>
  <si>
    <t>Industry average delevered beta</t>
  </si>
  <si>
    <t>Taxes</t>
  </si>
  <si>
    <t>X</t>
  </si>
  <si>
    <t>From depreciation waterfall</t>
  </si>
  <si>
    <t xml:space="preserve">Beginning of period </t>
  </si>
  <si>
    <t xml:space="preserve">Stock-based compensation expense </t>
  </si>
  <si>
    <t>Exercise of stock options/vesting of RSUs</t>
  </si>
  <si>
    <t xml:space="preserve">Sale of common stock </t>
  </si>
  <si>
    <t xml:space="preserve">Repurchase of common stock </t>
  </si>
  <si>
    <t>Noncontrolling interest resulting from divestiture</t>
  </si>
  <si>
    <t>Referenced from APIC schedule</t>
  </si>
  <si>
    <t xml:space="preserve">Straight-line, assume no aggressive repuchase </t>
  </si>
  <si>
    <t>Average and straight line afterwards</t>
  </si>
  <si>
    <t>Less: Amortization of lease expense</t>
  </si>
  <si>
    <t xml:space="preserve">New stores opened </t>
  </si>
  <si>
    <t>Growth rate</t>
  </si>
  <si>
    <t>Straight-line last year growth rate for new store openings</t>
  </si>
  <si>
    <t>Grow at same rate as new store opening rate</t>
  </si>
  <si>
    <t>Reference from operating lease, ROU schedule</t>
  </si>
  <si>
    <t>Reference from ROU addition</t>
  </si>
  <si>
    <t>Weighted-average operating lease discount rate</t>
  </si>
  <si>
    <t>Average lease liability * Weighted-average operating lease discount rate</t>
  </si>
  <si>
    <t>2024 Cash Payment</t>
  </si>
  <si>
    <t>Reference from operating lease liability schedule</t>
  </si>
  <si>
    <t>Interest expense from revolver + interest expense from long term debt</t>
  </si>
  <si>
    <t>Short-term debt (commercial paper and credit facility)</t>
  </si>
  <si>
    <t xml:space="preserve">Assumed rate based on 2022 commercial paper borrowing </t>
  </si>
  <si>
    <t xml:space="preserve">5 Year </t>
  </si>
  <si>
    <t>CAGR</t>
  </si>
  <si>
    <t>Grow with net income growth rate (calculated below)</t>
  </si>
  <si>
    <t xml:space="preserve">Share price </t>
  </si>
  <si>
    <t>McDonald's Corporation (NYSE:MCD) </t>
  </si>
  <si>
    <t>Plus: Additions (new lease signed)</t>
  </si>
  <si>
    <t>Less: Lease Payments</t>
  </si>
  <si>
    <t>Operating lease liability payment</t>
  </si>
  <si>
    <t>Minimum cash as % of revenue</t>
  </si>
  <si>
    <t xml:space="preserve">Assume 2% minimum cash requirement </t>
  </si>
  <si>
    <t>Average of prior period and straight line onwards</t>
  </si>
  <si>
    <t xml:space="preserve">Short term debt </t>
  </si>
  <si>
    <t xml:space="preserve"> Revolver</t>
  </si>
  <si>
    <t>Net income (inclu. Noncontrolling interest)</t>
  </si>
  <si>
    <t>Grow in line with revenue growth</t>
  </si>
  <si>
    <t>Implied g = [r -FCF(t)/TV]/(1+FCF(t)/TV)</t>
  </si>
  <si>
    <t>From CIQ median multiple</t>
  </si>
  <si>
    <t>Q1 2025 10Q</t>
  </si>
  <si>
    <t>Options/ RSUs</t>
  </si>
  <si>
    <t>Comparable Company Inputs</t>
  </si>
  <si>
    <t>($ in millions, except per share data)</t>
  </si>
  <si>
    <t>Refresh Date</t>
  </si>
  <si>
    <t>Recent Calendarized Date</t>
  </si>
  <si>
    <t>General Inputs</t>
  </si>
  <si>
    <t>TICKER</t>
  </si>
  <si>
    <t>Company Name</t>
  </si>
  <si>
    <t>NAME</t>
  </si>
  <si>
    <t>Last Closing Price</t>
  </si>
  <si>
    <t>Latest Fiscal YEAR End</t>
  </si>
  <si>
    <t>Latest Fiscal QUARTER End</t>
  </si>
  <si>
    <t>Share Counts</t>
  </si>
  <si>
    <t>10-Q</t>
  </si>
  <si>
    <t>10-K</t>
  </si>
  <si>
    <t>Date of Source</t>
  </si>
  <si>
    <t>Basic Share Count</t>
  </si>
  <si>
    <t>RSUs/PSUs/Other</t>
  </si>
  <si>
    <t>Total Basic Share Count</t>
  </si>
  <si>
    <t>OPTIONS DETAIL (in millions)</t>
  </si>
  <si>
    <t>Options Type</t>
  </si>
  <si>
    <t>Outstanding</t>
  </si>
  <si>
    <t>Option Tranche 1</t>
  </si>
  <si>
    <t>Exercise Price</t>
  </si>
  <si>
    <t># Options Exercised</t>
  </si>
  <si>
    <t>Option Proceeds</t>
  </si>
  <si>
    <t>Option Tranche 2</t>
  </si>
  <si>
    <t>Option Tranche 3</t>
  </si>
  <si>
    <t>Total Options Exercised</t>
  </si>
  <si>
    <t>Total Proceeds from Options</t>
  </si>
  <si>
    <t>Share Repurchased</t>
  </si>
  <si>
    <t>Net Dilution from Options</t>
  </si>
  <si>
    <t>WARRANTS DETAIL (in millions)</t>
  </si>
  <si>
    <t>Warrant Tranche 1</t>
  </si>
  <si>
    <t># Warrants Exercised</t>
  </si>
  <si>
    <t>Warrants Proceeds</t>
  </si>
  <si>
    <t>Warrant Tranche 2</t>
  </si>
  <si>
    <t>Total Warrants Exercised</t>
  </si>
  <si>
    <t>Total Proceeds from Warrants</t>
  </si>
  <si>
    <t>Net Dilution from Warrants</t>
  </si>
  <si>
    <t>OTHER DILUTION</t>
  </si>
  <si>
    <t>Dilution from Convertible Debt</t>
  </si>
  <si>
    <t>Dilution from Preferred Stock</t>
  </si>
  <si>
    <t>Fully Diluted Shares Outstanding</t>
  </si>
  <si>
    <t>Balance Sheet Data</t>
  </si>
  <si>
    <t>Cash</t>
  </si>
  <si>
    <t>Short-Term Investments</t>
  </si>
  <si>
    <t>Long-Term Investments</t>
  </si>
  <si>
    <t>Cash &amp; Cash Equivalents</t>
  </si>
  <si>
    <t>Accounts Receivable</t>
  </si>
  <si>
    <t>Inventory</t>
  </si>
  <si>
    <t>Goodwill &amp; Intangibles</t>
  </si>
  <si>
    <t>Equity Method Investments</t>
  </si>
  <si>
    <t>PP&amp;E, Net</t>
  </si>
  <si>
    <t>Other Non-operating Assets</t>
  </si>
  <si>
    <t>Notes Payable</t>
  </si>
  <si>
    <t>Current Portion of Long-Term Debt</t>
  </si>
  <si>
    <t>Current Portion of Capitalized Leases</t>
  </si>
  <si>
    <t>Other Short-Term Debt</t>
  </si>
  <si>
    <t>Total Short-Term Debt</t>
  </si>
  <si>
    <t>Long-Term Debt</t>
  </si>
  <si>
    <t>Capitalized Leases</t>
  </si>
  <si>
    <t>Other Long-Term Debt</t>
  </si>
  <si>
    <t>Total Long-Term Debt</t>
  </si>
  <si>
    <t>Minority Interests</t>
  </si>
  <si>
    <t>Preferred Stock</t>
  </si>
  <si>
    <t>Total Shareholders' Equity</t>
  </si>
  <si>
    <t>Summary Market Valuation Data</t>
  </si>
  <si>
    <t>Price Per Share</t>
  </si>
  <si>
    <t>PRICE</t>
  </si>
  <si>
    <t>FDSO</t>
  </si>
  <si>
    <t>Market Value of Equity</t>
  </si>
  <si>
    <t>MKTCAP</t>
  </si>
  <si>
    <t>Total Debt</t>
  </si>
  <si>
    <t>DEBT</t>
  </si>
  <si>
    <t>Minority Interest</t>
  </si>
  <si>
    <t>MININT</t>
  </si>
  <si>
    <t>PREF</t>
  </si>
  <si>
    <t>CASH</t>
  </si>
  <si>
    <t>NETDEBT</t>
  </si>
  <si>
    <t>Enterprise Value</t>
  </si>
  <si>
    <t>ENTVAL</t>
  </si>
  <si>
    <t>Historical Income Statement</t>
  </si>
  <si>
    <t>LATEST FISCAL YEAR</t>
  </si>
  <si>
    <t>COGS (enter as -)</t>
  </si>
  <si>
    <t>Gross Profit</t>
  </si>
  <si>
    <t>Operating Expenses</t>
  </si>
  <si>
    <t>Operating Income (EBIT)</t>
  </si>
  <si>
    <t>Non-operating (expense) / benefit</t>
  </si>
  <si>
    <t>Pre-tax Income (EBT)</t>
  </si>
  <si>
    <t>Tax (expense) / benefit</t>
  </si>
  <si>
    <t>Net Income</t>
  </si>
  <si>
    <t>Diluted Weighted Avg. Shares</t>
  </si>
  <si>
    <t>Depreciation &amp; Amortization</t>
  </si>
  <si>
    <t>Calculated Tax Rate</t>
  </si>
  <si>
    <t>Non-GAAP Operating Adjustments</t>
  </si>
  <si>
    <t>Non-GAAP Non-Operating Adjustments</t>
  </si>
  <si>
    <t>Tax Effect on Non-GAAP Adjustments</t>
  </si>
  <si>
    <t>Adjusted EBIT</t>
  </si>
  <si>
    <t>Adjusted Net Income</t>
  </si>
  <si>
    <t>Adjusted EPS</t>
  </si>
  <si>
    <t>LATEST FISCAL QUARTERS (YTD)</t>
  </si>
  <si>
    <t>PRIOR FISCAL QUARTERS (YTD -1)</t>
  </si>
  <si>
    <t>LTM SUMMARY</t>
  </si>
  <si>
    <t>LTM Revenue</t>
  </si>
  <si>
    <t>LTMREV</t>
  </si>
  <si>
    <t>LTM Adjusted EBITDA</t>
  </si>
  <si>
    <t>LTMEBITDA</t>
  </si>
  <si>
    <t>LTM Adjusted EBIT</t>
  </si>
  <si>
    <t>LTMEBIT</t>
  </si>
  <si>
    <t>LTM Adjusted Net Income</t>
  </si>
  <si>
    <t>LTMNI</t>
  </si>
  <si>
    <t>LTM Adjusted EPS</t>
  </si>
  <si>
    <t>LTMEPS</t>
  </si>
  <si>
    <t>Financial Data and Forecasts</t>
  </si>
  <si>
    <t>FISCAL YEAR END</t>
  </si>
  <si>
    <t>Last Fiscal Year</t>
  </si>
  <si>
    <t>FY0REV</t>
  </si>
  <si>
    <t>FY1</t>
  </si>
  <si>
    <t>FY1REV</t>
  </si>
  <si>
    <t>FY2</t>
  </si>
  <si>
    <t>FY2REV</t>
  </si>
  <si>
    <t>FY3</t>
  </si>
  <si>
    <t>FY3REV</t>
  </si>
  <si>
    <t>FY4</t>
  </si>
  <si>
    <t>FY4REV</t>
  </si>
  <si>
    <t>FY0EBITDA</t>
  </si>
  <si>
    <t>FY1EBITDA</t>
  </si>
  <si>
    <t>FY2EBITDA</t>
  </si>
  <si>
    <t>FY3EBITDA</t>
  </si>
  <si>
    <t>FY4EBITDA</t>
  </si>
  <si>
    <t>FY0EBIT</t>
  </si>
  <si>
    <t>FY1EBIT</t>
  </si>
  <si>
    <t>FY2EBIT</t>
  </si>
  <si>
    <t>FY3EBIT</t>
  </si>
  <si>
    <t>FY4EBIT</t>
  </si>
  <si>
    <t>FY0NI</t>
  </si>
  <si>
    <t>FY1NI</t>
  </si>
  <si>
    <t>FY2NI</t>
  </si>
  <si>
    <t>FY3NI</t>
  </si>
  <si>
    <t>FY4NI</t>
  </si>
  <si>
    <t>FY0EPS</t>
  </si>
  <si>
    <t>FY1EPS</t>
  </si>
  <si>
    <t>FY2EPS</t>
  </si>
  <si>
    <t>FY3EPS</t>
  </si>
  <si>
    <t>FY4EPS</t>
  </si>
  <si>
    <t>CALENDARIZED FORECASTS</t>
  </si>
  <si>
    <t>FY1 Date</t>
  </si>
  <si>
    <t>CY0 Date</t>
  </si>
  <si>
    <t>% of Last FY</t>
  </si>
  <si>
    <t>% of Next FY</t>
  </si>
  <si>
    <t>CY0</t>
  </si>
  <si>
    <t>CY0REV</t>
  </si>
  <si>
    <t>CY1</t>
  </si>
  <si>
    <t>CY1REV</t>
  </si>
  <si>
    <t>CY2</t>
  </si>
  <si>
    <t>CY2REV</t>
  </si>
  <si>
    <t>CY3</t>
  </si>
  <si>
    <t>CY3REV</t>
  </si>
  <si>
    <t>n/a</t>
  </si>
  <si>
    <t>CY0EBITDA</t>
  </si>
  <si>
    <t>CY1EBITDA</t>
  </si>
  <si>
    <t>CY2EBITDA</t>
  </si>
  <si>
    <t>CY3EBITDA</t>
  </si>
  <si>
    <t>CY0EBIT</t>
  </si>
  <si>
    <t>CY1EBIT</t>
  </si>
  <si>
    <t>CY2EBIT</t>
  </si>
  <si>
    <t>CY3EBIT</t>
  </si>
  <si>
    <t>CY0NI</t>
  </si>
  <si>
    <t>CY1NI</t>
  </si>
  <si>
    <t>CY2NI</t>
  </si>
  <si>
    <t>CY3NI</t>
  </si>
  <si>
    <t>CY0EPS</t>
  </si>
  <si>
    <t>CY1EPS</t>
  </si>
  <si>
    <t>CY2EPS</t>
  </si>
  <si>
    <t>CY3EPS</t>
  </si>
  <si>
    <t>Markets Insider - YTM on 2.25% 20/30 bond</t>
  </si>
  <si>
    <t>BBG - 10 Year US Treasury Yield</t>
  </si>
  <si>
    <t>CIQ 5Y Beta</t>
  </si>
  <si>
    <t>Starbucks Corporation (SBUX)</t>
  </si>
  <si>
    <t>Other Current Assets</t>
  </si>
  <si>
    <t>Assumption: straight-line</t>
  </si>
  <si>
    <t xml:space="preserve">Plus: equity income </t>
  </si>
  <si>
    <t xml:space="preserve">Purchase of investments </t>
  </si>
  <si>
    <t>Addition of Intangible Assets</t>
  </si>
  <si>
    <t>Accretion of liablity</t>
  </si>
  <si>
    <t>Interest paid on lease liability</t>
  </si>
  <si>
    <t xml:space="preserve">FX adjustment </t>
  </si>
  <si>
    <t>First forecast year net income sensitivity</t>
  </si>
  <si>
    <t>Return on Assets</t>
  </si>
  <si>
    <t xml:space="preserve">CIQ estimate </t>
  </si>
  <si>
    <t>Straight line PY %</t>
  </si>
  <si>
    <t>Distributions as % of equity income</t>
  </si>
  <si>
    <t xml:space="preserve">Straight line rate of PY's distributions as % of equity income </t>
  </si>
  <si>
    <t>Grow at same rate of revenue</t>
  </si>
  <si>
    <t>From scenario analysis</t>
  </si>
  <si>
    <t>Implied</t>
  </si>
  <si>
    <t>Restaurant Brands International Inc. (NYSE:QSR)</t>
  </si>
  <si>
    <t>CIQ</t>
  </si>
  <si>
    <t xml:space="preserve">* NM: not meaningful </t>
  </si>
  <si>
    <t>McDonald's 
Corporation</t>
  </si>
  <si>
    <t xml:space="preserve">Restaurant Brands 
International Inc. </t>
  </si>
  <si>
    <t>Keurig Dr Pepper</t>
  </si>
  <si>
    <t>QSR</t>
  </si>
  <si>
    <t>MCD</t>
  </si>
  <si>
    <t>Starbucks 
Corporation</t>
  </si>
  <si>
    <t>KDP</t>
  </si>
  <si>
    <t>Other operating assets</t>
  </si>
  <si>
    <t>Harcoded numbers are from CIQ</t>
  </si>
  <si>
    <t>Comparable Company Operating Metrics</t>
  </si>
  <si>
    <t>Enterprise</t>
  </si>
  <si>
    <t>Net Debt /</t>
  </si>
  <si>
    <t>Adjusted EBITDA Margin</t>
  </si>
  <si>
    <t>Adjusted Net Income Margin</t>
  </si>
  <si>
    <t>Company</t>
  </si>
  <si>
    <t>Value</t>
  </si>
  <si>
    <t>Cap</t>
  </si>
  <si>
    <t>Price</t>
  </si>
  <si>
    <t>LTM EBITDA</t>
  </si>
  <si>
    <t>Mean</t>
  </si>
  <si>
    <t>Median</t>
  </si>
  <si>
    <t>Max</t>
  </si>
  <si>
    <t>Min</t>
  </si>
  <si>
    <t>Comparable Company Valuation Metrics</t>
  </si>
  <si>
    <t>EV / EBITDA</t>
  </si>
  <si>
    <t>Price / Earnings</t>
  </si>
  <si>
    <t>Trading Comps Valuation</t>
  </si>
  <si>
    <t>Metric</t>
  </si>
  <si>
    <t>Implied Enterprise Value</t>
  </si>
  <si>
    <t>Less: Net Debt</t>
  </si>
  <si>
    <t>Equity Value</t>
  </si>
  <si>
    <t>Bar</t>
  </si>
  <si>
    <t>52-week High / Low</t>
  </si>
  <si>
    <t>Analyst Price Targets
High / Low</t>
  </si>
  <si>
    <t>2025E EV / Revenue</t>
  </si>
  <si>
    <t>2025E EV / EBITDA</t>
  </si>
  <si>
    <t>From CIQ</t>
  </si>
  <si>
    <t xml:space="preserve">DCF Analysis
</t>
  </si>
  <si>
    <t xml:space="preserve">2025E EV / Revenue
</t>
  </si>
  <si>
    <t xml:space="preserve">2025E EV / EBITDA
</t>
  </si>
  <si>
    <t>Balance Check</t>
  </si>
  <si>
    <t>DEPRECIATION WATERFALL</t>
  </si>
  <si>
    <t>From equity investment schedule</t>
  </si>
  <si>
    <t>Revenue - Gross Profit</t>
  </si>
  <si>
    <t>From revolver schedule</t>
  </si>
  <si>
    <t xml:space="preserve">Non-cash ROU lease cost </t>
  </si>
  <si>
    <t>Non-cash distributions from equity method investment</t>
  </si>
  <si>
    <t>Minus: Distributions</t>
  </si>
  <si>
    <t>Debt balance check:</t>
  </si>
  <si>
    <t>Last period basic shares + ($ shares issued - $ shares repurchased)/Current period average share price</t>
  </si>
  <si>
    <t>OTHER INTANGIBLE ASSETS</t>
  </si>
  <si>
    <t>OPERATING LEASE, ROU ASSETS</t>
  </si>
  <si>
    <t>OPERATING LEASE LIABILITY (CURRENT+NON CURRENT)</t>
  </si>
  <si>
    <t>EQUITY INVESTMENT</t>
  </si>
  <si>
    <t>ADDITIONAL PAID IN CAPITAL</t>
  </si>
  <si>
    <t>Market Insider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</si>
</sst>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%_);\(0.0%\);@_)"/>
    <numFmt numFmtId="165" formatCode="#,##0.0_);\(#,##0.0\);@_)"/>
    <numFmt numFmtId="166" formatCode="#,##0.00_);\(#,##0\)"/>
    <numFmt numFmtId="167" formatCode="#,##0.0%_);\(#,##0.0%\)"/>
    <numFmt numFmtId="168" formatCode="0.0\ \x"/>
    <numFmt numFmtId="169" formatCode="#,##0.00\ ;\(#,##0.00\)"/>
    <numFmt numFmtId="170" formatCode="&quot;$&quot;#,##0.00\ ;\(&quot;$&quot;#,##0.00\)"/>
    <numFmt numFmtId="171" formatCode="0.0%_);\(0.0%\)"/>
    <numFmt numFmtId="172" formatCode="0.000\ \x&quot;rate&quot;"/>
    <numFmt numFmtId="173" formatCode="#,##0.000_);[Red]\(#,##0.000\)"/>
    <numFmt numFmtId="174" formatCode="0.00_);\(0.00\);0.00"/>
    <numFmt numFmtId="175" formatCode="\C&quot;$&quot;#,##0.00_);[Red]\(&quot;$&quot;#,##0.00\)"/>
    <numFmt numFmtId="176" formatCode="#,##0%_);\(#,##0.0%\)"/>
    <numFmt numFmtId="177" formatCode="_(* #,##0.00000000_);_(* \(#,##0.00000000\);_(* &quot;-&quot;?_);_(@_)"/>
    <numFmt numFmtId="178" formatCode="mmm\-d\-yyyy"/>
    <numFmt numFmtId="179" formatCode="mmm\-yyyy"/>
    <numFmt numFmtId="180" formatCode="yyyy"/>
    <numFmt numFmtId="181" formatCode="0.00\x&quot;rate&quot;"/>
    <numFmt numFmtId="182" formatCode="0.0&quot;  &quot;"/>
    <numFmt numFmtId="183" formatCode="&quot;$&quot;#,##0.0\ ;[Red]\(&quot;$&quot;#,##0\)"/>
    <numFmt numFmtId="184" formatCode="&quot;$&quot;#,##0.000_);[Red]\(&quot;$&quot;#,##0.000\)"/>
    <numFmt numFmtId="185" formatCode="&quot;$&quot;#,##0.00&quot;A&quot;;[Red]\(&quot;$&quot;#,##0.00\)&quot;A&quot;"/>
    <numFmt numFmtId="186" formatCode="#,##0.0\ ;[Red]\(&quot;$&quot;#,##0\)"/>
    <numFmt numFmtId="187" formatCode="&quot;$&quot;#,##0.00&quot;E&quot;;[Red]\(&quot;$&quot;#,##0.00\)&quot;E&quot;"/>
    <numFmt numFmtId="188" formatCode="_([$€-2]* #,##0.00_);_([$€-2]* \(#,##0.00\);_([$€-2]* &quot;-&quot;??_)"/>
    <numFmt numFmtId="189" formatCode="#,##0.00;\(#,##0.00\)"/>
    <numFmt numFmtId="190" formatCode=".%\,\(0.0%%;\t"/>
    <numFmt numFmtId="191" formatCode="#,##0.0_);[Red]\(#,##0.0\)"/>
    <numFmt numFmtId="192" formatCode="0.0%_);[Red]\(0.0%\)"/>
    <numFmt numFmtId="193" formatCode="0.00_);\(0.00\);0.00_)"/>
    <numFmt numFmtId="194" formatCode="0.0%"/>
    <numFmt numFmtId="195" formatCode="#,##0\x"/>
    <numFmt numFmtId="196" formatCode="&quot;TKR&quot;\ 0"/>
    <numFmt numFmtId="197" formatCode=".%\,\(0.%%;\t"/>
    <numFmt numFmtId="198" formatCode="&quot;$&quot;#,###.0\ \ "/>
    <numFmt numFmtId="199" formatCode="#,##0.00\x_);[Red]\(#,##0.00\x\)"/>
    <numFmt numFmtId="200" formatCode="#,##0.0_);\(#,##0.0\)"/>
    <numFmt numFmtId="201" formatCode="#,##0.000_);\(#,##0.000\)"/>
    <numFmt numFmtId="202" formatCode="#,##0.00\x_);[Red]\(#,##0.00\x\);&quot;--  &quot;"/>
    <numFmt numFmtId="203" formatCode="_(* #,##0.0_);_(* \(#,##0.0\);_(* &quot;-&quot;??_);_(@_)"/>
    <numFmt numFmtId="204" formatCode="0.0\x_);[Red]\(0.0\x\)"/>
    <numFmt numFmtId="205" formatCode="0.0\ "/>
    <numFmt numFmtId="206" formatCode="&quot;$&quot;#,##0.0;\(&quot;$&quot;#,##0.00\)"/>
    <numFmt numFmtId="207" formatCode="#,##0.00%_);\(#,##0.00%\)"/>
    <numFmt numFmtId="208" formatCode="0.00\%;\-0.00\%;0.00\%"/>
    <numFmt numFmtId="209" formatCode="0.0%\ ;\(0.0%\)"/>
    <numFmt numFmtId="210" formatCode="_(&quot;$&quot;* #,##0_);_(&quot;$&quot;* \(#,##0\);_(&quot;$&quot;* &quot;-&quot;??_);_(@_)"/>
    <numFmt numFmtId="211" formatCode="&quot;$&quot;0.00\ "/>
    <numFmt numFmtId="212" formatCode="0.0\ \ \ \ \ "/>
    <numFmt numFmtId="213" formatCode="0.00\x;\-0.00\x;0.00\x"/>
    <numFmt numFmtId="214" formatCode="&quot;$&quot;#,##0.000_);\(&quot;$&quot;#,##0.000\)"/>
    <numFmt numFmtId="215" formatCode="#,##0.0_);\(#,##0.0\);_(* &quot;-&quot;_)"/>
    <numFmt numFmtId="216" formatCode="_(&quot;$&quot;* #,##0.00_);_(&quot;$&quot;* \(#,##0.00\);_(* &quot;-&quot;_);_(@_)"/>
    <numFmt numFmtId="217" formatCode="0.00%_);[Red]\(0.00%\)"/>
    <numFmt numFmtId="218" formatCode="#,##0.0\x_);\(#,##0.0\x\)"/>
    <numFmt numFmtId="219" formatCode="#,##0.00\x_);\(#,##0.00\x\)"/>
    <numFmt numFmtId="220" formatCode="###0&quot;E&quot;_)"/>
    <numFmt numFmtId="221" formatCode="0\A;[Red]0\A"/>
    <numFmt numFmtId="222" formatCode="0\P_);\(0\P\)"/>
    <numFmt numFmtId="223" formatCode="m/d/yy;@"/>
    <numFmt numFmtId="224" formatCode="#,##0_);\(#,##0\);@_)"/>
    <numFmt numFmtId="225" formatCode="0.00%_);\(0.00%\);@_)"/>
    <numFmt numFmtId="226" formatCode="0%_);\(0%\);@_)"/>
    <numFmt numFmtId="227" formatCode="[&gt;1]&quot;10Q: &quot;0&quot; qtrs&quot;;&quot;10Q: &quot;0&quot; qtr&quot;"/>
    <numFmt numFmtId="228" formatCode="&quot;$&quot;#,##0.00_);[Red]\(&quot;$&quot;#,##0.00\);&quot;--  &quot;;_(@_)"/>
    <numFmt numFmtId="229" formatCode="mmm\-dd\-yy"/>
    <numFmt numFmtId="230" formatCode="mmm\-dd\-yyyy"/>
    <numFmt numFmtId="231" formatCode="#,##0.0_);[Red]\(#,##0.0\);&quot;--  &quot;"/>
    <numFmt numFmtId="232" formatCode="0.00\x"/>
    <numFmt numFmtId="233" formatCode="0.0&quot; years&quot;"/>
    <numFmt numFmtId="234" formatCode="_(#,##0.0%_);\(#,##0.0%\);_(&quot;–&quot;_)_%;_(@_)_%"/>
    <numFmt numFmtId="235" formatCode="_(#,##0_)_%;\(#,##0\)_%;_(&quot;–&quot;_)_%;_(@_)_%"/>
    <numFmt numFmtId="236" formatCode="0.0%;\(0.0%\)"/>
    <numFmt numFmtId="237" formatCode="0.0%;\ \(0.0%\)"/>
    <numFmt numFmtId="238" formatCode="_(#,##0.00%_);\(#,##0.00%\);_(&quot;–&quot;_)_%;_(@_)_%"/>
    <numFmt numFmtId="239" formatCode="_([$$]#,##0.00_)_%;\([$$]#,##0.00\)_%;_(&quot;–&quot;_)_%;_(@_)_%"/>
    <numFmt numFmtId="240" formatCode="0_);\(0\)"/>
    <numFmt numFmtId="241" formatCode="#,##0.0"/>
    <numFmt numFmtId="242" formatCode="0000\A"/>
    <numFmt numFmtId="243" formatCode="0000\P"/>
    <numFmt numFmtId="244" formatCode="0.0\x_);\(0.0\x\);@_)"/>
    <numFmt numFmtId="245" formatCode="0.000%_);\(0.000%\);@_)"/>
    <numFmt numFmtId="246" formatCode="#,##0.000_);\(#,##0.000\);@_)"/>
    <numFmt numFmtId="247" formatCode="#,##0.000"/>
    <numFmt numFmtId="248" formatCode="_([$$]#,##0_)_%;\([$$]#,##0\)_%;_(&quot;–&quot;_)_%;_(@_)_%"/>
    <numFmt numFmtId="249" formatCode="&quot;$&quot;#,##0.00_);\(&quot;$&quot;#,##0.00\);@_)"/>
    <numFmt numFmtId="250" formatCode="_(0.0\x_)_';_(\(0.0\x\)_';_(&quot;–&quot;_)_%;_(@_)_%"/>
    <numFmt numFmtId="251" formatCode="_(0.0_)_'_x;_(\(0.0\)_';_(&quot;–&quot;_)_%;_(@_)_%"/>
    <numFmt numFmtId="252" formatCode="#,##0.00_);\(#,##0.00\);\-_);@_)"/>
    <numFmt numFmtId="253" formatCode="#,##0.0_);\(#,##0.0\);\-_);@_)"/>
    <numFmt numFmtId="254" formatCode="0.000"/>
    <numFmt numFmtId="255" formatCode="_(* #,##0_);_(* \(#,##0\);_(* &quot;-&quot;??_);_(@_)"/>
    <numFmt numFmtId="256" formatCode="#,##0_);\(#,##0\);\-_);@_)"/>
    <numFmt numFmtId="257" formatCode="&quot;$&quot;#,##0_);\(&quot;$&quot;#,##0\);&quot;$&quot;\ \-_);@_)"/>
    <numFmt numFmtId="258" formatCode="m/d/yy"/>
    <numFmt numFmtId="259" formatCode="&quot;$&quot;#,##0.0_);\(&quot;$&quot;#,##0.0\);&quot;$&quot;\ \-_);@_)"/>
    <numFmt numFmtId="260" formatCode="&quot;$&quot;#,##0.00_);\(&quot;$&quot;#,##0.00\);&quot;$&quot;\ \-_);@_)"/>
    <numFmt numFmtId="261" formatCode="#,##0.000_);\(#,##0.000\);\-_);@_)"/>
    <numFmt numFmtId="262" formatCode="0.0"/>
    <numFmt numFmtId="263" formatCode="#,##0.0000_);\(#,##0.0000\);\-_);@_)"/>
    <numFmt numFmtId="264" formatCode="0.0000000000"/>
    <numFmt numFmtId="265" formatCode="&quot;$&quot;#,##0.000_);\(&quot;$&quot;#,##0.000\);&quot;$&quot;\ \-_);@_)"/>
    <numFmt numFmtId="266" formatCode="#,##0.00000_);\(#,##0.00000\);\-_);@_)"/>
    <numFmt numFmtId="267" formatCode="yyyy&quot;A&quot;"/>
    <numFmt numFmtId="268" formatCode="yyyy&quot;E&quot;"/>
    <numFmt numFmtId="275" formatCode="#,##0.00_);\(#,##0.00\);@_)"/>
  </numFmts>
  <fonts count="107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Calibri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i/>
      <sz val="11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singleAccounting"/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2F2FF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4">
    <xf numFmtId="0" fontId="0" fillId="0" borderId="0"/>
    <xf numFmtId="0" fontId="3" fillId="0" borderId="0"/>
    <xf numFmtId="166" fontId="3" fillId="0" borderId="0">
      <alignment horizontal="right"/>
    </xf>
    <xf numFmtId="167" fontId="3" fillId="2" borderId="0"/>
    <xf numFmtId="168" fontId="3" fillId="2" borderId="0"/>
    <xf numFmtId="169" fontId="3" fillId="2" borderId="0"/>
    <xf numFmtId="170" fontId="3" fillId="2" borderId="0">
      <alignment horizontal="right"/>
    </xf>
    <xf numFmtId="171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2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6" fillId="0" borderId="0"/>
    <xf numFmtId="0" fontId="9" fillId="4" borderId="0" applyNumberFormat="0" applyBorder="0" applyAlignment="0" applyProtection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1" borderId="2" applyNumberFormat="0" applyAlignment="0" applyProtection="0"/>
    <xf numFmtId="173" fontId="10" fillId="0" borderId="0" applyFont="0" applyFill="0" applyBorder="0" applyAlignment="0" applyProtection="0">
      <protection locked="0"/>
    </xf>
    <xf numFmtId="173" fontId="10" fillId="0" borderId="3" applyFont="0" applyFill="0" applyAlignment="0" applyProtection="0"/>
    <xf numFmtId="0" fontId="14" fillId="22" borderId="4" applyNumberFormat="0" applyAlignment="0" applyProtection="0"/>
    <xf numFmtId="0" fontId="5" fillId="0" borderId="0">
      <alignment horizontal="center" wrapText="1"/>
      <protection hidden="1"/>
    </xf>
    <xf numFmtId="0" fontId="15" fillId="0" borderId="5" applyNumberFormat="0" applyFill="0" applyBorder="0" applyProtection="0">
      <alignment horizontal="left" vertical="center"/>
    </xf>
    <xf numFmtId="0" fontId="15" fillId="0" borderId="5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3" borderId="0">
      <alignment horizontal="center" vertical="center" wrapText="1"/>
    </xf>
    <xf numFmtId="174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5" fontId="6" fillId="0" borderId="0" applyFill="0" applyBorder="0" applyProtection="0">
      <alignment horizontal="right"/>
    </xf>
    <xf numFmtId="176" fontId="3" fillId="2" borderId="6">
      <alignment horizontal="right"/>
    </xf>
    <xf numFmtId="177" fontId="3" fillId="2" borderId="6">
      <alignment horizontal="right"/>
    </xf>
    <xf numFmtId="176" fontId="3" fillId="2" borderId="6">
      <alignment horizontal="right"/>
    </xf>
    <xf numFmtId="15" fontId="20" fillId="0" borderId="0" applyFill="0" applyBorder="0" applyAlignment="0"/>
    <xf numFmtId="178" fontId="18" fillId="24" borderId="0" applyFont="0" applyFill="0" applyBorder="0" applyAlignment="0" applyProtection="0"/>
    <xf numFmtId="179" fontId="20" fillId="0" borderId="5"/>
    <xf numFmtId="14" fontId="21" fillId="0" borderId="0" applyFont="0" applyFill="0" applyBorder="0" applyAlignment="0" applyProtection="0">
      <alignment horizontal="center"/>
    </xf>
    <xf numFmtId="180" fontId="21" fillId="0" borderId="0" applyFont="0" applyFill="0" applyBorder="0" applyAlignment="0" applyProtection="0">
      <alignment horizontal="center"/>
    </xf>
    <xf numFmtId="181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25" borderId="0"/>
    <xf numFmtId="7" fontId="3" fillId="25" borderId="0" applyBorder="0"/>
    <xf numFmtId="182" fontId="3" fillId="25" borderId="0"/>
    <xf numFmtId="183" fontId="3" fillId="0" borderId="0"/>
    <xf numFmtId="184" fontId="3" fillId="25" borderId="0"/>
    <xf numFmtId="185" fontId="11" fillId="0" borderId="0" applyFont="0" applyFill="0" applyBorder="0" applyProtection="0">
      <alignment horizontal="left"/>
      <protection locked="0"/>
    </xf>
    <xf numFmtId="186" fontId="3" fillId="0" borderId="0"/>
    <xf numFmtId="187" fontId="11" fillId="0" borderId="0" applyFont="0" applyFill="0" applyBorder="0" applyProtection="0">
      <alignment horizontal="left"/>
      <protection locked="0"/>
    </xf>
    <xf numFmtId="188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1" fontId="3" fillId="0" borderId="7"/>
    <xf numFmtId="189" fontId="3" fillId="2" borderId="6">
      <alignment horizontal="right"/>
    </xf>
    <xf numFmtId="190" fontId="3" fillId="2" borderId="6">
      <alignment horizontal="right"/>
    </xf>
    <xf numFmtId="189" fontId="3" fillId="2" borderId="6">
      <alignment horizontal="right"/>
    </xf>
    <xf numFmtId="191" fontId="10" fillId="0" borderId="0" applyFill="0" applyBorder="0" applyAlignment="0" applyProtection="0">
      <protection locked="0"/>
    </xf>
    <xf numFmtId="0" fontId="23" fillId="5" borderId="0" applyNumberFormat="0" applyBorder="0" applyAlignment="0" applyProtection="0"/>
    <xf numFmtId="192" fontId="24" fillId="0" borderId="0" applyFill="0" applyBorder="0" applyAlignment="0" applyProtection="0"/>
    <xf numFmtId="171" fontId="25" fillId="0" borderId="0" applyAlignment="0">
      <alignment horizontal="left"/>
      <protection locked="0"/>
    </xf>
    <xf numFmtId="191" fontId="6" fillId="26" borderId="8" applyNumberFormat="0" applyFont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191" fontId="29" fillId="0" borderId="0" applyNumberFormat="0" applyFill="0" applyBorder="0" applyAlignment="0" applyProtection="0"/>
    <xf numFmtId="0" fontId="30" fillId="0" borderId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8" borderId="2" applyNumberFormat="0" applyAlignment="0" applyProtection="0"/>
    <xf numFmtId="0" fontId="18" fillId="24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27" borderId="0"/>
    <xf numFmtId="193" fontId="5" fillId="0" borderId="0" applyFill="0" applyBorder="0">
      <alignment horizontal="right"/>
      <protection locked="0"/>
    </xf>
    <xf numFmtId="0" fontId="33" fillId="28" borderId="12">
      <alignment horizontal="left" vertical="center" wrapText="1"/>
    </xf>
    <xf numFmtId="0" fontId="34" fillId="0" borderId="13" applyNumberFormat="0" applyFill="0" applyAlignment="0" applyProtection="0"/>
    <xf numFmtId="194" fontId="10" fillId="0" borderId="0" applyFont="0" applyFill="0" applyBorder="0" applyAlignment="0" applyProtection="0">
      <alignment horizontal="right"/>
    </xf>
    <xf numFmtId="195" fontId="3" fillId="0" borderId="0">
      <alignment horizontal="right"/>
    </xf>
    <xf numFmtId="196" fontId="3" fillId="25" borderId="0">
      <alignment horizontal="right"/>
    </xf>
    <xf numFmtId="197" fontId="3" fillId="0" borderId="0">
      <alignment horizontal="right"/>
    </xf>
    <xf numFmtId="195" fontId="3" fillId="0" borderId="0">
      <alignment horizontal="right"/>
    </xf>
    <xf numFmtId="171" fontId="35" fillId="0" borderId="0" applyFill="0" applyBorder="0" applyAlignment="0" applyProtection="0">
      <alignment horizontal="right"/>
    </xf>
    <xf numFmtId="171" fontId="35" fillId="0" borderId="0" applyFill="0" applyBorder="0" applyAlignment="0" applyProtection="0"/>
    <xf numFmtId="198" fontId="3" fillId="2" borderId="6">
      <alignment horizontal="right"/>
    </xf>
    <xf numFmtId="199" fontId="10" fillId="0" borderId="0" applyFont="0" applyFill="0" applyBorder="0" applyAlignment="0" applyProtection="0"/>
    <xf numFmtId="0" fontId="16" fillId="2" borderId="0" applyFont="0" applyBorder="0" applyAlignment="0" applyProtection="0">
      <alignment horizontal="right"/>
      <protection hidden="1"/>
    </xf>
    <xf numFmtId="0" fontId="36" fillId="26" borderId="0" applyNumberFormat="0" applyBorder="0" applyAlignment="0" applyProtection="0"/>
    <xf numFmtId="37" fontId="19" fillId="0" borderId="0" applyFont="0" applyFill="0" applyBorder="0" applyAlignment="0" applyProtection="0"/>
    <xf numFmtId="20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0" fontId="7" fillId="29" borderId="14" applyNumberFormat="0" applyFont="0" applyAlignment="0" applyProtection="0"/>
    <xf numFmtId="0" fontId="16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1" borderId="15" applyNumberFormat="0" applyAlignment="0" applyProtection="0"/>
    <xf numFmtId="204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5" fontId="3" fillId="25" borderId="0"/>
    <xf numFmtId="9" fontId="10" fillId="0" borderId="0" applyFont="0" applyFill="0" applyBorder="0" applyAlignment="0" applyProtection="0">
      <alignment horizontal="right"/>
    </xf>
    <xf numFmtId="206" fontId="3" fillId="0" borderId="0"/>
    <xf numFmtId="0" fontId="5" fillId="0" borderId="0" applyFont="0" applyFill="0" applyBorder="0" applyAlignment="0"/>
    <xf numFmtId="167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8" fontId="5" fillId="0" borderId="0" applyFill="0" applyBorder="0">
      <alignment horizontal="right"/>
      <protection locked="0"/>
    </xf>
    <xf numFmtId="192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3" fontId="10" fillId="0" borderId="0" applyFont="0" applyFill="0" applyBorder="0" applyAlignment="0" applyProtection="0">
      <protection locked="0"/>
    </xf>
    <xf numFmtId="191" fontId="10" fillId="0" borderId="0" applyFill="0" applyBorder="0" applyAlignment="0" applyProtection="0"/>
    <xf numFmtId="38" fontId="10" fillId="0" borderId="0" applyFont="0" applyFill="0" applyBorder="0" applyAlignment="0" applyProtection="0"/>
    <xf numFmtId="169" fontId="3" fillId="2" borderId="16">
      <alignment horizontal="right"/>
    </xf>
    <xf numFmtId="209" fontId="39" fillId="2" borderId="0"/>
    <xf numFmtId="210" fontId="3" fillId="2" borderId="0"/>
    <xf numFmtId="0" fontId="40" fillId="0" borderId="0">
      <alignment horizontal="center"/>
    </xf>
    <xf numFmtId="0" fontId="3" fillId="0" borderId="5">
      <alignment horizontal="centerContinuous"/>
    </xf>
    <xf numFmtId="211" fontId="3" fillId="2" borderId="0">
      <alignment horizontal="right"/>
    </xf>
    <xf numFmtId="212" fontId="3" fillId="2" borderId="6">
      <alignment horizontal="right"/>
    </xf>
    <xf numFmtId="213" fontId="5" fillId="0" borderId="0">
      <alignment horizontal="right"/>
      <protection locked="0"/>
    </xf>
    <xf numFmtId="191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3" borderId="8">
      <alignment horizontal="center" vertical="center" wrapText="1"/>
      <protection hidden="1"/>
    </xf>
    <xf numFmtId="173" fontId="10" fillId="0" borderId="0" applyFill="0" applyBorder="0" applyAlignment="0" applyProtection="0">
      <protection locked="0"/>
    </xf>
    <xf numFmtId="214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7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0" borderId="0" applyNumberFormat="0" applyBorder="0" applyProtection="0"/>
    <xf numFmtId="0" fontId="47" fillId="0" borderId="0" applyNumberFormat="0" applyFill="0" applyBorder="0" applyProtection="0">
      <alignment vertical="top"/>
    </xf>
    <xf numFmtId="215" fontId="48" fillId="0" borderId="0" applyFill="0" applyBorder="0" applyProtection="0">
      <alignment horizontal="right" wrapText="1"/>
    </xf>
    <xf numFmtId="216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4" fontId="49" fillId="0" borderId="0" applyFill="0" applyBorder="0" applyAlignment="0" applyProtection="0"/>
    <xf numFmtId="217" fontId="50" fillId="0" borderId="0" applyFill="0" applyBorder="0" applyAlignment="0" applyProtection="0">
      <alignment horizontal="left"/>
      <protection locked="0"/>
    </xf>
    <xf numFmtId="217" fontId="50" fillId="0" borderId="0" applyFill="0" applyBorder="0" applyAlignment="0" applyProtection="0"/>
    <xf numFmtId="217" fontId="51" fillId="0" borderId="0" applyFill="0" applyBorder="0" applyAlignment="0" applyProtection="0">
      <alignment horizontal="left"/>
      <protection locked="0"/>
    </xf>
    <xf numFmtId="217" fontId="51" fillId="0" borderId="0" applyFill="0" applyBorder="0" applyAlignment="0" applyProtection="0">
      <protection locked="0"/>
    </xf>
    <xf numFmtId="191" fontId="10" fillId="0" borderId="0" applyFill="0" applyBorder="0" applyAlignment="0" applyProtection="0">
      <protection locked="0"/>
    </xf>
    <xf numFmtId="191" fontId="49" fillId="0" borderId="0" applyFill="0" applyBorder="0" applyAlignment="0" applyProtection="0"/>
    <xf numFmtId="49" fontId="52" fillId="0" borderId="0"/>
    <xf numFmtId="218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91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8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20" fontId="19" fillId="0" borderId="0" applyFont="0" applyFill="0" applyBorder="0" applyAlignment="0" applyProtection="0"/>
    <xf numFmtId="227" fontId="20" fillId="0" borderId="0" applyFill="0" applyBorder="0" applyAlignment="0" applyProtection="0">
      <alignment horizontal="right"/>
    </xf>
    <xf numFmtId="0" fontId="67" fillId="0" borderId="0" applyAlignment="0"/>
    <xf numFmtId="0" fontId="68" fillId="0" borderId="0" applyAlignment="0"/>
    <xf numFmtId="0" fontId="46" fillId="31" borderId="0" applyAlignment="0"/>
    <xf numFmtId="228" fontId="18" fillId="0" borderId="21" applyFont="0" applyFill="0" applyBorder="0" applyAlignment="0" applyProtection="0"/>
    <xf numFmtId="229" fontId="20" fillId="0" borderId="0" applyFont="0" applyFill="0" applyBorder="0" applyAlignment="0" applyProtection="0"/>
    <xf numFmtId="230" fontId="18" fillId="0" borderId="0" applyFont="0" applyFill="0" applyBorder="0" applyAlignment="0" applyProtection="0"/>
    <xf numFmtId="178" fontId="69" fillId="24" borderId="22" applyFont="0" applyFill="0" applyBorder="0" applyAlignment="0" applyProtection="0"/>
    <xf numFmtId="0" fontId="70" fillId="0" borderId="0" applyAlignment="0"/>
    <xf numFmtId="14" fontId="20" fillId="0" borderId="5" applyFont="0" applyFill="0" applyBorder="0" applyAlignment="0" applyProtection="0"/>
    <xf numFmtId="0" fontId="71" fillId="32" borderId="23"/>
    <xf numFmtId="0" fontId="72" fillId="33" borderId="0" applyAlignment="0"/>
    <xf numFmtId="0" fontId="73" fillId="34" borderId="0" applyAlignment="0"/>
    <xf numFmtId="0" fontId="74" fillId="0" borderId="0" applyAlignment="0"/>
    <xf numFmtId="231" fontId="18" fillId="0" borderId="0" applyFont="0" applyFill="0" applyBorder="0" applyAlignment="0" applyProtection="0">
      <alignment horizontal="right"/>
    </xf>
    <xf numFmtId="191" fontId="75" fillId="0" borderId="0" applyNumberFormat="0" applyFill="0" applyBorder="0" applyAlignment="0" applyProtection="0">
      <alignment horizontal="left"/>
    </xf>
    <xf numFmtId="0" fontId="76" fillId="35" borderId="0" applyAlignment="0"/>
    <xf numFmtId="0" fontId="77" fillId="0" borderId="0" applyAlignment="0"/>
    <xf numFmtId="0" fontId="78" fillId="0" borderId="0" applyAlignment="0"/>
    <xf numFmtId="0" fontId="79" fillId="0" borderId="0" applyAlignment="0"/>
    <xf numFmtId="0" fontId="80" fillId="0" borderId="0" applyAlignment="0"/>
    <xf numFmtId="0" fontId="47" fillId="0" borderId="0" applyAlignment="0"/>
    <xf numFmtId="232" fontId="18" fillId="0" borderId="0" applyFont="0" applyFill="0" applyBorder="0" applyAlignment="0" applyProtection="0">
      <alignment horizontal="right"/>
    </xf>
    <xf numFmtId="0" fontId="81" fillId="0" borderId="0" applyAlignment="0"/>
    <xf numFmtId="233" fontId="18" fillId="0" borderId="0" applyFont="0" applyFill="0" applyBorder="0" applyAlignment="0"/>
    <xf numFmtId="43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0" fontId="13" fillId="21" borderId="44" applyNumberFormat="0" applyAlignment="0" applyProtection="0"/>
    <xf numFmtId="0" fontId="31" fillId="8" borderId="44" applyNumberFormat="0" applyAlignment="0" applyProtection="0"/>
    <xf numFmtId="37" fontId="11" fillId="0" borderId="0"/>
    <xf numFmtId="191" fontId="6" fillId="26" borderId="45" applyNumberFormat="0" applyFont="0" applyAlignment="0" applyProtection="0"/>
    <xf numFmtId="0" fontId="33" fillId="28" borderId="46">
      <alignment horizontal="left" vertical="center" wrapText="1"/>
    </xf>
    <xf numFmtId="0" fontId="7" fillId="29" borderId="47" applyNumberFormat="0" applyFont="0" applyAlignment="0" applyProtection="0"/>
    <xf numFmtId="0" fontId="37" fillId="21" borderId="48" applyNumberFormat="0" applyAlignment="0" applyProtection="0"/>
    <xf numFmtId="169" fontId="3" fillId="2" borderId="49">
      <alignment horizontal="right"/>
    </xf>
    <xf numFmtId="0" fontId="42" fillId="23" borderId="45">
      <alignment horizontal="center" vertical="center" wrapText="1"/>
      <protection hidden="1"/>
    </xf>
    <xf numFmtId="0" fontId="58" fillId="0" borderId="50" applyNumberFormat="0" applyFill="0" applyAlignment="0" applyProtection="0"/>
    <xf numFmtId="0" fontId="91" fillId="0" borderId="0" applyNumberFormat="0" applyFill="0" applyBorder="0" applyAlignment="0" applyProtection="0"/>
    <xf numFmtId="0" fontId="101" fillId="0" borderId="0"/>
    <xf numFmtId="43" fontId="101" fillId="0" borderId="0" applyFont="0" applyFill="0" applyBorder="0" applyAlignment="0" applyProtection="0"/>
  </cellStyleXfs>
  <cellXfs count="521">
    <xf numFmtId="0" fontId="0" fillId="0" borderId="0" xfId="0"/>
    <xf numFmtId="0" fontId="2" fillId="0" borderId="0" xfId="0" applyFont="1"/>
    <xf numFmtId="14" fontId="62" fillId="0" borderId="0" xfId="0" applyNumberFormat="1" applyFont="1" applyAlignment="1">
      <alignment horizontal="left"/>
    </xf>
    <xf numFmtId="37" fontId="1" fillId="0" borderId="0" xfId="0" applyNumberFormat="1" applyFont="1"/>
    <xf numFmtId="164" fontId="0" fillId="0" borderId="0" xfId="0" applyNumberFormat="1"/>
    <xf numFmtId="0" fontId="63" fillId="0" borderId="1" xfId="0" applyFont="1" applyBorder="1"/>
    <xf numFmtId="0" fontId="0" fillId="0" borderId="1" xfId="0" applyBorder="1"/>
    <xf numFmtId="221" fontId="63" fillId="0" borderId="0" xfId="0" applyNumberFormat="1" applyFont="1"/>
    <xf numFmtId="0" fontId="64" fillId="0" borderId="1" xfId="0" applyFont="1" applyBorder="1"/>
    <xf numFmtId="0" fontId="64" fillId="0" borderId="0" xfId="0" applyFont="1"/>
    <xf numFmtId="223" fontId="65" fillId="0" borderId="0" xfId="0" applyNumberFormat="1" applyFont="1"/>
    <xf numFmtId="223" fontId="64" fillId="0" borderId="0" xfId="0" applyNumberFormat="1" applyFont="1"/>
    <xf numFmtId="37" fontId="2" fillId="0" borderId="0" xfId="0" applyNumberFormat="1" applyFont="1"/>
    <xf numFmtId="0" fontId="63" fillId="0" borderId="0" xfId="0" applyFont="1"/>
    <xf numFmtId="37" fontId="60" fillId="0" borderId="0" xfId="0" applyNumberFormat="1" applyFont="1"/>
    <xf numFmtId="37" fontId="0" fillId="0" borderId="0" xfId="0" applyNumberFormat="1"/>
    <xf numFmtId="0" fontId="66" fillId="0" borderId="0" xfId="0" applyFont="1"/>
    <xf numFmtId="0" fontId="0" fillId="0" borderId="0" xfId="0" applyAlignment="1">
      <alignment horizontal="left" indent="1"/>
    </xf>
    <xf numFmtId="164" fontId="2" fillId="0" borderId="0" xfId="0" applyNumberFormat="1" applyFont="1"/>
    <xf numFmtId="164" fontId="1" fillId="0" borderId="0" xfId="0" applyNumberFormat="1" applyFont="1"/>
    <xf numFmtId="221" fontId="60" fillId="0" borderId="0" xfId="0" applyNumberFormat="1" applyFont="1"/>
    <xf numFmtId="222" fontId="60" fillId="0" borderId="0" xfId="0" applyNumberFormat="1" applyFont="1"/>
    <xf numFmtId="223" fontId="62" fillId="0" borderId="1" xfId="0" applyNumberFormat="1" applyFont="1" applyBorder="1"/>
    <xf numFmtId="14" fontId="64" fillId="0" borderId="0" xfId="0" applyNumberFormat="1" applyFont="1"/>
    <xf numFmtId="0" fontId="63" fillId="0" borderId="0" xfId="0" applyFont="1" applyAlignment="1">
      <alignment horizontal="left"/>
    </xf>
    <xf numFmtId="0" fontId="0" fillId="0" borderId="0" xfId="0" applyAlignment="1">
      <alignment horizontal="left"/>
    </xf>
    <xf numFmtId="37" fontId="63" fillId="0" borderId="0" xfId="0" applyNumberFormat="1" applyFont="1"/>
    <xf numFmtId="0" fontId="0" fillId="0" borderId="0" xfId="0" quotePrefix="1" applyAlignment="1">
      <alignment horizontal="left" indent="1"/>
    </xf>
    <xf numFmtId="3" fontId="0" fillId="0" borderId="0" xfId="0" applyNumberFormat="1"/>
    <xf numFmtId="0" fontId="63" fillId="0" borderId="0" xfId="0" applyFont="1" applyAlignment="1">
      <alignment horizontal="left" indent="1"/>
    </xf>
    <xf numFmtId="10" fontId="1" fillId="0" borderId="0" xfId="0" applyNumberFormat="1" applyFont="1"/>
    <xf numFmtId="225" fontId="1" fillId="0" borderId="0" xfId="0" applyNumberFormat="1" applyFont="1"/>
    <xf numFmtId="4" fontId="0" fillId="0" borderId="0" xfId="0" applyNumberFormat="1"/>
    <xf numFmtId="0" fontId="66" fillId="0" borderId="0" xfId="0" applyFont="1" applyAlignment="1">
      <alignment horizontal="left" indent="1"/>
    </xf>
    <xf numFmtId="0" fontId="0" fillId="0" borderId="24" xfId="0" applyBorder="1"/>
    <xf numFmtId="37" fontId="2" fillId="0" borderId="0" xfId="0" applyNumberFormat="1" applyFont="1" applyAlignment="1">
      <alignment horizontal="left" indent="1"/>
    </xf>
    <xf numFmtId="0" fontId="0" fillId="0" borderId="19" xfId="0" applyBorder="1"/>
    <xf numFmtId="0" fontId="0" fillId="0" borderId="0" xfId="0" applyAlignment="1">
      <alignment horizontal="left" indent="2"/>
    </xf>
    <xf numFmtId="0" fontId="63" fillId="0" borderId="5" xfId="0" applyFont="1" applyBorder="1"/>
    <xf numFmtId="0" fontId="0" fillId="0" borderId="0" xfId="0" quotePrefix="1"/>
    <xf numFmtId="223" fontId="64" fillId="0" borderId="5" xfId="0" applyNumberFormat="1" applyFont="1" applyBorder="1"/>
    <xf numFmtId="234" fontId="0" fillId="0" borderId="0" xfId="0" applyNumberFormat="1"/>
    <xf numFmtId="0" fontId="83" fillId="0" borderId="0" xfId="0" applyFont="1" applyAlignment="1">
      <alignment horizontal="left"/>
    </xf>
    <xf numFmtId="37" fontId="1" fillId="0" borderId="29" xfId="0" applyNumberFormat="1" applyFont="1" applyBorder="1"/>
    <xf numFmtId="0" fontId="63" fillId="0" borderId="19" xfId="0" applyFont="1" applyBorder="1"/>
    <xf numFmtId="0" fontId="0" fillId="0" borderId="29" xfId="0" applyBorder="1"/>
    <xf numFmtId="37" fontId="0" fillId="0" borderId="29" xfId="0" applyNumberFormat="1" applyBorder="1"/>
    <xf numFmtId="0" fontId="0" fillId="0" borderId="29" xfId="0" quotePrefix="1" applyBorder="1" applyAlignment="1">
      <alignment horizontal="left" indent="1"/>
    </xf>
    <xf numFmtId="0" fontId="0" fillId="0" borderId="29" xfId="0" applyBorder="1" applyAlignment="1">
      <alignment horizontal="left" indent="1"/>
    </xf>
    <xf numFmtId="0" fontId="0" fillId="0" borderId="30" xfId="0" applyBorder="1"/>
    <xf numFmtId="164" fontId="2" fillId="0" borderId="23" xfId="0" applyNumberFormat="1" applyFont="1" applyBorder="1"/>
    <xf numFmtId="0" fontId="63" fillId="0" borderId="31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235" fontId="1" fillId="36" borderId="25" xfId="0" applyNumberFormat="1" applyFont="1" applyFill="1" applyBorder="1" applyAlignment="1">
      <alignment horizontal="center"/>
    </xf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37" fontId="84" fillId="0" borderId="34" xfId="0" applyNumberFormat="1" applyFont="1" applyBorder="1" applyAlignment="1">
      <alignment horizontal="right"/>
    </xf>
    <xf numFmtId="37" fontId="84" fillId="0" borderId="35" xfId="0" applyNumberFormat="1" applyFont="1" applyBorder="1" applyAlignment="1">
      <alignment horizontal="right"/>
    </xf>
    <xf numFmtId="37" fontId="0" fillId="0" borderId="34" xfId="0" applyNumberFormat="1" applyBorder="1"/>
    <xf numFmtId="0" fontId="0" fillId="0" borderId="34" xfId="0" applyBorder="1"/>
    <xf numFmtId="37" fontId="0" fillId="0" borderId="31" xfId="0" applyNumberFormat="1" applyBorder="1"/>
    <xf numFmtId="0" fontId="60" fillId="0" borderId="32" xfId="0" applyFont="1" applyBorder="1" applyAlignment="1">
      <alignment horizontal="left" indent="1"/>
    </xf>
    <xf numFmtId="234" fontId="2" fillId="0" borderId="0" xfId="0" applyNumberFormat="1" applyFont="1"/>
    <xf numFmtId="0" fontId="63" fillId="0" borderId="29" xfId="0" applyFont="1" applyBorder="1"/>
    <xf numFmtId="39" fontId="2" fillId="0" borderId="0" xfId="0" applyNumberFormat="1" applyFont="1"/>
    <xf numFmtId="39" fontId="0" fillId="0" borderId="0" xfId="0" applyNumberFormat="1"/>
    <xf numFmtId="234" fontId="1" fillId="0" borderId="0" xfId="0" applyNumberFormat="1" applyFont="1"/>
    <xf numFmtId="224" fontId="87" fillId="0" borderId="0" xfId="0" applyNumberFormat="1" applyFont="1"/>
    <xf numFmtId="165" fontId="87" fillId="0" borderId="0" xfId="0" applyNumberFormat="1" applyFont="1"/>
    <xf numFmtId="0" fontId="1" fillId="0" borderId="0" xfId="0" applyFont="1"/>
    <xf numFmtId="240" fontId="2" fillId="0" borderId="0" xfId="0" applyNumberFormat="1" applyFont="1"/>
    <xf numFmtId="0" fontId="90" fillId="0" borderId="0" xfId="0" applyFont="1"/>
    <xf numFmtId="222" fontId="63" fillId="0" borderId="42" xfId="0" applyNumberFormat="1" applyFont="1" applyBorder="1"/>
    <xf numFmtId="39" fontId="1" fillId="0" borderId="0" xfId="0" applyNumberFormat="1" applyFont="1"/>
    <xf numFmtId="43" fontId="1" fillId="0" borderId="0" xfId="209" applyFont="1" applyFill="1"/>
    <xf numFmtId="43" fontId="85" fillId="0" borderId="0" xfId="209" applyFont="1" applyFill="1"/>
    <xf numFmtId="39" fontId="60" fillId="0" borderId="0" xfId="0" applyNumberFormat="1" applyFont="1"/>
    <xf numFmtId="222" fontId="60" fillId="0" borderId="42" xfId="0" applyNumberFormat="1" applyFont="1" applyBorder="1"/>
    <xf numFmtId="241" fontId="0" fillId="0" borderId="0" xfId="0" applyNumberFormat="1"/>
    <xf numFmtId="203" fontId="0" fillId="0" borderId="0" xfId="209" applyNumberFormat="1" applyFont="1"/>
    <xf numFmtId="0" fontId="82" fillId="0" borderId="0" xfId="0" applyFont="1"/>
    <xf numFmtId="3" fontId="63" fillId="0" borderId="0" xfId="0" applyNumberFormat="1" applyFont="1"/>
    <xf numFmtId="221" fontId="63" fillId="0" borderId="31" xfId="0" applyNumberFormat="1" applyFont="1" applyBorder="1"/>
    <xf numFmtId="43" fontId="0" fillId="0" borderId="0" xfId="209" applyFont="1"/>
    <xf numFmtId="43" fontId="63" fillId="0" borderId="0" xfId="0" applyNumberFormat="1" applyFont="1"/>
    <xf numFmtId="0" fontId="63" fillId="40" borderId="0" xfId="0" applyFont="1" applyFill="1"/>
    <xf numFmtId="194" fontId="0" fillId="0" borderId="0" xfId="210" applyNumberFormat="1" applyFont="1" applyFill="1"/>
    <xf numFmtId="43" fontId="0" fillId="0" borderId="0" xfId="0" applyNumberFormat="1"/>
    <xf numFmtId="0" fontId="0" fillId="0" borderId="0" xfId="0" applyAlignment="1">
      <alignment wrapText="1"/>
    </xf>
    <xf numFmtId="201" fontId="63" fillId="0" borderId="0" xfId="0" applyNumberFormat="1" applyFont="1"/>
    <xf numFmtId="37" fontId="64" fillId="0" borderId="29" xfId="0" applyNumberFormat="1" applyFont="1" applyBorder="1" applyAlignment="1">
      <alignment horizontal="right"/>
    </xf>
    <xf numFmtId="10" fontId="1" fillId="0" borderId="65" xfId="0" applyNumberFormat="1" applyFont="1" applyBorder="1"/>
    <xf numFmtId="10" fontId="2" fillId="0" borderId="30" xfId="0" applyNumberFormat="1" applyFont="1" applyBorder="1"/>
    <xf numFmtId="0" fontId="0" fillId="0" borderId="27" xfId="0" applyBorder="1"/>
    <xf numFmtId="194" fontId="2" fillId="0" borderId="0" xfId="210" applyNumberFormat="1" applyFont="1" applyFill="1"/>
    <xf numFmtId="194" fontId="2" fillId="39" borderId="43" xfId="0" applyNumberFormat="1" applyFont="1" applyFill="1" applyBorder="1" applyAlignment="1">
      <alignment horizontal="right"/>
    </xf>
    <xf numFmtId="243" fontId="63" fillId="0" borderId="0" xfId="0" applyNumberFormat="1" applyFont="1"/>
    <xf numFmtId="0" fontId="0" fillId="0" borderId="62" xfId="0" applyBorder="1"/>
    <xf numFmtId="0" fontId="60" fillId="0" borderId="29" xfId="0" applyFont="1" applyBorder="1"/>
    <xf numFmtId="201" fontId="1" fillId="0" borderId="64" xfId="0" applyNumberFormat="1" applyFont="1" applyBorder="1"/>
    <xf numFmtId="0" fontId="60" fillId="0" borderId="29" xfId="0" applyFont="1" applyBorder="1" applyAlignment="1">
      <alignment horizontal="right"/>
    </xf>
    <xf numFmtId="224" fontId="60" fillId="0" borderId="0" xfId="0" applyNumberFormat="1" applyFont="1"/>
    <xf numFmtId="0" fontId="66" fillId="0" borderId="0" xfId="0" applyFont="1" applyAlignment="1">
      <alignment horizontal="left"/>
    </xf>
    <xf numFmtId="194" fontId="95" fillId="0" borderId="0" xfId="0" applyNumberFormat="1" applyFont="1" applyAlignment="1">
      <alignment horizontal="right"/>
    </xf>
    <xf numFmtId="0" fontId="63" fillId="0" borderId="54" xfId="0" applyFont="1" applyBorder="1"/>
    <xf numFmtId="164" fontId="82" fillId="0" borderId="0" xfId="0" applyNumberFormat="1" applyFont="1"/>
    <xf numFmtId="0" fontId="92" fillId="0" borderId="24" xfId="0" applyFont="1" applyBorder="1"/>
    <xf numFmtId="14" fontId="1" fillId="0" borderId="0" xfId="213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91" fillId="0" borderId="0" xfId="221" applyBorder="1"/>
    <xf numFmtId="0" fontId="93" fillId="0" borderId="0" xfId="0" applyFont="1" applyAlignment="1">
      <alignment horizontal="center"/>
    </xf>
    <xf numFmtId="7" fontId="87" fillId="0" borderId="0" xfId="0" applyNumberFormat="1" applyFont="1" applyAlignment="1">
      <alignment horizontal="right"/>
    </xf>
    <xf numFmtId="7" fontId="87" fillId="0" borderId="29" xfId="0" applyNumberFormat="1" applyFont="1" applyBorder="1" applyAlignment="1">
      <alignment horizontal="right"/>
    </xf>
    <xf numFmtId="0" fontId="94" fillId="0" borderId="0" xfId="0" applyFont="1" applyAlignment="1">
      <alignment horizontal="centerContinuous"/>
    </xf>
    <xf numFmtId="0" fontId="95" fillId="0" borderId="34" xfId="0" applyFont="1" applyBorder="1" applyAlignment="1">
      <alignment horizontal="centerContinuous"/>
    </xf>
    <xf numFmtId="14" fontId="0" fillId="0" borderId="0" xfId="0" applyNumberFormat="1" applyAlignment="1">
      <alignment horizontal="center"/>
    </xf>
    <xf numFmtId="223" fontId="0" fillId="0" borderId="51" xfId="0" applyNumberFormat="1" applyBorder="1" applyAlignment="1">
      <alignment horizontal="center"/>
    </xf>
    <xf numFmtId="223" fontId="0" fillId="0" borderId="30" xfId="0" applyNumberFormat="1" applyBorder="1" applyAlignment="1">
      <alignment horizontal="center"/>
    </xf>
    <xf numFmtId="223" fontId="0" fillId="0" borderId="0" xfId="0" applyNumberFormat="1" applyAlignment="1">
      <alignment horizontal="center"/>
    </xf>
    <xf numFmtId="242" fontId="63" fillId="0" borderId="51" xfId="0" applyNumberFormat="1" applyFont="1" applyBorder="1"/>
    <xf numFmtId="14" fontId="2" fillId="0" borderId="0" xfId="0" applyNumberFormat="1" applyFont="1"/>
    <xf numFmtId="201" fontId="1" fillId="0" borderId="0" xfId="0" applyNumberFormat="1" applyFont="1"/>
    <xf numFmtId="0" fontId="2" fillId="0" borderId="0" xfId="0" applyFont="1" applyAlignment="1">
      <alignment horizontal="left" indent="1"/>
    </xf>
    <xf numFmtId="246" fontId="96" fillId="0" borderId="0" xfId="0" applyNumberFormat="1" applyFont="1"/>
    <xf numFmtId="0" fontId="94" fillId="0" borderId="0" xfId="0" applyFont="1" applyAlignment="1">
      <alignment horizontal="right"/>
    </xf>
    <xf numFmtId="224" fontId="0" fillId="0" borderId="0" xfId="0" applyNumberFormat="1" applyAlignment="1">
      <alignment horizontal="right"/>
    </xf>
    <xf numFmtId="37" fontId="0" fillId="0" borderId="0" xfId="0" applyNumberFormat="1" applyAlignment="1">
      <alignment horizontal="right"/>
    </xf>
    <xf numFmtId="250" fontId="0" fillId="0" borderId="0" xfId="0" applyNumberFormat="1" applyAlignment="1">
      <alignment horizontal="right"/>
    </xf>
    <xf numFmtId="194" fontId="2" fillId="39" borderId="54" xfId="0" applyNumberFormat="1" applyFont="1" applyFill="1" applyBorder="1"/>
    <xf numFmtId="194" fontId="1" fillId="39" borderId="54" xfId="0" applyNumberFormat="1" applyFont="1" applyFill="1" applyBorder="1"/>
    <xf numFmtId="194" fontId="2" fillId="39" borderId="30" xfId="0" applyNumberFormat="1" applyFont="1" applyFill="1" applyBorder="1"/>
    <xf numFmtId="244" fontId="0" fillId="0" borderId="55" xfId="0" applyNumberFormat="1" applyBorder="1" applyAlignment="1">
      <alignment horizontal="right"/>
    </xf>
    <xf numFmtId="194" fontId="2" fillId="39" borderId="56" xfId="0" applyNumberFormat="1" applyFont="1" applyFill="1" applyBorder="1"/>
    <xf numFmtId="252" fontId="0" fillId="0" borderId="0" xfId="0" applyNumberFormat="1"/>
    <xf numFmtId="253" fontId="0" fillId="0" borderId="30" xfId="0" applyNumberFormat="1" applyBorder="1"/>
    <xf numFmtId="249" fontId="0" fillId="0" borderId="55" xfId="0" applyNumberFormat="1" applyBorder="1"/>
    <xf numFmtId="0" fontId="0" fillId="0" borderId="54" xfId="0" applyBorder="1"/>
    <xf numFmtId="0" fontId="0" fillId="0" borderId="58" xfId="0" applyBorder="1"/>
    <xf numFmtId="39" fontId="0" fillId="0" borderId="60" xfId="0" applyNumberFormat="1" applyBorder="1"/>
    <xf numFmtId="0" fontId="0" fillId="0" borderId="59" xfId="0" applyBorder="1"/>
    <xf numFmtId="0" fontId="0" fillId="0" borderId="61" xfId="0" applyBorder="1"/>
    <xf numFmtId="0" fontId="2" fillId="0" borderId="29" xfId="0" applyFont="1" applyBorder="1"/>
    <xf numFmtId="201" fontId="2" fillId="0" borderId="0" xfId="0" applyNumberFormat="1" applyFont="1"/>
    <xf numFmtId="0" fontId="63" fillId="0" borderId="53" xfId="0" applyFont="1" applyBorder="1"/>
    <xf numFmtId="39" fontId="63" fillId="0" borderId="0" xfId="0" applyNumberFormat="1" applyFont="1"/>
    <xf numFmtId="0" fontId="0" fillId="0" borderId="31" xfId="0" applyBorder="1" applyAlignment="1">
      <alignment horizontal="centerContinuous"/>
    </xf>
    <xf numFmtId="254" fontId="2" fillId="0" borderId="63" xfId="0" applyNumberFormat="1" applyFont="1" applyBorder="1"/>
    <xf numFmtId="254" fontId="2" fillId="0" borderId="64" xfId="0" applyNumberFormat="1" applyFont="1" applyBorder="1"/>
    <xf numFmtId="234" fontId="0" fillId="0" borderId="31" xfId="0" applyNumberFormat="1" applyBorder="1"/>
    <xf numFmtId="0" fontId="0" fillId="0" borderId="27" xfId="0" applyBorder="1" applyAlignment="1">
      <alignment wrapText="1"/>
    </xf>
    <xf numFmtId="203" fontId="0" fillId="0" borderId="0" xfId="209" applyNumberFormat="1" applyFont="1" applyFill="1"/>
    <xf numFmtId="246" fontId="1" fillId="0" borderId="0" xfId="0" applyNumberFormat="1" applyFont="1"/>
    <xf numFmtId="249" fontId="63" fillId="0" borderId="0" xfId="0" applyNumberFormat="1" applyFont="1" applyAlignment="1">
      <alignment horizontal="right"/>
    </xf>
    <xf numFmtId="194" fontId="2" fillId="0" borderId="0" xfId="0" applyNumberFormat="1" applyFont="1"/>
    <xf numFmtId="164" fontId="63" fillId="0" borderId="56" xfId="0" applyNumberFormat="1" applyFont="1" applyBorder="1"/>
    <xf numFmtId="37" fontId="63" fillId="0" borderId="41" xfId="0" applyNumberFormat="1" applyFont="1" applyBorder="1"/>
    <xf numFmtId="244" fontId="2" fillId="39" borderId="56" xfId="0" applyNumberFormat="1" applyFont="1" applyFill="1" applyBorder="1"/>
    <xf numFmtId="224" fontId="2" fillId="0" borderId="0" xfId="0" applyNumberFormat="1" applyFont="1"/>
    <xf numFmtId="248" fontId="1" fillId="0" borderId="0" xfId="0" applyNumberFormat="1" applyFont="1"/>
    <xf numFmtId="194" fontId="1" fillId="39" borderId="57" xfId="0" applyNumberFormat="1" applyFont="1" applyFill="1" applyBorder="1" applyAlignment="1">
      <alignment horizontal="right"/>
    </xf>
    <xf numFmtId="0" fontId="60" fillId="38" borderId="0" xfId="0" applyFont="1" applyFill="1" applyAlignment="1">
      <alignment horizontal="center"/>
    </xf>
    <xf numFmtId="253" fontId="0" fillId="0" borderId="0" xfId="0" applyNumberFormat="1"/>
    <xf numFmtId="0" fontId="2" fillId="38" borderId="0" xfId="0" applyFont="1" applyFill="1"/>
    <xf numFmtId="0" fontId="97" fillId="0" borderId="0" xfId="0" applyFont="1" applyAlignment="1">
      <alignment horizontal="centerContinuous"/>
    </xf>
    <xf numFmtId="0" fontId="94" fillId="0" borderId="30" xfId="0" applyFont="1" applyBorder="1" applyAlignment="1">
      <alignment horizontal="centerContinuous"/>
    </xf>
    <xf numFmtId="249" fontId="0" fillId="0" borderId="1" xfId="0" applyNumberFormat="1" applyBorder="1" applyAlignment="1">
      <alignment horizontal="right"/>
    </xf>
    <xf numFmtId="238" fontId="87" fillId="0" borderId="29" xfId="0" applyNumberFormat="1" applyFont="1" applyBorder="1"/>
    <xf numFmtId="247" fontId="63" fillId="0" borderId="0" xfId="0" applyNumberFormat="1" applyFont="1"/>
    <xf numFmtId="0" fontId="0" fillId="0" borderId="0" xfId="0" applyAlignment="1">
      <alignment horizontal="left" vertical="center" indent="1"/>
    </xf>
    <xf numFmtId="194" fontId="2" fillId="39" borderId="53" xfId="0" applyNumberFormat="1" applyFont="1" applyFill="1" applyBorder="1"/>
    <xf numFmtId="252" fontId="0" fillId="0" borderId="30" xfId="0" applyNumberFormat="1" applyBorder="1"/>
    <xf numFmtId="244" fontId="2" fillId="39" borderId="54" xfId="0" applyNumberFormat="1" applyFont="1" applyFill="1" applyBorder="1"/>
    <xf numFmtId="244" fontId="1" fillId="39" borderId="54" xfId="0" applyNumberFormat="1" applyFont="1" applyFill="1" applyBorder="1"/>
    <xf numFmtId="244" fontId="2" fillId="39" borderId="30" xfId="0" applyNumberFormat="1" applyFont="1" applyFill="1" applyBorder="1"/>
    <xf numFmtId="0" fontId="63" fillId="40" borderId="30" xfId="0" applyFont="1" applyFill="1" applyBorder="1"/>
    <xf numFmtId="43" fontId="0" fillId="0" borderId="0" xfId="209" applyFont="1" applyFill="1"/>
    <xf numFmtId="0" fontId="63" fillId="0" borderId="0" xfId="0" applyFont="1" applyAlignment="1">
      <alignment vertical="center"/>
    </xf>
    <xf numFmtId="251" fontId="0" fillId="0" borderId="0" xfId="0" applyNumberFormat="1" applyAlignment="1">
      <alignment horizontal="right"/>
    </xf>
    <xf numFmtId="194" fontId="2" fillId="39" borderId="57" xfId="0" applyNumberFormat="1" applyFont="1" applyFill="1" applyBorder="1" applyAlignment="1">
      <alignment horizontal="right"/>
    </xf>
    <xf numFmtId="244" fontId="0" fillId="0" borderId="0" xfId="0" applyNumberFormat="1" applyAlignment="1">
      <alignment horizontal="right"/>
    </xf>
    <xf numFmtId="201" fontId="0" fillId="0" borderId="0" xfId="0" applyNumberFormat="1"/>
    <xf numFmtId="10" fontId="2" fillId="0" borderId="65" xfId="0" applyNumberFormat="1" applyFont="1" applyBorder="1"/>
    <xf numFmtId="0" fontId="0" fillId="0" borderId="54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3" xfId="0" applyBorder="1"/>
    <xf numFmtId="0" fontId="66" fillId="0" borderId="0" xfId="0" applyFont="1" applyAlignment="1">
      <alignment horizontal="left" vertical="center"/>
    </xf>
    <xf numFmtId="0" fontId="0" fillId="0" borderId="30" xfId="0" applyBorder="1" applyAlignment="1">
      <alignment horizontal="centerContinuous"/>
    </xf>
    <xf numFmtId="194" fontId="0" fillId="0" borderId="0" xfId="0" applyNumberFormat="1"/>
    <xf numFmtId="0" fontId="1" fillId="38" borderId="25" xfId="0" applyFont="1" applyFill="1" applyBorder="1" applyAlignment="1">
      <alignment horizontal="right"/>
    </xf>
    <xf numFmtId="222" fontId="63" fillId="0" borderId="20" xfId="0" applyNumberFormat="1" applyFont="1" applyBorder="1"/>
    <xf numFmtId="0" fontId="0" fillId="0" borderId="20" xfId="0" applyBorder="1"/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226" fontId="0" fillId="0" borderId="0" xfId="0" applyNumberFormat="1"/>
    <xf numFmtId="0" fontId="86" fillId="0" borderId="37" xfId="0" applyFont="1" applyBorder="1" applyAlignment="1">
      <alignment horizontal="center"/>
    </xf>
    <xf numFmtId="0" fontId="0" fillId="0" borderId="36" xfId="0" applyBorder="1"/>
    <xf numFmtId="234" fontId="1" fillId="0" borderId="36" xfId="0" applyNumberFormat="1" applyFont="1" applyBorder="1" applyAlignment="1">
      <alignment horizontal="center"/>
    </xf>
    <xf numFmtId="0" fontId="0" fillId="0" borderId="36" xfId="0" applyBorder="1" applyAlignment="1">
      <alignment horizontal="center"/>
    </xf>
    <xf numFmtId="234" fontId="1" fillId="0" borderId="38" xfId="0" applyNumberFormat="1" applyFont="1" applyBorder="1" applyAlignment="1">
      <alignment horizontal="center"/>
    </xf>
    <xf numFmtId="0" fontId="86" fillId="0" borderId="39" xfId="0" applyFont="1" applyBorder="1" applyAlignment="1">
      <alignment horizontal="center"/>
    </xf>
    <xf numFmtId="0" fontId="0" fillId="0" borderId="40" xfId="0" applyBorder="1"/>
    <xf numFmtId="238" fontId="2" fillId="0" borderId="0" xfId="0" applyNumberFormat="1" applyFont="1"/>
    <xf numFmtId="234" fontId="62" fillId="0" borderId="0" xfId="0" applyNumberFormat="1" applyFont="1"/>
    <xf numFmtId="9" fontId="1" fillId="0" borderId="0" xfId="0" applyNumberFormat="1" applyFont="1"/>
    <xf numFmtId="164" fontId="0" fillId="37" borderId="0" xfId="0" applyNumberFormat="1" applyFill="1"/>
    <xf numFmtId="236" fontId="1" fillId="37" borderId="27" xfId="0" applyNumberFormat="1" applyFont="1" applyFill="1" applyBorder="1"/>
    <xf numFmtId="237" fontId="1" fillId="37" borderId="28" xfId="0" applyNumberFormat="1" applyFont="1" applyFill="1" applyBorder="1"/>
    <xf numFmtId="0" fontId="63" fillId="0" borderId="0" xfId="0" applyFont="1" applyAlignment="1">
      <alignment horizontal="right"/>
    </xf>
    <xf numFmtId="0" fontId="63" fillId="0" borderId="0" xfId="0" applyFont="1" applyAlignment="1">
      <alignment horizontal="centerContinuous"/>
    </xf>
    <xf numFmtId="224" fontId="0" fillId="0" borderId="0" xfId="0" applyNumberFormat="1"/>
    <xf numFmtId="0" fontId="1" fillId="37" borderId="0" xfId="0" applyFont="1" applyFill="1" applyAlignment="1">
      <alignment horizontal="center"/>
    </xf>
    <xf numFmtId="0" fontId="66" fillId="0" borderId="0" xfId="0" applyFont="1" applyAlignment="1">
      <alignment horizontal="right"/>
    </xf>
    <xf numFmtId="238" fontId="0" fillId="0" borderId="0" xfId="0" applyNumberFormat="1"/>
    <xf numFmtId="9" fontId="2" fillId="0" borderId="0" xfId="0" applyNumberFormat="1" applyFont="1"/>
    <xf numFmtId="14" fontId="0" fillId="0" borderId="0" xfId="0" applyNumberFormat="1"/>
    <xf numFmtId="0" fontId="0" fillId="0" borderId="5" xfId="0" applyBorder="1"/>
    <xf numFmtId="43" fontId="63" fillId="0" borderId="0" xfId="209" applyFont="1"/>
    <xf numFmtId="200" fontId="63" fillId="0" borderId="0" xfId="0" applyNumberFormat="1" applyFont="1"/>
    <xf numFmtId="10" fontId="89" fillId="0" borderId="0" xfId="210" applyNumberFormat="1" applyFont="1"/>
    <xf numFmtId="200" fontId="89" fillId="0" borderId="0" xfId="209" applyNumberFormat="1" applyFont="1" applyFill="1"/>
    <xf numFmtId="0" fontId="0" fillId="0" borderId="66" xfId="0" applyBorder="1" applyAlignment="1">
      <alignment horizontal="left" indent="1"/>
    </xf>
    <xf numFmtId="0" fontId="0" fillId="0" borderId="66" xfId="0" applyBorder="1"/>
    <xf numFmtId="200" fontId="0" fillId="0" borderId="66" xfId="0" applyNumberFormat="1" applyBorder="1"/>
    <xf numFmtId="194" fontId="89" fillId="0" borderId="0" xfId="210" applyNumberFormat="1" applyFont="1"/>
    <xf numFmtId="37" fontId="63" fillId="0" borderId="66" xfId="0" applyNumberFormat="1" applyFont="1" applyBorder="1"/>
    <xf numFmtId="203" fontId="0" fillId="0" borderId="0" xfId="209" applyNumberFormat="1" applyFont="1" applyFill="1" applyBorder="1"/>
    <xf numFmtId="43" fontId="2" fillId="0" borderId="0" xfId="209" applyFont="1"/>
    <xf numFmtId="43" fontId="1" fillId="0" borderId="0" xfId="209" applyFont="1"/>
    <xf numFmtId="43" fontId="0" fillId="0" borderId="29" xfId="209" applyFont="1" applyBorder="1"/>
    <xf numFmtId="43" fontId="60" fillId="0" borderId="0" xfId="209" applyFont="1"/>
    <xf numFmtId="222" fontId="63" fillId="0" borderId="0" xfId="0" applyNumberFormat="1" applyFont="1" applyAlignment="1">
      <alignment horizontal="center"/>
    </xf>
    <xf numFmtId="234" fontId="82" fillId="0" borderId="0" xfId="0" applyNumberFormat="1" applyFont="1"/>
    <xf numFmtId="8" fontId="82" fillId="0" borderId="0" xfId="0" applyNumberFormat="1" applyFont="1"/>
    <xf numFmtId="7" fontId="60" fillId="0" borderId="0" xfId="0" applyNumberFormat="1" applyFont="1"/>
    <xf numFmtId="37" fontId="82" fillId="0" borderId="0" xfId="0" applyNumberFormat="1" applyFont="1"/>
    <xf numFmtId="239" fontId="85" fillId="0" borderId="0" xfId="0" applyNumberFormat="1" applyFont="1"/>
    <xf numFmtId="8" fontId="0" fillId="0" borderId="0" xfId="0" applyNumberFormat="1"/>
    <xf numFmtId="39" fontId="1" fillId="41" borderId="0" xfId="0" applyNumberFormat="1" applyFont="1" applyFill="1"/>
    <xf numFmtId="14" fontId="92" fillId="0" borderId="24" xfId="0" applyNumberFormat="1" applyFont="1" applyBorder="1"/>
    <xf numFmtId="0" fontId="0" fillId="42" borderId="0" xfId="0" applyFill="1"/>
    <xf numFmtId="224" fontId="87" fillId="42" borderId="0" xfId="0" applyNumberFormat="1" applyFont="1" applyFill="1"/>
    <xf numFmtId="234" fontId="2" fillId="42" borderId="0" xfId="0" applyNumberFormat="1" applyFont="1" applyFill="1"/>
    <xf numFmtId="0" fontId="63" fillId="42" borderId="0" xfId="0" applyFont="1" applyFill="1"/>
    <xf numFmtId="224" fontId="60" fillId="42" borderId="0" xfId="0" applyNumberFormat="1" applyFont="1" applyFill="1"/>
    <xf numFmtId="0" fontId="63" fillId="42" borderId="29" xfId="0" applyFont="1" applyFill="1" applyBorder="1"/>
    <xf numFmtId="0" fontId="0" fillId="42" borderId="29" xfId="0" applyFill="1" applyBorder="1"/>
    <xf numFmtId="224" fontId="87" fillId="42" borderId="29" xfId="0" applyNumberFormat="1" applyFont="1" applyFill="1" applyBorder="1"/>
    <xf numFmtId="224" fontId="95" fillId="42" borderId="29" xfId="0" applyNumberFormat="1" applyFont="1" applyFill="1" applyBorder="1" applyAlignment="1">
      <alignment horizontal="center"/>
    </xf>
    <xf numFmtId="224" fontId="95" fillId="42" borderId="0" xfId="0" applyNumberFormat="1" applyFont="1" applyFill="1"/>
    <xf numFmtId="14" fontId="0" fillId="42" borderId="0" xfId="0" applyNumberFormat="1" applyFill="1"/>
    <xf numFmtId="234" fontId="0" fillId="42" borderId="0" xfId="0" applyNumberFormat="1" applyFill="1" applyAlignment="1">
      <alignment horizontal="center"/>
    </xf>
    <xf numFmtId="224" fontId="0" fillId="42" borderId="0" xfId="0" applyNumberFormat="1" applyFill="1"/>
    <xf numFmtId="224" fontId="2" fillId="42" borderId="29" xfId="0" applyNumberFormat="1" applyFont="1" applyFill="1" applyBorder="1"/>
    <xf numFmtId="0" fontId="60" fillId="42" borderId="0" xfId="0" applyFont="1" applyFill="1"/>
    <xf numFmtId="255" fontId="0" fillId="0" borderId="0" xfId="209" applyNumberFormat="1" applyFont="1"/>
    <xf numFmtId="200" fontId="0" fillId="0" borderId="0" xfId="0" applyNumberFormat="1"/>
    <xf numFmtId="0" fontId="82" fillId="0" borderId="0" xfId="0" applyFont="1" applyAlignment="1">
      <alignment horizontal="left"/>
    </xf>
    <xf numFmtId="164" fontId="0" fillId="0" borderId="29" xfId="0" applyNumberFormat="1" applyBorder="1"/>
    <xf numFmtId="164" fontId="2" fillId="0" borderId="29" xfId="0" applyNumberFormat="1" applyFont="1" applyBorder="1"/>
    <xf numFmtId="37" fontId="0" fillId="0" borderId="5" xfId="0" applyNumberFormat="1" applyBorder="1"/>
    <xf numFmtId="43" fontId="100" fillId="0" borderId="0" xfId="209" applyFont="1"/>
    <xf numFmtId="9" fontId="0" fillId="0" borderId="0" xfId="0" applyNumberFormat="1"/>
    <xf numFmtId="222" fontId="63" fillId="0" borderId="31" xfId="0" applyNumberFormat="1" applyFont="1" applyBorder="1"/>
    <xf numFmtId="201" fontId="1" fillId="0" borderId="0" xfId="0" applyNumberFormat="1" applyFont="1" applyAlignment="1">
      <alignment horizontal="center"/>
    </xf>
    <xf numFmtId="194" fontId="0" fillId="0" borderId="0" xfId="210" applyNumberFormat="1" applyFont="1"/>
    <xf numFmtId="234" fontId="2" fillId="41" borderId="0" xfId="0" applyNumberFormat="1" applyFont="1" applyFill="1"/>
    <xf numFmtId="10" fontId="0" fillId="41" borderId="0" xfId="0" applyNumberFormat="1" applyFill="1"/>
    <xf numFmtId="164" fontId="0" fillId="37" borderId="0" xfId="0" applyNumberFormat="1" applyFill="1" applyAlignment="1">
      <alignment horizontal="center"/>
    </xf>
    <xf numFmtId="194" fontId="0" fillId="44" borderId="36" xfId="210" applyNumberFormat="1" applyFont="1" applyFill="1" applyBorder="1" applyAlignment="1">
      <alignment horizontal="center"/>
    </xf>
    <xf numFmtId="194" fontId="0" fillId="44" borderId="0" xfId="210" applyNumberFormat="1" applyFont="1" applyFill="1"/>
    <xf numFmtId="37" fontId="64" fillId="0" borderId="0" xfId="0" applyNumberFormat="1" applyFont="1"/>
    <xf numFmtId="9" fontId="1" fillId="45" borderId="0" xfId="0" applyNumberFormat="1" applyFont="1" applyFill="1"/>
    <xf numFmtId="223" fontId="104" fillId="0" borderId="1" xfId="0" applyNumberFormat="1" applyFont="1" applyBorder="1" applyAlignment="1">
      <alignment horizontal="center"/>
    </xf>
    <xf numFmtId="0" fontId="89" fillId="0" borderId="0" xfId="0" applyFont="1"/>
    <xf numFmtId="258" fontId="1" fillId="43" borderId="67" xfId="0" applyNumberFormat="1" applyFont="1" applyFill="1" applyBorder="1" applyAlignment="1">
      <alignment horizontal="center"/>
    </xf>
    <xf numFmtId="0" fontId="1" fillId="43" borderId="0" xfId="0" applyFont="1" applyFill="1" applyAlignment="1">
      <alignment horizontal="center"/>
    </xf>
    <xf numFmtId="260" fontId="1" fillId="43" borderId="0" xfId="0" applyNumberFormat="1" applyFont="1" applyFill="1" applyAlignment="1">
      <alignment horizontal="center"/>
    </xf>
    <xf numFmtId="258" fontId="1" fillId="43" borderId="0" xfId="0" applyNumberFormat="1" applyFont="1" applyFill="1" applyAlignment="1">
      <alignment horizontal="center"/>
    </xf>
    <xf numFmtId="0" fontId="65" fillId="43" borderId="0" xfId="0" applyFont="1" applyFill="1" applyAlignment="1">
      <alignment horizontal="center"/>
    </xf>
    <xf numFmtId="258" fontId="102" fillId="43" borderId="0" xfId="0" applyNumberFormat="1" applyFont="1" applyFill="1" applyAlignment="1">
      <alignment horizontal="center"/>
    </xf>
    <xf numFmtId="261" fontId="1" fillId="43" borderId="0" xfId="0" applyNumberFormat="1" applyFont="1" applyFill="1"/>
    <xf numFmtId="261" fontId="89" fillId="0" borderId="69" xfId="0" applyNumberFormat="1" applyFont="1" applyBorder="1"/>
    <xf numFmtId="0" fontId="60" fillId="0" borderId="0" xfId="0" applyFont="1"/>
    <xf numFmtId="260" fontId="1" fillId="43" borderId="0" xfId="0" applyNumberFormat="1" applyFont="1" applyFill="1"/>
    <xf numFmtId="257" fontId="89" fillId="0" borderId="0" xfId="0" applyNumberFormat="1" applyFont="1"/>
    <xf numFmtId="261" fontId="63" fillId="0" borderId="0" xfId="0" applyNumberFormat="1" applyFont="1"/>
    <xf numFmtId="257" fontId="63" fillId="0" borderId="0" xfId="0" applyNumberFormat="1" applyFont="1"/>
    <xf numFmtId="261" fontId="63" fillId="0" borderId="69" xfId="0" applyNumberFormat="1" applyFont="1" applyBorder="1"/>
    <xf numFmtId="0" fontId="89" fillId="43" borderId="0" xfId="0" applyFont="1" applyFill="1"/>
    <xf numFmtId="0" fontId="89" fillId="0" borderId="0" xfId="0" applyFont="1" applyAlignment="1">
      <alignment horizontal="left" indent="1"/>
    </xf>
    <xf numFmtId="253" fontId="1" fillId="43" borderId="0" xfId="0" applyNumberFormat="1" applyFont="1" applyFill="1"/>
    <xf numFmtId="253" fontId="63" fillId="0" borderId="69" xfId="0" applyNumberFormat="1" applyFont="1" applyBorder="1"/>
    <xf numFmtId="253" fontId="89" fillId="0" borderId="0" xfId="0" applyNumberFormat="1" applyFont="1"/>
    <xf numFmtId="253" fontId="103" fillId="43" borderId="69" xfId="0" applyNumberFormat="1" applyFont="1" applyFill="1" applyBorder="1"/>
    <xf numFmtId="257" fontId="63" fillId="0" borderId="69" xfId="0" applyNumberFormat="1" applyFont="1" applyBorder="1"/>
    <xf numFmtId="256" fontId="89" fillId="0" borderId="0" xfId="0" applyNumberFormat="1" applyFont="1"/>
    <xf numFmtId="256" fontId="63" fillId="0" borderId="69" xfId="0" applyNumberFormat="1" applyFont="1" applyBorder="1"/>
    <xf numFmtId="0" fontId="60" fillId="0" borderId="5" xfId="0" applyFont="1" applyBorder="1"/>
    <xf numFmtId="259" fontId="89" fillId="0" borderId="69" xfId="0" applyNumberFormat="1" applyFont="1" applyBorder="1"/>
    <xf numFmtId="259" fontId="63" fillId="0" borderId="69" xfId="0" applyNumberFormat="1" applyFont="1" applyBorder="1"/>
    <xf numFmtId="253" fontId="1" fillId="43" borderId="5" xfId="0" applyNumberFormat="1" applyFont="1" applyFill="1" applyBorder="1"/>
    <xf numFmtId="259" fontId="89" fillId="0" borderId="0" xfId="0" applyNumberFormat="1" applyFont="1"/>
    <xf numFmtId="164" fontId="64" fillId="0" borderId="0" xfId="0" applyNumberFormat="1" applyFont="1"/>
    <xf numFmtId="259" fontId="63" fillId="0" borderId="0" xfId="0" applyNumberFormat="1" applyFont="1"/>
    <xf numFmtId="260" fontId="63" fillId="0" borderId="0" xfId="0" applyNumberFormat="1" applyFont="1"/>
    <xf numFmtId="200" fontId="89" fillId="0" borderId="0" xfId="0" applyNumberFormat="1" applyFont="1"/>
    <xf numFmtId="0" fontId="89" fillId="0" borderId="5" xfId="0" applyFont="1" applyBorder="1"/>
    <xf numFmtId="0" fontId="64" fillId="0" borderId="5" xfId="0" applyFont="1" applyBorder="1" applyAlignment="1">
      <alignment horizontal="right"/>
    </xf>
    <xf numFmtId="0" fontId="2" fillId="0" borderId="0" xfId="0" applyFont="1" applyAlignment="1">
      <alignment horizontal="left"/>
    </xf>
    <xf numFmtId="256" fontId="1" fillId="43" borderId="0" xfId="0" applyNumberFormat="1" applyFont="1" applyFill="1"/>
    <xf numFmtId="0" fontId="89" fillId="0" borderId="0" xfId="0" applyFont="1" applyAlignment="1">
      <alignment horizontal="left"/>
    </xf>
    <xf numFmtId="252" fontId="89" fillId="0" borderId="0" xfId="0" applyNumberFormat="1" applyFont="1"/>
    <xf numFmtId="252" fontId="1" fillId="43" borderId="0" xfId="0" applyNumberFormat="1" applyFont="1" applyFill="1"/>
    <xf numFmtId="0" fontId="64" fillId="0" borderId="0" xfId="0" applyFont="1" applyAlignment="1">
      <alignment horizontal="right"/>
    </xf>
    <xf numFmtId="258" fontId="89" fillId="0" borderId="0" xfId="0" applyNumberFormat="1" applyFont="1" applyAlignment="1">
      <alignment horizontal="center"/>
    </xf>
    <xf numFmtId="164" fontId="89" fillId="0" borderId="0" xfId="0" applyNumberFormat="1" applyFont="1"/>
    <xf numFmtId="256" fontId="89" fillId="43" borderId="0" xfId="0" applyNumberFormat="1" applyFont="1" applyFill="1" applyAlignment="1">
      <alignment horizontal="right"/>
    </xf>
    <xf numFmtId="252" fontId="89" fillId="43" borderId="0" xfId="0" applyNumberFormat="1" applyFont="1" applyFill="1" applyAlignment="1">
      <alignment horizontal="right"/>
    </xf>
    <xf numFmtId="4" fontId="89" fillId="0" borderId="0" xfId="0" applyNumberFormat="1" applyFont="1"/>
    <xf numFmtId="43" fontId="89" fillId="0" borderId="0" xfId="209" applyFont="1"/>
    <xf numFmtId="263" fontId="1" fillId="43" borderId="0" xfId="0" applyNumberFormat="1" applyFont="1" applyFill="1"/>
    <xf numFmtId="264" fontId="64" fillId="0" borderId="0" xfId="0" applyNumberFormat="1" applyFont="1"/>
    <xf numFmtId="265" fontId="89" fillId="0" borderId="0" xfId="0" applyNumberFormat="1" applyFont="1"/>
    <xf numFmtId="266" fontId="63" fillId="0" borderId="69" xfId="0" applyNumberFormat="1" applyFont="1" applyBorder="1"/>
    <xf numFmtId="43" fontId="1" fillId="43" borderId="0" xfId="209" applyFont="1" applyFill="1"/>
    <xf numFmtId="0" fontId="63" fillId="0" borderId="0" xfId="0" applyFont="1" applyAlignment="1">
      <alignment horizontal="center"/>
    </xf>
    <xf numFmtId="0" fontId="105" fillId="0" borderId="0" xfId="0" applyFont="1" applyAlignment="1">
      <alignment horizontal="centerContinuous"/>
    </xf>
    <xf numFmtId="0" fontId="0" fillId="0" borderId="69" xfId="0" applyBorder="1"/>
    <xf numFmtId="257" fontId="0" fillId="0" borderId="0" xfId="0" applyNumberFormat="1" applyAlignment="1">
      <alignment horizontal="right"/>
    </xf>
    <xf numFmtId="260" fontId="0" fillId="0" borderId="0" xfId="0" applyNumberFormat="1" applyAlignment="1">
      <alignment horizontal="right"/>
    </xf>
    <xf numFmtId="244" fontId="0" fillId="0" borderId="0" xfId="0" applyNumberFormat="1"/>
    <xf numFmtId="256" fontId="0" fillId="0" borderId="0" xfId="0" applyNumberFormat="1" applyAlignment="1">
      <alignment horizontal="right"/>
    </xf>
    <xf numFmtId="25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42" borderId="0" xfId="0" applyFill="1" applyAlignment="1">
      <alignment vertical="center"/>
    </xf>
    <xf numFmtId="244" fontId="0" fillId="42" borderId="0" xfId="0" applyNumberFormat="1" applyFill="1" applyAlignment="1">
      <alignment vertical="center"/>
    </xf>
    <xf numFmtId="257" fontId="0" fillId="42" borderId="0" xfId="0" applyNumberFormat="1" applyFill="1" applyAlignment="1">
      <alignment vertical="center"/>
    </xf>
    <xf numFmtId="0" fontId="0" fillId="42" borderId="5" xfId="0" applyFill="1" applyBorder="1" applyAlignment="1">
      <alignment vertical="center"/>
    </xf>
    <xf numFmtId="244" fontId="0" fillId="42" borderId="5" xfId="0" applyNumberFormat="1" applyFill="1" applyBorder="1" applyAlignment="1">
      <alignment vertical="center"/>
    </xf>
    <xf numFmtId="0" fontId="0" fillId="46" borderId="68" xfId="0" applyFill="1" applyBorder="1" applyAlignment="1">
      <alignment vertical="center"/>
    </xf>
    <xf numFmtId="257" fontId="0" fillId="46" borderId="68" xfId="0" applyNumberFormat="1" applyFill="1" applyBorder="1" applyAlignment="1">
      <alignment horizontal="right" vertical="center"/>
    </xf>
    <xf numFmtId="260" fontId="0" fillId="46" borderId="68" xfId="0" applyNumberFormat="1" applyFill="1" applyBorder="1" applyAlignment="1">
      <alignment horizontal="right" vertical="center"/>
    </xf>
    <xf numFmtId="244" fontId="0" fillId="46" borderId="68" xfId="0" applyNumberFormat="1" applyFill="1" applyBorder="1" applyAlignment="1">
      <alignment vertical="center"/>
    </xf>
    <xf numFmtId="10" fontId="0" fillId="0" borderId="0" xfId="0" applyNumberFormat="1"/>
    <xf numFmtId="0" fontId="97" fillId="0" borderId="0" xfId="0" applyFont="1" applyAlignment="1">
      <alignment horizontal="center"/>
    </xf>
    <xf numFmtId="164" fontId="64" fillId="0" borderId="0" xfId="0" applyNumberFormat="1" applyFont="1" applyAlignment="1">
      <alignment horizontal="right"/>
    </xf>
    <xf numFmtId="164" fontId="64" fillId="42" borderId="0" xfId="0" applyNumberFormat="1" applyFont="1" applyFill="1" applyAlignment="1">
      <alignment vertical="center"/>
    </xf>
    <xf numFmtId="164" fontId="64" fillId="42" borderId="5" xfId="0" applyNumberFormat="1" applyFont="1" applyFill="1" applyBorder="1" applyAlignment="1">
      <alignment vertical="center"/>
    </xf>
    <xf numFmtId="164" fontId="64" fillId="46" borderId="68" xfId="0" applyNumberFormat="1" applyFont="1" applyFill="1" applyBorder="1" applyAlignment="1">
      <alignment vertical="center"/>
    </xf>
    <xf numFmtId="244" fontId="0" fillId="46" borderId="68" xfId="0" applyNumberFormat="1" applyFill="1" applyBorder="1" applyAlignment="1">
      <alignment horizontal="right" vertical="center"/>
    </xf>
    <xf numFmtId="43" fontId="89" fillId="0" borderId="0" xfId="0" applyNumberFormat="1" applyFont="1"/>
    <xf numFmtId="2" fontId="89" fillId="0" borderId="0" xfId="0" applyNumberFormat="1" applyFont="1"/>
    <xf numFmtId="0" fontId="83" fillId="0" borderId="0" xfId="0" applyFont="1" applyAlignment="1">
      <alignment horizontal="center"/>
    </xf>
    <xf numFmtId="0" fontId="89" fillId="0" borderId="0" xfId="0" applyFont="1" applyAlignment="1">
      <alignment horizontal="right"/>
    </xf>
    <xf numFmtId="0" fontId="103" fillId="0" borderId="0" xfId="0" applyFont="1"/>
    <xf numFmtId="0" fontId="104" fillId="0" borderId="0" xfId="0" applyFont="1"/>
    <xf numFmtId="0" fontId="85" fillId="0" borderId="0" xfId="0" applyFont="1"/>
    <xf numFmtId="0" fontId="85" fillId="0" borderId="5" xfId="0" applyFont="1" applyBorder="1"/>
    <xf numFmtId="0" fontId="85" fillId="0" borderId="5" xfId="0" applyFont="1" applyBorder="1" applyAlignment="1">
      <alignment horizontal="center"/>
    </xf>
    <xf numFmtId="267" fontId="85" fillId="0" borderId="5" xfId="0" applyNumberFormat="1" applyFont="1" applyBorder="1" applyAlignment="1">
      <alignment horizontal="center"/>
    </xf>
    <xf numFmtId="268" fontId="85" fillId="0" borderId="5" xfId="0" applyNumberFormat="1" applyFont="1" applyBorder="1" applyAlignment="1">
      <alignment horizontal="center"/>
    </xf>
    <xf numFmtId="268" fontId="85" fillId="0" borderId="0" xfId="0" applyNumberFormat="1" applyFont="1" applyAlignment="1">
      <alignment horizontal="center"/>
    </xf>
    <xf numFmtId="0" fontId="82" fillId="0" borderId="72" xfId="0" applyFont="1" applyBorder="1" applyAlignment="1">
      <alignment horizontal="centerContinuous"/>
    </xf>
    <xf numFmtId="0" fontId="82" fillId="0" borderId="73" xfId="0" applyFont="1" applyBorder="1" applyAlignment="1">
      <alignment horizontal="centerContinuous"/>
    </xf>
    <xf numFmtId="0" fontId="85" fillId="0" borderId="71" xfId="0" applyFont="1" applyBorder="1" applyAlignment="1">
      <alignment horizontal="centerContinuous"/>
    </xf>
    <xf numFmtId="0" fontId="85" fillId="0" borderId="72" xfId="0" applyFont="1" applyBorder="1" applyAlignment="1">
      <alignment horizontal="centerContinuous"/>
    </xf>
    <xf numFmtId="260" fontId="82" fillId="0" borderId="67" xfId="0" applyNumberFormat="1" applyFont="1" applyBorder="1"/>
    <xf numFmtId="252" fontId="82" fillId="0" borderId="67" xfId="0" applyNumberFormat="1" applyFont="1" applyBorder="1"/>
    <xf numFmtId="244" fontId="82" fillId="0" borderId="0" xfId="0" applyNumberFormat="1" applyFont="1"/>
    <xf numFmtId="257" fontId="82" fillId="0" borderId="0" xfId="0" applyNumberFormat="1" applyFont="1"/>
    <xf numFmtId="257" fontId="85" fillId="0" borderId="69" xfId="0" applyNumberFormat="1" applyFont="1" applyBorder="1"/>
    <xf numFmtId="0" fontId="85" fillId="0" borderId="69" xfId="0" applyFont="1" applyBorder="1"/>
    <xf numFmtId="256" fontId="82" fillId="0" borderId="0" xfId="0" applyNumberFormat="1" applyFont="1" applyAlignment="1">
      <alignment horizontal="right"/>
    </xf>
    <xf numFmtId="0" fontId="82" fillId="0" borderId="69" xfId="0" applyFont="1" applyBorder="1"/>
    <xf numFmtId="253" fontId="82" fillId="0" borderId="0" xfId="0" applyNumberFormat="1" applyFont="1" applyAlignment="1">
      <alignment horizontal="right"/>
    </xf>
    <xf numFmtId="253" fontId="82" fillId="0" borderId="0" xfId="0" applyNumberFormat="1" applyFont="1"/>
    <xf numFmtId="260" fontId="85" fillId="0" borderId="69" xfId="0" applyNumberFormat="1" applyFont="1" applyBorder="1"/>
    <xf numFmtId="0" fontId="0" fillId="0" borderId="67" xfId="0" applyBorder="1" applyAlignment="1">
      <alignment horizontal="left"/>
    </xf>
    <xf numFmtId="0" fontId="0" fillId="0" borderId="67" xfId="0" applyBorder="1" applyAlignment="1">
      <alignment horizontal="left" wrapText="1"/>
    </xf>
    <xf numFmtId="0" fontId="0" fillId="0" borderId="67" xfId="0" quotePrefix="1" applyBorder="1" applyAlignment="1">
      <alignment horizontal="left" wrapText="1"/>
    </xf>
    <xf numFmtId="0" fontId="0" fillId="0" borderId="67" xfId="0" applyBorder="1" applyAlignment="1">
      <alignment horizontal="left" vertical="top"/>
    </xf>
    <xf numFmtId="262" fontId="64" fillId="0" borderId="0" xfId="209" applyNumberFormat="1" applyFont="1" applyFill="1"/>
    <xf numFmtId="0" fontId="82" fillId="43" borderId="70" xfId="0" applyFont="1" applyFill="1" applyBorder="1" applyAlignment="1">
      <alignment horizontal="center" vertical="center"/>
    </xf>
    <xf numFmtId="43" fontId="82" fillId="0" borderId="0" xfId="209" applyFont="1" applyFill="1"/>
    <xf numFmtId="43" fontId="82" fillId="0" borderId="0" xfId="0" applyNumberFormat="1" applyFont="1"/>
    <xf numFmtId="0" fontId="63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223" fontId="64" fillId="0" borderId="1" xfId="0" applyNumberFormat="1" applyFont="1" applyFill="1" applyBorder="1"/>
    <xf numFmtId="3" fontId="82" fillId="0" borderId="0" xfId="0" applyNumberFormat="1" applyFont="1"/>
    <xf numFmtId="0" fontId="82" fillId="0" borderId="0" xfId="0" applyFont="1" applyFill="1"/>
    <xf numFmtId="241" fontId="82" fillId="0" borderId="0" xfId="0" applyNumberFormat="1" applyFont="1" applyFill="1"/>
    <xf numFmtId="255" fontId="1" fillId="0" borderId="0" xfId="209" applyNumberFormat="1" applyFont="1" applyFill="1"/>
    <xf numFmtId="43" fontId="1" fillId="0" borderId="0" xfId="209" applyNumberFormat="1" applyFont="1"/>
    <xf numFmtId="43" fontId="0" fillId="0" borderId="0" xfId="209" applyNumberFormat="1" applyFont="1"/>
    <xf numFmtId="43" fontId="0" fillId="0" borderId="0" xfId="209" applyNumberFormat="1" applyFont="1" applyFill="1"/>
    <xf numFmtId="43" fontId="82" fillId="0" borderId="0" xfId="209" applyNumberFormat="1" applyFont="1" applyFill="1"/>
    <xf numFmtId="43" fontId="63" fillId="0" borderId="0" xfId="209" applyNumberFormat="1" applyFont="1"/>
    <xf numFmtId="43" fontId="1" fillId="0" borderId="0" xfId="209" applyNumberFormat="1" applyFont="1" applyFill="1"/>
    <xf numFmtId="43" fontId="82" fillId="0" borderId="0" xfId="209" applyNumberFormat="1" applyFont="1"/>
    <xf numFmtId="39" fontId="2" fillId="0" borderId="0" xfId="209" applyNumberFormat="1" applyFont="1"/>
    <xf numFmtId="39" fontId="0" fillId="0" borderId="0" xfId="209" applyNumberFormat="1" applyFont="1"/>
    <xf numFmtId="2" fontId="0" fillId="0" borderId="0" xfId="209" applyNumberFormat="1" applyFont="1"/>
    <xf numFmtId="2" fontId="1" fillId="0" borderId="0" xfId="209" applyNumberFormat="1" applyFont="1"/>
    <xf numFmtId="43" fontId="85" fillId="0" borderId="0" xfId="209" applyNumberFormat="1" applyFont="1"/>
    <xf numFmtId="4" fontId="1" fillId="0" borderId="0" xfId="0" applyNumberFormat="1" applyFont="1"/>
    <xf numFmtId="39" fontId="1" fillId="0" borderId="29" xfId="0" applyNumberFormat="1" applyFont="1" applyBorder="1"/>
    <xf numFmtId="39" fontId="0" fillId="0" borderId="29" xfId="0" applyNumberFormat="1" applyBorder="1"/>
    <xf numFmtId="4" fontId="60" fillId="0" borderId="0" xfId="0" applyNumberFormat="1" applyFont="1"/>
    <xf numFmtId="225" fontId="0" fillId="0" borderId="0" xfId="0" applyNumberFormat="1"/>
    <xf numFmtId="0" fontId="63" fillId="0" borderId="1" xfId="0" applyFont="1" applyFill="1" applyBorder="1" applyAlignment="1">
      <alignment horizontal="left"/>
    </xf>
    <xf numFmtId="164" fontId="0" fillId="0" borderId="1" xfId="0" applyNumberFormat="1" applyFill="1" applyBorder="1"/>
    <xf numFmtId="164" fontId="2" fillId="0" borderId="1" xfId="0" applyNumberFormat="1" applyFont="1" applyFill="1" applyBorder="1"/>
    <xf numFmtId="39" fontId="82" fillId="0" borderId="0" xfId="0" applyNumberFormat="1" applyFont="1"/>
    <xf numFmtId="194" fontId="2" fillId="0" borderId="0" xfId="210" applyNumberFormat="1" applyFont="1"/>
    <xf numFmtId="234" fontId="0" fillId="0" borderId="66" xfId="0" applyNumberFormat="1" applyBorder="1"/>
    <xf numFmtId="194" fontId="0" fillId="0" borderId="66" xfId="210" applyNumberFormat="1" applyFont="1" applyBorder="1"/>
    <xf numFmtId="194" fontId="2" fillId="0" borderId="66" xfId="210" applyNumberFormat="1" applyFont="1" applyBorder="1"/>
    <xf numFmtId="37" fontId="63" fillId="0" borderId="1" xfId="0" applyNumberFormat="1" applyFont="1" applyFill="1" applyBorder="1"/>
    <xf numFmtId="37" fontId="0" fillId="0" borderId="0" xfId="0" applyNumberFormat="1" applyFill="1"/>
    <xf numFmtId="39" fontId="2" fillId="0" borderId="31" xfId="0" applyNumberFormat="1" applyFont="1" applyBorder="1"/>
    <xf numFmtId="39" fontId="2" fillId="0" borderId="29" xfId="0" applyNumberFormat="1" applyFont="1" applyBorder="1"/>
    <xf numFmtId="0" fontId="0" fillId="0" borderId="5" xfId="0" applyFill="1" applyBorder="1"/>
    <xf numFmtId="37" fontId="0" fillId="0" borderId="5" xfId="0" applyNumberFormat="1" applyFill="1" applyBorder="1"/>
    <xf numFmtId="0" fontId="63" fillId="0" borderId="5" xfId="0" applyFont="1" applyFill="1" applyBorder="1"/>
    <xf numFmtId="37" fontId="63" fillId="0" borderId="5" xfId="0" applyNumberFormat="1" applyFont="1" applyFill="1" applyBorder="1"/>
    <xf numFmtId="39" fontId="63" fillId="0" borderId="0" xfId="209" applyNumberFormat="1" applyFont="1" applyFill="1"/>
    <xf numFmtId="43" fontId="0" fillId="0" borderId="66" xfId="0" applyNumberFormat="1" applyBorder="1"/>
    <xf numFmtId="39" fontId="0" fillId="0" borderId="66" xfId="0" applyNumberFormat="1" applyBorder="1"/>
    <xf numFmtId="194" fontId="1" fillId="0" borderId="0" xfId="210" applyNumberFormat="1" applyFont="1"/>
    <xf numFmtId="0" fontId="63" fillId="0" borderId="0" xfId="0" applyFont="1" applyFill="1"/>
    <xf numFmtId="43" fontId="1" fillId="0" borderId="5" xfId="209" applyNumberFormat="1" applyFont="1" applyFill="1" applyBorder="1"/>
    <xf numFmtId="43" fontId="0" fillId="0" borderId="5" xfId="209" applyNumberFormat="1" applyFont="1" applyBorder="1"/>
    <xf numFmtId="2" fontId="63" fillId="0" borderId="0" xfId="0" applyNumberFormat="1" applyFont="1"/>
    <xf numFmtId="2" fontId="63" fillId="0" borderId="0" xfId="209" applyNumberFormat="1" applyFont="1"/>
    <xf numFmtId="37" fontId="63" fillId="0" borderId="1" xfId="0" applyNumberFormat="1" applyFont="1" applyFill="1" applyBorder="1" applyAlignment="1">
      <alignment horizontal="left"/>
    </xf>
    <xf numFmtId="200" fontId="1" fillId="0" borderId="0" xfId="0" applyNumberFormat="1" applyFont="1"/>
    <xf numFmtId="9" fontId="1" fillId="0" borderId="1" xfId="0" applyNumberFormat="1" applyFont="1" applyFill="1" applyBorder="1"/>
    <xf numFmtId="39" fontId="60" fillId="0" borderId="32" xfId="0" applyNumberFormat="1" applyFont="1" applyBorder="1"/>
    <xf numFmtId="39" fontId="63" fillId="0" borderId="29" xfId="0" applyNumberFormat="1" applyFont="1" applyBorder="1"/>
    <xf numFmtId="194" fontId="82" fillId="0" borderId="0" xfId="0" applyNumberFormat="1" applyFont="1"/>
    <xf numFmtId="7" fontId="2" fillId="37" borderId="26" xfId="0" applyNumberFormat="1" applyFont="1" applyFill="1" applyBorder="1"/>
    <xf numFmtId="275" fontId="0" fillId="37" borderId="0" xfId="0" applyNumberFormat="1" applyFill="1"/>
    <xf numFmtId="14" fontId="82" fillId="0" borderId="0" xfId="0" applyNumberFormat="1" applyFont="1" applyAlignment="1">
      <alignment horizontal="right"/>
    </xf>
    <xf numFmtId="14" fontId="82" fillId="0" borderId="0" xfId="213" applyNumberFormat="1" applyFont="1" applyAlignment="1">
      <alignment horizontal="right"/>
    </xf>
    <xf numFmtId="234" fontId="1" fillId="0" borderId="0" xfId="0" applyNumberFormat="1" applyFont="1" applyFill="1"/>
    <xf numFmtId="224" fontId="0" fillId="0" borderId="0" xfId="0" applyNumberFormat="1" applyFill="1"/>
    <xf numFmtId="243" fontId="0" fillId="0" borderId="0" xfId="0" applyNumberFormat="1" applyFill="1"/>
    <xf numFmtId="244" fontId="1" fillId="0" borderId="0" xfId="0" applyNumberFormat="1" applyFont="1" applyFill="1"/>
    <xf numFmtId="224" fontId="2" fillId="0" borderId="0" xfId="0" applyNumberFormat="1" applyFont="1" applyFill="1"/>
    <xf numFmtId="224" fontId="63" fillId="0" borderId="0" xfId="0" applyNumberFormat="1" applyFont="1" applyFill="1"/>
    <xf numFmtId="0" fontId="64" fillId="0" borderId="0" xfId="0" applyFont="1" applyFill="1" applyAlignment="1">
      <alignment horizontal="left"/>
    </xf>
    <xf numFmtId="234" fontId="64" fillId="0" borderId="0" xfId="0" applyNumberFormat="1" applyFont="1" applyFill="1"/>
    <xf numFmtId="245" fontId="64" fillId="0" borderId="0" xfId="0" applyNumberFormat="1" applyFont="1" applyFill="1"/>
    <xf numFmtId="234" fontId="0" fillId="0" borderId="0" xfId="0" applyNumberFormat="1" applyFill="1"/>
    <xf numFmtId="244" fontId="64" fillId="0" borderId="0" xfId="0" applyNumberFormat="1" applyFont="1" applyFill="1"/>
    <xf numFmtId="164" fontId="0" fillId="0" borderId="0" xfId="0" quotePrefix="1" applyNumberFormat="1" applyFill="1"/>
    <xf numFmtId="0" fontId="64" fillId="0" borderId="0" xfId="0" applyFont="1" applyFill="1"/>
    <xf numFmtId="14" fontId="1" fillId="0" borderId="0" xfId="0" applyNumberFormat="1" applyFont="1" applyFill="1" applyAlignment="1">
      <alignment horizontal="right"/>
    </xf>
    <xf numFmtId="0" fontId="0" fillId="0" borderId="5" xfId="0" applyFont="1" applyFill="1" applyBorder="1"/>
    <xf numFmtId="0" fontId="63" fillId="0" borderId="19" xfId="0" applyFont="1" applyFill="1" applyBorder="1"/>
    <xf numFmtId="0" fontId="0" fillId="0" borderId="19" xfId="0" applyFill="1" applyBorder="1"/>
    <xf numFmtId="0" fontId="2" fillId="0" borderId="0" xfId="0" applyFont="1" applyFill="1"/>
    <xf numFmtId="0" fontId="106" fillId="0" borderId="33" xfId="0" applyFont="1" applyBorder="1" applyAlignment="1">
      <alignment horizontal="left" indent="2"/>
    </xf>
    <xf numFmtId="0" fontId="82" fillId="0" borderId="5" xfId="0" applyFont="1" applyBorder="1"/>
    <xf numFmtId="0" fontId="82" fillId="42" borderId="0" xfId="0" applyFont="1" applyFill="1" applyAlignment="1">
      <alignment vertical="center"/>
    </xf>
    <xf numFmtId="0" fontId="82" fillId="42" borderId="5" xfId="0" applyFont="1" applyFill="1" applyBorder="1" applyAlignment="1">
      <alignment vertical="center"/>
    </xf>
    <xf numFmtId="0" fontId="82" fillId="46" borderId="68" xfId="0" applyFont="1" applyFill="1" applyBorder="1" applyAlignment="1">
      <alignment vertical="center"/>
    </xf>
    <xf numFmtId="0" fontId="87" fillId="0" borderId="0" xfId="0" applyFont="1" applyAlignment="1">
      <alignment horizontal="center"/>
    </xf>
    <xf numFmtId="7" fontId="87" fillId="0" borderId="0" xfId="0" applyNumberFormat="1" applyFont="1"/>
    <xf numFmtId="275" fontId="2" fillId="0" borderId="0" xfId="0" applyNumberFormat="1" applyFont="1"/>
    <xf numFmtId="275" fontId="87" fillId="0" borderId="51" xfId="0" applyNumberFormat="1" applyFont="1" applyBorder="1"/>
    <xf numFmtId="275" fontId="0" fillId="0" borderId="0" xfId="0" applyNumberFormat="1"/>
    <xf numFmtId="275" fontId="0" fillId="0" borderId="51" xfId="0" applyNumberFormat="1" applyBorder="1"/>
    <xf numFmtId="275" fontId="2" fillId="0" borderId="51" xfId="0" applyNumberFormat="1" applyFont="1" applyBorder="1"/>
    <xf numFmtId="275" fontId="87" fillId="0" borderId="0" xfId="0" applyNumberFormat="1" applyFont="1"/>
    <xf numFmtId="275" fontId="63" fillId="0" borderId="0" xfId="0" applyNumberFormat="1" applyFont="1"/>
    <xf numFmtId="275" fontId="60" fillId="0" borderId="52" xfId="0" applyNumberFormat="1" applyFont="1" applyBorder="1"/>
    <xf numFmtId="275" fontId="60" fillId="0" borderId="0" xfId="0" applyNumberFormat="1" applyFont="1"/>
    <xf numFmtId="194" fontId="2" fillId="0" borderId="51" xfId="210" applyNumberFormat="1" applyFont="1" applyBorder="1"/>
    <xf numFmtId="10" fontId="87" fillId="0" borderId="30" xfId="210" applyNumberFormat="1" applyFont="1" applyBorder="1"/>
    <xf numFmtId="201" fontId="1" fillId="0" borderId="0" xfId="0" applyNumberFormat="1" applyFont="1" applyAlignment="1">
      <alignment horizontal="right"/>
    </xf>
    <xf numFmtId="232" fontId="2" fillId="0" borderId="1" xfId="0" applyNumberFormat="1" applyFont="1" applyBorder="1"/>
    <xf numFmtId="232" fontId="2" fillId="0" borderId="55" xfId="0" applyNumberFormat="1" applyFont="1" applyBorder="1"/>
    <xf numFmtId="0" fontId="0" fillId="0" borderId="59" xfId="0" applyFill="1" applyBorder="1"/>
    <xf numFmtId="0" fontId="0" fillId="0" borderId="30" xfId="0" applyFill="1" applyBorder="1"/>
    <xf numFmtId="232" fontId="2" fillId="0" borderId="0" xfId="0" applyNumberFormat="1" applyFont="1" applyFill="1"/>
    <xf numFmtId="232" fontId="2" fillId="0" borderId="60" xfId="0" applyNumberFormat="1" applyFont="1" applyFill="1" applyBorder="1"/>
    <xf numFmtId="0" fontId="0" fillId="0" borderId="59" xfId="0" quotePrefix="1" applyFill="1" applyBorder="1"/>
    <xf numFmtId="39" fontId="0" fillId="0" borderId="0" xfId="0" applyNumberFormat="1" applyFill="1"/>
    <xf numFmtId="39" fontId="0" fillId="0" borderId="60" xfId="0" applyNumberFormat="1" applyFill="1" applyBorder="1"/>
    <xf numFmtId="0" fontId="0" fillId="0" borderId="61" xfId="0" applyFill="1" applyBorder="1"/>
    <xf numFmtId="39" fontId="0" fillId="0" borderId="1" xfId="0" applyNumberFormat="1" applyFill="1" applyBorder="1"/>
    <xf numFmtId="39" fontId="2" fillId="0" borderId="1" xfId="0" applyNumberFormat="1" applyFont="1" applyFill="1" applyBorder="1"/>
    <xf numFmtId="39" fontId="0" fillId="0" borderId="55" xfId="0" applyNumberFormat="1" applyFill="1" applyBorder="1"/>
    <xf numFmtId="0" fontId="89" fillId="0" borderId="0" xfId="0" applyFont="1" applyFill="1"/>
    <xf numFmtId="0" fontId="89" fillId="0" borderId="74" xfId="0" applyFont="1" applyBorder="1"/>
    <xf numFmtId="0" fontId="89" fillId="0" borderId="0" xfId="0" applyFont="1" applyBorder="1"/>
    <xf numFmtId="0" fontId="63" fillId="0" borderId="0" xfId="0" applyFont="1" applyBorder="1"/>
    <xf numFmtId="0" fontId="0" fillId="0" borderId="0" xfId="0" applyBorder="1"/>
    <xf numFmtId="0" fontId="63" fillId="0" borderId="74" xfId="0" applyFont="1" applyBorder="1"/>
    <xf numFmtId="0" fontId="0" fillId="0" borderId="74" xfId="0" applyBorder="1"/>
    <xf numFmtId="0" fontId="63" fillId="0" borderId="75" xfId="0" applyFont="1" applyBorder="1"/>
    <xf numFmtId="0" fontId="89" fillId="0" borderId="0" xfId="0" applyFont="1" applyFill="1" applyBorder="1"/>
    <xf numFmtId="0" fontId="0" fillId="0" borderId="0" xfId="0" applyFill="1" applyBorder="1"/>
    <xf numFmtId="259" fontId="63" fillId="0" borderId="0" xfId="0" applyNumberFormat="1" applyFont="1" applyFill="1"/>
    <xf numFmtId="0" fontId="64" fillId="0" borderId="0" xfId="0" applyFont="1" applyFill="1" applyBorder="1"/>
    <xf numFmtId="0" fontId="2" fillId="0" borderId="0" xfId="0" applyFont="1" applyFill="1" applyBorder="1"/>
    <xf numFmtId="0" fontId="63" fillId="0" borderId="0" xfId="0" applyFont="1" applyFill="1" applyBorder="1"/>
    <xf numFmtId="0" fontId="60" fillId="0" borderId="0" xfId="0" applyFont="1" applyFill="1" applyBorder="1"/>
    <xf numFmtId="260" fontId="82" fillId="0" borderId="0" xfId="0" applyNumberFormat="1" applyFont="1"/>
    <xf numFmtId="0" fontId="97" fillId="0" borderId="0" xfId="0" applyFont="1" applyBorder="1" applyAlignment="1">
      <alignment horizontal="centerContinuous"/>
    </xf>
    <xf numFmtId="0" fontId="85" fillId="0" borderId="0" xfId="0" applyFont="1" applyBorder="1"/>
    <xf numFmtId="260" fontId="0" fillId="0" borderId="0" xfId="0" applyNumberFormat="1" applyBorder="1" applyAlignment="1">
      <alignment horizontal="right"/>
    </xf>
    <xf numFmtId="244" fontId="0" fillId="0" borderId="0" xfId="0" applyNumberFormat="1" applyBorder="1" applyAlignment="1">
      <alignment horizontal="right"/>
    </xf>
    <xf numFmtId="260" fontId="0" fillId="0" borderId="0" xfId="0" applyNumberFormat="1" applyBorder="1"/>
    <xf numFmtId="260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260" fontId="0" fillId="0" borderId="0" xfId="0" applyNumberFormat="1" applyBorder="1" applyAlignment="1">
      <alignment horizontal="right" vertical="center"/>
    </xf>
    <xf numFmtId="244" fontId="0" fillId="0" borderId="0" xfId="0" applyNumberFormat="1" applyBorder="1" applyAlignment="1">
      <alignment horizontal="right" vertical="center"/>
    </xf>
  </cellXfs>
  <cellStyles count="224">
    <cellStyle name="$" xfId="1" xr:uid="{00000000-0005-0000-0000-000000000000}"/>
    <cellStyle name="$m" xfId="2" xr:uid="{00000000-0005-0000-0000-000001000000}"/>
    <cellStyle name="$q" xfId="3" xr:uid="{00000000-0005-0000-0000-000002000000}"/>
    <cellStyle name="$q*" xfId="4" xr:uid="{00000000-0005-0000-0000-000003000000}"/>
    <cellStyle name="$qA" xfId="5" xr:uid="{00000000-0005-0000-0000-000004000000}"/>
    <cellStyle name="$qRange" xfId="6" xr:uid="{00000000-0005-0000-0000-000005000000}"/>
    <cellStyle name="%" xfId="7" xr:uid="{00000000-0005-0000-0000-000006000000}"/>
    <cellStyle name="******************************************" xfId="8" xr:uid="{00000000-0005-0000-0000-000007000000}"/>
    <cellStyle name="10Q" xfId="184" xr:uid="{00000000-0005-0000-0000-000008000000}"/>
    <cellStyle name="2 Decimal Places_MA Software Comps - List_AccretionDilution OTGS v16.xls Chart 1" xfId="9" xr:uid="{00000000-0005-0000-0000-000009000000}"/>
    <cellStyle name="20% - Accent1 2" xfId="10" xr:uid="{00000000-0005-0000-0000-00000A000000}"/>
    <cellStyle name="20% - Accent2 2" xfId="11" xr:uid="{00000000-0005-0000-0000-00000B000000}"/>
    <cellStyle name="20% - Accent3 2" xfId="12" xr:uid="{00000000-0005-0000-0000-00000C000000}"/>
    <cellStyle name="20% - Accent4 2" xfId="13" xr:uid="{00000000-0005-0000-0000-00000D000000}"/>
    <cellStyle name="20% - Accent5 2" xfId="14" xr:uid="{00000000-0005-0000-0000-00000E000000}"/>
    <cellStyle name="20% - Accent6 2" xfId="15" xr:uid="{00000000-0005-0000-0000-00000F000000}"/>
    <cellStyle name="40% - Accent1 2" xfId="16" xr:uid="{00000000-0005-0000-0000-000010000000}"/>
    <cellStyle name="40% - Accent2 2" xfId="17" xr:uid="{00000000-0005-0000-0000-000011000000}"/>
    <cellStyle name="40% - Accent3 2" xfId="18" xr:uid="{00000000-0005-0000-0000-000012000000}"/>
    <cellStyle name="40% - Accent4 2" xfId="19" xr:uid="{00000000-0005-0000-0000-000013000000}"/>
    <cellStyle name="40% - Accent5 2" xfId="20" xr:uid="{00000000-0005-0000-0000-000014000000}"/>
    <cellStyle name="40% - Accent6 2" xfId="21" xr:uid="{00000000-0005-0000-0000-000015000000}"/>
    <cellStyle name="60% - Accent1 2" xfId="22" xr:uid="{00000000-0005-0000-0000-000016000000}"/>
    <cellStyle name="60% - Accent2 2" xfId="23" xr:uid="{00000000-0005-0000-0000-000017000000}"/>
    <cellStyle name="60% - Accent3 2" xfId="24" xr:uid="{00000000-0005-0000-0000-000018000000}"/>
    <cellStyle name="60% - Accent4 2" xfId="25" xr:uid="{00000000-0005-0000-0000-000019000000}"/>
    <cellStyle name="60% - Accent5 2" xfId="26" xr:uid="{00000000-0005-0000-0000-00001A000000}"/>
    <cellStyle name="60% - Accent6 2" xfId="27" xr:uid="{00000000-0005-0000-0000-00001B000000}"/>
    <cellStyle name="Accent1 2" xfId="28" xr:uid="{00000000-0005-0000-0000-00001C000000}"/>
    <cellStyle name="Accent2 2" xfId="29" xr:uid="{00000000-0005-0000-0000-00001D000000}"/>
    <cellStyle name="Accent3 2" xfId="30" xr:uid="{00000000-0005-0000-0000-00001E000000}"/>
    <cellStyle name="Accent4 2" xfId="31" xr:uid="{00000000-0005-0000-0000-00001F000000}"/>
    <cellStyle name="Accent5 2" xfId="32" xr:uid="{00000000-0005-0000-0000-000020000000}"/>
    <cellStyle name="Accent6 2" xfId="33" xr:uid="{00000000-0005-0000-0000-000021000000}"/>
    <cellStyle name="AFE" xfId="34" xr:uid="{00000000-0005-0000-0000-000022000000}"/>
    <cellStyle name="Bad 2" xfId="35" xr:uid="{00000000-0005-0000-0000-000023000000}"/>
    <cellStyle name="Balance" xfId="36" xr:uid="{00000000-0005-0000-0000-000024000000}"/>
    <cellStyle name="BalanceSheet" xfId="37" xr:uid="{00000000-0005-0000-0000-000025000000}"/>
    <cellStyle name="Body_$Numeric" xfId="38" xr:uid="{00000000-0005-0000-0000-000026000000}"/>
    <cellStyle name="Bold Header" xfId="39" xr:uid="{00000000-0005-0000-0000-000027000000}"/>
    <cellStyle name="Calculation 2" xfId="40" xr:uid="{00000000-0005-0000-0000-000028000000}"/>
    <cellStyle name="Calculation 2 2" xfId="211" xr:uid="{50595138-6B11-4C7E-884E-C3F37DABBAF3}"/>
    <cellStyle name="CashFlow" xfId="41" xr:uid="{00000000-0005-0000-0000-000029000000}"/>
    <cellStyle name="ChartingText" xfId="185" xr:uid="{00000000-0005-0000-0000-00002A000000}"/>
    <cellStyle name="Check" xfId="42" xr:uid="{00000000-0005-0000-0000-00002B000000}"/>
    <cellStyle name="Check Cell 2" xfId="43" xr:uid="{00000000-0005-0000-0000-00002C000000}"/>
    <cellStyle name="CHPTop" xfId="186" xr:uid="{00000000-0005-0000-0000-00002D000000}"/>
    <cellStyle name="ColHeading" xfId="44" xr:uid="{00000000-0005-0000-0000-00002E000000}"/>
    <cellStyle name="colheadleft" xfId="45" xr:uid="{00000000-0005-0000-0000-00002F000000}"/>
    <cellStyle name="colheadright" xfId="46" xr:uid="{00000000-0005-0000-0000-000030000000}"/>
    <cellStyle name="ColumnHeaderNormal" xfId="187" xr:uid="{00000000-0005-0000-0000-000031000000}"/>
    <cellStyle name="Comma" xfId="209" builtinId="3"/>
    <cellStyle name="Comma 2" xfId="47" xr:uid="{00000000-0005-0000-0000-000032000000}"/>
    <cellStyle name="Comma 3" xfId="223" xr:uid="{7B0065A1-2E4D-48C4-AB93-7417A2232216}"/>
    <cellStyle name="Comma0" xfId="48" xr:uid="{00000000-0005-0000-0000-000033000000}"/>
    <cellStyle name="Comma2" xfId="49" xr:uid="{00000000-0005-0000-0000-000034000000}"/>
    <cellStyle name="Company" xfId="50" xr:uid="{00000000-0005-0000-0000-000035000000}"/>
    <cellStyle name="CurRatio" xfId="51" xr:uid="{00000000-0005-0000-0000-000036000000}"/>
    <cellStyle name="Currency--" xfId="188" xr:uid="{00000000-0005-0000-0000-000037000000}"/>
    <cellStyle name="Currency [1]" xfId="52" xr:uid="{00000000-0005-0000-0000-000038000000}"/>
    <cellStyle name="Currency [2]" xfId="53" xr:uid="{00000000-0005-0000-0000-000039000000}"/>
    <cellStyle name="Currency0" xfId="54" xr:uid="{00000000-0005-0000-0000-00003A000000}"/>
    <cellStyle name="Currency2" xfId="55" xr:uid="{00000000-0005-0000-0000-00003B000000}"/>
    <cellStyle name="d_yield" xfId="56" xr:uid="{00000000-0005-0000-0000-00003C000000}"/>
    <cellStyle name="d_yield_CW's MAKER MODEL" xfId="57" xr:uid="{00000000-0005-0000-0000-00003D000000}"/>
    <cellStyle name="d_yield_valuation" xfId="58" xr:uid="{00000000-0005-0000-0000-00003E000000}"/>
    <cellStyle name="Date [d-mmm-yy]" xfId="59" xr:uid="{00000000-0005-0000-0000-00003F000000}"/>
    <cellStyle name="Date [mm-dd-yy]" xfId="189" xr:uid="{00000000-0005-0000-0000-000040000000}"/>
    <cellStyle name="Date [mm-dd-yyyy]" xfId="190" xr:uid="{00000000-0005-0000-0000-000041000000}"/>
    <cellStyle name="Date [mm-d-yyyy]" xfId="191" xr:uid="{00000000-0005-0000-0000-000042000000}"/>
    <cellStyle name="Date [mmm-d-yyyy]" xfId="60" xr:uid="{00000000-0005-0000-0000-000043000000}"/>
    <cellStyle name="Date [mmm-yyyy]" xfId="61" xr:uid="{00000000-0005-0000-0000-000044000000}"/>
    <cellStyle name="Dates" xfId="62" xr:uid="{00000000-0005-0000-0000-000045000000}"/>
    <cellStyle name="DateYear" xfId="63" xr:uid="{00000000-0005-0000-0000-000046000000}"/>
    <cellStyle name="Dezimal_Capital expenditure planning FY 2000" xfId="64" xr:uid="{00000000-0005-0000-0000-000047000000}"/>
    <cellStyle name="Dollar" xfId="65" xr:uid="{00000000-0005-0000-0000-000048000000}"/>
    <cellStyle name="Dollars" xfId="66" xr:uid="{00000000-0005-0000-0000-000049000000}"/>
    <cellStyle name="DollarWhole" xfId="67" xr:uid="{00000000-0005-0000-0000-00004A000000}"/>
    <cellStyle name="eps" xfId="68" xr:uid="{00000000-0005-0000-0000-00004B000000}"/>
    <cellStyle name="eps$" xfId="69" xr:uid="{00000000-0005-0000-0000-00004C000000}"/>
    <cellStyle name="eps$A" xfId="70" xr:uid="{00000000-0005-0000-0000-00004D000000}"/>
    <cellStyle name="eps$E" xfId="71" xr:uid="{00000000-0005-0000-0000-00004E000000}"/>
    <cellStyle name="epsA" xfId="72" xr:uid="{00000000-0005-0000-0000-00004F000000}"/>
    <cellStyle name="EPSActual" xfId="73" xr:uid="{00000000-0005-0000-0000-000050000000}"/>
    <cellStyle name="epsE" xfId="74" xr:uid="{00000000-0005-0000-0000-000051000000}"/>
    <cellStyle name="EPSEstimate" xfId="75" xr:uid="{00000000-0005-0000-0000-000052000000}"/>
    <cellStyle name="Euro" xfId="76" xr:uid="{00000000-0005-0000-0000-000053000000}"/>
    <cellStyle name="Explanatory Text 2" xfId="77" xr:uid="{00000000-0005-0000-0000-000054000000}"/>
    <cellStyle name="fy_eps$" xfId="78" xr:uid="{00000000-0005-0000-0000-000055000000}"/>
    <cellStyle name="g_rate" xfId="79" xr:uid="{00000000-0005-0000-0000-000056000000}"/>
    <cellStyle name="g_rate_CW's MAKER MODEL" xfId="80" xr:uid="{00000000-0005-0000-0000-000057000000}"/>
    <cellStyle name="g_rate_valuation" xfId="81" xr:uid="{00000000-0005-0000-0000-000058000000}"/>
    <cellStyle name="General" xfId="82" xr:uid="{00000000-0005-0000-0000-000059000000}"/>
    <cellStyle name="Good 2" xfId="83" xr:uid="{00000000-0005-0000-0000-00005A000000}"/>
    <cellStyle name="GrowthRate" xfId="84" xr:uid="{00000000-0005-0000-0000-00005B000000}"/>
    <cellStyle name="GrowthSeq" xfId="85" xr:uid="{00000000-0005-0000-0000-00005C000000}"/>
    <cellStyle name="Hard Number Input" xfId="86" xr:uid="{00000000-0005-0000-0000-00005D000000}"/>
    <cellStyle name="Hard Number Input 2" xfId="214" xr:uid="{514EEEF0-D0BF-4F0C-9A14-C2A593DB568B}"/>
    <cellStyle name="Heading 1 2" xfId="87" xr:uid="{00000000-0005-0000-0000-00005E000000}"/>
    <cellStyle name="Heading 2 2" xfId="88" xr:uid="{00000000-0005-0000-0000-00005F000000}"/>
    <cellStyle name="Heading 3 2" xfId="89" xr:uid="{00000000-0005-0000-0000-000060000000}"/>
    <cellStyle name="Heading 4 2" xfId="90" xr:uid="{00000000-0005-0000-0000-000061000000}"/>
    <cellStyle name="Historical Number" xfId="91" xr:uid="{00000000-0005-0000-0000-000062000000}"/>
    <cellStyle name="Hyperlink" xfId="221" builtinId="8"/>
    <cellStyle name="iemens" xfId="92" xr:uid="{00000000-0005-0000-0000-000064000000}"/>
    <cellStyle name="Income" xfId="93" xr:uid="{00000000-0005-0000-0000-000065000000}"/>
    <cellStyle name="IncomeStatement" xfId="94" xr:uid="{00000000-0005-0000-0000-000066000000}"/>
    <cellStyle name="Input 2" xfId="95" xr:uid="{00000000-0005-0000-0000-000067000000}"/>
    <cellStyle name="Input 2 2" xfId="212" xr:uid="{322E127A-20D6-4FE1-B1EF-F9CF20406CEA}"/>
    <cellStyle name="Input Fixed [0]" xfId="96" xr:uid="{00000000-0005-0000-0000-000068000000}"/>
    <cellStyle name="Integer" xfId="97" xr:uid="{00000000-0005-0000-0000-000069000000}"/>
    <cellStyle name="Inverse Header" xfId="98" xr:uid="{00000000-0005-0000-0000-00006A000000}"/>
    <cellStyle name="Invisible" xfId="192" xr:uid="{00000000-0005-0000-0000-00006B000000}"/>
    <cellStyle name="Item" xfId="99" xr:uid="{00000000-0005-0000-0000-00006C000000}"/>
    <cellStyle name="ItemTypeClass" xfId="100" xr:uid="{00000000-0005-0000-0000-00006D000000}"/>
    <cellStyle name="ItemTypeClass 2" xfId="215" xr:uid="{8B62E32C-3FAB-435E-A10E-A5753E437E6C}"/>
    <cellStyle name="Linked Cell 2" xfId="101" xr:uid="{00000000-0005-0000-0000-00006E000000}"/>
    <cellStyle name="LTGR" xfId="102" xr:uid="{00000000-0005-0000-0000-00006F000000}"/>
    <cellStyle name="m" xfId="103" xr:uid="{00000000-0005-0000-0000-000070000000}"/>
    <cellStyle name="m$" xfId="104" xr:uid="{00000000-0005-0000-0000-000071000000}"/>
    <cellStyle name="m/d/yy" xfId="193" xr:uid="{00000000-0005-0000-0000-000072000000}"/>
    <cellStyle name="m_CW's MAKER MODEL" xfId="105" xr:uid="{00000000-0005-0000-0000-000073000000}"/>
    <cellStyle name="m_valuation" xfId="106" xr:uid="{00000000-0005-0000-0000-000074000000}"/>
    <cellStyle name="Margin" xfId="107" xr:uid="{00000000-0005-0000-0000-000075000000}"/>
    <cellStyle name="Margins" xfId="108" xr:uid="{00000000-0005-0000-0000-000076000000}"/>
    <cellStyle name="mm" xfId="109" xr:uid="{00000000-0005-0000-0000-000077000000}"/>
    <cellStyle name="Multiple" xfId="110" xr:uid="{00000000-0005-0000-0000-000078000000}"/>
    <cellStyle name="MyStyle" xfId="194" xr:uid="{00000000-0005-0000-0000-000079000000}"/>
    <cellStyle name="NA is zero" xfId="111" xr:uid="{00000000-0005-0000-0000-00007A000000}"/>
    <cellStyle name="Neutral 2" xfId="112" xr:uid="{00000000-0005-0000-0000-00007B000000}"/>
    <cellStyle name="NewColumnHeaderNormal" xfId="195" xr:uid="{00000000-0005-0000-0000-00007C000000}"/>
    <cellStyle name="NewSectionHeaderNormal" xfId="196" xr:uid="{00000000-0005-0000-0000-00007D000000}"/>
    <cellStyle name="NewTitleNormal" xfId="197" xr:uid="{00000000-0005-0000-0000-00007E000000}"/>
    <cellStyle name="Normal" xfId="0" builtinId="0"/>
    <cellStyle name="Normal--" xfId="198" xr:uid="{00000000-0005-0000-0000-000080000000}"/>
    <cellStyle name="Normal [0]" xfId="113" xr:uid="{00000000-0005-0000-0000-000081000000}"/>
    <cellStyle name="Normal [1]" xfId="114" xr:uid="{00000000-0005-0000-0000-000082000000}"/>
    <cellStyle name="Normal [2]" xfId="115" xr:uid="{00000000-0005-0000-0000-000083000000}"/>
    <cellStyle name="Normal [3]" xfId="116" xr:uid="{00000000-0005-0000-0000-000084000000}"/>
    <cellStyle name="Normal 2" xfId="117" xr:uid="{00000000-0005-0000-0000-000085000000}"/>
    <cellStyle name="Normal 3" xfId="222" xr:uid="{F1415C52-C32D-4377-B631-2AA3A3635FC7}"/>
    <cellStyle name="Normal Bold" xfId="118" xr:uid="{00000000-0005-0000-0000-000086000000}"/>
    <cellStyle name="Normal Pct" xfId="119" xr:uid="{00000000-0005-0000-0000-000087000000}"/>
    <cellStyle name="Normal_DCF_Model" xfId="213" xr:uid="{8AA98706-06FD-438D-989F-6E6D74B1A7AE}"/>
    <cellStyle name="NormalX" xfId="120" xr:uid="{00000000-0005-0000-0000-000088000000}"/>
    <cellStyle name="Note 2" xfId="121" xr:uid="{00000000-0005-0000-0000-000089000000}"/>
    <cellStyle name="Note 2 2" xfId="216" xr:uid="{52FF10AF-44B0-4773-B726-AACEE47A114D}"/>
    <cellStyle name="NPPESalesPct" xfId="122" xr:uid="{00000000-0005-0000-0000-00008A000000}"/>
    <cellStyle name="Number" xfId="123" xr:uid="{00000000-0005-0000-0000-00008B000000}"/>
    <cellStyle name="NWI%S" xfId="124" xr:uid="{00000000-0005-0000-0000-00008C000000}"/>
    <cellStyle name="Output 2" xfId="125" xr:uid="{00000000-0005-0000-0000-00008D000000}"/>
    <cellStyle name="Output 2 2" xfId="217" xr:uid="{22FD41CE-96D3-4ED4-90C4-C57507BBD2E9}"/>
    <cellStyle name="P/E" xfId="126" xr:uid="{00000000-0005-0000-0000-00008E000000}"/>
    <cellStyle name="Palatino" xfId="127" xr:uid="{00000000-0005-0000-0000-00008F000000}"/>
    <cellStyle name="pc1" xfId="128" xr:uid="{00000000-0005-0000-0000-000090000000}"/>
    <cellStyle name="pe" xfId="129" xr:uid="{00000000-0005-0000-0000-000091000000}"/>
    <cellStyle name="PE/LTGR" xfId="130" xr:uid="{00000000-0005-0000-0000-000092000000}"/>
    <cellStyle name="PEG" xfId="131" xr:uid="{00000000-0005-0000-0000-000093000000}"/>
    <cellStyle name="Percent" xfId="210" builtinId="5"/>
    <cellStyle name="Percent [0]" xfId="132" xr:uid="{00000000-0005-0000-0000-000094000000}"/>
    <cellStyle name="Percent [1]" xfId="133" xr:uid="{00000000-0005-0000-0000-000095000000}"/>
    <cellStyle name="Percent [2]" xfId="134" xr:uid="{00000000-0005-0000-0000-000096000000}"/>
    <cellStyle name="PercentChange" xfId="135" xr:uid="{00000000-0005-0000-0000-000097000000}"/>
    <cellStyle name="PercentPresentation" xfId="136" xr:uid="{00000000-0005-0000-0000-000098000000}"/>
    <cellStyle name="PerShare" xfId="137" xr:uid="{00000000-0005-0000-0000-000099000000}"/>
    <cellStyle name="POPS" xfId="138" xr:uid="{00000000-0005-0000-0000-00009A000000}"/>
    <cellStyle name="Presentation" xfId="139" xr:uid="{00000000-0005-0000-0000-00009B000000}"/>
    <cellStyle name="PresentationZero" xfId="140" xr:uid="{00000000-0005-0000-0000-00009C000000}"/>
    <cellStyle name="price" xfId="141" xr:uid="{00000000-0005-0000-0000-00009D000000}"/>
    <cellStyle name="price 2" xfId="218" xr:uid="{80394ED1-0A24-4826-A7FC-D980FD84B1E8}"/>
    <cellStyle name="q" xfId="142" xr:uid="{00000000-0005-0000-0000-00009E000000}"/>
    <cellStyle name="q_CW's MAKER MODEL" xfId="143" xr:uid="{00000000-0005-0000-0000-00009F000000}"/>
    <cellStyle name="QEPS-h" xfId="144" xr:uid="{00000000-0005-0000-0000-0000A0000000}"/>
    <cellStyle name="QEPS-H1" xfId="145" xr:uid="{00000000-0005-0000-0000-0000A1000000}"/>
    <cellStyle name="qRange" xfId="146" xr:uid="{00000000-0005-0000-0000-0000A2000000}"/>
    <cellStyle name="range" xfId="147" xr:uid="{00000000-0005-0000-0000-0000A3000000}"/>
    <cellStyle name="RatioX" xfId="148" xr:uid="{00000000-0005-0000-0000-0000A4000000}"/>
    <cellStyle name="Red font" xfId="199" xr:uid="{00000000-0005-0000-0000-0000A5000000}"/>
    <cellStyle name="Report" xfId="149" xr:uid="{00000000-0005-0000-0000-0000A6000000}"/>
    <cellStyle name="Right" xfId="150" xr:uid="{00000000-0005-0000-0000-0000A7000000}"/>
    <cellStyle name="SectionHeaderNormal" xfId="200" xr:uid="{00000000-0005-0000-0000-0000A8000000}"/>
    <cellStyle name="SectionHeading" xfId="151" xr:uid="{00000000-0005-0000-0000-0000A9000000}"/>
    <cellStyle name="SectionHeading 2" xfId="219" xr:uid="{8DF5C508-7C72-4F0B-9275-94ECEBC5AFF2}"/>
    <cellStyle name="Shares" xfId="152" xr:uid="{00000000-0005-0000-0000-0000AA000000}"/>
    <cellStyle name="StockPrice" xfId="153" xr:uid="{00000000-0005-0000-0000-0000AB000000}"/>
    <cellStyle name="Style 1" xfId="154" xr:uid="{00000000-0005-0000-0000-0000AC000000}"/>
    <cellStyle name="Style 21" xfId="155" xr:uid="{00000000-0005-0000-0000-0000AD000000}"/>
    <cellStyle name="Style 22" xfId="156" xr:uid="{00000000-0005-0000-0000-0000AE000000}"/>
    <cellStyle name="Style 23" xfId="157" xr:uid="{00000000-0005-0000-0000-0000AF000000}"/>
    <cellStyle name="Style 24" xfId="158" xr:uid="{00000000-0005-0000-0000-0000B0000000}"/>
    <cellStyle name="Style 26" xfId="159" xr:uid="{00000000-0005-0000-0000-0000B1000000}"/>
    <cellStyle name="Style 27" xfId="160" xr:uid="{00000000-0005-0000-0000-0000B2000000}"/>
    <cellStyle name="Style 34" xfId="161" xr:uid="{00000000-0005-0000-0000-0000B3000000}"/>
    <cellStyle name="Style 37" xfId="162" xr:uid="{00000000-0005-0000-0000-0000B4000000}"/>
    <cellStyle name="Style 63" xfId="163" xr:uid="{00000000-0005-0000-0000-0000B5000000}"/>
    <cellStyle name="SubDollar" xfId="164" xr:uid="{00000000-0005-0000-0000-0000B6000000}"/>
    <cellStyle name="SubGrowth" xfId="165" xr:uid="{00000000-0005-0000-0000-0000B7000000}"/>
    <cellStyle name="SubGrowthRate" xfId="166" xr:uid="{00000000-0005-0000-0000-0000B8000000}"/>
    <cellStyle name="SubMargins" xfId="167" xr:uid="{00000000-0005-0000-0000-0000B9000000}"/>
    <cellStyle name="SubPenetration" xfId="168" xr:uid="{00000000-0005-0000-0000-0000BA000000}"/>
    <cellStyle name="Subscribers" xfId="169" xr:uid="{00000000-0005-0000-0000-0000BB000000}"/>
    <cellStyle name="SubScript" xfId="201" xr:uid="{00000000-0005-0000-0000-0000BC000000}"/>
    <cellStyle name="SubVariable" xfId="170" xr:uid="{00000000-0005-0000-0000-0000BD000000}"/>
    <cellStyle name="SuperScript" xfId="202" xr:uid="{00000000-0005-0000-0000-0000BE000000}"/>
    <cellStyle name="tcn" xfId="171" xr:uid="{00000000-0005-0000-0000-0000BF000000}"/>
    <cellStyle name="TextBold" xfId="203" xr:uid="{00000000-0005-0000-0000-0000C0000000}"/>
    <cellStyle name="TextItalic" xfId="204" xr:uid="{00000000-0005-0000-0000-0000C1000000}"/>
    <cellStyle name="TextNormal" xfId="205" xr:uid="{00000000-0005-0000-0000-0000C2000000}"/>
    <cellStyle name="Times" xfId="206" xr:uid="{00000000-0005-0000-0000-0000C3000000}"/>
    <cellStyle name="Times [1]" xfId="172" xr:uid="{00000000-0005-0000-0000-0000C4000000}"/>
    <cellStyle name="Times [2]" xfId="173" xr:uid="{00000000-0005-0000-0000-0000C5000000}"/>
    <cellStyle name="Title 2" xfId="174" xr:uid="{00000000-0005-0000-0000-0000C6000000}"/>
    <cellStyle name="title2" xfId="175" xr:uid="{00000000-0005-0000-0000-0000C7000000}"/>
    <cellStyle name="TitleII" xfId="176" xr:uid="{00000000-0005-0000-0000-0000C8000000}"/>
    <cellStyle name="TitleNormal" xfId="207" xr:uid="{00000000-0005-0000-0000-0000C9000000}"/>
    <cellStyle name="Titles" xfId="177" xr:uid="{00000000-0005-0000-0000-0000CA000000}"/>
    <cellStyle name="TitleSub" xfId="178" xr:uid="{00000000-0005-0000-0000-0000CB000000}"/>
    <cellStyle name="tn" xfId="179" xr:uid="{00000000-0005-0000-0000-0000CC000000}"/>
    <cellStyle name="Total 2" xfId="180" xr:uid="{00000000-0005-0000-0000-0000CD000000}"/>
    <cellStyle name="Total 2 2" xfId="220" xr:uid="{96C438D7-9DF8-4CFB-894C-EF03257A1970}"/>
    <cellStyle name="Warning Text 2" xfId="181" xr:uid="{00000000-0005-0000-0000-0000CE000000}"/>
    <cellStyle name="WholeNumber" xfId="182" xr:uid="{00000000-0005-0000-0000-0000CF000000}"/>
    <cellStyle name="Year&quot;E&quot;" xfId="183" xr:uid="{00000000-0005-0000-0000-0000D0000000}"/>
    <cellStyle name="Years" xfId="208" xr:uid="{00000000-0005-0000-0000-0000D1000000}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  <border>
        <left/>
        <right/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colors>
    <mruColors>
      <color rgb="FF0000FF"/>
      <color rgb="FF008000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</a:rPr>
              <a:t>DCF Equity Valuation Range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DCF!$B$128:$B$130</c:f>
              <c:strCache>
                <c:ptCount val="3"/>
                <c:pt idx="0">
                  <c:v>DCF Value at 2.0%-4.0% Perpetuity Range at 9.0% WACC</c:v>
                </c:pt>
                <c:pt idx="1">
                  <c:v>DCF Value at 10.5x-14.5x Exit EBITDA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DCF!$C$128:$C$130</c:f>
              <c:numCache>
                <c:formatCode>#,##0.00_);\(#,##0.00\)</c:formatCode>
                <c:ptCount val="3"/>
                <c:pt idx="0">
                  <c:v>60.382891174825581</c:v>
                </c:pt>
                <c:pt idx="1">
                  <c:v>72.266145498859444</c:v>
                </c:pt>
                <c:pt idx="2">
                  <c:v>71.55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0-4F2C-9064-0DD8CCFF1F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DCF!$B$128:$B$130</c:f>
              <c:strCache>
                <c:ptCount val="3"/>
                <c:pt idx="0">
                  <c:v>DCF Value at 2.0%-4.0% Perpetuity Range at 9.0% WACC</c:v>
                </c:pt>
                <c:pt idx="1">
                  <c:v>DCF Value at 10.5x-14.5x Exit EBITDA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DCF!$D$128:$D$130</c:f>
              <c:numCache>
                <c:formatCode>#,##0.00_);\(#,##0.00\)</c:formatCode>
                <c:ptCount val="3"/>
                <c:pt idx="0">
                  <c:v>23.468116611528366</c:v>
                </c:pt>
                <c:pt idx="1">
                  <c:v>25.442182463117248</c:v>
                </c:pt>
                <c:pt idx="2">
                  <c:v>45.91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0-4F2C-9064-0DD8CCFF1F62}"/>
            </c:ext>
          </c:extLst>
        </c:ser>
        <c:ser>
          <c:idx val="2"/>
          <c:order val="2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DCF!$B$128:$B$130</c:f>
              <c:strCache>
                <c:ptCount val="3"/>
                <c:pt idx="0">
                  <c:v>DCF Value at 2.0%-4.0% Perpetuity Range at 9.0% WACC</c:v>
                </c:pt>
                <c:pt idx="1">
                  <c:v>DCF Value at 10.5x-14.5x Exit EBITDA Range at 9.0% WACC</c:v>
                </c:pt>
                <c:pt idx="2">
                  <c:v>52 Week Market High/Low</c:v>
                </c:pt>
              </c:strCache>
            </c:strRef>
          </c:cat>
          <c:val>
            <c:numRef>
              <c:f>DCF!$E$128:$E$130</c:f>
              <c:numCache>
                <c:formatCode>#,##0.00_);\(#,##0.00\)</c:formatCode>
                <c:ptCount val="3"/>
                <c:pt idx="0">
                  <c:v>83.851007786353946</c:v>
                </c:pt>
                <c:pt idx="1">
                  <c:v>97.708327961976693</c:v>
                </c:pt>
                <c:pt idx="2">
                  <c:v>117.46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0-4F2C-9064-0DD8CCFF1F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76190544"/>
        <c:axId val="2076190064"/>
      </c:barChart>
      <c:catAx>
        <c:axId val="207619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90064"/>
        <c:crosses val="autoZero"/>
        <c:auto val="1"/>
        <c:lblAlgn val="ctr"/>
        <c:lblOffset val="100"/>
        <c:noMultiLvlLbl val="0"/>
      </c:catAx>
      <c:valAx>
        <c:axId val="2076190064"/>
        <c:scaling>
          <c:orientation val="minMax"/>
          <c:max val="130"/>
          <c:min val="45"/>
        </c:scaling>
        <c:delete val="0"/>
        <c:axPos val="l"/>
        <c:numFmt formatCode="#,##0.00_);\(#,##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9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</a:rPr>
              <a:t>LTM EBITDA Multiple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DCF!$G$128:$G$130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13.1x-17.1x Exit EBITDA Multiple at 9.0% WACC</c:v>
                </c:pt>
                <c:pt idx="2">
                  <c:v>LTM EBITDA Purchase Multiple at 7.0%-11.0% WACC at 12.5x Exit EBITDA</c:v>
                </c:pt>
              </c:strCache>
            </c:strRef>
          </c:cat>
          <c:val>
            <c:numRef>
              <c:f>DCF!$O$128:$O$130</c:f>
              <c:numCache>
                <c:formatCode>0.00\x</c:formatCode>
                <c:ptCount val="3"/>
                <c:pt idx="0">
                  <c:v>11.194375402670001</c:v>
                </c:pt>
                <c:pt idx="1">
                  <c:v>13.089933150028278</c:v>
                </c:pt>
                <c:pt idx="2">
                  <c:v>13.994673781263677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C-4B26-B063-EB3030EB1A0A}"/>
            </c:ext>
          </c:extLst>
        </c:ser>
        <c:ser>
          <c:idx val="1"/>
          <c:order val="1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DCF!$G$128:$G$130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13.1x-17.1x Exit EBITDA Multiple at 9.0% WACC</c:v>
                </c:pt>
                <c:pt idx="2">
                  <c:v>LTM EBITDA Purchase Multiple at 7.0%-11.0% WACC at 12.5x Exit EBITDA</c:v>
                </c:pt>
              </c:strCache>
            </c:strRef>
          </c:cat>
          <c:val>
            <c:numRef>
              <c:f>DCF!$P$128:$P$130</c:f>
              <c:numCache>
                <c:formatCode>0.00\x</c:formatCode>
                <c:ptCount val="3"/>
                <c:pt idx="0">
                  <c:v>3.7435174781136276</c:v>
                </c:pt>
                <c:pt idx="1">
                  <c:v>4.0584106645033717</c:v>
                </c:pt>
                <c:pt idx="2">
                  <c:v>2.3664389291514372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C-4B26-B063-EB3030EB1A0A}"/>
            </c:ext>
          </c:extLst>
        </c:ser>
        <c:ser>
          <c:idx val="2"/>
          <c:order val="2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DCF!$G$128:$G$130</c:f>
              <c:strCache>
                <c:ptCount val="3"/>
                <c:pt idx="0">
                  <c:v>LTM EBITDA Purchase Multiple at 2.0%-4.0% Perpetuity Growth at 9.0% WACC</c:v>
                </c:pt>
                <c:pt idx="1">
                  <c:v>LTM EBITDA Purchase Multiple at 13.1x-17.1x Exit EBITDA Multiple at 9.0% WACC</c:v>
                </c:pt>
                <c:pt idx="2">
                  <c:v>LTM EBITDA Purchase Multiple at 7.0%-11.0% WACC at 12.5x Exit EBITDA</c:v>
                </c:pt>
              </c:strCache>
            </c:strRef>
          </c:cat>
          <c:val>
            <c:numRef>
              <c:f>DCF!$Q$128:$Q$130</c:f>
              <c:numCache>
                <c:formatCode>0.00\x</c:formatCode>
                <c:ptCount val="3"/>
                <c:pt idx="0">
                  <c:v>14.937892880783629</c:v>
                </c:pt>
                <c:pt idx="1">
                  <c:v>17.14834381453165</c:v>
                </c:pt>
                <c:pt idx="2">
                  <c:v>16.361112710415114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CC-4B26-B063-EB3030EB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0463920"/>
        <c:axId val="1510464400"/>
      </c:barChart>
      <c:catAx>
        <c:axId val="151046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464400"/>
        <c:crosses val="autoZero"/>
        <c:auto val="1"/>
        <c:lblAlgn val="ctr"/>
        <c:lblOffset val="100"/>
        <c:noMultiLvlLbl val="0"/>
      </c:catAx>
      <c:valAx>
        <c:axId val="1510464400"/>
        <c:scaling>
          <c:orientation val="minMax"/>
          <c:max val="20"/>
          <c:min val="10"/>
        </c:scaling>
        <c:delete val="1"/>
        <c:axPos val="l"/>
        <c:numFmt formatCode="0.00\x" sourceLinked="1"/>
        <c:majorTickMark val="none"/>
        <c:minorTickMark val="none"/>
        <c:tickLblPos val="nextTo"/>
        <c:crossAx val="15104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2025E EV /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0A-4CEB-8ABE-B7D39110113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A6-4B94-B950-6611D38A1C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A6-4B94-B950-6611D38A1C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A6-4B94-B950-6611D38A1C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Metrics'!$B$22:$B$25</c:f>
              <c:strCache>
                <c:ptCount val="4"/>
                <c:pt idx="0">
                  <c:v>Starbucks 
Corporation</c:v>
                </c:pt>
                <c:pt idx="1">
                  <c:v>Restaurant Brands 
International Inc. </c:v>
                </c:pt>
                <c:pt idx="2">
                  <c:v>McDonald's 
Corporation</c:v>
                </c:pt>
                <c:pt idx="3">
                  <c:v>Keurig Dr Pepper</c:v>
                </c:pt>
              </c:strCache>
            </c:strRef>
          </c:cat>
          <c:val>
            <c:numRef>
              <c:f>'Valuation Metrics'!$C$22:$C$25</c:f>
              <c:numCache>
                <c:formatCode>0.0\x_);\(0.0\x\);0.0\x_);@_)</c:formatCode>
                <c:ptCount val="4"/>
                <c:pt idx="0">
                  <c:v>3.4894918937120809</c:v>
                </c:pt>
                <c:pt idx="1">
                  <c:v>4.0982098307493819</c:v>
                </c:pt>
                <c:pt idx="2">
                  <c:v>9.6750387613148039</c:v>
                </c:pt>
                <c:pt idx="3">
                  <c:v>3.7637188264828549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A-4CEB-8ABE-B7D391101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226059248"/>
        <c:axId val="1627801168"/>
      </c:barChart>
      <c:catAx>
        <c:axId val="12260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1168"/>
        <c:crosses val="autoZero"/>
        <c:auto val="1"/>
        <c:lblAlgn val="ctr"/>
        <c:lblOffset val="100"/>
        <c:noMultiLvlLbl val="0"/>
      </c:catAx>
      <c:valAx>
        <c:axId val="16278011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\x_);\(0.0\x\);0.0\x_);@_)" sourceLinked="1"/>
        <c:majorTickMark val="none"/>
        <c:minorTickMark val="none"/>
        <c:tickLblPos val="nextTo"/>
        <c:crossAx val="122605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2025E EV /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1F-4CD8-B102-9BB21CDE930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EC-497A-9A1C-6F8CDD7FECE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BEC-497A-9A1C-6F8CDD7FECE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EC-497A-9A1C-6F8CDD7FEC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Metrics'!$B$39:$B$42</c:f>
              <c:strCache>
                <c:ptCount val="4"/>
                <c:pt idx="0">
                  <c:v>Starbucks 
Corporation</c:v>
                </c:pt>
                <c:pt idx="1">
                  <c:v>Restaurant Brands 
International Inc. </c:v>
                </c:pt>
                <c:pt idx="2">
                  <c:v>McDonald's 
Corporation</c:v>
                </c:pt>
                <c:pt idx="3">
                  <c:v>Keurig Dr Pepper</c:v>
                </c:pt>
              </c:strCache>
            </c:strRef>
          </c:cat>
          <c:val>
            <c:numRef>
              <c:f>'Valuation Metrics'!$C$39:$C$42</c:f>
              <c:numCache>
                <c:formatCode>0.0\x_);\(0.0\x\);0.0\x_);@_)</c:formatCode>
                <c:ptCount val="4"/>
                <c:pt idx="0">
                  <c:v>19.279462765824832</c:v>
                </c:pt>
                <c:pt idx="1">
                  <c:v>13.185833107084301</c:v>
                </c:pt>
                <c:pt idx="2">
                  <c:v>17.468443893571827</c:v>
                </c:pt>
                <c:pt idx="3">
                  <c:v>12.27069876989756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F-4CD8-B102-9BB21CDE9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1226059248"/>
        <c:axId val="1627801168"/>
      </c:barChart>
      <c:catAx>
        <c:axId val="122605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1168"/>
        <c:crosses val="autoZero"/>
        <c:auto val="1"/>
        <c:lblAlgn val="ctr"/>
        <c:lblOffset val="100"/>
        <c:noMultiLvlLbl val="0"/>
      </c:catAx>
      <c:valAx>
        <c:axId val="16278011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\x_);\(0.0\x\);0.0\x_);@_)" sourceLinked="1"/>
        <c:majorTickMark val="out"/>
        <c:minorTickMark val="none"/>
        <c:tickLblPos val="nextTo"/>
        <c:crossAx val="122605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>
                <a:solidFill>
                  <a:sysClr val="windowText" lastClr="000000"/>
                </a:solidFill>
              </a:rPr>
              <a:t>Starbucks Valuation</a:t>
            </a:r>
          </a:p>
        </c:rich>
      </c:tx>
      <c:layout>
        <c:manualLayout>
          <c:xMode val="edge"/>
          <c:yMode val="edge"/>
          <c:x val="0.34704607279281346"/>
          <c:y val="2.7777814987368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Field'!$B$15:$B$19</c:f>
              <c:strCache>
                <c:ptCount val="5"/>
                <c:pt idx="0">
                  <c:v>52-week High / Low</c:v>
                </c:pt>
                <c:pt idx="1">
                  <c:v>Analyst Price Targets
High / Low</c:v>
                </c:pt>
                <c:pt idx="2">
                  <c:v>DCF Analysis
</c:v>
                </c:pt>
                <c:pt idx="3">
                  <c:v>2025E EV / Revenue
</c:v>
                </c:pt>
                <c:pt idx="4">
                  <c:v>2025E EV / EBITDA
</c:v>
                </c:pt>
              </c:strCache>
            </c:strRef>
          </c:cat>
          <c:val>
            <c:numRef>
              <c:f>'Football Field'!$C$15:$C$19</c:f>
              <c:numCache>
                <c:formatCode>"$"#,##0.00_);\("$"#,##0.00\);"$"\ \-_);@_)</c:formatCode>
                <c:ptCount val="5"/>
                <c:pt idx="0">
                  <c:v>71.55</c:v>
                </c:pt>
                <c:pt idx="1">
                  <c:v>76</c:v>
                </c:pt>
                <c:pt idx="2">
                  <c:v>69.890922366842702</c:v>
                </c:pt>
                <c:pt idx="3">
                  <c:v>85.420486324283857</c:v>
                </c:pt>
                <c:pt idx="4">
                  <c:v>91.136505767611766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C-4016-A63E-63B46174ED97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Field'!$B$15:$B$19</c:f>
              <c:strCache>
                <c:ptCount val="5"/>
                <c:pt idx="0">
                  <c:v>52-week High / Low</c:v>
                </c:pt>
                <c:pt idx="1">
                  <c:v>Analyst Price Targets
High / Low</c:v>
                </c:pt>
                <c:pt idx="2">
                  <c:v>DCF Analysis
</c:v>
                </c:pt>
                <c:pt idx="3">
                  <c:v>2025E EV / Revenue
</c:v>
                </c:pt>
                <c:pt idx="4">
                  <c:v>2025E EV / EBITDA
</c:v>
                </c:pt>
              </c:strCache>
            </c:strRef>
          </c:cat>
          <c:val>
            <c:numRef>
              <c:f>'Football Field'!$D$15:$D$19</c:f>
              <c:numCache>
                <c:formatCode>#,##0.00_);\(#,##0.00\);\-_);@_)</c:formatCode>
                <c:ptCount val="5"/>
                <c:pt idx="0">
                  <c:v>45.91</c:v>
                </c:pt>
                <c:pt idx="1">
                  <c:v>49</c:v>
                </c:pt>
                <c:pt idx="2">
                  <c:v>56.333879207821639</c:v>
                </c:pt>
                <c:pt idx="3">
                  <c:v>33.243602478640469</c:v>
                </c:pt>
                <c:pt idx="4">
                  <c:v>42.118547567021835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C-4016-A63E-63B46174ED97}"/>
            </c:ext>
          </c:extLst>
        </c:ser>
        <c:ser>
          <c:idx val="2"/>
          <c:order val="2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Field'!$B$15:$B$19</c:f>
              <c:strCache>
                <c:ptCount val="5"/>
                <c:pt idx="0">
                  <c:v>52-week High / Low</c:v>
                </c:pt>
                <c:pt idx="1">
                  <c:v>Analyst Price Targets
High / Low</c:v>
                </c:pt>
                <c:pt idx="2">
                  <c:v>DCF Analysis
</c:v>
                </c:pt>
                <c:pt idx="3">
                  <c:v>2025E EV / Revenue
</c:v>
                </c:pt>
                <c:pt idx="4">
                  <c:v>2025E EV / EBITDA
</c:v>
                </c:pt>
              </c:strCache>
            </c:strRef>
          </c:cat>
          <c:val>
            <c:numRef>
              <c:f>'Football Field'!$E$15:$E$19</c:f>
              <c:numCache>
                <c:formatCode>"$"#,##0.00_);\("$"#,##0.00\);"$"\ \-_);@_)</c:formatCode>
                <c:ptCount val="5"/>
                <c:pt idx="0">
                  <c:v>117.46</c:v>
                </c:pt>
                <c:pt idx="1">
                  <c:v>125</c:v>
                </c:pt>
                <c:pt idx="2">
                  <c:v>126.22480157466434</c:v>
                </c:pt>
                <c:pt idx="3">
                  <c:v>118.66408880292433</c:v>
                </c:pt>
                <c:pt idx="4">
                  <c:v>133.2550533346336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2C-4016-A63E-63B46174E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0031855"/>
        <c:axId val="1930032815"/>
      </c:barChart>
      <c:catAx>
        <c:axId val="193003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032815"/>
        <c:crosses val="autoZero"/>
        <c:auto val="1"/>
        <c:lblAlgn val="ctr"/>
        <c:lblOffset val="100"/>
        <c:noMultiLvlLbl val="0"/>
      </c:catAx>
      <c:valAx>
        <c:axId val="1930032815"/>
        <c:scaling>
          <c:orientation val="minMax"/>
          <c:max val="180"/>
          <c:min val="3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_);\(&quot;$&quot;#,##0.00\);&quot;$&quot;\ \-_);@_)" sourceLinked="1"/>
        <c:majorTickMark val="out"/>
        <c:minorTickMark val="none"/>
        <c:tickLblPos val="nextTo"/>
        <c:crossAx val="193003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108</xdr:row>
      <xdr:rowOff>185737</xdr:rowOff>
    </xdr:from>
    <xdr:to>
      <xdr:col>4</xdr:col>
      <xdr:colOff>257175</xdr:colOff>
      <xdr:row>123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315F11-022E-D963-3349-0FF75FE91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109</xdr:row>
      <xdr:rowOff>33337</xdr:rowOff>
    </xdr:from>
    <xdr:to>
      <xdr:col>12</xdr:col>
      <xdr:colOff>457200</xdr:colOff>
      <xdr:row>123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57CD94-CDDF-BD14-12B7-3AD1C10FC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259895</xdr:colOff>
      <xdr:row>20</xdr:row>
      <xdr:rowOff>214539</xdr:rowOff>
    </xdr:from>
    <xdr:to>
      <xdr:col>13</xdr:col>
      <xdr:colOff>575128</xdr:colOff>
      <xdr:row>36</xdr:row>
      <xdr:rowOff>31296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9C23D-4063-431B-9B03-AD189669E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257990</xdr:colOff>
      <xdr:row>38</xdr:row>
      <xdr:rowOff>15330</xdr:rowOff>
    </xdr:from>
    <xdr:to>
      <xdr:col>13</xdr:col>
      <xdr:colOff>573223</xdr:colOff>
      <xdr:row>53</xdr:row>
      <xdr:rowOff>51163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8E891-D98B-4839-913C-81D955F5C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404431</xdr:colOff>
      <xdr:row>28</xdr:row>
      <xdr:rowOff>131400</xdr:rowOff>
    </xdr:from>
    <xdr:to>
      <xdr:col>6</xdr:col>
      <xdr:colOff>404791</xdr:colOff>
      <xdr:row>28</xdr:row>
      <xdr:rowOff>131400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5157360-844A-4448-899A-24976F34FA88}"/>
                </a:ext>
              </a:extLst>
            </xdr14:cNvPr>
            <xdr14:cNvContentPartPr/>
          </xdr14:nvContentPartPr>
          <xdr14:nvPr macro=""/>
          <xdr14:xfrm>
            <a:off x="3810240" y="5160600"/>
            <a:ext cx="360" cy="36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D81065AF-76F2-39F5-C91E-ED28A2A11A5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01600" y="5151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466723</xdr:colOff>
      <xdr:row>13</xdr:row>
      <xdr:rowOff>166686</xdr:rowOff>
    </xdr:from>
    <xdr:to>
      <xdr:col>16</xdr:col>
      <xdr:colOff>85724</xdr:colOff>
      <xdr:row>30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5A1E90-E514-48B7-FDE9-F3371C7AA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6e1d3294ae0e9b3/Documents/Financial%20modelling/02.%20DCF%20Modelling/DCF%20Model.xlsx" TargetMode="External"/><Relationship Id="rId1" Type="http://schemas.openxmlformats.org/officeDocument/2006/relationships/externalLinkPath" Target="/26e1d3294ae0e9b3/Documents/Financial%20modelling/02.%20DCF%20Modelling/DCF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 "/>
      <sheetName val="Simple DCF Empty"/>
      <sheetName val="Simple DCF Done"/>
      <sheetName val="WACC Empty"/>
      <sheetName val="WACC Done"/>
      <sheetName val="Shares Empty"/>
      <sheetName val="Shares"/>
      <sheetName val="DCF 1-Pager"/>
      <sheetName val="Integrated DCF Empty"/>
      <sheetName val="2019 FSM Update Complete"/>
      <sheetName val="Integrated DCF"/>
    </sheetNames>
    <sheetDataSet>
      <sheetData sheetId="0">
        <row r="3">
          <cell r="B3" t="str">
            <v xml:space="preserve">$ and shares in millions, except per share data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28">
          <cell r="B128" t="str">
            <v>DCF Value at 11.0x-15.0x Exit EBITDA Range at 9.0% WACC</v>
          </cell>
          <cell r="C128">
            <v>234.18244617024146</v>
          </cell>
          <cell r="D128">
            <v>59.053939159871163</v>
          </cell>
          <cell r="E128">
            <v>293.23638533011263</v>
          </cell>
          <cell r="G128" t="str">
            <v>LTM EBITDA Purchase Multiple at 2.0%-4.0% Perpetuity Growth at 9.0% WACC</v>
          </cell>
          <cell r="O128">
            <v>12.832501802687379</v>
          </cell>
          <cell r="P128">
            <v>4.144000549505126</v>
          </cell>
          <cell r="Q128">
            <v>16.976502352192504</v>
          </cell>
        </row>
        <row r="129">
          <cell r="B129" t="str">
            <v>DCF Value at 2.0%-4.0% Perpetuity Range at 9.0% WACC</v>
          </cell>
          <cell r="C129">
            <v>229.67451002601129</v>
          </cell>
          <cell r="D129">
            <v>67.490404797844263</v>
          </cell>
          <cell r="E129">
            <v>297.16491482385555</v>
          </cell>
          <cell r="G129" t="str">
            <v>LTM EBITDA Purchase Multiple at 13.1x-16.7x Exit EBITDA Multiple at 9.0% WACC</v>
          </cell>
          <cell r="O129">
            <v>13.109295073001569</v>
          </cell>
          <cell r="P129">
            <v>3.6259903472495552</v>
          </cell>
          <cell r="Q129">
            <v>16.735285420251124</v>
          </cell>
        </row>
        <row r="130">
          <cell r="B130" t="str">
            <v>52 Week Market High/Low</v>
          </cell>
          <cell r="C130">
            <v>169.5</v>
          </cell>
          <cell r="D130">
            <v>158.35000000000002</v>
          </cell>
          <cell r="E130">
            <v>327.85</v>
          </cell>
          <cell r="G130" t="str">
            <v>LTM EBITDA Purchase Multiple at 7.0%-11.0% WACC at 13.0x Exit EBITDA</v>
          </cell>
          <cell r="O130">
            <v>13.826590996388775</v>
          </cell>
          <cell r="P130">
            <v>2.3061658520416284</v>
          </cell>
          <cell r="Q130">
            <v>16.132756848430404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4-07T00:52:53.0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2144 2004 184 0 0,'0'0'330'0'0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B52B-7575-45E6-8A2F-DC16607EC912}">
  <sheetPr>
    <pageSetUpPr fitToPage="1"/>
  </sheetPr>
  <dimension ref="A1:U309"/>
  <sheetViews>
    <sheetView topLeftCell="A291" zoomScaleNormal="100" workbookViewId="0">
      <selection activeCell="D267" sqref="D267"/>
    </sheetView>
  </sheetViews>
  <sheetFormatPr defaultColWidth="8.85546875" defaultRowHeight="15"/>
  <cols>
    <col min="1" max="2" width="1.7109375" customWidth="1"/>
    <col min="3" max="3" width="48" customWidth="1"/>
    <col min="4" max="4" width="19.5703125" bestFit="1" customWidth="1"/>
    <col min="5" max="6" width="11.42578125" customWidth="1"/>
    <col min="7" max="7" width="11.85546875" customWidth="1"/>
    <col min="8" max="8" width="12.28515625" bestFit="1" customWidth="1"/>
    <col min="9" max="10" width="12" bestFit="1" customWidth="1"/>
    <col min="11" max="11" width="12.28515625" bestFit="1" customWidth="1"/>
    <col min="12" max="12" width="2.5703125" customWidth="1"/>
    <col min="13" max="13" width="6.85546875" bestFit="1" customWidth="1"/>
    <col min="14" max="14" width="2.5703125" customWidth="1"/>
    <col min="15" max="15" width="10.5703125" bestFit="1" customWidth="1"/>
    <col min="16" max="16" width="9.42578125" bestFit="1" customWidth="1"/>
    <col min="21" max="21" width="9.5703125" bestFit="1" customWidth="1"/>
  </cols>
  <sheetData>
    <row r="1" spans="1:15" ht="15.75" thickBot="1"/>
    <row r="2" spans="1:15" ht="15.75" thickBot="1">
      <c r="C2" s="44" t="str">
        <f>"Financial Statement Model for "&amp;D5</f>
        <v>Financial Statement Model for Starbucks Corporation</v>
      </c>
      <c r="D2" s="36"/>
      <c r="E2" s="36"/>
      <c r="F2" s="36"/>
      <c r="H2" s="39"/>
    </row>
    <row r="3" spans="1:15">
      <c r="C3" s="2" t="s">
        <v>150</v>
      </c>
      <c r="D3" s="34"/>
      <c r="E3" s="34"/>
      <c r="F3" s="34"/>
    </row>
    <row r="5" spans="1:15">
      <c r="C5" s="1" t="s">
        <v>5</v>
      </c>
      <c r="D5" s="52" t="s">
        <v>148</v>
      </c>
    </row>
    <row r="6" spans="1:15">
      <c r="C6" s="1" t="s">
        <v>6</v>
      </c>
      <c r="D6" s="52" t="s">
        <v>147</v>
      </c>
    </row>
    <row r="7" spans="1:15">
      <c r="C7" t="s">
        <v>78</v>
      </c>
      <c r="D7" s="53">
        <v>1</v>
      </c>
    </row>
    <row r="8" spans="1:15">
      <c r="C8" t="s">
        <v>54</v>
      </c>
      <c r="D8" s="54">
        <v>97.07</v>
      </c>
    </row>
    <row r="9" spans="1:15">
      <c r="C9" t="s">
        <v>9</v>
      </c>
      <c r="D9" s="55">
        <v>45737</v>
      </c>
    </row>
    <row r="10" spans="1:15">
      <c r="C10" s="1" t="s">
        <v>8</v>
      </c>
      <c r="D10" s="55">
        <v>45564</v>
      </c>
    </row>
    <row r="11" spans="1:15" ht="15" customHeight="1">
      <c r="C11" t="s">
        <v>143</v>
      </c>
      <c r="D11" s="263">
        <v>1135.9000000000001</v>
      </c>
    </row>
    <row r="12" spans="1:15">
      <c r="C12" t="s">
        <v>180</v>
      </c>
      <c r="D12" s="53" t="s">
        <v>63</v>
      </c>
      <c r="K12" s="69"/>
      <c r="L12" s="1"/>
      <c r="M12" s="1"/>
      <c r="N12" s="1"/>
    </row>
    <row r="13" spans="1:15">
      <c r="K13" s="69"/>
      <c r="L13" s="1"/>
      <c r="M13" s="1"/>
      <c r="N13" s="1"/>
    </row>
    <row r="14" spans="1:15">
      <c r="A14" t="s">
        <v>322</v>
      </c>
      <c r="C14" s="385" t="s">
        <v>13</v>
      </c>
      <c r="D14" s="386"/>
      <c r="E14" s="386"/>
      <c r="F14" s="386"/>
      <c r="G14" s="387"/>
      <c r="H14" s="387"/>
      <c r="I14" s="387"/>
      <c r="J14" s="387"/>
      <c r="K14" s="388"/>
      <c r="L14" s="1"/>
      <c r="M14" s="1"/>
      <c r="N14" s="1"/>
    </row>
    <row r="15" spans="1:15">
      <c r="C15" t="s">
        <v>10</v>
      </c>
      <c r="D15" s="7">
        <f>E15-1</f>
        <v>2022</v>
      </c>
      <c r="E15" s="7">
        <f>F15-1</f>
        <v>2023</v>
      </c>
      <c r="F15" s="7">
        <f>YEAR(D10)</f>
        <v>2024</v>
      </c>
      <c r="G15" s="72">
        <f>F15+1</f>
        <v>2025</v>
      </c>
      <c r="H15" s="72">
        <f t="shared" ref="H15:K15" si="0">G15+1</f>
        <v>2026</v>
      </c>
      <c r="I15" s="72">
        <f t="shared" si="0"/>
        <v>2027</v>
      </c>
      <c r="J15" s="72">
        <f t="shared" si="0"/>
        <v>2028</v>
      </c>
      <c r="K15" s="72">
        <f t="shared" si="0"/>
        <v>2029</v>
      </c>
      <c r="L15" s="1"/>
      <c r="M15" s="230" t="s">
        <v>347</v>
      </c>
      <c r="N15" s="1"/>
    </row>
    <row r="16" spans="1:15">
      <c r="C16" s="8" t="s">
        <v>7</v>
      </c>
      <c r="D16" s="40">
        <v>44836</v>
      </c>
      <c r="E16" s="40">
        <v>45200</v>
      </c>
      <c r="F16" s="40">
        <v>45564</v>
      </c>
      <c r="G16" s="40">
        <f>EOMONTH(F16,12)</f>
        <v>45930</v>
      </c>
      <c r="H16" s="40">
        <f t="shared" ref="H16:K16" si="1">EOMONTH(G16,12)</f>
        <v>46295</v>
      </c>
      <c r="I16" s="40">
        <f t="shared" si="1"/>
        <v>46660</v>
      </c>
      <c r="J16" s="40">
        <f t="shared" si="1"/>
        <v>47026</v>
      </c>
      <c r="K16" s="40">
        <f t="shared" si="1"/>
        <v>47391</v>
      </c>
      <c r="L16" s="70"/>
      <c r="M16" s="272" t="s">
        <v>348</v>
      </c>
      <c r="N16" s="70"/>
      <c r="O16" s="38" t="s">
        <v>165</v>
      </c>
    </row>
    <row r="17" spans="3:15">
      <c r="C17" s="9"/>
      <c r="D17" s="10"/>
      <c r="E17" s="11"/>
      <c r="F17" s="11"/>
      <c r="K17" s="32"/>
    </row>
    <row r="18" spans="3:15">
      <c r="C18" t="s">
        <v>149</v>
      </c>
      <c r="D18" s="73">
        <v>32250.3</v>
      </c>
      <c r="E18" s="73">
        <v>35975.599999999999</v>
      </c>
      <c r="F18" s="73">
        <v>36176.199999999997</v>
      </c>
      <c r="G18" s="83">
        <v>37441.471149999998</v>
      </c>
      <c r="H18" s="83">
        <v>40040.096969999999</v>
      </c>
      <c r="I18" s="83">
        <v>43593.903870000002</v>
      </c>
      <c r="J18" s="83">
        <v>48110.2</v>
      </c>
      <c r="K18" s="83">
        <v>53188.75</v>
      </c>
      <c r="M18" s="269">
        <f>(K18/F18)^(1/COUNT(G18:K18))-1</f>
        <v>8.0138304602723309E-2</v>
      </c>
      <c r="O18" t="s">
        <v>184</v>
      </c>
    </row>
    <row r="19" spans="3:15" ht="15" customHeight="1">
      <c r="C19" t="s">
        <v>156</v>
      </c>
      <c r="D19" s="74">
        <v>-10317.4</v>
      </c>
      <c r="E19" s="74">
        <v>-11409.1</v>
      </c>
      <c r="F19" s="74">
        <v>-11180.6</v>
      </c>
      <c r="G19" s="87">
        <f>-(G18-G20)</f>
        <v>-11344.765758450001</v>
      </c>
      <c r="H19" s="87">
        <f t="shared" ref="H19:K19" si="2">-(H18-H20)</f>
        <v>-12060.077207364</v>
      </c>
      <c r="I19" s="87">
        <f t="shared" si="2"/>
        <v>-13160.999578352999</v>
      </c>
      <c r="J19" s="87">
        <f t="shared" si="2"/>
        <v>-14433.059999999998</v>
      </c>
      <c r="K19" s="87">
        <f t="shared" si="2"/>
        <v>-15903.436249999999</v>
      </c>
      <c r="O19" t="s">
        <v>608</v>
      </c>
    </row>
    <row r="20" spans="3:15" ht="15" customHeight="1">
      <c r="C20" s="13" t="s">
        <v>154</v>
      </c>
      <c r="D20" s="75">
        <f>SUM(D18:D19)</f>
        <v>21932.9</v>
      </c>
      <c r="E20" s="75">
        <f t="shared" ref="E20:F20" si="3">SUM(E18:E19)</f>
        <v>24566.5</v>
      </c>
      <c r="F20" s="75">
        <f t="shared" si="3"/>
        <v>24995.599999999999</v>
      </c>
      <c r="G20" s="75">
        <f>G18*G44</f>
        <v>26096.705391549996</v>
      </c>
      <c r="H20" s="75">
        <f>H18*H44</f>
        <v>27980.019762635999</v>
      </c>
      <c r="I20" s="75">
        <f>I18*I44</f>
        <v>30432.904291647003</v>
      </c>
      <c r="J20" s="75">
        <f>J18*J44</f>
        <v>33677.14</v>
      </c>
      <c r="K20" s="75">
        <f>K18*K44</f>
        <v>37285.313750000001</v>
      </c>
      <c r="O20" s="39" t="s">
        <v>66</v>
      </c>
    </row>
    <row r="21" spans="3:15" ht="15" customHeight="1">
      <c r="C21" t="s">
        <v>151</v>
      </c>
      <c r="D21" s="74">
        <v>-13561.8</v>
      </c>
      <c r="E21" s="74">
        <v>-14720.3</v>
      </c>
      <c r="F21" s="74">
        <v>-15286.5</v>
      </c>
      <c r="G21" s="87">
        <f>-G18*G45</f>
        <v>-15821.148952473588</v>
      </c>
      <c r="H21" s="87">
        <f>-H18*H45</f>
        <v>-16919.21601306674</v>
      </c>
      <c r="I21" s="87">
        <f>-I18*I45</f>
        <v>-18420.90135251229</v>
      </c>
      <c r="J21" s="87">
        <f>-J18*J45</f>
        <v>-20329.293079427913</v>
      </c>
      <c r="K21" s="87">
        <f>-K18*K45</f>
        <v>-22475.269013190995</v>
      </c>
      <c r="O21" s="39" t="s">
        <v>187</v>
      </c>
    </row>
    <row r="22" spans="3:15" ht="15" customHeight="1">
      <c r="C22" t="s">
        <v>152</v>
      </c>
      <c r="D22" s="74">
        <v>-461.5</v>
      </c>
      <c r="E22" s="74">
        <v>-539.4</v>
      </c>
      <c r="F22" s="74">
        <v>-565.6</v>
      </c>
      <c r="G22" s="87">
        <f>-G18*G46</f>
        <v>-585.38199375390445</v>
      </c>
      <c r="H22" s="87">
        <f>-H18*H46</f>
        <v>-626.01043907961594</v>
      </c>
      <c r="I22" s="87">
        <f>-I18*I46</f>
        <v>-681.57274752107742</v>
      </c>
      <c r="J22" s="87">
        <f>-J18*J46</f>
        <v>-752.18317899613555</v>
      </c>
      <c r="K22" s="87">
        <f>-K18*K46</f>
        <v>-831.58421835350316</v>
      </c>
      <c r="O22" t="s">
        <v>188</v>
      </c>
    </row>
    <row r="23" spans="3:15" ht="15" customHeight="1">
      <c r="C23" s="256" t="s">
        <v>39</v>
      </c>
      <c r="D23" s="74">
        <v>-1447.9</v>
      </c>
      <c r="E23" s="74">
        <v>-1362.6</v>
      </c>
      <c r="F23" s="74">
        <v>-1512.6</v>
      </c>
      <c r="G23" s="234">
        <f>-G157</f>
        <v>-1544.6855476467883</v>
      </c>
      <c r="H23" s="234">
        <f>-H157</f>
        <v>-1654.1598935494094</v>
      </c>
      <c r="I23" s="234">
        <f>-I157</f>
        <v>-1804.2722964889131</v>
      </c>
      <c r="J23" s="234">
        <f>-J157</f>
        <v>-1987.9494914553006</v>
      </c>
      <c r="K23" s="234">
        <f>-K157</f>
        <v>-2186.5193149906377</v>
      </c>
      <c r="O23" t="s">
        <v>98</v>
      </c>
    </row>
    <row r="24" spans="3:15" ht="15" customHeight="1">
      <c r="C24" t="s">
        <v>155</v>
      </c>
      <c r="D24" s="74">
        <v>-2032</v>
      </c>
      <c r="E24" s="74">
        <v>-2441.3000000000002</v>
      </c>
      <c r="F24" s="74">
        <v>-2523.3000000000002</v>
      </c>
      <c r="G24" s="83">
        <f>-G18*G47</f>
        <v>-2611.5530142136267</v>
      </c>
      <c r="H24" s="83">
        <f>-H18*H47</f>
        <v>-2792.8078870749555</v>
      </c>
      <c r="I24" s="83">
        <f>-I18*I47</f>
        <v>-3040.6869056222326</v>
      </c>
      <c r="J24" s="83">
        <f>-J18*J47</f>
        <v>-3355.6998153482123</v>
      </c>
      <c r="K24" s="83">
        <f>-K18*K47</f>
        <v>-3709.9300887047289</v>
      </c>
      <c r="O24" t="s">
        <v>189</v>
      </c>
    </row>
    <row r="25" spans="3:15" ht="15" customHeight="1">
      <c r="C25" t="s">
        <v>153</v>
      </c>
      <c r="D25" s="74">
        <v>-46</v>
      </c>
      <c r="E25" s="74">
        <v>-21.8</v>
      </c>
      <c r="F25" s="74">
        <v>0</v>
      </c>
      <c r="G25" s="175">
        <f>F25</f>
        <v>0</v>
      </c>
      <c r="H25" s="175">
        <f t="shared" ref="H25:K25" si="4">G25</f>
        <v>0</v>
      </c>
      <c r="I25" s="175">
        <f t="shared" si="4"/>
        <v>0</v>
      </c>
      <c r="J25" s="175">
        <f t="shared" si="4"/>
        <v>0</v>
      </c>
      <c r="K25" s="175">
        <f t="shared" si="4"/>
        <v>0</v>
      </c>
      <c r="O25" s="105" t="s">
        <v>194</v>
      </c>
    </row>
    <row r="26" spans="3:15" ht="15" customHeight="1">
      <c r="C26" s="37" t="s">
        <v>158</v>
      </c>
      <c r="D26" s="383">
        <f>SUM(D21:D25)</f>
        <v>-17549.199999999997</v>
      </c>
      <c r="E26" s="383">
        <f t="shared" ref="E26:K26" si="5">SUM(E21:E25)</f>
        <v>-19085.399999999998</v>
      </c>
      <c r="F26" s="383">
        <f t="shared" si="5"/>
        <v>-19888</v>
      </c>
      <c r="G26" s="383">
        <f t="shared" si="5"/>
        <v>-20562.769508087909</v>
      </c>
      <c r="H26" s="383">
        <f t="shared" si="5"/>
        <v>-21992.194232770718</v>
      </c>
      <c r="I26" s="383">
        <f t="shared" si="5"/>
        <v>-23947.433302144513</v>
      </c>
      <c r="J26" s="383">
        <f t="shared" si="5"/>
        <v>-26425.125565227561</v>
      </c>
      <c r="K26" s="383">
        <f t="shared" si="5"/>
        <v>-29203.302635239863</v>
      </c>
    </row>
    <row r="27" spans="3:15" ht="15" customHeight="1">
      <c r="C27" s="80" t="s">
        <v>159</v>
      </c>
      <c r="D27" s="74">
        <v>234.1</v>
      </c>
      <c r="E27" s="74">
        <v>298.39999999999998</v>
      </c>
      <c r="F27" s="74">
        <v>301.2</v>
      </c>
      <c r="G27" s="384">
        <f>G188</f>
        <v>311.73454122821079</v>
      </c>
      <c r="H27" s="384">
        <f t="shared" ref="H27:K27" si="6">H188</f>
        <v>333.37048134862147</v>
      </c>
      <c r="I27" s="384">
        <f t="shared" si="6"/>
        <v>362.95917884255397</v>
      </c>
      <c r="J27" s="384">
        <f t="shared" si="6"/>
        <v>400.5614807525389</v>
      </c>
      <c r="K27" s="384">
        <f t="shared" si="6"/>
        <v>442.84506111753024</v>
      </c>
      <c r="O27" t="s">
        <v>607</v>
      </c>
    </row>
    <row r="28" spans="3:15" ht="15" customHeight="1">
      <c r="C28" t="s">
        <v>160</v>
      </c>
      <c r="D28" s="74">
        <v>0</v>
      </c>
      <c r="E28" s="74">
        <v>91.3</v>
      </c>
      <c r="F28" s="74">
        <v>0</v>
      </c>
      <c r="G28" s="87">
        <f>F28</f>
        <v>0</v>
      </c>
      <c r="H28" s="87">
        <f t="shared" ref="H28:K28" si="7">G28</f>
        <v>0</v>
      </c>
      <c r="I28" s="87">
        <f t="shared" si="7"/>
        <v>0</v>
      </c>
      <c r="J28" s="87">
        <f t="shared" si="7"/>
        <v>0</v>
      </c>
      <c r="K28" s="87">
        <f t="shared" si="7"/>
        <v>0</v>
      </c>
      <c r="O28" t="s">
        <v>190</v>
      </c>
    </row>
    <row r="29" spans="3:15">
      <c r="C29" s="13" t="s">
        <v>3</v>
      </c>
      <c r="D29" s="76">
        <f>D20+D26+D27+D28</f>
        <v>4617.8000000000047</v>
      </c>
      <c r="E29" s="76">
        <f t="shared" ref="E29:K29" si="8">E20+E26+E27+E28</f>
        <v>5870.800000000002</v>
      </c>
      <c r="F29" s="76">
        <f t="shared" si="8"/>
        <v>5408.7999999999984</v>
      </c>
      <c r="G29" s="76">
        <f t="shared" si="8"/>
        <v>5845.6704246902982</v>
      </c>
      <c r="H29" s="76">
        <f t="shared" si="8"/>
        <v>6321.1960112139013</v>
      </c>
      <c r="I29" s="76">
        <f t="shared" si="8"/>
        <v>6848.430168345044</v>
      </c>
      <c r="J29" s="76">
        <f t="shared" si="8"/>
        <v>7652.5759155249771</v>
      </c>
      <c r="K29" s="76">
        <f t="shared" si="8"/>
        <v>8524.8561758776686</v>
      </c>
      <c r="M29" s="269">
        <f>(K29/F29)^(1/COUNT(G29:K29))-1</f>
        <v>9.526000116962785E-2</v>
      </c>
    </row>
    <row r="30" spans="3:15">
      <c r="C30" t="s">
        <v>157</v>
      </c>
      <c r="D30" s="73">
        <v>97</v>
      </c>
      <c r="E30" s="73">
        <v>81.2</v>
      </c>
      <c r="F30" s="73">
        <v>122.8</v>
      </c>
      <c r="G30" s="65">
        <f>G250</f>
        <v>116.08680664870199</v>
      </c>
      <c r="H30" s="65">
        <f ca="1">H250</f>
        <v>89.654981207477078</v>
      </c>
      <c r="I30" s="65">
        <f t="shared" ref="I30:J30" ca="1" si="9">I250</f>
        <v>69.332029032634154</v>
      </c>
      <c r="J30" s="65">
        <f t="shared" ca="1" si="9"/>
        <v>51.662373051061948</v>
      </c>
      <c r="K30" s="65">
        <f ca="1">K250</f>
        <v>45.07643516417891</v>
      </c>
      <c r="O30" t="s">
        <v>70</v>
      </c>
    </row>
    <row r="31" spans="3:15">
      <c r="C31" t="s">
        <v>34</v>
      </c>
      <c r="D31" s="73">
        <v>-482.9</v>
      </c>
      <c r="E31" s="73">
        <v>-550.1</v>
      </c>
      <c r="F31" s="73">
        <v>-562</v>
      </c>
      <c r="G31" s="65">
        <f>-G236</f>
        <v>-565.33406072811681</v>
      </c>
      <c r="H31" s="65">
        <f t="shared" ref="H31:K31" si="10">-H236</f>
        <v>-565.66906072811673</v>
      </c>
      <c r="I31" s="65">
        <f t="shared" si="10"/>
        <v>-565.66906072811673</v>
      </c>
      <c r="J31" s="65">
        <f t="shared" si="10"/>
        <v>-565.66906072811673</v>
      </c>
      <c r="K31" s="65">
        <f t="shared" si="10"/>
        <v>-565.66906072811673</v>
      </c>
      <c r="O31" t="s">
        <v>69</v>
      </c>
    </row>
    <row r="32" spans="3:15">
      <c r="C32" s="13" t="s">
        <v>12</v>
      </c>
      <c r="D32" s="76">
        <f>SUM(D29:D31)</f>
        <v>4231.9000000000051</v>
      </c>
      <c r="E32" s="76">
        <f t="shared" ref="E32:K32" si="11">SUM(E29:E31)</f>
        <v>5401.9000000000015</v>
      </c>
      <c r="F32" s="76">
        <f t="shared" si="11"/>
        <v>4969.5999999999985</v>
      </c>
      <c r="G32" s="76">
        <f t="shared" si="11"/>
        <v>5396.4231706108831</v>
      </c>
      <c r="H32" s="76">
        <f t="shared" ca="1" si="11"/>
        <v>5845.1819316932615</v>
      </c>
      <c r="I32" s="76">
        <f t="shared" ca="1" si="11"/>
        <v>6352.0931366495606</v>
      </c>
      <c r="J32" s="76">
        <f t="shared" ca="1" si="11"/>
        <v>7138.5692278479219</v>
      </c>
      <c r="K32" s="76">
        <f t="shared" ca="1" si="11"/>
        <v>8004.2635503137308</v>
      </c>
    </row>
    <row r="33" spans="3:17">
      <c r="C33" t="s">
        <v>321</v>
      </c>
      <c r="D33" s="73">
        <v>-948.5</v>
      </c>
      <c r="E33" s="73">
        <v>-1277.2</v>
      </c>
      <c r="F33" s="73">
        <v>-1207.3</v>
      </c>
      <c r="G33" s="83">
        <f>-G32*G49</f>
        <v>-1305.3947649707727</v>
      </c>
      <c r="H33" s="83">
        <f ca="1">-H32*H49</f>
        <v>-1420.963727594632</v>
      </c>
      <c r="I33" s="83">
        <f ca="1">-I32*I49</f>
        <v>-1531.4896552462092</v>
      </c>
      <c r="J33" s="83">
        <f ca="1">-J32*J49</f>
        <v>-1723.9644685252731</v>
      </c>
      <c r="K33" s="83">
        <f ca="1">-K32*K49</f>
        <v>-1933.029647400766</v>
      </c>
      <c r="O33" t="s">
        <v>68</v>
      </c>
    </row>
    <row r="34" spans="3:17">
      <c r="C34" s="13" t="s">
        <v>360</v>
      </c>
      <c r="D34" s="76">
        <f t="shared" ref="D34:K34" si="12">SUM(D32:D33)</f>
        <v>3283.4000000000051</v>
      </c>
      <c r="E34" s="76">
        <f t="shared" si="12"/>
        <v>4124.7000000000016</v>
      </c>
      <c r="F34" s="76">
        <f t="shared" si="12"/>
        <v>3762.2999999999984</v>
      </c>
      <c r="G34" s="76">
        <f t="shared" si="12"/>
        <v>4091.0284056401106</v>
      </c>
      <c r="H34" s="76">
        <f t="shared" ca="1" si="12"/>
        <v>4424.2182040986299</v>
      </c>
      <c r="I34" s="76">
        <f t="shared" ca="1" si="12"/>
        <v>4820.6034814033519</v>
      </c>
      <c r="J34" s="76">
        <f t="shared" ca="1" si="12"/>
        <v>5414.6047593226485</v>
      </c>
      <c r="K34" s="76">
        <f t="shared" ca="1" si="12"/>
        <v>6071.2339029129653</v>
      </c>
      <c r="M34" s="269">
        <f ca="1">(K34/F34)^(1/COUNT(G34:K34))-1</f>
        <v>0.10043579449327855</v>
      </c>
    </row>
    <row r="35" spans="3:17">
      <c r="C35" s="17"/>
      <c r="D35" s="65"/>
      <c r="E35" s="65"/>
      <c r="F35" s="65"/>
    </row>
    <row r="36" spans="3:17">
      <c r="C36" s="17"/>
      <c r="D36" s="65"/>
      <c r="E36" s="65"/>
      <c r="F36" s="65"/>
    </row>
    <row r="37" spans="3:17">
      <c r="C37" s="24" t="s">
        <v>38</v>
      </c>
      <c r="D37" s="64">
        <f t="shared" ref="D37:K37" si="13">D29-D23</f>
        <v>6065.7000000000044</v>
      </c>
      <c r="E37" s="64">
        <f t="shared" si="13"/>
        <v>7233.4000000000015</v>
      </c>
      <c r="F37" s="64">
        <f t="shared" si="13"/>
        <v>6921.3999999999978</v>
      </c>
      <c r="G37" s="64">
        <f t="shared" si="13"/>
        <v>7390.3559723370863</v>
      </c>
      <c r="H37" s="64">
        <f t="shared" si="13"/>
        <v>7975.3559047633107</v>
      </c>
      <c r="I37" s="64">
        <f t="shared" si="13"/>
        <v>8652.7024648339575</v>
      </c>
      <c r="J37" s="64">
        <f t="shared" si="13"/>
        <v>9640.5254069802777</v>
      </c>
      <c r="K37" s="64">
        <f t="shared" si="13"/>
        <v>10711.375490868306</v>
      </c>
      <c r="M37" s="269">
        <f>(K37/F37)^(1/COUNT(G37:K37))-1</f>
        <v>9.1265082176352097E-2</v>
      </c>
      <c r="O37" s="13" t="s">
        <v>71</v>
      </c>
    </row>
    <row r="38" spans="3:17">
      <c r="C38" s="25" t="s">
        <v>55</v>
      </c>
      <c r="D38" s="73">
        <v>275.5</v>
      </c>
      <c r="E38" s="73">
        <v>306.39999999999998</v>
      </c>
      <c r="F38" s="73">
        <v>312</v>
      </c>
      <c r="G38" s="83">
        <f>F38*(1+G42)</f>
        <v>322.91227378221038</v>
      </c>
      <c r="H38" s="83">
        <f t="shared" ref="H38:K38" si="14">G38*(1+H42)</f>
        <v>345.32400458422939</v>
      </c>
      <c r="I38" s="83">
        <f t="shared" si="14"/>
        <v>375.97365139069331</v>
      </c>
      <c r="J38" s="83">
        <f t="shared" si="14"/>
        <v>414.92424301059805</v>
      </c>
      <c r="K38" s="83">
        <f t="shared" si="14"/>
        <v>458.72396769146559</v>
      </c>
      <c r="O38" t="s">
        <v>191</v>
      </c>
    </row>
    <row r="39" spans="3:17">
      <c r="C39" s="24" t="s">
        <v>53</v>
      </c>
      <c r="D39" s="76">
        <f>SUM(D37:D38)</f>
        <v>6341.2000000000044</v>
      </c>
      <c r="E39" s="76">
        <f t="shared" ref="E39:K39" si="15">SUM(E37:E38)</f>
        <v>7539.8000000000011</v>
      </c>
      <c r="F39" s="76">
        <f t="shared" si="15"/>
        <v>7233.3999999999978</v>
      </c>
      <c r="G39" s="76">
        <f t="shared" si="15"/>
        <v>7713.2682461192962</v>
      </c>
      <c r="H39" s="76">
        <f t="shared" si="15"/>
        <v>8320.6799093475402</v>
      </c>
      <c r="I39" s="76">
        <f t="shared" si="15"/>
        <v>9028.6761162246512</v>
      </c>
      <c r="J39" s="76">
        <f t="shared" si="15"/>
        <v>10055.449649990876</v>
      </c>
      <c r="K39" s="76">
        <f t="shared" si="15"/>
        <v>11170.099458559771</v>
      </c>
      <c r="O39" s="13" t="s">
        <v>72</v>
      </c>
    </row>
    <row r="40" spans="3:17">
      <c r="C40" s="17"/>
      <c r="D40" s="65"/>
      <c r="E40" s="65"/>
      <c r="F40" s="65"/>
      <c r="H40" s="71"/>
    </row>
    <row r="41" spans="3:17">
      <c r="C41" s="16" t="s">
        <v>95</v>
      </c>
      <c r="H41" s="71"/>
    </row>
    <row r="42" spans="3:17">
      <c r="C42" s="17" t="s">
        <v>1</v>
      </c>
      <c r="D42" s="463"/>
      <c r="E42" s="62">
        <f t="shared" ref="E42:K43" si="16">E18/D18-1</f>
        <v>0.11551210376337573</v>
      </c>
      <c r="F42" s="62">
        <f t="shared" si="16"/>
        <v>5.5760015121359974E-3</v>
      </c>
      <c r="G42" s="265">
        <f>G289</f>
        <v>3.4975236481443517E-2</v>
      </c>
      <c r="H42" s="265">
        <f t="shared" ref="H42:K42" si="17">H289</f>
        <v>6.9405013750374556E-2</v>
      </c>
      <c r="I42" s="265">
        <f t="shared" si="17"/>
        <v>8.8756201131647838E-2</v>
      </c>
      <c r="J42" s="265">
        <f t="shared" si="17"/>
        <v>0.10359925881994636</v>
      </c>
      <c r="K42" s="265">
        <f t="shared" si="17"/>
        <v>0.10556077505393868</v>
      </c>
      <c r="L42" s="62"/>
      <c r="M42" s="62"/>
      <c r="N42" s="62"/>
      <c r="O42" s="105" t="s">
        <v>560</v>
      </c>
      <c r="P42" s="19"/>
      <c r="Q42" s="19"/>
    </row>
    <row r="43" spans="3:17">
      <c r="C43" s="17" t="s">
        <v>193</v>
      </c>
      <c r="D43" s="463"/>
      <c r="E43" s="62">
        <f t="shared" si="16"/>
        <v>0.10581154166747453</v>
      </c>
      <c r="F43" s="62">
        <f t="shared" si="16"/>
        <v>-2.0027872487750953E-2</v>
      </c>
      <c r="G43" s="265">
        <f t="shared" si="16"/>
        <v>1.468309021429981E-2</v>
      </c>
      <c r="H43" s="265">
        <f t="shared" si="16"/>
        <v>6.30521126785899E-2</v>
      </c>
      <c r="I43" s="265">
        <f t="shared" si="16"/>
        <v>9.1286511028036088E-2</v>
      </c>
      <c r="J43" s="265">
        <f t="shared" si="16"/>
        <v>9.6653784849234592E-2</v>
      </c>
      <c r="K43" s="265">
        <f t="shared" si="16"/>
        <v>0.10187557247042567</v>
      </c>
      <c r="L43" s="62"/>
      <c r="M43" s="62"/>
      <c r="N43" s="62"/>
      <c r="O43" s="105" t="s">
        <v>561</v>
      </c>
      <c r="P43" s="19"/>
      <c r="Q43" s="19"/>
    </row>
    <row r="44" spans="3:17">
      <c r="C44" s="17" t="s">
        <v>131</v>
      </c>
      <c r="D44" s="62">
        <f>D20/D18</f>
        <v>0.68008359612158653</v>
      </c>
      <c r="E44" s="62">
        <f>E20/E18</f>
        <v>0.68286560891270753</v>
      </c>
      <c r="F44" s="62">
        <f>F20/F18</f>
        <v>0.69094045256273462</v>
      </c>
      <c r="G44" s="266">
        <f>G290</f>
        <v>0.69699999999999995</v>
      </c>
      <c r="H44" s="266">
        <f t="shared" ref="H44:K45" si="18">H290</f>
        <v>0.69879999999999998</v>
      </c>
      <c r="I44" s="266">
        <f t="shared" si="18"/>
        <v>0.69810000000000005</v>
      </c>
      <c r="J44" s="266">
        <f>J290</f>
        <v>0.7</v>
      </c>
      <c r="K44" s="266">
        <f t="shared" si="18"/>
        <v>0.70099999999999996</v>
      </c>
      <c r="L44" s="19"/>
      <c r="M44" s="19"/>
      <c r="N44" s="19"/>
      <c r="O44" s="105" t="s">
        <v>560</v>
      </c>
      <c r="P44" s="19"/>
      <c r="Q44" s="19"/>
    </row>
    <row r="45" spans="3:17">
      <c r="C45" s="17" t="s">
        <v>161</v>
      </c>
      <c r="D45" s="62">
        <f>-D21/D18</f>
        <v>0.42051701844634004</v>
      </c>
      <c r="E45" s="62">
        <f>-E21/E18</f>
        <v>0.40917455164055638</v>
      </c>
      <c r="F45" s="62">
        <f>-F21/F18</f>
        <v>0.42255681912417559</v>
      </c>
      <c r="G45" s="266">
        <f>G291</f>
        <v>0.42255681912417559</v>
      </c>
      <c r="H45" s="266">
        <f t="shared" si="18"/>
        <v>0.42255681912417559</v>
      </c>
      <c r="I45" s="266">
        <f t="shared" si="18"/>
        <v>0.42255681912417559</v>
      </c>
      <c r="J45" s="266">
        <f t="shared" si="18"/>
        <v>0.42255681912417559</v>
      </c>
      <c r="K45" s="266">
        <f t="shared" si="18"/>
        <v>0.42255681912417559</v>
      </c>
      <c r="L45" s="19"/>
      <c r="M45" s="19"/>
      <c r="N45" s="19"/>
      <c r="O45" s="105" t="s">
        <v>560</v>
      </c>
      <c r="P45" s="19"/>
      <c r="Q45" s="19"/>
    </row>
    <row r="46" spans="3:17">
      <c r="C46" s="17" t="s">
        <v>162</v>
      </c>
      <c r="D46" s="62">
        <f>-D22/D18</f>
        <v>1.4309944403617951E-2</v>
      </c>
      <c r="E46" s="62">
        <f>-E22/E18</f>
        <v>1.4993495591456431E-2</v>
      </c>
      <c r="F46" s="62">
        <f>-F22/F18</f>
        <v>1.5634588486352907E-2</v>
      </c>
      <c r="G46" s="266">
        <f>F46</f>
        <v>1.5634588486352907E-2</v>
      </c>
      <c r="H46" s="266">
        <f t="shared" ref="H46:K47" si="19">G46</f>
        <v>1.5634588486352907E-2</v>
      </c>
      <c r="I46" s="266">
        <f t="shared" si="19"/>
        <v>1.5634588486352907E-2</v>
      </c>
      <c r="J46" s="266">
        <f t="shared" si="19"/>
        <v>1.5634588486352907E-2</v>
      </c>
      <c r="K46" s="266">
        <f t="shared" si="19"/>
        <v>1.5634588486352907E-2</v>
      </c>
      <c r="L46" s="19"/>
      <c r="M46" s="19"/>
      <c r="N46" s="19"/>
      <c r="O46" s="105" t="s">
        <v>186</v>
      </c>
      <c r="P46" s="19"/>
      <c r="Q46" s="19"/>
    </row>
    <row r="47" spans="3:17">
      <c r="C47" s="17" t="s">
        <v>163</v>
      </c>
      <c r="D47" s="62">
        <f>-D24/D18</f>
        <v>6.300716582481404E-2</v>
      </c>
      <c r="E47" s="62">
        <f>-E24/E18</f>
        <v>6.7859882809459759E-2</v>
      </c>
      <c r="F47" s="62">
        <f>-F24/F18</f>
        <v>6.975027780695596E-2</v>
      </c>
      <c r="G47" s="266">
        <f>F47</f>
        <v>6.975027780695596E-2</v>
      </c>
      <c r="H47" s="266">
        <f t="shared" si="19"/>
        <v>6.975027780695596E-2</v>
      </c>
      <c r="I47" s="266">
        <f t="shared" si="19"/>
        <v>6.975027780695596E-2</v>
      </c>
      <c r="J47" s="266">
        <f t="shared" si="19"/>
        <v>6.975027780695596E-2</v>
      </c>
      <c r="K47" s="266">
        <f t="shared" si="19"/>
        <v>6.975027780695596E-2</v>
      </c>
      <c r="L47" s="19"/>
      <c r="M47" s="19"/>
      <c r="N47" s="19"/>
      <c r="O47" s="105" t="s">
        <v>186</v>
      </c>
      <c r="P47" s="19"/>
      <c r="Q47" s="19"/>
    </row>
    <row r="48" spans="3:17">
      <c r="C48" s="17" t="s">
        <v>164</v>
      </c>
      <c r="D48" s="62">
        <f>-D25/D18</f>
        <v>1.4263433208373255E-3</v>
      </c>
      <c r="E48" s="62">
        <f>-E25/E18</f>
        <v>6.0596626602475018E-4</v>
      </c>
      <c r="F48" s="94">
        <f>-F25/F18</f>
        <v>0</v>
      </c>
      <c r="G48" s="266">
        <f>F48</f>
        <v>0</v>
      </c>
      <c r="H48" s="266">
        <f t="shared" ref="H48:K48" si="20">G48</f>
        <v>0</v>
      </c>
      <c r="I48" s="266">
        <f t="shared" si="20"/>
        <v>0</v>
      </c>
      <c r="J48" s="266">
        <f t="shared" si="20"/>
        <v>0</v>
      </c>
      <c r="K48" s="266">
        <f t="shared" si="20"/>
        <v>0</v>
      </c>
      <c r="L48" s="19"/>
      <c r="M48" s="19"/>
      <c r="N48" s="19"/>
      <c r="O48" s="105" t="s">
        <v>194</v>
      </c>
      <c r="P48" s="19"/>
      <c r="Q48" s="19"/>
    </row>
    <row r="49" spans="1:17">
      <c r="C49" s="17" t="s">
        <v>0</v>
      </c>
      <c r="D49" s="62">
        <f>-D33/D32</f>
        <v>0.22413100498593985</v>
      </c>
      <c r="E49" s="62">
        <f>-E33/E32</f>
        <v>0.23643532831040925</v>
      </c>
      <c r="F49" s="62">
        <f>-F33/F32</f>
        <v>0.24293705730843534</v>
      </c>
      <c r="G49" s="266">
        <v>0.2419</v>
      </c>
      <c r="H49" s="266">
        <v>0.24310000000000001</v>
      </c>
      <c r="I49" s="266">
        <v>0.24110000000000001</v>
      </c>
      <c r="J49" s="266">
        <v>0.24149999999999999</v>
      </c>
      <c r="K49" s="266">
        <v>0.24149999999999999</v>
      </c>
      <c r="L49" s="19"/>
      <c r="M49" s="19"/>
      <c r="N49" s="19"/>
      <c r="O49" s="105" t="s">
        <v>185</v>
      </c>
      <c r="P49" s="19"/>
      <c r="Q49" s="19"/>
    </row>
    <row r="50" spans="1:17">
      <c r="C50" s="17"/>
      <c r="F50" s="264"/>
      <c r="G50" s="264"/>
      <c r="H50" s="264"/>
      <c r="I50" s="264"/>
      <c r="J50" s="264"/>
      <c r="K50" s="264"/>
    </row>
    <row r="51" spans="1:17">
      <c r="A51" t="s">
        <v>322</v>
      </c>
      <c r="C51" s="385" t="s">
        <v>14</v>
      </c>
      <c r="D51" s="389"/>
      <c r="E51" s="389"/>
      <c r="F51" s="389"/>
      <c r="G51" s="387"/>
      <c r="H51" s="387"/>
      <c r="I51" s="387"/>
      <c r="J51" s="387"/>
      <c r="K51" s="387"/>
    </row>
    <row r="52" spans="1:17">
      <c r="C52" s="23" t="str">
        <f>$C$15</f>
        <v xml:space="preserve">Fiscal year  </v>
      </c>
      <c r="D52" s="20"/>
      <c r="E52" s="20">
        <f t="shared" ref="E52:K53" si="21">E15</f>
        <v>2023</v>
      </c>
      <c r="F52" s="20">
        <f t="shared" si="21"/>
        <v>2024</v>
      </c>
      <c r="G52" s="77">
        <f t="shared" si="21"/>
        <v>2025</v>
      </c>
      <c r="H52" s="77">
        <f t="shared" si="21"/>
        <v>2026</v>
      </c>
      <c r="I52" s="77">
        <f t="shared" si="21"/>
        <v>2027</v>
      </c>
      <c r="J52" s="77">
        <f t="shared" si="21"/>
        <v>2028</v>
      </c>
      <c r="K52" s="77">
        <f t="shared" si="21"/>
        <v>2029</v>
      </c>
    </row>
    <row r="53" spans="1:17">
      <c r="C53" s="6" t="str">
        <f>$C$16</f>
        <v>Fiscal year end date</v>
      </c>
      <c r="D53" s="22"/>
      <c r="E53" s="22">
        <f t="shared" si="21"/>
        <v>45200</v>
      </c>
      <c r="F53" s="22">
        <f t="shared" si="21"/>
        <v>45564</v>
      </c>
      <c r="G53" s="22">
        <f t="shared" si="21"/>
        <v>45930</v>
      </c>
      <c r="H53" s="22">
        <f t="shared" si="21"/>
        <v>46295</v>
      </c>
      <c r="I53" s="22">
        <f t="shared" si="21"/>
        <v>46660</v>
      </c>
      <c r="J53" s="22">
        <f t="shared" si="21"/>
        <v>47026</v>
      </c>
      <c r="K53" s="22">
        <f t="shared" si="21"/>
        <v>47391</v>
      </c>
    </row>
    <row r="54" spans="1:17">
      <c r="C54" t="s">
        <v>170</v>
      </c>
      <c r="D54" s="3"/>
      <c r="E54" s="394">
        <f>3551.5+401.5</f>
        <v>3953</v>
      </c>
      <c r="F54" s="394">
        <f>3286.2+257</f>
        <v>3543.2</v>
      </c>
      <c r="G54" s="395">
        <f ca="1">F54+G122</f>
        <v>2736.4481682715382</v>
      </c>
      <c r="H54" s="395">
        <f ca="1">G54+H122</f>
        <v>2116.1512867851475</v>
      </c>
      <c r="I54" s="395">
        <f ca="1">H54+I122</f>
        <v>1576.8382771391312</v>
      </c>
      <c r="J54" s="395">
        <f ca="1">I54+J122</f>
        <v>1375.8223667659527</v>
      </c>
      <c r="K54" s="395">
        <f ca="1">J54+K122</f>
        <v>1701.6697753081803</v>
      </c>
      <c r="O54" t="s">
        <v>86</v>
      </c>
    </row>
    <row r="55" spans="1:17">
      <c r="C55" s="80" t="s">
        <v>40</v>
      </c>
      <c r="D55" s="3"/>
      <c r="E55" s="394">
        <v>1184.0999999999999</v>
      </c>
      <c r="F55" s="394">
        <v>1213.8</v>
      </c>
      <c r="G55" s="395">
        <f t="shared" ref="G55:K56" si="22">F55*(1+G42)</f>
        <v>1256.2529420411761</v>
      </c>
      <c r="H55" s="395">
        <f t="shared" si="22"/>
        <v>1343.4431947574924</v>
      </c>
      <c r="I55" s="395">
        <f t="shared" si="22"/>
        <v>1462.6821091603319</v>
      </c>
      <c r="J55" s="395">
        <f t="shared" si="22"/>
        <v>1614.2148915585383</v>
      </c>
      <c r="K55" s="395">
        <f t="shared" si="22"/>
        <v>1784.6126666150672</v>
      </c>
      <c r="O55" t="s">
        <v>75</v>
      </c>
    </row>
    <row r="56" spans="1:17">
      <c r="C56" s="80" t="s">
        <v>41</v>
      </c>
      <c r="D56" s="3"/>
      <c r="E56" s="394">
        <v>1806.4</v>
      </c>
      <c r="F56" s="394">
        <v>1777.3</v>
      </c>
      <c r="G56" s="395">
        <f t="shared" si="22"/>
        <v>1803.3962562378749</v>
      </c>
      <c r="H56" s="395">
        <f t="shared" si="22"/>
        <v>1917.1042001903327</v>
      </c>
      <c r="I56" s="395">
        <f t="shared" si="22"/>
        <v>2092.1099539029019</v>
      </c>
      <c r="J56" s="395">
        <f t="shared" si="22"/>
        <v>2294.320299268375</v>
      </c>
      <c r="K56" s="395">
        <f t="shared" si="22"/>
        <v>2528.0554931868592</v>
      </c>
      <c r="O56" t="s">
        <v>76</v>
      </c>
    </row>
    <row r="57" spans="1:17">
      <c r="C57" s="80" t="s">
        <v>169</v>
      </c>
      <c r="D57" s="3"/>
      <c r="E57" s="394">
        <v>359.9</v>
      </c>
      <c r="F57" s="394">
        <v>313.10000000000002</v>
      </c>
      <c r="G57" s="395">
        <f>F57*(1+G42)</f>
        <v>324.05074654233999</v>
      </c>
      <c r="H57" s="395">
        <f>G57*(1+H42)</f>
        <v>346.54149306193023</v>
      </c>
      <c r="I57" s="395">
        <f>H57*(1+I42)</f>
        <v>377.29919952059646</v>
      </c>
      <c r="J57" s="395">
        <f>I57*(1+J42)</f>
        <v>416.38711694428929</v>
      </c>
      <c r="K57" s="395">
        <f>J57*(1+K42)</f>
        <v>460.34126373140344</v>
      </c>
      <c r="O57" t="s">
        <v>75</v>
      </c>
    </row>
    <row r="58" spans="1:17">
      <c r="C58" t="s">
        <v>171</v>
      </c>
      <c r="D58" s="3"/>
      <c r="E58" s="394">
        <v>247.4</v>
      </c>
      <c r="F58" s="394">
        <v>276</v>
      </c>
      <c r="G58" s="396">
        <f>F58*(1+G42)</f>
        <v>285.65316526887841</v>
      </c>
      <c r="H58" s="396">
        <f>G58*(1+H42)</f>
        <v>305.47892713220295</v>
      </c>
      <c r="I58" s="396">
        <f>H58*(1+I42)</f>
        <v>332.59207623022877</v>
      </c>
      <c r="J58" s="396">
        <f>I58*(1+J42)</f>
        <v>367.04836881706757</v>
      </c>
      <c r="K58" s="396">
        <f>J58*(1+K42)</f>
        <v>405.79427911168113</v>
      </c>
      <c r="O58" t="s">
        <v>75</v>
      </c>
    </row>
    <row r="59" spans="1:17">
      <c r="C59" s="80" t="s">
        <v>182</v>
      </c>
      <c r="D59" s="234"/>
      <c r="E59" s="394">
        <v>439.9</v>
      </c>
      <c r="F59" s="394">
        <v>463.9</v>
      </c>
      <c r="G59" s="397">
        <f>G191</f>
        <v>598.07832210741537</v>
      </c>
      <c r="H59" s="397">
        <f t="shared" ref="H59:K59" si="23">H191</f>
        <v>738.7981357466773</v>
      </c>
      <c r="I59" s="397">
        <f t="shared" si="23"/>
        <v>898.06428159284724</v>
      </c>
      <c r="J59" s="397">
        <f t="shared" si="23"/>
        <v>1065.3070159926192</v>
      </c>
      <c r="K59" s="397">
        <f t="shared" si="23"/>
        <v>1236.6923464902243</v>
      </c>
      <c r="O59" t="s">
        <v>607</v>
      </c>
    </row>
    <row r="60" spans="1:17">
      <c r="C60" s="80" t="s">
        <v>15</v>
      </c>
      <c r="D60" s="234"/>
      <c r="E60" s="394">
        <v>7387.1</v>
      </c>
      <c r="F60" s="394">
        <v>8665.5</v>
      </c>
      <c r="G60" s="397">
        <f>G132</f>
        <v>10398.987723478262</v>
      </c>
      <c r="H60" s="397">
        <f t="shared" ref="H60:K60" si="24">H132</f>
        <v>12399.852728090738</v>
      </c>
      <c r="I60" s="397">
        <f>I132</f>
        <v>14719.021558294569</v>
      </c>
      <c r="J60" s="397">
        <f t="shared" si="24"/>
        <v>17186.062404132848</v>
      </c>
      <c r="K60" s="397">
        <f t="shared" si="24"/>
        <v>19545.21476693037</v>
      </c>
      <c r="O60" t="s">
        <v>77</v>
      </c>
    </row>
    <row r="61" spans="1:17">
      <c r="C61" t="s">
        <v>172</v>
      </c>
      <c r="D61" s="3"/>
      <c r="E61" s="394">
        <v>8412.6</v>
      </c>
      <c r="F61" s="394">
        <v>9286.2000000000007</v>
      </c>
      <c r="G61" s="396">
        <f>G171</f>
        <v>9861.7118745332336</v>
      </c>
      <c r="H61" s="396">
        <f t="shared" ref="H61:K61" si="25">H171</f>
        <v>10474.616977658246</v>
      </c>
      <c r="I61" s="396">
        <f t="shared" si="25"/>
        <v>11127.344891815279</v>
      </c>
      <c r="J61" s="396">
        <f t="shared" si="25"/>
        <v>11822.483058796553</v>
      </c>
      <c r="K61" s="396">
        <f t="shared" si="25"/>
        <v>12562.787036477881</v>
      </c>
      <c r="L61" s="150"/>
      <c r="M61" s="150"/>
      <c r="N61" s="150"/>
      <c r="O61" t="s">
        <v>338</v>
      </c>
    </row>
    <row r="62" spans="1:17">
      <c r="C62" t="s">
        <v>173</v>
      </c>
      <c r="D62" s="3"/>
      <c r="E62" s="394">
        <v>1769.8</v>
      </c>
      <c r="F62" s="394">
        <v>1766.7</v>
      </c>
      <c r="G62" s="396">
        <f>F62</f>
        <v>1766.7</v>
      </c>
      <c r="H62" s="396">
        <f t="shared" ref="H62:K62" si="26">G62</f>
        <v>1766.7</v>
      </c>
      <c r="I62" s="396">
        <f t="shared" si="26"/>
        <v>1766.7</v>
      </c>
      <c r="J62" s="396">
        <f t="shared" si="26"/>
        <v>1766.7</v>
      </c>
      <c r="K62" s="396">
        <f t="shared" si="26"/>
        <v>1766.7</v>
      </c>
      <c r="O62" t="s">
        <v>67</v>
      </c>
    </row>
    <row r="63" spans="1:17" s="71" customFormat="1">
      <c r="C63" s="80" t="s">
        <v>168</v>
      </c>
      <c r="D63" s="234"/>
      <c r="E63" s="394">
        <v>120.5</v>
      </c>
      <c r="F63" s="394">
        <v>100.9</v>
      </c>
      <c r="G63" s="397">
        <f>F63*(1+G42)</f>
        <v>104.42900136097765</v>
      </c>
      <c r="H63" s="397">
        <f>G63*(1+H42)</f>
        <v>111.67689763637419</v>
      </c>
      <c r="I63" s="397">
        <f>H63*(1+I42)</f>
        <v>121.58891482474667</v>
      </c>
      <c r="J63" s="397">
        <f>I63*(1+J42)</f>
        <v>134.18543628131201</v>
      </c>
      <c r="K63" s="397">
        <f>J63*(1+K42)</f>
        <v>148.3501549361182</v>
      </c>
      <c r="O63" s="80" t="s">
        <v>361</v>
      </c>
    </row>
    <row r="64" spans="1:17">
      <c r="C64" t="s">
        <v>166</v>
      </c>
      <c r="D64" s="3"/>
      <c r="E64" s="394">
        <v>3218.3</v>
      </c>
      <c r="F64" s="394">
        <v>3315.7</v>
      </c>
      <c r="G64" s="396">
        <f>F64</f>
        <v>3315.7</v>
      </c>
      <c r="H64" s="396">
        <f t="shared" ref="H64:K65" si="27">G64</f>
        <v>3315.7</v>
      </c>
      <c r="I64" s="396">
        <f t="shared" si="27"/>
        <v>3315.7</v>
      </c>
      <c r="J64" s="396">
        <f t="shared" si="27"/>
        <v>3315.7</v>
      </c>
      <c r="K64" s="396">
        <f t="shared" si="27"/>
        <v>3315.7</v>
      </c>
      <c r="O64" t="s">
        <v>67</v>
      </c>
    </row>
    <row r="65" spans="3:15">
      <c r="C65" t="s">
        <v>167</v>
      </c>
      <c r="D65" s="3"/>
      <c r="E65" s="394">
        <v>546.5</v>
      </c>
      <c r="F65" s="394">
        <v>617</v>
      </c>
      <c r="G65" s="395">
        <f>F65</f>
        <v>617</v>
      </c>
      <c r="H65" s="395">
        <f t="shared" si="27"/>
        <v>617</v>
      </c>
      <c r="I65" s="395">
        <f t="shared" si="27"/>
        <v>617</v>
      </c>
      <c r="J65" s="395">
        <f t="shared" si="27"/>
        <v>617</v>
      </c>
      <c r="K65" s="395">
        <f t="shared" si="27"/>
        <v>617</v>
      </c>
      <c r="O65" t="s">
        <v>67</v>
      </c>
    </row>
    <row r="66" spans="3:15">
      <c r="D66" s="3"/>
      <c r="E66" s="394"/>
      <c r="F66" s="394"/>
      <c r="G66" s="395"/>
      <c r="H66" s="395"/>
      <c r="I66" s="395"/>
      <c r="J66" s="395"/>
      <c r="K66" s="395"/>
    </row>
    <row r="67" spans="3:15">
      <c r="C67" s="24" t="s">
        <v>16</v>
      </c>
      <c r="D67" s="14"/>
      <c r="E67" s="398">
        <f t="shared" ref="E67:K67" si="28">SUM(E54:E65)</f>
        <v>29445.5</v>
      </c>
      <c r="F67" s="398">
        <f t="shared" si="28"/>
        <v>31339.300000000003</v>
      </c>
      <c r="G67" s="398">
        <f t="shared" ca="1" si="28"/>
        <v>33068.408199841695</v>
      </c>
      <c r="H67" s="398">
        <f t="shared" ca="1" si="28"/>
        <v>35453.063841059142</v>
      </c>
      <c r="I67" s="398">
        <f t="shared" ca="1" si="28"/>
        <v>38406.941262480628</v>
      </c>
      <c r="J67" s="398">
        <f t="shared" ca="1" si="28"/>
        <v>41975.230958557549</v>
      </c>
      <c r="K67" s="398">
        <f t="shared" ca="1" si="28"/>
        <v>46072.917782787779</v>
      </c>
    </row>
    <row r="68" spans="3:15">
      <c r="C68" s="25"/>
      <c r="D68" s="15"/>
      <c r="E68" s="398"/>
      <c r="F68" s="398"/>
      <c r="G68" s="395"/>
      <c r="H68" s="395"/>
      <c r="I68" s="395"/>
      <c r="J68" s="395"/>
      <c r="K68" s="395"/>
    </row>
    <row r="69" spans="3:15">
      <c r="C69" s="25" t="s">
        <v>42</v>
      </c>
      <c r="D69" s="3"/>
      <c r="E69" s="394">
        <v>1544.3</v>
      </c>
      <c r="F69" s="394">
        <v>1595.5</v>
      </c>
      <c r="G69" s="395">
        <f>F69*(1+G43)</f>
        <v>1618.9268704369154</v>
      </c>
      <c r="H69" s="395">
        <f>G69*(1+H43)</f>
        <v>1721.0036298901007</v>
      </c>
      <c r="I69" s="395">
        <f>H69*(1+I43)</f>
        <v>1878.1080467293534</v>
      </c>
      <c r="J69" s="395">
        <f>I69*(1+J43)</f>
        <v>2059.6342978015487</v>
      </c>
      <c r="K69" s="395">
        <f>J69*(1+K43)</f>
        <v>2269.4607209698047</v>
      </c>
      <c r="O69" t="s">
        <v>76</v>
      </c>
    </row>
    <row r="70" spans="3:15">
      <c r="C70" s="25" t="s">
        <v>85</v>
      </c>
      <c r="D70" s="3"/>
      <c r="E70" s="394">
        <f>2145.1+828.3</f>
        <v>2973.3999999999996</v>
      </c>
      <c r="F70" s="394">
        <f>2194.7+ 786.6</f>
        <v>2981.2999999999997</v>
      </c>
      <c r="G70" s="395">
        <f>F70*(1+G42)</f>
        <v>3085.5716725221273</v>
      </c>
      <c r="H70" s="395">
        <f>G70*(1+H42)</f>
        <v>3299.7258168812918</v>
      </c>
      <c r="I70" s="395">
        <f>H70*(1+I42)</f>
        <v>3592.5969451636988</v>
      </c>
      <c r="J70" s="395">
        <f>I70*(1+J42)</f>
        <v>3964.7873259214616</v>
      </c>
      <c r="K70" s="395">
        <f>J70*(1+K42)</f>
        <v>4383.3133489697639</v>
      </c>
      <c r="O70" t="s">
        <v>75</v>
      </c>
    </row>
    <row r="71" spans="3:15">
      <c r="C71" t="s">
        <v>174</v>
      </c>
      <c r="D71" s="3"/>
      <c r="E71" s="394">
        <f>1700.2+6101.8</f>
        <v>7802</v>
      </c>
      <c r="F71" s="394">
        <f>1781.2+5963.6</f>
        <v>7744.8</v>
      </c>
      <c r="G71" s="395">
        <f>F71*(1+G42)</f>
        <v>8015.6762115014835</v>
      </c>
      <c r="H71" s="395">
        <f>G71*(1+H42)</f>
        <v>8572.0043291792936</v>
      </c>
      <c r="I71" s="395">
        <f>H71*(1+I42)</f>
        <v>9332.8228695212874</v>
      </c>
      <c r="J71" s="395">
        <f>I71*(1+J42)</f>
        <v>10299.696401501538</v>
      </c>
      <c r="K71" s="395">
        <f>J71*(1+K42)</f>
        <v>11386.940336464304</v>
      </c>
      <c r="O71" t="s">
        <v>75</v>
      </c>
    </row>
    <row r="72" spans="3:15">
      <c r="C72" s="25" t="s">
        <v>175</v>
      </c>
      <c r="D72" s="3"/>
      <c r="E72" s="394">
        <f>1275.3+7924.8</f>
        <v>9200.1</v>
      </c>
      <c r="F72" s="394">
        <f>1463.1+8771.6</f>
        <v>10234.700000000001</v>
      </c>
      <c r="G72" s="396">
        <f t="shared" ref="G72:K72" si="29">G181</f>
        <v>11223.212375653475</v>
      </c>
      <c r="H72" s="396">
        <f t="shared" si="29"/>
        <v>12286.952046673528</v>
      </c>
      <c r="I72" s="396">
        <f t="shared" si="29"/>
        <v>13431.180815105397</v>
      </c>
      <c r="J72" s="396">
        <f t="shared" si="29"/>
        <v>14661.515078392487</v>
      </c>
      <c r="K72" s="396">
        <f t="shared" si="29"/>
        <v>15983.949301145823</v>
      </c>
      <c r="L72" s="150"/>
      <c r="M72" s="150"/>
      <c r="N72" s="150"/>
      <c r="O72" t="s">
        <v>343</v>
      </c>
    </row>
    <row r="73" spans="3:15">
      <c r="C73" s="256" t="s">
        <v>345</v>
      </c>
      <c r="D73" s="3"/>
      <c r="E73" s="394">
        <v>33.5</v>
      </c>
      <c r="F73" s="404">
        <v>0</v>
      </c>
      <c r="G73" s="395">
        <f>AVERAGE(E73:F73)</f>
        <v>16.75</v>
      </c>
      <c r="H73" s="395">
        <f>G73</f>
        <v>16.75</v>
      </c>
      <c r="I73" s="395">
        <f t="shared" ref="I73:K73" si="30">H73</f>
        <v>16.75</v>
      </c>
      <c r="J73" s="395">
        <f t="shared" si="30"/>
        <v>16.75</v>
      </c>
      <c r="K73" s="395">
        <f t="shared" si="30"/>
        <v>16.75</v>
      </c>
      <c r="L73" s="32"/>
      <c r="O73" t="s">
        <v>357</v>
      </c>
    </row>
    <row r="74" spans="3:15">
      <c r="C74" s="256" t="s">
        <v>17</v>
      </c>
      <c r="D74" s="3"/>
      <c r="E74" s="404">
        <v>0</v>
      </c>
      <c r="F74" s="404">
        <v>0</v>
      </c>
      <c r="G74" s="403">
        <f ca="1">G228</f>
        <v>0</v>
      </c>
      <c r="H74" s="403">
        <f t="shared" ref="H74:K74" ca="1" si="31">H228</f>
        <v>0</v>
      </c>
      <c r="I74" s="403">
        <f t="shared" ca="1" si="31"/>
        <v>0</v>
      </c>
      <c r="J74" s="403">
        <f t="shared" ca="1" si="31"/>
        <v>0</v>
      </c>
      <c r="K74" s="403">
        <f t="shared" ca="1" si="31"/>
        <v>0</v>
      </c>
      <c r="O74" t="s">
        <v>609</v>
      </c>
    </row>
    <row r="75" spans="3:15">
      <c r="C75" s="25" t="s">
        <v>89</v>
      </c>
      <c r="D75" s="3"/>
      <c r="E75" s="394">
        <f>1818.6+13547.6</f>
        <v>15366.2</v>
      </c>
      <c r="F75" s="394">
        <f>1248.9+14319.5</f>
        <v>15568.4</v>
      </c>
      <c r="G75" s="396">
        <f>F75</f>
        <v>15568.4</v>
      </c>
      <c r="H75" s="396">
        <f t="shared" ref="H75:K75" si="32">G75</f>
        <v>15568.4</v>
      </c>
      <c r="I75" s="396">
        <f t="shared" si="32"/>
        <v>15568.4</v>
      </c>
      <c r="J75" s="396">
        <f t="shared" si="32"/>
        <v>15568.4</v>
      </c>
      <c r="K75" s="396">
        <f t="shared" si="32"/>
        <v>15568.4</v>
      </c>
      <c r="O75" t="s">
        <v>67</v>
      </c>
    </row>
    <row r="76" spans="3:15">
      <c r="C76" s="25" t="s">
        <v>183</v>
      </c>
      <c r="D76" s="3"/>
      <c r="E76" s="394">
        <v>14.6</v>
      </c>
      <c r="F76" s="394">
        <v>21.1</v>
      </c>
      <c r="G76" s="396">
        <f>F76</f>
        <v>21.1</v>
      </c>
      <c r="H76" s="396">
        <f t="shared" ref="H76:K77" si="33">G76</f>
        <v>21.1</v>
      </c>
      <c r="I76" s="396">
        <f t="shared" si="33"/>
        <v>21.1</v>
      </c>
      <c r="J76" s="396">
        <f t="shared" si="33"/>
        <v>21.1</v>
      </c>
      <c r="K76" s="396">
        <f t="shared" si="33"/>
        <v>21.1</v>
      </c>
      <c r="O76" t="s">
        <v>67</v>
      </c>
    </row>
    <row r="77" spans="3:15" ht="15.6" customHeight="1">
      <c r="C77" s="25" t="s">
        <v>176</v>
      </c>
      <c r="D77" s="3"/>
      <c r="E77" s="394">
        <f>513.8-14.6</f>
        <v>499.19999999999993</v>
      </c>
      <c r="F77" s="394">
        <f>656.2-21.1</f>
        <v>635.1</v>
      </c>
      <c r="G77" s="395">
        <f>F77</f>
        <v>635.1</v>
      </c>
      <c r="H77" s="395">
        <f t="shared" si="33"/>
        <v>635.1</v>
      </c>
      <c r="I77" s="395">
        <f t="shared" si="33"/>
        <v>635.1</v>
      </c>
      <c r="J77" s="395">
        <f t="shared" si="33"/>
        <v>635.1</v>
      </c>
      <c r="K77" s="395">
        <f t="shared" si="33"/>
        <v>635.1</v>
      </c>
      <c r="O77" t="s">
        <v>67</v>
      </c>
    </row>
    <row r="78" spans="3:15" ht="15.6" customHeight="1">
      <c r="C78" s="25"/>
      <c r="D78" s="3"/>
      <c r="E78" s="394"/>
      <c r="F78" s="394"/>
      <c r="G78" s="395"/>
      <c r="H78" s="395"/>
      <c r="I78" s="395"/>
      <c r="J78" s="395"/>
      <c r="K78" s="395"/>
    </row>
    <row r="79" spans="3:15">
      <c r="C79" s="24" t="s">
        <v>18</v>
      </c>
      <c r="D79" s="14"/>
      <c r="E79" s="398">
        <f t="shared" ref="E79:K79" si="34">SUM(E69:E77)</f>
        <v>37433.299999999996</v>
      </c>
      <c r="F79" s="398">
        <f t="shared" si="34"/>
        <v>38780.899999999994</v>
      </c>
      <c r="G79" s="398">
        <f ca="1">SUM(G69:G78)</f>
        <v>40184.737130114001</v>
      </c>
      <c r="H79" s="398">
        <f t="shared" ca="1" si="34"/>
        <v>42121.03582262421</v>
      </c>
      <c r="I79" s="398">
        <f t="shared" ca="1" si="34"/>
        <v>44476.058676519737</v>
      </c>
      <c r="J79" s="398">
        <f t="shared" ca="1" si="34"/>
        <v>47226.983103617036</v>
      </c>
      <c r="K79" s="398">
        <f t="shared" ca="1" si="34"/>
        <v>50265.013707549697</v>
      </c>
    </row>
    <row r="80" spans="3:15">
      <c r="C80" s="24"/>
      <c r="D80" s="14"/>
      <c r="E80" s="395"/>
      <c r="F80" s="395"/>
      <c r="G80" s="395"/>
      <c r="H80" s="395"/>
      <c r="I80" s="395"/>
      <c r="J80" s="395"/>
      <c r="K80" s="395"/>
    </row>
    <row r="81" spans="1:15">
      <c r="C81" s="25" t="s">
        <v>43</v>
      </c>
      <c r="D81" s="3"/>
      <c r="E81" s="394">
        <v>1.1000000000000001</v>
      </c>
      <c r="F81" s="394">
        <v>1.1000000000000001</v>
      </c>
      <c r="G81" s="396">
        <f>F81</f>
        <v>1.1000000000000001</v>
      </c>
      <c r="H81" s="396">
        <f t="shared" ref="H81:K81" si="35">G81</f>
        <v>1.1000000000000001</v>
      </c>
      <c r="I81" s="396">
        <f t="shared" si="35"/>
        <v>1.1000000000000001</v>
      </c>
      <c r="J81" s="396">
        <f t="shared" si="35"/>
        <v>1.1000000000000001</v>
      </c>
      <c r="K81" s="396">
        <f t="shared" si="35"/>
        <v>1.1000000000000001</v>
      </c>
      <c r="O81" t="s">
        <v>67</v>
      </c>
    </row>
    <row r="82" spans="1:15" ht="14.1" customHeight="1">
      <c r="C82" s="25" t="s">
        <v>177</v>
      </c>
      <c r="D82" s="12"/>
      <c r="E82" s="399">
        <v>-7255.8</v>
      </c>
      <c r="F82" s="399">
        <v>-7343.8</v>
      </c>
      <c r="G82" s="396">
        <f>G210</f>
        <v>-7331.0291854093266</v>
      </c>
      <c r="H82" s="396">
        <f t="shared" ref="H82:K82" ca="1" si="36">H210</f>
        <v>-7217.5389285129149</v>
      </c>
      <c r="I82" s="396">
        <f t="shared" ca="1" si="36"/>
        <v>-6984.2259631991365</v>
      </c>
      <c r="J82" s="396">
        <f t="shared" ca="1" si="36"/>
        <v>-6571.3532463031843</v>
      </c>
      <c r="K82" s="396">
        <f t="shared" ca="1" si="36"/>
        <v>-5959.9891000340249</v>
      </c>
      <c r="O82" t="s">
        <v>192</v>
      </c>
    </row>
    <row r="83" spans="1:15" ht="15.6" customHeight="1">
      <c r="C83" s="25" t="s">
        <v>88</v>
      </c>
      <c r="D83" s="3"/>
      <c r="E83" s="399">
        <v>-778.2</v>
      </c>
      <c r="F83" s="399">
        <v>-428.8</v>
      </c>
      <c r="G83" s="396">
        <f>F83</f>
        <v>-428.8</v>
      </c>
      <c r="H83" s="396">
        <f t="shared" ref="H83:K83" si="37">G83</f>
        <v>-428.8</v>
      </c>
      <c r="I83" s="396">
        <f t="shared" si="37"/>
        <v>-428.8</v>
      </c>
      <c r="J83" s="396">
        <f t="shared" si="37"/>
        <v>-428.8</v>
      </c>
      <c r="K83" s="396">
        <f t="shared" si="37"/>
        <v>-428.8</v>
      </c>
      <c r="O83" t="s">
        <v>67</v>
      </c>
    </row>
    <row r="84" spans="1:15" ht="15.6" customHeight="1">
      <c r="C84" s="25" t="s">
        <v>178</v>
      </c>
      <c r="D84" s="3"/>
      <c r="E84" s="399">
        <v>38.1</v>
      </c>
      <c r="F84" s="399">
        <v>322.60000000000002</v>
      </c>
      <c r="G84" s="396">
        <f>G202</f>
        <v>635.07894044887689</v>
      </c>
      <c r="H84" s="396">
        <f t="shared" ref="H84:K84" si="38">H202</f>
        <v>969.96961169977294</v>
      </c>
      <c r="I84" s="396">
        <f t="shared" si="38"/>
        <v>1335.5099297571328</v>
      </c>
      <c r="J84" s="396">
        <f t="shared" si="38"/>
        <v>1740.0008394343974</v>
      </c>
      <c r="K84" s="396">
        <f t="shared" si="38"/>
        <v>2188.2914737925303</v>
      </c>
      <c r="O84" t="s">
        <v>330</v>
      </c>
    </row>
    <row r="85" spans="1:15" ht="15.6" customHeight="1">
      <c r="C85" t="s">
        <v>179</v>
      </c>
      <c r="D85" s="3"/>
      <c r="E85" s="399">
        <v>7</v>
      </c>
      <c r="F85" s="399">
        <v>7.3</v>
      </c>
      <c r="G85" s="396">
        <f>F85</f>
        <v>7.3</v>
      </c>
      <c r="H85" s="396">
        <f t="shared" ref="H85:K85" si="39">G85</f>
        <v>7.3</v>
      </c>
      <c r="I85" s="396">
        <f t="shared" si="39"/>
        <v>7.3</v>
      </c>
      <c r="J85" s="396">
        <f t="shared" si="39"/>
        <v>7.3</v>
      </c>
      <c r="K85" s="396">
        <f t="shared" si="39"/>
        <v>7.3</v>
      </c>
      <c r="O85" t="s">
        <v>67</v>
      </c>
    </row>
    <row r="86" spans="1:15">
      <c r="C86" s="24" t="s">
        <v>19</v>
      </c>
      <c r="D86" s="26"/>
      <c r="E86" s="398">
        <f t="shared" ref="E86:K86" si="40">SUM(E81:E85)</f>
        <v>-7987.7999999999993</v>
      </c>
      <c r="F86" s="398">
        <f t="shared" si="40"/>
        <v>-7441.5999999999995</v>
      </c>
      <c r="G86" s="398">
        <f t="shared" si="40"/>
        <v>-7116.3502449604493</v>
      </c>
      <c r="H86" s="398">
        <f t="shared" ca="1" si="40"/>
        <v>-6667.9693168131416</v>
      </c>
      <c r="I86" s="398">
        <f t="shared" ca="1" si="40"/>
        <v>-6069.1160334420028</v>
      </c>
      <c r="J86" s="398">
        <f t="shared" ca="1" si="40"/>
        <v>-5251.7524068687862</v>
      </c>
      <c r="K86" s="398">
        <f t="shared" ca="1" si="40"/>
        <v>-4192.0976262414943</v>
      </c>
    </row>
    <row r="87" spans="1:15">
      <c r="D87" s="15"/>
      <c r="E87" s="395"/>
      <c r="F87" s="395"/>
      <c r="G87" s="395"/>
      <c r="H87" s="395"/>
      <c r="I87" s="395"/>
      <c r="J87" s="395"/>
      <c r="K87" s="395"/>
    </row>
    <row r="88" spans="1:15">
      <c r="C88" s="9" t="s">
        <v>605</v>
      </c>
      <c r="D88" s="270"/>
      <c r="E88" s="381">
        <f t="shared" ref="E88:F88" si="41">ROUND(E67-E79-E86,3)</f>
        <v>0</v>
      </c>
      <c r="F88" s="381">
        <f t="shared" si="41"/>
        <v>0</v>
      </c>
      <c r="G88" s="381">
        <f ca="1">ROUND(G67-G79-G86,2)</f>
        <v>0.02</v>
      </c>
      <c r="H88" s="381">
        <f t="shared" ref="H88:K88" ca="1" si="42">ROUND(H67-H79-H86,2)</f>
        <v>0</v>
      </c>
      <c r="I88" s="381">
        <f t="shared" ca="1" si="42"/>
        <v>0</v>
      </c>
      <c r="J88" s="381">
        <f t="shared" ca="1" si="42"/>
        <v>0</v>
      </c>
      <c r="K88" s="381">
        <f t="shared" ca="1" si="42"/>
        <v>0</v>
      </c>
    </row>
    <row r="89" spans="1:15">
      <c r="E89" s="15"/>
      <c r="F89" s="15"/>
      <c r="H89" s="87"/>
      <c r="I89" s="87"/>
      <c r="J89" s="87"/>
      <c r="K89" s="87"/>
    </row>
    <row r="90" spans="1:15">
      <c r="G90" s="87"/>
      <c r="H90" s="87"/>
      <c r="I90" s="87"/>
      <c r="J90" s="87"/>
      <c r="K90" s="87"/>
    </row>
    <row r="91" spans="1:15">
      <c r="A91" t="s">
        <v>322</v>
      </c>
      <c r="C91" s="385" t="s">
        <v>25</v>
      </c>
      <c r="D91" s="389"/>
      <c r="E91" s="389"/>
      <c r="F91" s="389"/>
      <c r="G91" s="389"/>
      <c r="H91" s="389"/>
      <c r="I91" s="389"/>
      <c r="J91" s="389"/>
      <c r="K91" s="389"/>
    </row>
    <row r="92" spans="1:15">
      <c r="C92" s="23" t="str">
        <f>$C$15</f>
        <v xml:space="preserve">Fiscal year  </v>
      </c>
      <c r="D92" s="20"/>
      <c r="E92" s="20"/>
      <c r="F92" s="20"/>
      <c r="G92" s="21">
        <f t="shared" ref="F92:K93" si="43">G15</f>
        <v>2025</v>
      </c>
      <c r="H92" s="21">
        <f t="shared" si="43"/>
        <v>2026</v>
      </c>
      <c r="I92" s="21">
        <f t="shared" si="43"/>
        <v>2027</v>
      </c>
      <c r="J92" s="21">
        <f t="shared" si="43"/>
        <v>2028</v>
      </c>
      <c r="K92" s="21">
        <f t="shared" si="43"/>
        <v>2029</v>
      </c>
      <c r="O92" s="28"/>
    </row>
    <row r="93" spans="1:15">
      <c r="C93" s="6" t="str">
        <f>$C$16</f>
        <v>Fiscal year end date</v>
      </c>
      <c r="D93" s="22"/>
      <c r="E93" s="22"/>
      <c r="F93" s="22"/>
      <c r="G93" s="22">
        <f t="shared" si="43"/>
        <v>45930</v>
      </c>
      <c r="H93" s="22">
        <f t="shared" si="43"/>
        <v>46295</v>
      </c>
      <c r="I93" s="22">
        <f t="shared" si="43"/>
        <v>46660</v>
      </c>
      <c r="J93" s="22">
        <f t="shared" si="43"/>
        <v>47026</v>
      </c>
      <c r="K93" s="22">
        <f t="shared" si="43"/>
        <v>47391</v>
      </c>
    </row>
    <row r="95" spans="1:15">
      <c r="C95" t="s">
        <v>2</v>
      </c>
      <c r="D95" s="28"/>
      <c r="E95" s="28"/>
      <c r="F95" s="28"/>
      <c r="G95" s="395">
        <f t="shared" ref="F95:K95" si="44">G34</f>
        <v>4091.0284056401106</v>
      </c>
      <c r="H95" s="395">
        <f t="shared" ca="1" si="44"/>
        <v>4424.2182040986299</v>
      </c>
      <c r="I95" s="395">
        <f t="shared" ca="1" si="44"/>
        <v>4820.6034814033519</v>
      </c>
      <c r="J95" s="395">
        <f t="shared" ca="1" si="44"/>
        <v>5414.6047593226485</v>
      </c>
      <c r="K95" s="395">
        <f t="shared" ca="1" si="44"/>
        <v>6071.2339029129653</v>
      </c>
    </row>
    <row r="96" spans="1:15">
      <c r="C96" s="80" t="s">
        <v>26</v>
      </c>
      <c r="D96" s="390"/>
      <c r="E96" s="390"/>
      <c r="F96" s="390"/>
      <c r="G96" s="400">
        <f t="shared" ref="F96:K96" si="45">-G23</f>
        <v>1544.6855476467883</v>
      </c>
      <c r="H96" s="400">
        <f t="shared" si="45"/>
        <v>1654.1598935494094</v>
      </c>
      <c r="I96" s="400">
        <f t="shared" si="45"/>
        <v>1804.2722964889131</v>
      </c>
      <c r="J96" s="400">
        <f t="shared" si="45"/>
        <v>1987.9494914553006</v>
      </c>
      <c r="K96" s="400">
        <f t="shared" si="45"/>
        <v>2186.5193149906377</v>
      </c>
    </row>
    <row r="97" spans="3:16">
      <c r="C97" t="s">
        <v>55</v>
      </c>
      <c r="D97" s="28"/>
      <c r="E97" s="28"/>
      <c r="F97" s="28"/>
      <c r="G97" s="395">
        <f t="shared" ref="F97:K97" si="46">G38</f>
        <v>322.91227378221038</v>
      </c>
      <c r="H97" s="395">
        <f t="shared" si="46"/>
        <v>345.32400458422939</v>
      </c>
      <c r="I97" s="395">
        <f t="shared" si="46"/>
        <v>375.97365139069331</v>
      </c>
      <c r="J97" s="395">
        <f t="shared" si="46"/>
        <v>414.92424301059805</v>
      </c>
      <c r="K97" s="395">
        <f t="shared" si="46"/>
        <v>458.72396769146559</v>
      </c>
    </row>
    <row r="98" spans="3:16">
      <c r="C98" t="s">
        <v>47</v>
      </c>
      <c r="D98" s="15"/>
      <c r="E98" s="15"/>
      <c r="F98" s="15"/>
      <c r="G98" s="395">
        <f t="shared" ref="F98:K98" si="47">-(SUM(G55:G57)-SUM(F55:F57))</f>
        <v>-79.499944821391182</v>
      </c>
      <c r="H98" s="395">
        <f t="shared" si="47"/>
        <v>-223.38894318836446</v>
      </c>
      <c r="I98" s="395">
        <f t="shared" si="47"/>
        <v>-325.00237457407502</v>
      </c>
      <c r="J98" s="395">
        <f t="shared" si="47"/>
        <v>-392.83104518737173</v>
      </c>
      <c r="K98" s="395">
        <f t="shared" si="47"/>
        <v>-448.08711576212681</v>
      </c>
    </row>
    <row r="99" spans="3:16">
      <c r="C99" t="s">
        <v>48</v>
      </c>
      <c r="D99" s="15"/>
      <c r="E99" s="15"/>
      <c r="F99" s="15"/>
      <c r="G99" s="395">
        <f t="shared" ref="F99:K99" si="48">SUM(G69:G71)-SUM(F69:F71)</f>
        <v>398.5747544605274</v>
      </c>
      <c r="H99" s="395">
        <f t="shared" si="48"/>
        <v>872.55902149016038</v>
      </c>
      <c r="I99" s="395">
        <f t="shared" si="48"/>
        <v>1210.7940854636527</v>
      </c>
      <c r="J99" s="395">
        <f t="shared" si="48"/>
        <v>1520.5901638102096</v>
      </c>
      <c r="K99" s="395">
        <f t="shared" si="48"/>
        <v>1715.5963811793245</v>
      </c>
    </row>
    <row r="100" spans="3:16">
      <c r="C100" t="s">
        <v>168</v>
      </c>
      <c r="D100" s="15"/>
      <c r="E100" s="15"/>
      <c r="F100" s="15"/>
      <c r="G100" s="395">
        <f>-G163</f>
        <v>-17.529001360977645</v>
      </c>
      <c r="H100" s="395">
        <f t="shared" ref="F100:K100" si="49">-H163</f>
        <v>-9.3478962753965362</v>
      </c>
      <c r="I100" s="395">
        <f t="shared" si="49"/>
        <v>-11.712017188372471</v>
      </c>
      <c r="J100" s="395">
        <f t="shared" si="49"/>
        <v>-13.79652145656533</v>
      </c>
      <c r="K100" s="395">
        <f t="shared" si="49"/>
        <v>-14.964718654806205</v>
      </c>
    </row>
    <row r="101" spans="3:16">
      <c r="C101" t="s">
        <v>181</v>
      </c>
      <c r="E101" s="78"/>
      <c r="F101" s="78"/>
      <c r="G101" s="403">
        <f t="shared" ref="F101:K101" si="50">-(G62-F62)+(G76-F76)</f>
        <v>0</v>
      </c>
      <c r="H101" s="403">
        <f t="shared" si="50"/>
        <v>0</v>
      </c>
      <c r="I101" s="403">
        <f t="shared" si="50"/>
        <v>0</v>
      </c>
      <c r="J101" s="403">
        <f t="shared" si="50"/>
        <v>0</v>
      </c>
      <c r="K101" s="403">
        <f t="shared" si="50"/>
        <v>0</v>
      </c>
    </row>
    <row r="102" spans="3:16">
      <c r="C102" t="s">
        <v>354</v>
      </c>
      <c r="E102" s="78"/>
      <c r="F102" s="254"/>
      <c r="G102" s="395">
        <f>G179</f>
        <v>-1781.1687826736368</v>
      </c>
      <c r="H102" s="395">
        <f>H179</f>
        <v>-1896.8981957375697</v>
      </c>
      <c r="I102" s="395">
        <f>I179</f>
        <v>-2020.1469956099882</v>
      </c>
      <c r="J102" s="395">
        <f>J179</f>
        <v>-2151.4037458848716</v>
      </c>
      <c r="K102" s="395">
        <f>K179</f>
        <v>-2291.1887540192879</v>
      </c>
    </row>
    <row r="103" spans="3:16">
      <c r="C103" s="391" t="s">
        <v>159</v>
      </c>
      <c r="D103" s="391"/>
      <c r="E103" s="392"/>
      <c r="F103" s="383"/>
      <c r="G103" s="397">
        <f t="shared" ref="F103:K103" si="51">-G27</f>
        <v>-311.73454122821079</v>
      </c>
      <c r="H103" s="397">
        <f t="shared" si="51"/>
        <v>-333.37048134862147</v>
      </c>
      <c r="I103" s="397">
        <f t="shared" si="51"/>
        <v>-362.95917884255397</v>
      </c>
      <c r="J103" s="397">
        <f t="shared" si="51"/>
        <v>-400.5614807525389</v>
      </c>
      <c r="K103" s="397">
        <f t="shared" si="51"/>
        <v>-442.84506111753024</v>
      </c>
    </row>
    <row r="104" spans="3:16">
      <c r="C104" s="391" t="s">
        <v>611</v>
      </c>
      <c r="D104" s="391"/>
      <c r="E104" s="392"/>
      <c r="F104" s="383"/>
      <c r="G104" s="397">
        <f t="shared" ref="G104:K104" si="52">-G189</f>
        <v>232.75621912079546</v>
      </c>
      <c r="H104" s="397">
        <f t="shared" si="52"/>
        <v>248.91066770935947</v>
      </c>
      <c r="I104" s="397">
        <f t="shared" si="52"/>
        <v>271.00303299638415</v>
      </c>
      <c r="J104" s="397">
        <f t="shared" si="52"/>
        <v>299.07874635276698</v>
      </c>
      <c r="K104" s="397">
        <f t="shared" si="52"/>
        <v>330.64973061992544</v>
      </c>
    </row>
    <row r="105" spans="3:16">
      <c r="C105" s="391" t="s">
        <v>610</v>
      </c>
      <c r="D105" s="391"/>
      <c r="E105" s="392"/>
      <c r="F105" s="383"/>
      <c r="G105" s="397">
        <f>-G170</f>
        <v>1835.4824495892456</v>
      </c>
      <c r="H105" s="397">
        <f t="shared" ref="H105:K105" si="53">-H170</f>
        <v>1954.7408313026617</v>
      </c>
      <c r="I105" s="397">
        <f t="shared" si="53"/>
        <v>2081.7478905433873</v>
      </c>
      <c r="J105" s="397">
        <f t="shared" si="53"/>
        <v>2217.0070888087153</v>
      </c>
      <c r="K105" s="397">
        <f t="shared" si="53"/>
        <v>2361.0545994333293</v>
      </c>
    </row>
    <row r="106" spans="3:16">
      <c r="C106" s="391" t="s">
        <v>551</v>
      </c>
      <c r="D106" s="391"/>
      <c r="E106" s="392"/>
      <c r="F106" s="383"/>
      <c r="G106" s="397">
        <f>-G180</f>
        <v>-358.68683420463043</v>
      </c>
      <c r="H106" s="397">
        <f>-H180</f>
        <v>-392.99193232994998</v>
      </c>
      <c r="I106" s="397">
        <f>-I180</f>
        <v>-429.89995934143735</v>
      </c>
      <c r="J106" s="397">
        <f>-J180</f>
        <v>-469.59275338197057</v>
      </c>
      <c r="K106" s="397">
        <f>-K180</f>
        <v>-512.2643996579659</v>
      </c>
    </row>
    <row r="107" spans="3:16">
      <c r="C107" s="13" t="s">
        <v>27</v>
      </c>
      <c r="F107" s="81"/>
      <c r="G107" s="398">
        <f>SUM(G95:G106)</f>
        <v>5876.8205459508308</v>
      </c>
      <c r="H107" s="398">
        <f ca="1">SUM(H95:H106)</f>
        <v>6643.9151738545488</v>
      </c>
      <c r="I107" s="398">
        <f ca="1">SUM(I95:I106)</f>
        <v>7414.6739127299552</v>
      </c>
      <c r="J107" s="398">
        <f ca="1">SUM(J95:J106)</f>
        <v>8425.9689460969221</v>
      </c>
      <c r="K107" s="398">
        <f ca="1">SUM(K95:K106)</f>
        <v>9414.4278476159307</v>
      </c>
    </row>
    <row r="108" spans="3:16">
      <c r="G108" s="395"/>
      <c r="H108" s="395"/>
      <c r="I108" s="395"/>
      <c r="J108" s="395"/>
      <c r="K108" s="395"/>
      <c r="P108" s="87"/>
    </row>
    <row r="109" spans="3:16">
      <c r="C109" t="s">
        <v>548</v>
      </c>
      <c r="F109" s="83"/>
      <c r="G109" s="395">
        <f t="shared" ref="F109:K109" si="54">F58-G58</f>
        <v>-9.6531652688784106</v>
      </c>
      <c r="H109" s="395">
        <f t="shared" si="54"/>
        <v>-19.825761863324544</v>
      </c>
      <c r="I109" s="395">
        <f t="shared" si="54"/>
        <v>-27.113149098025815</v>
      </c>
      <c r="J109" s="395">
        <f t="shared" si="54"/>
        <v>-34.456292586838799</v>
      </c>
      <c r="K109" s="395">
        <f t="shared" si="54"/>
        <v>-38.745910294613566</v>
      </c>
    </row>
    <row r="110" spans="3:16">
      <c r="C110" t="s">
        <v>28</v>
      </c>
      <c r="F110" s="83"/>
      <c r="G110" s="395">
        <f t="shared" ref="G110:K110" si="55">-G130</f>
        <v>-2594.8826199999999</v>
      </c>
      <c r="H110" s="395">
        <f t="shared" si="55"/>
        <v>-2924.3104499999999</v>
      </c>
      <c r="I110" s="395">
        <f t="shared" si="55"/>
        <v>-3327.8712399999999</v>
      </c>
      <c r="J110" s="395">
        <f>-J130</f>
        <v>-3577</v>
      </c>
      <c r="K110" s="395">
        <f t="shared" si="55"/>
        <v>-3575</v>
      </c>
      <c r="L110" s="32"/>
      <c r="M110" s="32"/>
      <c r="N110" s="32"/>
    </row>
    <row r="111" spans="3:16">
      <c r="C111" t="s">
        <v>549</v>
      </c>
      <c r="G111" s="395">
        <f>-G163</f>
        <v>-17.529001360977645</v>
      </c>
      <c r="H111" s="395">
        <f t="shared" ref="H111:K111" si="56">-H163</f>
        <v>-9.3478962753965362</v>
      </c>
      <c r="I111" s="395">
        <f t="shared" si="56"/>
        <v>-11.712017188372471</v>
      </c>
      <c r="J111" s="395">
        <f t="shared" si="56"/>
        <v>-13.79652145656533</v>
      </c>
      <c r="K111" s="395">
        <f t="shared" si="56"/>
        <v>-14.964718654806205</v>
      </c>
      <c r="L111" s="32"/>
      <c r="M111" s="32"/>
      <c r="N111" s="32"/>
    </row>
    <row r="112" spans="3:16">
      <c r="C112" s="13" t="s">
        <v>29</v>
      </c>
      <c r="F112" s="84"/>
      <c r="G112" s="398">
        <f>SUM(G109:G111)</f>
        <v>-2622.0647866298559</v>
      </c>
      <c r="H112" s="398">
        <f t="shared" ref="H112:K112" si="57">SUM(H109:H111)</f>
        <v>-2953.4841081387212</v>
      </c>
      <c r="I112" s="398">
        <f t="shared" si="57"/>
        <v>-3366.6964062863981</v>
      </c>
      <c r="J112" s="398">
        <f t="shared" si="57"/>
        <v>-3625.2528140434038</v>
      </c>
      <c r="K112" s="398">
        <f t="shared" si="57"/>
        <v>-3628.71062894942</v>
      </c>
    </row>
    <row r="113" spans="1:11">
      <c r="G113" s="395"/>
      <c r="H113" s="395"/>
      <c r="I113" s="395"/>
      <c r="J113" s="395"/>
      <c r="K113" s="395"/>
    </row>
    <row r="114" spans="1:11">
      <c r="C114" t="s">
        <v>358</v>
      </c>
      <c r="F114" s="175"/>
      <c r="G114" s="396">
        <f t="shared" ref="F114:K114" si="58">G73-F73</f>
        <v>16.75</v>
      </c>
      <c r="H114" s="402">
        <f t="shared" si="58"/>
        <v>0</v>
      </c>
      <c r="I114" s="402">
        <f t="shared" si="58"/>
        <v>0</v>
      </c>
      <c r="J114" s="402">
        <f t="shared" si="58"/>
        <v>0</v>
      </c>
      <c r="K114" s="402">
        <f t="shared" si="58"/>
        <v>0</v>
      </c>
    </row>
    <row r="115" spans="1:11">
      <c r="C115" t="s">
        <v>49</v>
      </c>
      <c r="F115" s="32"/>
      <c r="G115" s="401">
        <f t="shared" ref="F115:K115" si="59">G75-F75</f>
        <v>0</v>
      </c>
      <c r="H115" s="401">
        <f t="shared" si="59"/>
        <v>0</v>
      </c>
      <c r="I115" s="401">
        <f t="shared" si="59"/>
        <v>0</v>
      </c>
      <c r="J115" s="401">
        <f t="shared" si="59"/>
        <v>0</v>
      </c>
      <c r="K115" s="401">
        <f t="shared" si="59"/>
        <v>0</v>
      </c>
    </row>
    <row r="116" spans="1:11">
      <c r="C116" t="s">
        <v>17</v>
      </c>
      <c r="F116" s="32"/>
      <c r="G116" s="402">
        <f t="shared" ref="F116:K116" ca="1" si="60">G74-F74</f>
        <v>0</v>
      </c>
      <c r="H116" s="402">
        <f t="shared" ca="1" si="60"/>
        <v>0</v>
      </c>
      <c r="I116" s="402">
        <f t="shared" ca="1" si="60"/>
        <v>0</v>
      </c>
      <c r="J116" s="402">
        <f t="shared" ca="1" si="60"/>
        <v>0</v>
      </c>
      <c r="K116" s="402">
        <f t="shared" ca="1" si="60"/>
        <v>0</v>
      </c>
    </row>
    <row r="117" spans="1:11">
      <c r="C117" t="s">
        <v>51</v>
      </c>
      <c r="F117" s="15"/>
      <c r="G117" s="395">
        <f t="shared" ref="G117:K117" si="61">G209</f>
        <v>-1223.9000000000001</v>
      </c>
      <c r="H117" s="395">
        <f t="shared" si="61"/>
        <v>-1223.9000000000001</v>
      </c>
      <c r="I117" s="395">
        <f t="shared" si="61"/>
        <v>-1223.9000000000001</v>
      </c>
      <c r="J117" s="395">
        <f t="shared" si="61"/>
        <v>-1223.9000000000001</v>
      </c>
      <c r="K117" s="395">
        <f t="shared" si="61"/>
        <v>-1223.9000000000001</v>
      </c>
    </row>
    <row r="118" spans="1:11">
      <c r="C118" t="s">
        <v>52</v>
      </c>
      <c r="F118" s="15"/>
      <c r="G118" s="395">
        <f t="shared" ref="G118:K118" si="62">G208</f>
        <v>-2854.3575910494365</v>
      </c>
      <c r="H118" s="395">
        <f t="shared" ca="1" si="62"/>
        <v>-3086.8279472022186</v>
      </c>
      <c r="I118" s="395">
        <f t="shared" ca="1" si="62"/>
        <v>-3363.3905160895738</v>
      </c>
      <c r="J118" s="395">
        <f t="shared" ca="1" si="62"/>
        <v>-3777.8320424266958</v>
      </c>
      <c r="K118" s="395">
        <f t="shared" ca="1" si="62"/>
        <v>-4235.9697388169798</v>
      </c>
    </row>
    <row r="119" spans="1:11">
      <c r="F119" s="15"/>
      <c r="G119" s="395"/>
      <c r="H119" s="395"/>
      <c r="I119" s="395"/>
      <c r="J119" s="395"/>
      <c r="K119" s="395"/>
    </row>
    <row r="120" spans="1:11">
      <c r="C120" s="13" t="s">
        <v>30</v>
      </c>
      <c r="F120" s="216"/>
      <c r="G120" s="398">
        <f ca="1">SUM(G114:G119)</f>
        <v>-4061.5075910494365</v>
      </c>
      <c r="H120" s="398">
        <f t="shared" ref="F120:K120" ca="1" si="63">SUM(H114:H118)</f>
        <v>-4310.7279472022183</v>
      </c>
      <c r="I120" s="398">
        <f t="shared" ca="1" si="63"/>
        <v>-4587.2905160895734</v>
      </c>
      <c r="J120" s="398">
        <f t="shared" ca="1" si="63"/>
        <v>-5001.7320424266964</v>
      </c>
      <c r="K120" s="398">
        <f t="shared" ca="1" si="63"/>
        <v>-5459.8697388169803</v>
      </c>
    </row>
    <row r="121" spans="1:11">
      <c r="G121" s="395"/>
      <c r="H121" s="395"/>
      <c r="I121" s="395"/>
      <c r="J121" s="395"/>
      <c r="K121" s="395"/>
    </row>
    <row r="122" spans="1:11">
      <c r="C122" s="13" t="s">
        <v>31</v>
      </c>
      <c r="F122" s="260"/>
      <c r="G122" s="405">
        <f ca="1">G107+G112+G120</f>
        <v>-806.75183172846164</v>
      </c>
      <c r="H122" s="405">
        <f ca="1">H107+H112+H120</f>
        <v>-620.2968814863907</v>
      </c>
      <c r="I122" s="405">
        <f ca="1">I107+I112+I120</f>
        <v>-539.31300964601633</v>
      </c>
      <c r="J122" s="405">
        <f ca="1">J107+J112+J120</f>
        <v>-201.01591037317849</v>
      </c>
      <c r="K122" s="405">
        <f ca="1">K107+K112+K120</f>
        <v>325.84747984952992</v>
      </c>
    </row>
    <row r="123" spans="1:11">
      <c r="F123" s="78"/>
      <c r="G123" s="78"/>
      <c r="H123" s="78"/>
      <c r="I123" s="78"/>
      <c r="J123" s="78"/>
      <c r="K123" s="78"/>
    </row>
    <row r="124" spans="1:11" ht="17.25" customHeight="1">
      <c r="F124" s="87"/>
      <c r="G124" s="87"/>
      <c r="H124" s="87"/>
      <c r="I124" s="87"/>
      <c r="J124" s="87"/>
      <c r="K124" s="87"/>
    </row>
    <row r="125" spans="1:11">
      <c r="A125" t="s">
        <v>322</v>
      </c>
      <c r="C125" s="5" t="s">
        <v>22</v>
      </c>
      <c r="D125" s="6"/>
      <c r="E125" s="6"/>
      <c r="F125" s="6"/>
      <c r="G125" s="6"/>
      <c r="H125" s="6"/>
      <c r="I125" s="6"/>
      <c r="J125" s="6"/>
      <c r="K125" s="6"/>
    </row>
    <row r="126" spans="1:11">
      <c r="C126" s="23" t="str">
        <f>$C$15</f>
        <v xml:space="preserve">Fiscal year  </v>
      </c>
      <c r="D126" s="20">
        <f t="shared" ref="D126:K127" si="64">D15</f>
        <v>2022</v>
      </c>
      <c r="E126" s="20">
        <f t="shared" si="64"/>
        <v>2023</v>
      </c>
      <c r="F126" s="20">
        <f t="shared" si="64"/>
        <v>2024</v>
      </c>
      <c r="G126" s="77">
        <f t="shared" si="64"/>
        <v>2025</v>
      </c>
      <c r="H126" s="77">
        <f t="shared" si="64"/>
        <v>2026</v>
      </c>
      <c r="I126" s="77">
        <f t="shared" si="64"/>
        <v>2027</v>
      </c>
      <c r="J126" s="77">
        <f t="shared" si="64"/>
        <v>2028</v>
      </c>
      <c r="K126" s="77">
        <f t="shared" si="64"/>
        <v>2029</v>
      </c>
    </row>
    <row r="127" spans="1:11">
      <c r="C127" s="6" t="str">
        <f>$C$16</f>
        <v>Fiscal year end date</v>
      </c>
      <c r="D127" s="22">
        <f t="shared" si="64"/>
        <v>44836</v>
      </c>
      <c r="E127" s="22">
        <f t="shared" si="64"/>
        <v>45200</v>
      </c>
      <c r="F127" s="22">
        <f t="shared" si="64"/>
        <v>45564</v>
      </c>
      <c r="G127" s="22">
        <f t="shared" si="64"/>
        <v>45930</v>
      </c>
      <c r="H127" s="22">
        <f t="shared" si="64"/>
        <v>46295</v>
      </c>
      <c r="I127" s="22">
        <f t="shared" si="64"/>
        <v>46660</v>
      </c>
      <c r="J127" s="22">
        <f t="shared" si="64"/>
        <v>47026</v>
      </c>
      <c r="K127" s="22">
        <f t="shared" si="64"/>
        <v>47391</v>
      </c>
    </row>
    <row r="128" spans="1:11">
      <c r="C128" s="13"/>
      <c r="G128" s="51" t="s">
        <v>84</v>
      </c>
      <c r="H128" s="51"/>
      <c r="I128" s="51"/>
      <c r="J128" s="51"/>
      <c r="K128" s="51"/>
    </row>
    <row r="129" spans="1:15">
      <c r="C129" s="25" t="s">
        <v>20</v>
      </c>
      <c r="E129" s="406"/>
      <c r="F129" s="65">
        <f>E132</f>
        <v>7387.1</v>
      </c>
      <c r="G129" s="65">
        <f>F132</f>
        <v>8665.5</v>
      </c>
      <c r="H129" s="65">
        <f t="shared" ref="H129:K129" si="65">G132</f>
        <v>10398.987723478262</v>
      </c>
      <c r="I129" s="65">
        <f t="shared" si="65"/>
        <v>12399.852728090738</v>
      </c>
      <c r="J129" s="65">
        <f t="shared" si="65"/>
        <v>14719.021558294569</v>
      </c>
      <c r="K129" s="65">
        <f t="shared" si="65"/>
        <v>17186.062404132848</v>
      </c>
    </row>
    <row r="130" spans="1:15">
      <c r="C130" s="27" t="s">
        <v>23</v>
      </c>
      <c r="D130" s="32"/>
      <c r="E130" s="406">
        <v>2333.6</v>
      </c>
      <c r="F130" s="406">
        <v>2777.5</v>
      </c>
      <c r="G130" s="406">
        <v>2594.8826199999999</v>
      </c>
      <c r="H130" s="406">
        <v>2924.3104499999999</v>
      </c>
      <c r="I130" s="406">
        <v>3327.8712399999999</v>
      </c>
      <c r="J130" s="406">
        <v>3577</v>
      </c>
      <c r="K130" s="406">
        <v>3575</v>
      </c>
      <c r="O130" t="s">
        <v>185</v>
      </c>
    </row>
    <row r="131" spans="1:15">
      <c r="C131" s="47" t="s">
        <v>24</v>
      </c>
      <c r="D131" s="43"/>
      <c r="E131" s="407">
        <f>-(9923.1-9049.3)</f>
        <v>-873.80000000000109</v>
      </c>
      <c r="F131" s="407">
        <f>-(10775.5-9923.1)</f>
        <v>-852.39999999999964</v>
      </c>
      <c r="G131" s="408">
        <f>-G152</f>
        <v>-861.39489652173893</v>
      </c>
      <c r="H131" s="408">
        <f t="shared" ref="H131:K131" si="66">-H152</f>
        <v>-923.44544538752348</v>
      </c>
      <c r="I131" s="408">
        <f t="shared" si="66"/>
        <v>-1008.7024097961698</v>
      </c>
      <c r="J131" s="408">
        <f t="shared" si="66"/>
        <v>-1109.9591541617203</v>
      </c>
      <c r="K131" s="408">
        <f t="shared" si="66"/>
        <v>-1215.8476372024782</v>
      </c>
      <c r="O131" t="s">
        <v>323</v>
      </c>
    </row>
    <row r="132" spans="1:15">
      <c r="C132" s="29" t="s">
        <v>21</v>
      </c>
      <c r="D132" s="26"/>
      <c r="E132" s="144">
        <f>E60</f>
        <v>7387.1</v>
      </c>
      <c r="F132" s="144">
        <f>F60</f>
        <v>8665.5</v>
      </c>
      <c r="G132" s="144">
        <f>SUM(G129:G131)</f>
        <v>10398.987723478262</v>
      </c>
      <c r="H132" s="144">
        <f t="shared" ref="H132:K132" si="67">SUM(H129:H131)</f>
        <v>12399.852728090738</v>
      </c>
      <c r="I132" s="144">
        <f t="shared" si="67"/>
        <v>14719.021558294569</v>
      </c>
      <c r="J132" s="144">
        <f t="shared" si="67"/>
        <v>17186.062404132848</v>
      </c>
      <c r="K132" s="144">
        <f t="shared" si="67"/>
        <v>19545.21476693037</v>
      </c>
    </row>
    <row r="133" spans="1:15">
      <c r="C133" s="25"/>
      <c r="E133" s="255"/>
      <c r="F133" s="255"/>
      <c r="G133" s="255"/>
      <c r="H133" s="255"/>
      <c r="I133" s="255"/>
      <c r="J133" s="255"/>
      <c r="K133" s="255"/>
      <c r="O133" s="16"/>
    </row>
    <row r="134" spans="1:15">
      <c r="C134" s="25" t="s">
        <v>90</v>
      </c>
      <c r="D134" s="4"/>
      <c r="E134" s="410">
        <f>-(E131/E130)</f>
        <v>0.37444292080905089</v>
      </c>
      <c r="F134" s="410">
        <f>-(F131/F130)</f>
        <v>0.30689468946894677</v>
      </c>
      <c r="G134" s="410">
        <f t="shared" ref="G134:K134" si="68">-(G131/G130)</f>
        <v>0.33195909899066611</v>
      </c>
      <c r="H134" s="410">
        <f t="shared" si="68"/>
        <v>0.31578228822713522</v>
      </c>
      <c r="I134" s="410">
        <f t="shared" si="68"/>
        <v>0.30310740321676927</v>
      </c>
      <c r="J134" s="410">
        <f t="shared" si="68"/>
        <v>0.31030448816374623</v>
      </c>
      <c r="K134" s="410">
        <f t="shared" si="68"/>
        <v>0.34009724117551837</v>
      </c>
      <c r="O134" s="66"/>
    </row>
    <row r="135" spans="1:15">
      <c r="C135" s="25"/>
      <c r="D135" s="4"/>
      <c r="E135" s="4"/>
      <c r="F135" s="4"/>
      <c r="G135" s="18"/>
      <c r="H135" s="18"/>
      <c r="I135" s="18"/>
      <c r="J135" s="18"/>
      <c r="K135" s="18"/>
      <c r="O135" s="66"/>
    </row>
    <row r="136" spans="1:15">
      <c r="A136" t="s">
        <v>322</v>
      </c>
      <c r="C136" s="63" t="s">
        <v>606</v>
      </c>
      <c r="D136" s="257"/>
      <c r="E136" s="257"/>
      <c r="F136" s="257"/>
      <c r="G136" s="258"/>
      <c r="H136" s="258"/>
      <c r="I136" s="258"/>
      <c r="J136" s="258"/>
      <c r="K136" s="258"/>
      <c r="O136" s="66"/>
    </row>
    <row r="137" spans="1:15">
      <c r="C137" t="s">
        <v>133</v>
      </c>
      <c r="G137" s="18"/>
      <c r="H137" s="18"/>
      <c r="I137" s="18"/>
      <c r="J137" s="18"/>
      <c r="K137" s="18"/>
      <c r="O137" s="66"/>
    </row>
    <row r="138" spans="1:15">
      <c r="C138" s="17" t="s">
        <v>134</v>
      </c>
      <c r="E138" s="406">
        <v>17310.2</v>
      </c>
      <c r="F138" s="406">
        <v>19441</v>
      </c>
      <c r="G138" s="18"/>
      <c r="H138" s="18"/>
      <c r="I138" s="18"/>
      <c r="J138" s="18"/>
      <c r="K138" s="18"/>
      <c r="O138" s="66"/>
    </row>
    <row r="139" spans="1:15">
      <c r="C139" s="17" t="s">
        <v>135</v>
      </c>
      <c r="E139" s="406">
        <v>46.1</v>
      </c>
      <c r="F139" s="406">
        <v>56.9</v>
      </c>
      <c r="G139" s="18"/>
      <c r="H139" s="18"/>
      <c r="I139" s="18"/>
      <c r="J139" s="18"/>
      <c r="K139" s="18"/>
      <c r="O139" s="66"/>
    </row>
    <row r="140" spans="1:15">
      <c r="C140" s="17" t="s">
        <v>136</v>
      </c>
      <c r="E140" s="406">
        <v>9923.1</v>
      </c>
      <c r="F140" s="406">
        <v>10775.5</v>
      </c>
      <c r="G140" s="18"/>
      <c r="H140" s="18"/>
      <c r="I140" s="18"/>
      <c r="J140" s="18"/>
      <c r="K140" s="18"/>
      <c r="O140" s="66"/>
    </row>
    <row r="141" spans="1:15">
      <c r="C141" s="17" t="s">
        <v>137</v>
      </c>
      <c r="E141" s="409">
        <f>E138-E139-E140</f>
        <v>7341.0000000000018</v>
      </c>
      <c r="F141" s="409">
        <f>F138-F139-F140</f>
        <v>8608.5999999999985</v>
      </c>
      <c r="H141" s="18"/>
      <c r="I141" s="18"/>
      <c r="J141" s="18"/>
      <c r="K141" s="18"/>
      <c r="O141" s="66"/>
    </row>
    <row r="142" spans="1:15">
      <c r="C142" s="25"/>
      <c r="D142" s="4"/>
      <c r="H142" s="18"/>
      <c r="I142" s="18"/>
      <c r="J142" s="18"/>
      <c r="K142" s="18"/>
      <c r="O142" s="66"/>
    </row>
    <row r="143" spans="1:15">
      <c r="C143" t="s">
        <v>138</v>
      </c>
      <c r="D143" s="64">
        <f>IF(D144,D144,-ROUND((F138-F139)/F131,0))</f>
        <v>23</v>
      </c>
      <c r="H143" s="18"/>
      <c r="I143" s="18"/>
      <c r="J143" s="18"/>
      <c r="K143" s="18"/>
      <c r="O143" s="66"/>
    </row>
    <row r="144" spans="1:15">
      <c r="C144" t="s">
        <v>141</v>
      </c>
      <c r="D144" s="237"/>
      <c r="H144" s="18"/>
      <c r="I144" s="18"/>
      <c r="J144" s="18"/>
      <c r="K144" s="18"/>
      <c r="O144" s="66"/>
    </row>
    <row r="145" spans="1:15">
      <c r="D145" s="4"/>
      <c r="E145" s="4"/>
      <c r="F145" s="4"/>
      <c r="G145" s="18"/>
      <c r="H145" s="18"/>
      <c r="I145" s="18"/>
      <c r="J145" s="18"/>
      <c r="K145" s="18"/>
      <c r="O145" s="66"/>
    </row>
    <row r="146" spans="1:15">
      <c r="C146" t="s">
        <v>196</v>
      </c>
      <c r="D146" s="4"/>
      <c r="E146" s="211" t="s">
        <v>140</v>
      </c>
      <c r="F146" s="4"/>
      <c r="G146" s="64">
        <f>DDB($F$141,0,$D$143,G126-$F$126)</f>
        <v>748.57391304347811</v>
      </c>
      <c r="H146" s="64">
        <f t="shared" ref="H146:K146" si="69">DDB($F$141,0,$D$143,H126-$F$126)</f>
        <v>683.48052930056701</v>
      </c>
      <c r="I146" s="64">
        <f t="shared" si="69"/>
        <v>624.0474397961699</v>
      </c>
      <c r="J146" s="64">
        <f t="shared" si="69"/>
        <v>569.78244503128565</v>
      </c>
      <c r="K146" s="64">
        <f t="shared" si="69"/>
        <v>520.23614546334773</v>
      </c>
      <c r="O146" s="66"/>
    </row>
    <row r="147" spans="1:15">
      <c r="C147" t="str">
        <f>"Depreciation from capex purchased in "&amp;G126</f>
        <v>Depreciation from capex purchased in 2025</v>
      </c>
      <c r="D147" s="4"/>
      <c r="E147" s="210">
        <v>1</v>
      </c>
      <c r="F147" s="4"/>
      <c r="G147" s="64">
        <f>G130*$E$147/$D$143</f>
        <v>112.82098347826086</v>
      </c>
      <c r="H147" s="64">
        <f>$G$130/$D$143</f>
        <v>112.82098347826086</v>
      </c>
      <c r="I147" s="64">
        <f t="shared" ref="I147:K147" si="70">$G$130/$D$143</f>
        <v>112.82098347826086</v>
      </c>
      <c r="J147" s="64">
        <f t="shared" si="70"/>
        <v>112.82098347826086</v>
      </c>
      <c r="K147" s="64">
        <f t="shared" si="70"/>
        <v>112.82098347826086</v>
      </c>
      <c r="O147" s="66"/>
    </row>
    <row r="148" spans="1:15">
      <c r="C148" t="str">
        <f>"Depreciation from capex purchased in "&amp;H126</f>
        <v>Depreciation from capex purchased in 2026</v>
      </c>
      <c r="D148" s="4"/>
      <c r="E148" s="4"/>
      <c r="F148" s="4"/>
      <c r="G148" s="65"/>
      <c r="H148" s="64">
        <f>H130*$E$147/$D$143</f>
        <v>127.14393260869565</v>
      </c>
      <c r="I148" s="64">
        <f>$H$130/$D$143</f>
        <v>127.14393260869565</v>
      </c>
      <c r="J148" s="64">
        <f t="shared" ref="J148:K148" si="71">$H$130/$D$143</f>
        <v>127.14393260869565</v>
      </c>
      <c r="K148" s="64">
        <f t="shared" si="71"/>
        <v>127.14393260869565</v>
      </c>
      <c r="O148" s="66"/>
    </row>
    <row r="149" spans="1:15">
      <c r="C149" t="str">
        <f>"Depreciation from capex purchased in "&amp;I126</f>
        <v>Depreciation from capex purchased in 2027</v>
      </c>
      <c r="D149" s="4"/>
      <c r="E149" s="4"/>
      <c r="F149" s="4"/>
      <c r="G149" s="65"/>
      <c r="H149" s="65"/>
      <c r="I149" s="64">
        <f>I130*$E$147/$D$143</f>
        <v>144.69005391304347</v>
      </c>
      <c r="J149" s="64">
        <f>$I$130/$D$143</f>
        <v>144.69005391304347</v>
      </c>
      <c r="K149" s="64">
        <f>$I$130/$D$143</f>
        <v>144.69005391304347</v>
      </c>
      <c r="O149" s="66"/>
    </row>
    <row r="150" spans="1:15">
      <c r="C150" t="str">
        <f>"Depreciation from capex purchased in "&amp;J126</f>
        <v>Depreciation from capex purchased in 2028</v>
      </c>
      <c r="D150" s="4"/>
      <c r="E150" s="4"/>
      <c r="F150" s="4"/>
      <c r="G150" s="65"/>
      <c r="H150" s="65"/>
      <c r="I150" s="65"/>
      <c r="J150" s="64">
        <f>J130*$E$147/$D$143</f>
        <v>155.52173913043478</v>
      </c>
      <c r="K150" s="64">
        <f>$J$130/$D$143</f>
        <v>155.52173913043478</v>
      </c>
      <c r="O150" s="66"/>
    </row>
    <row r="151" spans="1:15">
      <c r="C151" t="str">
        <f>"Depreciation from capex purchased in "&amp;K126</f>
        <v>Depreciation from capex purchased in 2029</v>
      </c>
      <c r="D151" s="4"/>
      <c r="E151" s="4"/>
      <c r="F151" s="4"/>
      <c r="G151" s="65"/>
      <c r="H151" s="65"/>
      <c r="I151" s="65"/>
      <c r="J151" s="65"/>
      <c r="K151" s="64">
        <f>K130*$E$147/$D$143</f>
        <v>155.43478260869566</v>
      </c>
      <c r="O151" s="66"/>
    </row>
    <row r="152" spans="1:15">
      <c r="C152" s="13" t="s">
        <v>139</v>
      </c>
      <c r="D152" s="4"/>
      <c r="E152" s="4"/>
      <c r="F152" s="4"/>
      <c r="G152" s="144">
        <f>SUM(G146:G151)</f>
        <v>861.39489652173893</v>
      </c>
      <c r="H152" s="144">
        <f>SUM(H146:H151)</f>
        <v>923.44544538752348</v>
      </c>
      <c r="I152" s="144">
        <f>SUM(I146:I151)</f>
        <v>1008.7024097961698</v>
      </c>
      <c r="J152" s="144">
        <f>SUM(J146:J151)</f>
        <v>1109.9591541617203</v>
      </c>
      <c r="K152" s="144">
        <f>SUM(K146:K151)</f>
        <v>1215.8476372024782</v>
      </c>
      <c r="O152" s="66"/>
    </row>
    <row r="154" spans="1:15">
      <c r="A154" t="s">
        <v>322</v>
      </c>
      <c r="C154" s="411" t="s">
        <v>93</v>
      </c>
      <c r="D154" s="412"/>
      <c r="E154" s="412"/>
      <c r="F154" s="412"/>
      <c r="G154" s="413"/>
      <c r="H154" s="413"/>
      <c r="I154" s="413"/>
      <c r="J154" s="413"/>
      <c r="K154" s="413"/>
    </row>
    <row r="155" spans="1:15">
      <c r="C155" s="25" t="s">
        <v>96</v>
      </c>
      <c r="D155" s="15"/>
      <c r="E155" s="65">
        <f>E157+E131</f>
        <v>488.79999999999882</v>
      </c>
      <c r="F155" s="65">
        <f>F157+F131</f>
        <v>660.20000000000027</v>
      </c>
      <c r="G155" s="414">
        <f>G156*G18</f>
        <v>683.29065112504941</v>
      </c>
      <c r="H155" s="414">
        <f>H156*H18</f>
        <v>730.7144481618858</v>
      </c>
      <c r="I155" s="414">
        <f>I156*I18</f>
        <v>795.56988669274324</v>
      </c>
      <c r="J155" s="414">
        <f>J156*J18</f>
        <v>877.99033729358018</v>
      </c>
      <c r="K155" s="414">
        <f>K156*K18</f>
        <v>970.67167778815963</v>
      </c>
      <c r="O155" t="s">
        <v>132</v>
      </c>
    </row>
    <row r="156" spans="1:15">
      <c r="C156" s="220" t="s">
        <v>97</v>
      </c>
      <c r="D156" s="416"/>
      <c r="E156" s="417">
        <f>E155/E18</f>
        <v>1.3586986735453997E-2</v>
      </c>
      <c r="F156" s="417">
        <f>F155/F18</f>
        <v>1.824956739513825E-2</v>
      </c>
      <c r="G156" s="418">
        <f>F156</f>
        <v>1.824956739513825E-2</v>
      </c>
      <c r="H156" s="418">
        <f t="shared" ref="H156:K156" si="72">G156</f>
        <v>1.824956739513825E-2</v>
      </c>
      <c r="I156" s="418">
        <f t="shared" si="72"/>
        <v>1.824956739513825E-2</v>
      </c>
      <c r="J156" s="418">
        <f t="shared" si="72"/>
        <v>1.824956739513825E-2</v>
      </c>
      <c r="K156" s="418">
        <f t="shared" si="72"/>
        <v>1.824956739513825E-2</v>
      </c>
      <c r="O156" t="s">
        <v>195</v>
      </c>
    </row>
    <row r="157" spans="1:15">
      <c r="C157" s="24" t="s">
        <v>79</v>
      </c>
      <c r="D157" s="26"/>
      <c r="E157" s="144">
        <f>-E23</f>
        <v>1362.6</v>
      </c>
      <c r="F157" s="144">
        <f>-F23</f>
        <v>1512.6</v>
      </c>
      <c r="G157" s="76">
        <f>-G131+G155</f>
        <v>1544.6855476467883</v>
      </c>
      <c r="H157" s="76">
        <f t="shared" ref="H157:K157" si="73">-H131+H155</f>
        <v>1654.1598935494094</v>
      </c>
      <c r="I157" s="76">
        <f t="shared" si="73"/>
        <v>1804.2722964889131</v>
      </c>
      <c r="J157" s="76">
        <f t="shared" si="73"/>
        <v>1987.9494914553006</v>
      </c>
      <c r="K157" s="76">
        <f t="shared" si="73"/>
        <v>2186.5193149906377</v>
      </c>
      <c r="O157" t="s">
        <v>99</v>
      </c>
    </row>
    <row r="160" spans="1:15">
      <c r="A160" t="s">
        <v>322</v>
      </c>
      <c r="C160" s="419" t="s">
        <v>615</v>
      </c>
      <c r="D160" s="386"/>
      <c r="E160" s="386"/>
      <c r="F160" s="386"/>
      <c r="G160" s="387"/>
      <c r="H160" s="420"/>
      <c r="I160" s="420"/>
      <c r="J160" s="420"/>
      <c r="K160" s="420"/>
    </row>
    <row r="161" spans="1:15">
      <c r="C161" s="25" t="s">
        <v>20</v>
      </c>
      <c r="D161" s="15"/>
      <c r="F161" s="65">
        <f>E164</f>
        <v>120.5</v>
      </c>
      <c r="G161" s="421">
        <f>F164</f>
        <v>100.9</v>
      </c>
      <c r="H161" s="421">
        <f t="shared" ref="H161:K161" si="74">G164</f>
        <v>104.42900136097765</v>
      </c>
      <c r="I161" s="421">
        <f t="shared" si="74"/>
        <v>111.67689763637419</v>
      </c>
      <c r="J161" s="421">
        <f t="shared" si="74"/>
        <v>121.58891482474667</v>
      </c>
      <c r="K161" s="421">
        <f t="shared" si="74"/>
        <v>134.18543628131201</v>
      </c>
    </row>
    <row r="162" spans="1:15">
      <c r="C162" s="17" t="s">
        <v>91</v>
      </c>
      <c r="E162" s="395"/>
      <c r="F162" s="399">
        <v>-20.399999999999999</v>
      </c>
      <c r="G162" s="399">
        <v>-14</v>
      </c>
      <c r="H162" s="399">
        <v>-2.1</v>
      </c>
      <c r="I162" s="399">
        <v>-1.8</v>
      </c>
      <c r="J162" s="399">
        <v>-1.2</v>
      </c>
      <c r="K162" s="399">
        <v>-0.8</v>
      </c>
    </row>
    <row r="163" spans="1:15">
      <c r="C163" s="48" t="s">
        <v>92</v>
      </c>
      <c r="D163" s="45"/>
      <c r="E163" s="45"/>
      <c r="F163" s="422">
        <f>F164-F162-F161</f>
        <v>0.80000000000001137</v>
      </c>
      <c r="G163" s="422">
        <f>G164-G162-G161</f>
        <v>17.529001360977645</v>
      </c>
      <c r="H163" s="422">
        <f t="shared" ref="H163:J163" si="75">H164-H162-H161</f>
        <v>9.3478962753965362</v>
      </c>
      <c r="I163" s="422">
        <f t="shared" si="75"/>
        <v>11.712017188372471</v>
      </c>
      <c r="J163" s="422">
        <f t="shared" si="75"/>
        <v>13.79652145656533</v>
      </c>
      <c r="K163" s="422">
        <f>K164-K162-K161</f>
        <v>14.964718654806205</v>
      </c>
    </row>
    <row r="164" spans="1:15">
      <c r="C164" s="29" t="s">
        <v>21</v>
      </c>
      <c r="E164" s="144">
        <f t="shared" ref="E164:K164" si="76">E63</f>
        <v>120.5</v>
      </c>
      <c r="F164" s="144">
        <f t="shared" si="76"/>
        <v>100.9</v>
      </c>
      <c r="G164" s="144">
        <f t="shared" si="76"/>
        <v>104.42900136097765</v>
      </c>
      <c r="H164" s="144">
        <f t="shared" si="76"/>
        <v>111.67689763637419</v>
      </c>
      <c r="I164" s="144">
        <f t="shared" si="76"/>
        <v>121.58891482474667</v>
      </c>
      <c r="J164" s="144">
        <f t="shared" si="76"/>
        <v>134.18543628131201</v>
      </c>
      <c r="K164" s="144">
        <f t="shared" si="76"/>
        <v>148.3501549361182</v>
      </c>
    </row>
    <row r="165" spans="1:15">
      <c r="C165" s="29"/>
      <c r="E165" s="26"/>
      <c r="F165" s="26"/>
      <c r="G165" s="26"/>
      <c r="H165" s="26"/>
      <c r="I165" s="26"/>
      <c r="J165" s="26"/>
      <c r="K165" s="26"/>
    </row>
    <row r="166" spans="1:15">
      <c r="C166" s="29"/>
      <c r="E166" s="26"/>
      <c r="F166" s="26"/>
      <c r="G166" s="26"/>
      <c r="H166" s="26"/>
      <c r="I166" s="26"/>
      <c r="J166" s="26"/>
      <c r="K166" s="26"/>
    </row>
    <row r="167" spans="1:15">
      <c r="A167" t="s">
        <v>322</v>
      </c>
      <c r="C167" s="419" t="s">
        <v>616</v>
      </c>
      <c r="D167" s="386"/>
      <c r="E167" s="386"/>
      <c r="F167" s="386"/>
      <c r="G167" s="423"/>
      <c r="H167" s="424"/>
      <c r="I167" s="424"/>
      <c r="J167" s="424"/>
      <c r="K167" s="424"/>
    </row>
    <row r="168" spans="1:15">
      <c r="C168" s="25" t="s">
        <v>20</v>
      </c>
      <c r="E168" s="217"/>
      <c r="F168" s="427">
        <f>E171</f>
        <v>8412.6</v>
      </c>
      <c r="G168" s="144">
        <f>F171</f>
        <v>9286.2000000000007</v>
      </c>
      <c r="H168" s="144">
        <f t="shared" ref="H168:K168" si="77">G171</f>
        <v>9861.7118745332336</v>
      </c>
      <c r="I168" s="144">
        <f t="shared" si="77"/>
        <v>10474.616977658246</v>
      </c>
      <c r="J168" s="144">
        <f t="shared" si="77"/>
        <v>11127.344891815279</v>
      </c>
      <c r="K168" s="144">
        <f t="shared" si="77"/>
        <v>11822.483058796553</v>
      </c>
    </row>
    <row r="169" spans="1:15">
      <c r="C169" s="17" t="s">
        <v>352</v>
      </c>
      <c r="E169" s="217"/>
      <c r="F169" s="399">
        <v>2263.9</v>
      </c>
      <c r="G169" s="87">
        <f>F169*(1+$F$174)</f>
        <v>2410.9943241224792</v>
      </c>
      <c r="H169" s="87">
        <f t="shared" ref="H169:K169" si="78">G169*(1+$F$174)</f>
        <v>2567.6459344276736</v>
      </c>
      <c r="I169" s="87">
        <f t="shared" si="78"/>
        <v>2734.4758047004198</v>
      </c>
      <c r="J169" s="87">
        <f t="shared" si="78"/>
        <v>2912.1452557899911</v>
      </c>
      <c r="K169" s="87">
        <f t="shared" si="78"/>
        <v>3101.3585771146577</v>
      </c>
      <c r="O169" t="s">
        <v>336</v>
      </c>
    </row>
    <row r="170" spans="1:15">
      <c r="C170" s="220" t="s">
        <v>333</v>
      </c>
      <c r="D170" s="221"/>
      <c r="E170" s="222"/>
      <c r="F170" s="399">
        <v>-1723.5</v>
      </c>
      <c r="G170" s="428">
        <f>F170*(1+$F$174)</f>
        <v>-1835.4824495892456</v>
      </c>
      <c r="H170" s="428">
        <f t="shared" ref="H170:K170" si="79">G170*(1+$F$174)</f>
        <v>-1954.7408313026617</v>
      </c>
      <c r="I170" s="428">
        <f t="shared" si="79"/>
        <v>-2081.7478905433873</v>
      </c>
      <c r="J170" s="428">
        <f t="shared" si="79"/>
        <v>-2217.0070888087153</v>
      </c>
      <c r="K170" s="428">
        <f t="shared" si="79"/>
        <v>-2361.0545994333293</v>
      </c>
      <c r="O170" t="s">
        <v>337</v>
      </c>
    </row>
    <row r="171" spans="1:15">
      <c r="C171" s="24" t="s">
        <v>21</v>
      </c>
      <c r="D171" s="13"/>
      <c r="E171" s="144">
        <f>E61</f>
        <v>8412.6</v>
      </c>
      <c r="F171" s="144">
        <f>F61</f>
        <v>9286.2000000000007</v>
      </c>
      <c r="G171" s="144">
        <f>SUM(G168:G170)</f>
        <v>9861.7118745332336</v>
      </c>
      <c r="H171" s="144">
        <f t="shared" ref="H171:K171" si="80">SUM(H168:H170)</f>
        <v>10474.616977658246</v>
      </c>
      <c r="I171" s="144">
        <f t="shared" si="80"/>
        <v>11127.344891815279</v>
      </c>
      <c r="J171" s="144">
        <f t="shared" si="80"/>
        <v>11822.483058796553</v>
      </c>
      <c r="K171" s="144">
        <f t="shared" si="80"/>
        <v>12562.787036477881</v>
      </c>
    </row>
    <row r="172" spans="1:15">
      <c r="C172" s="29"/>
      <c r="E172" s="26"/>
      <c r="F172" s="26"/>
      <c r="G172" s="26"/>
      <c r="H172" s="26"/>
      <c r="I172" s="26"/>
      <c r="J172" s="26"/>
      <c r="K172" s="26"/>
    </row>
    <row r="173" spans="1:15">
      <c r="C173" s="24" t="s">
        <v>334</v>
      </c>
      <c r="E173" s="393">
        <v>1339</v>
      </c>
      <c r="F173" s="393">
        <v>1426</v>
      </c>
      <c r="G173" s="26"/>
      <c r="H173" s="26"/>
      <c r="I173" s="26"/>
      <c r="J173" s="26"/>
      <c r="K173" s="26"/>
    </row>
    <row r="174" spans="1:15">
      <c r="C174" s="37" t="s">
        <v>335</v>
      </c>
      <c r="E174" s="15"/>
      <c r="F174" s="218">
        <f>F173/E173-1</f>
        <v>6.4973861090365848E-2</v>
      </c>
      <c r="G174" s="26"/>
      <c r="H174" s="26"/>
      <c r="I174" s="26"/>
      <c r="J174" s="26"/>
      <c r="K174" s="26"/>
    </row>
    <row r="175" spans="1:15">
      <c r="C175" s="29"/>
      <c r="E175" s="26"/>
      <c r="F175" s="26"/>
      <c r="G175" s="26"/>
      <c r="H175" s="26"/>
      <c r="I175" s="26"/>
      <c r="J175" s="26"/>
      <c r="K175" s="26"/>
    </row>
    <row r="176" spans="1:15">
      <c r="A176" t="s">
        <v>322</v>
      </c>
      <c r="C176" s="419" t="s">
        <v>617</v>
      </c>
      <c r="D176" s="419"/>
      <c r="E176" s="419"/>
      <c r="F176" s="419"/>
      <c r="G176" s="419"/>
      <c r="H176" s="419"/>
      <c r="I176" s="419"/>
      <c r="J176" s="419"/>
      <c r="K176" s="419"/>
    </row>
    <row r="177" spans="1:15">
      <c r="C177" s="25" t="s">
        <v>20</v>
      </c>
      <c r="E177" s="26"/>
      <c r="F177" s="26"/>
      <c r="G177" s="144">
        <f>F72</f>
        <v>10234.700000000001</v>
      </c>
      <c r="H177" s="144">
        <f t="shared" ref="H177:K177" si="81">G181</f>
        <v>11223.212375653475</v>
      </c>
      <c r="I177" s="144">
        <f t="shared" si="81"/>
        <v>12286.952046673528</v>
      </c>
      <c r="J177" s="144">
        <f t="shared" si="81"/>
        <v>13431.180815105397</v>
      </c>
      <c r="K177" s="144">
        <f t="shared" si="81"/>
        <v>14661.515078392487</v>
      </c>
    </row>
    <row r="178" spans="1:15">
      <c r="C178" s="17" t="s">
        <v>352</v>
      </c>
      <c r="E178" s="26"/>
      <c r="F178" s="219"/>
      <c r="G178" s="65">
        <f t="shared" ref="G178:K178" si="82">G169</f>
        <v>2410.9943241224792</v>
      </c>
      <c r="H178" s="65">
        <f t="shared" si="82"/>
        <v>2567.6459344276736</v>
      </c>
      <c r="I178" s="65">
        <f t="shared" si="82"/>
        <v>2734.4758047004198</v>
      </c>
      <c r="J178" s="65">
        <f t="shared" si="82"/>
        <v>2912.1452557899911</v>
      </c>
      <c r="K178" s="65">
        <f t="shared" si="82"/>
        <v>3101.3585771146577</v>
      </c>
      <c r="O178" t="s">
        <v>339</v>
      </c>
    </row>
    <row r="179" spans="1:15">
      <c r="C179" s="17" t="s">
        <v>353</v>
      </c>
      <c r="E179" s="26"/>
      <c r="F179" s="79"/>
      <c r="G179" s="65">
        <f>F184*(1+$F$174)</f>
        <v>-1781.1687826736368</v>
      </c>
      <c r="H179" s="65">
        <f t="shared" ref="H179:K179" si="83">G179*(1+$F$174)</f>
        <v>-1896.8981957375697</v>
      </c>
      <c r="I179" s="65">
        <f t="shared" si="83"/>
        <v>-2020.1469956099882</v>
      </c>
      <c r="J179" s="65">
        <f t="shared" si="83"/>
        <v>-2151.4037458848716</v>
      </c>
      <c r="K179" s="65">
        <f t="shared" si="83"/>
        <v>-2291.1887540192879</v>
      </c>
      <c r="O179" t="s">
        <v>337</v>
      </c>
    </row>
    <row r="180" spans="1:15">
      <c r="C180" s="220" t="s">
        <v>550</v>
      </c>
      <c r="D180" s="221"/>
      <c r="E180" s="224"/>
      <c r="F180" s="224"/>
      <c r="G180" s="429">
        <f>$F$183*AVERAGE(G177,SUM(G177:G179))</f>
        <v>358.68683420463043</v>
      </c>
      <c r="H180" s="429">
        <f t="shared" ref="H180:K180" si="84">$F$183*AVERAGE(H177,SUM(H177:H179))</f>
        <v>392.99193232994998</v>
      </c>
      <c r="I180" s="429">
        <f t="shared" si="84"/>
        <v>429.89995934143735</v>
      </c>
      <c r="J180" s="429">
        <f t="shared" si="84"/>
        <v>469.59275338197057</v>
      </c>
      <c r="K180" s="429">
        <f t="shared" si="84"/>
        <v>512.2643996579659</v>
      </c>
      <c r="O180" t="s">
        <v>341</v>
      </c>
    </row>
    <row r="181" spans="1:15">
      <c r="C181" s="24" t="s">
        <v>21</v>
      </c>
      <c r="E181" s="26"/>
      <c r="F181" s="26"/>
      <c r="G181" s="144">
        <f>SUM(G177:G180)</f>
        <v>11223.212375653475</v>
      </c>
      <c r="H181" s="144">
        <f t="shared" ref="H181:K181" si="85">SUM(H177:H180)</f>
        <v>12286.952046673528</v>
      </c>
      <c r="I181" s="144">
        <f>SUM(I177:I180)</f>
        <v>13431.180815105397</v>
      </c>
      <c r="J181" s="144">
        <f t="shared" si="85"/>
        <v>14661.515078392487</v>
      </c>
      <c r="K181" s="144">
        <f t="shared" si="85"/>
        <v>15983.949301145823</v>
      </c>
    </row>
    <row r="182" spans="1:15">
      <c r="C182" s="29"/>
      <c r="E182" s="26"/>
      <c r="F182" s="26"/>
      <c r="G182" s="26"/>
      <c r="H182" s="26"/>
      <c r="I182" s="26"/>
      <c r="J182" s="26"/>
      <c r="K182" s="26"/>
    </row>
    <row r="183" spans="1:15">
      <c r="C183" t="s">
        <v>340</v>
      </c>
      <c r="E183" s="26"/>
      <c r="F183" s="430">
        <v>3.4000000000000002E-2</v>
      </c>
      <c r="G183" s="26"/>
      <c r="H183" s="26"/>
      <c r="I183" s="26"/>
      <c r="J183" s="26"/>
      <c r="K183" s="26"/>
    </row>
    <row r="184" spans="1:15">
      <c r="C184" s="25" t="s">
        <v>342</v>
      </c>
      <c r="E184" s="26"/>
      <c r="F184" s="394">
        <v>-1672.5</v>
      </c>
      <c r="G184" s="26"/>
      <c r="H184" s="26"/>
      <c r="I184" s="26"/>
      <c r="J184" s="26"/>
      <c r="K184" s="26"/>
    </row>
    <row r="185" spans="1:15">
      <c r="C185" s="29"/>
      <c r="E185" s="26"/>
      <c r="F185" s="26"/>
      <c r="G185" s="26"/>
      <c r="H185" s="26"/>
      <c r="I185" s="26"/>
      <c r="J185" s="26"/>
      <c r="K185" s="26"/>
    </row>
    <row r="186" spans="1:15">
      <c r="A186" t="s">
        <v>322</v>
      </c>
      <c r="C186" s="425" t="s">
        <v>618</v>
      </c>
      <c r="D186" s="425"/>
      <c r="E186" s="426"/>
      <c r="F186" s="426"/>
      <c r="G186" s="426"/>
      <c r="H186" s="426"/>
      <c r="I186" s="426"/>
      <c r="J186" s="426"/>
      <c r="K186" s="426"/>
    </row>
    <row r="187" spans="1:15">
      <c r="C187" t="s">
        <v>20</v>
      </c>
      <c r="E187" s="394">
        <v>311.2</v>
      </c>
      <c r="F187" s="87">
        <f>E191</f>
        <v>439.9</v>
      </c>
      <c r="G187" s="87">
        <f t="shared" ref="G187:K187" si="86">F191</f>
        <v>463.9</v>
      </c>
      <c r="H187" s="87">
        <f t="shared" si="86"/>
        <v>598.07832210741537</v>
      </c>
      <c r="I187" s="87">
        <f t="shared" si="86"/>
        <v>738.7981357466773</v>
      </c>
      <c r="J187" s="87">
        <f t="shared" si="86"/>
        <v>898.06428159284724</v>
      </c>
      <c r="K187" s="87">
        <f t="shared" si="86"/>
        <v>1065.3070159926192</v>
      </c>
    </row>
    <row r="188" spans="1:15">
      <c r="C188" s="17" t="s">
        <v>547</v>
      </c>
      <c r="E188" s="394">
        <v>298.39999999999998</v>
      </c>
      <c r="F188" s="394">
        <v>301.2</v>
      </c>
      <c r="G188" s="87">
        <f>F188*(1+G42)</f>
        <v>311.73454122821079</v>
      </c>
      <c r="H188" s="87">
        <f>G188*(1+H42)</f>
        <v>333.37048134862147</v>
      </c>
      <c r="I188" s="87">
        <f>H188*(1+I42)</f>
        <v>362.95917884255397</v>
      </c>
      <c r="J188" s="87">
        <f>I188*(1+J42)</f>
        <v>400.5614807525389</v>
      </c>
      <c r="K188" s="87">
        <f>J188*(1+K42)</f>
        <v>442.84506111753024</v>
      </c>
      <c r="O188" t="s">
        <v>559</v>
      </c>
    </row>
    <row r="189" spans="1:15">
      <c r="C189" s="17" t="s">
        <v>612</v>
      </c>
      <c r="E189" s="394">
        <v>-222.8</v>
      </c>
      <c r="F189" s="394">
        <v>-333.3</v>
      </c>
      <c r="G189" s="87">
        <f>-G188*$E$193</f>
        <v>-232.75621912079546</v>
      </c>
      <c r="H189" s="87">
        <f>-H188*$E$193</f>
        <v>-248.91066770935947</v>
      </c>
      <c r="I189" s="87">
        <f>-I188*$E$193</f>
        <v>-271.00303299638415</v>
      </c>
      <c r="J189" s="87">
        <f>-J188*$E$193</f>
        <v>-299.07874635276698</v>
      </c>
      <c r="K189" s="87">
        <f>-K188*$E$193</f>
        <v>-330.64973061992544</v>
      </c>
      <c r="O189" t="s">
        <v>558</v>
      </c>
    </row>
    <row r="190" spans="1:15" ht="14.25" customHeight="1">
      <c r="C190" s="17" t="s">
        <v>552</v>
      </c>
      <c r="E190" s="87">
        <f>E191-E189-E188-E187</f>
        <v>53.10000000000008</v>
      </c>
      <c r="F190" s="87">
        <f>F191-F189-F188-F187</f>
        <v>56.10000000000008</v>
      </c>
      <c r="G190" s="87">
        <f>IF($D$12="Best case",57.7,IF($D$12="Weak case",52.7,55.2))</f>
        <v>55.2</v>
      </c>
      <c r="H190" s="87">
        <f>IF($D$12="Best case",59.13,IF($D$12="Weak case",53.52,56.26))</f>
        <v>56.26</v>
      </c>
      <c r="I190" s="87">
        <f>IF($D$12="Best case",70.72,IF($D$12="Weak case",64.18,67.31))</f>
        <v>67.31</v>
      </c>
      <c r="J190" s="87">
        <f>IF($D$12="Best case",69.92,IF($D$12="Weak case",62.06,65.76))</f>
        <v>65.760000000000005</v>
      </c>
      <c r="K190" s="87">
        <f>IF($D$12="Best case",64.24,IF($D$12="Weak case",54.86,59.19))</f>
        <v>59.19</v>
      </c>
    </row>
    <row r="191" spans="1:15">
      <c r="C191" s="13" t="s">
        <v>21</v>
      </c>
      <c r="E191" s="216">
        <f>E59</f>
        <v>439.9</v>
      </c>
      <c r="F191" s="216">
        <f>F59</f>
        <v>463.9</v>
      </c>
      <c r="G191" s="216">
        <f>SUM(G187:G190)</f>
        <v>598.07832210741537</v>
      </c>
      <c r="H191" s="216">
        <f>SUM(H187:H190)</f>
        <v>738.7981357466773</v>
      </c>
      <c r="I191" s="216">
        <f>SUM(I187:I190)</f>
        <v>898.06428159284724</v>
      </c>
      <c r="J191" s="216">
        <f>SUM(J187:J190)</f>
        <v>1065.3070159926192</v>
      </c>
      <c r="K191" s="216">
        <f>SUM(K187:K190)</f>
        <v>1236.6923464902243</v>
      </c>
    </row>
    <row r="192" spans="1:15">
      <c r="C192" s="29"/>
      <c r="E192" s="26"/>
      <c r="F192" s="26"/>
      <c r="G192" s="26"/>
      <c r="H192" s="26"/>
      <c r="I192" s="26"/>
      <c r="J192" s="26"/>
      <c r="K192" s="26"/>
    </row>
    <row r="193" spans="1:15">
      <c r="C193" s="17" t="s">
        <v>557</v>
      </c>
      <c r="E193" s="223">
        <f>-E189/E188</f>
        <v>0.7466487935656837</v>
      </c>
      <c r="F193" s="26"/>
      <c r="G193" s="26"/>
      <c r="H193" s="26"/>
      <c r="I193" s="26"/>
      <c r="J193" s="26"/>
      <c r="K193" s="26"/>
    </row>
    <row r="195" spans="1:15">
      <c r="A195" t="s">
        <v>322</v>
      </c>
      <c r="C195" s="425" t="s">
        <v>619</v>
      </c>
      <c r="D195" s="425"/>
      <c r="E195" s="425"/>
      <c r="F195" s="425"/>
      <c r="G195" s="425"/>
      <c r="H195" s="425"/>
      <c r="I195" s="425"/>
      <c r="J195" s="425"/>
      <c r="K195" s="425"/>
    </row>
    <row r="196" spans="1:15">
      <c r="C196" t="s">
        <v>324</v>
      </c>
      <c r="D196" s="399">
        <v>846.1</v>
      </c>
      <c r="E196" s="397">
        <f>D202</f>
        <v>205.29999999999995</v>
      </c>
      <c r="F196" s="397">
        <f>E202</f>
        <v>38.099999999999909</v>
      </c>
      <c r="G196" s="395">
        <f>F202</f>
        <v>322.59999999999991</v>
      </c>
      <c r="H196" s="395">
        <f t="shared" ref="H196:K196" si="87">G202</f>
        <v>635.07894044887689</v>
      </c>
      <c r="I196" s="395">
        <f t="shared" si="87"/>
        <v>969.96961169977294</v>
      </c>
      <c r="J196" s="395">
        <f t="shared" si="87"/>
        <v>1335.5099297571328</v>
      </c>
      <c r="K196" s="395">
        <f t="shared" si="87"/>
        <v>1740.0008394343974</v>
      </c>
    </row>
    <row r="197" spans="1:15">
      <c r="C197" s="80" t="s">
        <v>325</v>
      </c>
      <c r="D197" s="399">
        <v>275.5</v>
      </c>
      <c r="E197" s="399">
        <v>306.39999999999998</v>
      </c>
      <c r="F197" s="399">
        <v>312</v>
      </c>
      <c r="G197" s="395">
        <f>G38</f>
        <v>322.91227378221038</v>
      </c>
      <c r="H197" s="395">
        <f>H38</f>
        <v>345.32400458422939</v>
      </c>
      <c r="I197" s="395">
        <f>I38</f>
        <v>375.97365139069331</v>
      </c>
      <c r="J197" s="395">
        <f>J38</f>
        <v>414.92424301059805</v>
      </c>
      <c r="K197" s="395">
        <f>K38</f>
        <v>458.72396769146559</v>
      </c>
      <c r="O197" t="s">
        <v>107</v>
      </c>
    </row>
    <row r="198" spans="1:15">
      <c r="C198" t="s">
        <v>326</v>
      </c>
      <c r="D198" s="399">
        <v>-72.400000000000006</v>
      </c>
      <c r="E198" s="399">
        <v>28.4</v>
      </c>
      <c r="F198" s="399">
        <v>-47.6</v>
      </c>
      <c r="G198" s="395">
        <f>AVERAGE(D198:F198)</f>
        <v>-30.533333333333335</v>
      </c>
      <c r="H198" s="395">
        <f>G198</f>
        <v>-30.533333333333335</v>
      </c>
      <c r="I198" s="395">
        <f t="shared" ref="I198:K198" si="88">H198</f>
        <v>-30.533333333333335</v>
      </c>
      <c r="J198" s="395">
        <f t="shared" si="88"/>
        <v>-30.533333333333335</v>
      </c>
      <c r="K198" s="395">
        <f t="shared" si="88"/>
        <v>-30.533333333333335</v>
      </c>
      <c r="O198" t="s">
        <v>332</v>
      </c>
    </row>
    <row r="199" spans="1:15">
      <c r="C199" t="s">
        <v>327</v>
      </c>
      <c r="D199" s="399">
        <v>46.9</v>
      </c>
      <c r="E199" s="399">
        <v>49.6</v>
      </c>
      <c r="F199" s="399">
        <v>55.3</v>
      </c>
      <c r="G199" s="395">
        <f>F199</f>
        <v>55.3</v>
      </c>
      <c r="H199" s="395">
        <f t="shared" ref="H199:K199" si="89">G199</f>
        <v>55.3</v>
      </c>
      <c r="I199" s="395">
        <f t="shared" si="89"/>
        <v>55.3</v>
      </c>
      <c r="J199" s="395">
        <f t="shared" si="89"/>
        <v>55.3</v>
      </c>
      <c r="K199" s="395">
        <f t="shared" si="89"/>
        <v>55.3</v>
      </c>
      <c r="O199" t="s">
        <v>67</v>
      </c>
    </row>
    <row r="200" spans="1:15">
      <c r="C200" t="s">
        <v>328</v>
      </c>
      <c r="D200" s="399">
        <v>-890.8</v>
      </c>
      <c r="E200" s="399">
        <v>-548.6</v>
      </c>
      <c r="F200" s="399">
        <v>-35.200000000000003</v>
      </c>
      <c r="G200" s="395">
        <f>F200</f>
        <v>-35.200000000000003</v>
      </c>
      <c r="H200" s="395">
        <f t="shared" ref="H200:K200" si="90">G200</f>
        <v>-35.200000000000003</v>
      </c>
      <c r="I200" s="395">
        <f t="shared" si="90"/>
        <v>-35.200000000000003</v>
      </c>
      <c r="J200" s="395">
        <f t="shared" si="90"/>
        <v>-35.200000000000003</v>
      </c>
      <c r="K200" s="395">
        <f t="shared" si="90"/>
        <v>-35.200000000000003</v>
      </c>
      <c r="O200" t="s">
        <v>331</v>
      </c>
    </row>
    <row r="201" spans="1:15">
      <c r="C201" s="215" t="s">
        <v>329</v>
      </c>
      <c r="D201" s="432">
        <v>0</v>
      </c>
      <c r="E201" s="432">
        <v>-3</v>
      </c>
      <c r="F201" s="432">
        <v>0</v>
      </c>
      <c r="G201" s="433">
        <f>F201</f>
        <v>0</v>
      </c>
      <c r="H201" s="433">
        <f t="shared" ref="H201:K201" si="91">G201</f>
        <v>0</v>
      </c>
      <c r="I201" s="433">
        <f t="shared" si="91"/>
        <v>0</v>
      </c>
      <c r="J201" s="433">
        <f t="shared" si="91"/>
        <v>0</v>
      </c>
      <c r="K201" s="433">
        <f t="shared" si="91"/>
        <v>0</v>
      </c>
      <c r="O201" t="s">
        <v>67</v>
      </c>
    </row>
    <row r="202" spans="1:15">
      <c r="C202" s="13" t="s">
        <v>21</v>
      </c>
      <c r="D202" s="434">
        <f>SUM(D196:D201)</f>
        <v>205.29999999999995</v>
      </c>
      <c r="E202" s="435">
        <f>SUM(E196:E201)</f>
        <v>38.099999999999909</v>
      </c>
      <c r="F202" s="435">
        <f>SUM(F196:F201)</f>
        <v>322.59999999999991</v>
      </c>
      <c r="G202" s="435">
        <f>SUM(G196:G201)</f>
        <v>635.07894044887689</v>
      </c>
      <c r="H202" s="435">
        <f t="shared" ref="H202:K202" si="92">SUM(H196:H201)</f>
        <v>969.96961169977294</v>
      </c>
      <c r="I202" s="435">
        <f t="shared" si="92"/>
        <v>1335.5099297571328</v>
      </c>
      <c r="J202" s="435">
        <f t="shared" si="92"/>
        <v>1740.0008394343974</v>
      </c>
      <c r="K202" s="435">
        <f t="shared" si="92"/>
        <v>2188.2914737925303</v>
      </c>
    </row>
    <row r="204" spans="1:15">
      <c r="E204" s="225"/>
      <c r="F204" s="225"/>
    </row>
    <row r="205" spans="1:15">
      <c r="A205" t="s">
        <v>322</v>
      </c>
      <c r="C205" s="436" t="s">
        <v>56</v>
      </c>
      <c r="D205" s="419"/>
      <c r="E205" s="419"/>
      <c r="F205" s="419"/>
      <c r="G205" s="386"/>
      <c r="H205" s="386"/>
      <c r="I205" s="386"/>
      <c r="J205" s="386"/>
      <c r="K205" s="386"/>
    </row>
    <row r="206" spans="1:15">
      <c r="C206" s="25" t="s">
        <v>20</v>
      </c>
      <c r="D206" s="83"/>
      <c r="E206" s="83"/>
      <c r="F206" s="83"/>
      <c r="G206" s="83">
        <f>F210</f>
        <v>-7343.8</v>
      </c>
      <c r="H206" s="83">
        <f t="shared" ref="H206:K206" si="93">G210</f>
        <v>-7331.0291854093266</v>
      </c>
      <c r="I206" s="83">
        <f t="shared" ca="1" si="93"/>
        <v>-7217.5389285129149</v>
      </c>
      <c r="J206" s="83">
        <f t="shared" ca="1" si="93"/>
        <v>-6984.2259631991365</v>
      </c>
      <c r="K206" s="83">
        <f t="shared" ca="1" si="93"/>
        <v>-6571.3532463031843</v>
      </c>
      <c r="O206" t="s">
        <v>100</v>
      </c>
    </row>
    <row r="207" spans="1:15">
      <c r="C207" s="17" t="s">
        <v>44</v>
      </c>
      <c r="D207" s="226">
        <f t="shared" ref="D207:K207" si="94">D34</f>
        <v>3283.4000000000051</v>
      </c>
      <c r="E207" s="226">
        <f t="shared" si="94"/>
        <v>4124.7000000000016</v>
      </c>
      <c r="F207" s="226">
        <f t="shared" si="94"/>
        <v>3762.2999999999984</v>
      </c>
      <c r="G207" s="226">
        <f t="shared" si="94"/>
        <v>4091.0284056401106</v>
      </c>
      <c r="H207" s="226">
        <f t="shared" ca="1" si="94"/>
        <v>4424.2182040986299</v>
      </c>
      <c r="I207" s="226">
        <f t="shared" ca="1" si="94"/>
        <v>4820.6034814033519</v>
      </c>
      <c r="J207" s="226">
        <f t="shared" ca="1" si="94"/>
        <v>5414.6047593226485</v>
      </c>
      <c r="K207" s="226">
        <f t="shared" ca="1" si="94"/>
        <v>6071.2339029129653</v>
      </c>
      <c r="O207" t="s">
        <v>73</v>
      </c>
    </row>
    <row r="208" spans="1:15">
      <c r="C208" s="17" t="s">
        <v>45</v>
      </c>
      <c r="D208" s="227">
        <v>-2293.5</v>
      </c>
      <c r="E208" s="227">
        <v>-2474.6</v>
      </c>
      <c r="F208" s="227">
        <v>-2625</v>
      </c>
      <c r="G208" s="83">
        <f>-G207*G212</f>
        <v>-2854.3575910494365</v>
      </c>
      <c r="H208" s="83">
        <f t="shared" ref="H208:K208" ca="1" si="95">-H207*H212</f>
        <v>-3086.8279472022186</v>
      </c>
      <c r="I208" s="83">
        <f t="shared" ca="1" si="95"/>
        <v>-3363.3905160895738</v>
      </c>
      <c r="J208" s="83">
        <f t="shared" ca="1" si="95"/>
        <v>-3777.8320424266958</v>
      </c>
      <c r="K208" s="83">
        <f t="shared" ca="1" si="95"/>
        <v>-4235.969751254961</v>
      </c>
      <c r="O208" t="s">
        <v>142</v>
      </c>
    </row>
    <row r="209" spans="1:21">
      <c r="C209" s="48" t="s">
        <v>46</v>
      </c>
      <c r="D209" s="227">
        <v>-3122.2</v>
      </c>
      <c r="E209" s="227">
        <v>-455.9</v>
      </c>
      <c r="F209" s="227">
        <v>-1223.9000000000001</v>
      </c>
      <c r="G209" s="228">
        <f>F209</f>
        <v>-1223.9000000000001</v>
      </c>
      <c r="H209" s="228">
        <f t="shared" ref="H209:K209" si="96">G209</f>
        <v>-1223.9000000000001</v>
      </c>
      <c r="I209" s="228">
        <f t="shared" si="96"/>
        <v>-1223.9000000000001</v>
      </c>
      <c r="J209" s="228">
        <f t="shared" si="96"/>
        <v>-1223.9000000000001</v>
      </c>
      <c r="K209" s="228">
        <f t="shared" si="96"/>
        <v>-1223.9000000000001</v>
      </c>
      <c r="O209" t="s">
        <v>199</v>
      </c>
    </row>
    <row r="210" spans="1:21">
      <c r="C210" s="29" t="s">
        <v>21</v>
      </c>
      <c r="D210" s="229"/>
      <c r="E210" s="229">
        <f>E82</f>
        <v>-7255.8</v>
      </c>
      <c r="F210" s="229">
        <f>F82</f>
        <v>-7343.8</v>
      </c>
      <c r="G210" s="216">
        <f>SUM(G206:G209)</f>
        <v>-7331.0291854093266</v>
      </c>
      <c r="H210" s="216">
        <f ca="1">SUM(H206:H209)</f>
        <v>-7217.5389285129149</v>
      </c>
      <c r="I210" s="216">
        <f ca="1">SUM(I206:I209)</f>
        <v>-6984.2259631991365</v>
      </c>
      <c r="J210" s="216">
        <f ca="1">SUM(J206:J209)</f>
        <v>-6571.3532463031843</v>
      </c>
      <c r="K210" s="216">
        <f ca="1">SUM(K206:K209)</f>
        <v>-5959.9890946451796</v>
      </c>
    </row>
    <row r="212" spans="1:21">
      <c r="C212" s="17" t="s">
        <v>197</v>
      </c>
      <c r="D212" s="86">
        <f>-D208/D207</f>
        <v>0.69851373576170939</v>
      </c>
      <c r="E212" s="86">
        <f t="shared" ref="E212:F212" si="97">-E208/E207</f>
        <v>0.59994666278759645</v>
      </c>
      <c r="F212" s="86">
        <f t="shared" si="97"/>
        <v>0.69771150625946921</v>
      </c>
      <c r="G212" s="187">
        <f>F212</f>
        <v>0.69771150625946921</v>
      </c>
      <c r="H212" s="187">
        <f t="shared" ref="H212:K212" si="98">G212</f>
        <v>0.69771150625946921</v>
      </c>
      <c r="I212" s="187">
        <f t="shared" si="98"/>
        <v>0.69771150625946921</v>
      </c>
      <c r="J212" s="187">
        <f t="shared" si="98"/>
        <v>0.69771150625946921</v>
      </c>
      <c r="K212" s="187">
        <f t="shared" si="98"/>
        <v>0.69771150625946921</v>
      </c>
      <c r="O212" t="s">
        <v>198</v>
      </c>
    </row>
    <row r="214" spans="1:21">
      <c r="A214" t="s">
        <v>322</v>
      </c>
      <c r="C214" s="385" t="s">
        <v>94</v>
      </c>
      <c r="D214" s="386"/>
      <c r="E214" s="386"/>
      <c r="F214" s="386"/>
      <c r="G214" s="386"/>
      <c r="H214" s="386"/>
      <c r="I214" s="386"/>
      <c r="J214" s="386"/>
      <c r="K214" s="386"/>
    </row>
    <row r="215" spans="1:21">
      <c r="C215" s="23" t="str">
        <f>$C$15</f>
        <v xml:space="preserve">Fiscal year  </v>
      </c>
      <c r="D215" s="82"/>
      <c r="E215" s="82"/>
      <c r="F215" s="82"/>
      <c r="G215" s="262">
        <f t="shared" ref="D215:K216" si="99">G15</f>
        <v>2025</v>
      </c>
      <c r="H215" s="262">
        <f t="shared" si="99"/>
        <v>2026</v>
      </c>
      <c r="I215" s="262">
        <f t="shared" si="99"/>
        <v>2027</v>
      </c>
      <c r="J215" s="262">
        <f t="shared" si="99"/>
        <v>2028</v>
      </c>
      <c r="K215" s="262">
        <f t="shared" si="99"/>
        <v>2029</v>
      </c>
    </row>
    <row r="216" spans="1:21">
      <c r="C216" s="6" t="str">
        <f>$C$16</f>
        <v>Fiscal year end date</v>
      </c>
      <c r="D216" s="40"/>
      <c r="E216" s="40"/>
      <c r="F216" s="40"/>
      <c r="G216" s="40">
        <f t="shared" si="99"/>
        <v>45930</v>
      </c>
      <c r="H216" s="40">
        <f t="shared" si="99"/>
        <v>46295</v>
      </c>
      <c r="I216" s="40">
        <f t="shared" si="99"/>
        <v>46660</v>
      </c>
      <c r="J216" s="40">
        <f t="shared" si="99"/>
        <v>47026</v>
      </c>
      <c r="K216" s="40">
        <f t="shared" si="99"/>
        <v>47391</v>
      </c>
    </row>
    <row r="217" spans="1:21">
      <c r="C217" s="13"/>
    </row>
    <row r="218" spans="1:21">
      <c r="C218" s="16" t="s">
        <v>32</v>
      </c>
    </row>
    <row r="219" spans="1:21">
      <c r="C219" s="17" t="s">
        <v>37</v>
      </c>
      <c r="G219" s="65">
        <f>F54</f>
        <v>3543.2</v>
      </c>
      <c r="H219" s="65">
        <f ca="1">G54</f>
        <v>2736.4481682715382</v>
      </c>
      <c r="I219" s="65">
        <f ca="1">H54</f>
        <v>2116.1512867851475</v>
      </c>
      <c r="J219" s="65">
        <f ca="1">I54</f>
        <v>1576.8382771391312</v>
      </c>
      <c r="K219" s="65">
        <f ca="1">J54</f>
        <v>1375.8223667659527</v>
      </c>
      <c r="O219" t="s">
        <v>101</v>
      </c>
    </row>
    <row r="220" spans="1:21">
      <c r="C220" s="17" t="s">
        <v>50</v>
      </c>
      <c r="G220" s="65">
        <f ca="1">-G223*G54</f>
        <v>-54.728963365430765</v>
      </c>
      <c r="H220" s="65">
        <f ca="1">-H223*H54</f>
        <v>-42.323025735702949</v>
      </c>
      <c r="I220" s="65">
        <f ca="1">-I223*I54</f>
        <v>-31.536765542782625</v>
      </c>
      <c r="J220" s="65">
        <f ca="1">-J223*J54</f>
        <v>-27.516447335319054</v>
      </c>
      <c r="K220" s="65">
        <f ca="1">-K223*K54</f>
        <v>-34.033395506163608</v>
      </c>
      <c r="O220" t="s">
        <v>356</v>
      </c>
      <c r="U220" s="87"/>
    </row>
    <row r="221" spans="1:21">
      <c r="C221" s="48" t="s">
        <v>33</v>
      </c>
      <c r="D221" s="45"/>
      <c r="E221" s="45"/>
      <c r="F221" s="45"/>
      <c r="G221" s="408">
        <f>SUM(G107,G112,G114,G115,G117,G118)</f>
        <v>-806.75183172846164</v>
      </c>
      <c r="H221" s="408">
        <f ca="1">SUM(H107,H112,H114,H115,H117,H118)</f>
        <v>-620.29688148639116</v>
      </c>
      <c r="I221" s="408">
        <f ca="1">SUM(I107,I112,I114,I115,I117,I118)</f>
        <v>-539.31300964601678</v>
      </c>
      <c r="J221" s="408">
        <f ca="1">SUM(J107,J112,J114,J115,J117,J118)</f>
        <v>-201.01591037317803</v>
      </c>
      <c r="K221" s="408">
        <f ca="1">SUM(K107,K112,K114,K115,K117,K118)</f>
        <v>325.84747984953083</v>
      </c>
      <c r="O221" t="s">
        <v>102</v>
      </c>
    </row>
    <row r="222" spans="1:21">
      <c r="C222" s="29" t="s">
        <v>74</v>
      </c>
      <c r="G222" s="144">
        <f ca="1">SUM(G219:G221)</f>
        <v>2681.7192049061073</v>
      </c>
      <c r="H222" s="144">
        <f ca="1">SUM(H219:H221)</f>
        <v>2073.8282610494439</v>
      </c>
      <c r="I222" s="144">
        <f ca="1">SUM(I219:I221)</f>
        <v>1545.3015115963481</v>
      </c>
      <c r="J222" s="144">
        <f ca="1">SUM(J219:J221)</f>
        <v>1348.305919430634</v>
      </c>
      <c r="K222" s="144">
        <f ca="1">SUM(K219:K221)</f>
        <v>1667.63645110932</v>
      </c>
    </row>
    <row r="223" spans="1:21">
      <c r="C223" s="17" t="s">
        <v>355</v>
      </c>
      <c r="G223" s="261">
        <v>0.02</v>
      </c>
      <c r="H223" s="261">
        <v>0.02</v>
      </c>
      <c r="I223" s="261">
        <v>0.02</v>
      </c>
      <c r="J223" s="261">
        <v>0.02</v>
      </c>
      <c r="K223" s="261">
        <v>0.02</v>
      </c>
    </row>
    <row r="224" spans="1:21">
      <c r="C224" s="17"/>
      <c r="G224" s="261"/>
      <c r="H224" s="261"/>
      <c r="I224" s="261"/>
      <c r="J224" s="261"/>
      <c r="K224" s="261"/>
    </row>
    <row r="225" spans="1:15">
      <c r="C225" s="13" t="s">
        <v>359</v>
      </c>
    </row>
    <row r="226" spans="1:15">
      <c r="C226" s="17" t="s">
        <v>20</v>
      </c>
      <c r="G226" s="65">
        <f>F228</f>
        <v>0</v>
      </c>
      <c r="H226" s="65">
        <f ca="1">G228</f>
        <v>0</v>
      </c>
      <c r="I226" s="65">
        <f ca="1">H228</f>
        <v>0</v>
      </c>
      <c r="J226" s="65">
        <f ca="1">I228</f>
        <v>0</v>
      </c>
      <c r="K226" s="65">
        <f ca="1">J228</f>
        <v>0</v>
      </c>
      <c r="O226" t="s">
        <v>100</v>
      </c>
    </row>
    <row r="227" spans="1:15">
      <c r="C227" s="27" t="s">
        <v>104</v>
      </c>
      <c r="G227" s="65">
        <f ca="1">-MIN(G222,G226)</f>
        <v>0</v>
      </c>
      <c r="H227" s="65">
        <f ca="1">-MIN(H222,H226)</f>
        <v>0</v>
      </c>
      <c r="I227" s="65">
        <f ca="1">-MIN(I222,I226)</f>
        <v>0</v>
      </c>
      <c r="J227" s="65">
        <f ca="1">-MIN(J222,J226)</f>
        <v>0</v>
      </c>
      <c r="K227" s="65">
        <f ca="1">-MIN(K222,K226)</f>
        <v>0</v>
      </c>
      <c r="O227" t="s">
        <v>103</v>
      </c>
    </row>
    <row r="228" spans="1:15">
      <c r="C228" s="17" t="s">
        <v>21</v>
      </c>
      <c r="D228" s="46"/>
      <c r="E228" s="408">
        <f>E74</f>
        <v>0</v>
      </c>
      <c r="F228" s="408">
        <f>F73</f>
        <v>0</v>
      </c>
      <c r="G228" s="440">
        <f ca="1">SUM(G226:G227)</f>
        <v>0</v>
      </c>
      <c r="H228" s="440">
        <f ca="1">SUM(H226:H227)</f>
        <v>0</v>
      </c>
      <c r="I228" s="440">
        <f ca="1">SUM(I226:I227)</f>
        <v>0</v>
      </c>
      <c r="J228" s="440">
        <f ca="1">SUM(J226:J227)</f>
        <v>0</v>
      </c>
      <c r="K228" s="440">
        <f ca="1">SUM(K226:K227)</f>
        <v>0</v>
      </c>
    </row>
    <row r="229" spans="1:15">
      <c r="C229" s="464" t="s">
        <v>613</v>
      </c>
      <c r="D229" s="58"/>
      <c r="E229" s="58"/>
      <c r="F229" s="59"/>
      <c r="G229" s="56" t="str">
        <f ca="1">IF(G228&lt;0,"Negative Debt","OK")</f>
        <v>OK</v>
      </c>
      <c r="H229" s="56" t="str">
        <f ca="1">IF(H228&lt;0,"Negative Debt","OK")</f>
        <v>OK</v>
      </c>
      <c r="I229" s="56" t="str">
        <f ca="1">IF(I228&lt;0,"Negative Debt","OK")</f>
        <v>OK</v>
      </c>
      <c r="J229" s="56" t="str">
        <f ca="1">IF(J228&lt;0,"Negative Debt","OK")</f>
        <v>OK</v>
      </c>
      <c r="K229" s="57" t="str">
        <f ca="1">IF(K228&lt;0,"Negative Debt","OK")</f>
        <v>OK</v>
      </c>
    </row>
    <row r="232" spans="1:15">
      <c r="A232" t="s">
        <v>322</v>
      </c>
      <c r="C232" s="385" t="s">
        <v>36</v>
      </c>
      <c r="D232" s="412"/>
      <c r="E232" s="412"/>
      <c r="F232" s="412"/>
      <c r="G232" s="438"/>
      <c r="H232" s="438"/>
      <c r="I232" s="438"/>
      <c r="J232" s="438"/>
      <c r="K232" s="438"/>
    </row>
    <row r="233" spans="1:15">
      <c r="C233" s="23" t="str">
        <f>$C$15</f>
        <v xml:space="preserve">Fiscal year  </v>
      </c>
      <c r="D233" s="20">
        <f t="shared" ref="D233:K234" si="100">D15</f>
        <v>2022</v>
      </c>
      <c r="E233" s="20">
        <f t="shared" si="100"/>
        <v>2023</v>
      </c>
      <c r="F233" s="20">
        <f t="shared" si="100"/>
        <v>2024</v>
      </c>
      <c r="G233" s="21">
        <f t="shared" si="100"/>
        <v>2025</v>
      </c>
      <c r="H233" s="21">
        <f t="shared" si="100"/>
        <v>2026</v>
      </c>
      <c r="I233" s="21">
        <f t="shared" si="100"/>
        <v>2027</v>
      </c>
      <c r="J233" s="21">
        <f t="shared" si="100"/>
        <v>2028</v>
      </c>
      <c r="K233" s="21">
        <f t="shared" si="100"/>
        <v>2029</v>
      </c>
    </row>
    <row r="234" spans="1:15">
      <c r="C234" s="6" t="str">
        <f>$C$16</f>
        <v>Fiscal year end date</v>
      </c>
      <c r="D234" s="22">
        <f t="shared" si="100"/>
        <v>44836</v>
      </c>
      <c r="E234" s="22">
        <f t="shared" si="100"/>
        <v>45200</v>
      </c>
      <c r="F234" s="22">
        <f t="shared" si="100"/>
        <v>45564</v>
      </c>
      <c r="G234" s="22">
        <f t="shared" si="100"/>
        <v>45930</v>
      </c>
      <c r="H234" s="22">
        <f t="shared" si="100"/>
        <v>46295</v>
      </c>
      <c r="I234" s="22">
        <f t="shared" si="100"/>
        <v>46660</v>
      </c>
      <c r="J234" s="22">
        <f t="shared" si="100"/>
        <v>47026</v>
      </c>
      <c r="K234" s="22">
        <f t="shared" si="100"/>
        <v>47391</v>
      </c>
    </row>
    <row r="235" spans="1:15">
      <c r="C235" s="17"/>
      <c r="D235" s="15"/>
      <c r="E235" s="15"/>
      <c r="F235" s="15"/>
      <c r="G235" s="60"/>
      <c r="H235" s="60"/>
      <c r="I235" s="60"/>
      <c r="J235" s="60"/>
      <c r="K235" s="60"/>
    </row>
    <row r="236" spans="1:15">
      <c r="C236" s="25" t="s">
        <v>87</v>
      </c>
      <c r="D236" s="15"/>
      <c r="E236" s="65">
        <f>-E31</f>
        <v>550.1</v>
      </c>
      <c r="F236" s="65">
        <f>-F31</f>
        <v>562</v>
      </c>
      <c r="G236" s="65">
        <f>G241+G246</f>
        <v>565.33406072811681</v>
      </c>
      <c r="H236" s="65">
        <f t="shared" ref="H236:K236" si="101">H241+H246</f>
        <v>565.66906072811673</v>
      </c>
      <c r="I236" s="65">
        <f t="shared" si="101"/>
        <v>565.66906072811673</v>
      </c>
      <c r="J236" s="65">
        <f t="shared" si="101"/>
        <v>565.66906072811673</v>
      </c>
      <c r="K236" s="65">
        <f t="shared" si="101"/>
        <v>565.66906072811673</v>
      </c>
      <c r="O236" t="s">
        <v>344</v>
      </c>
    </row>
    <row r="237" spans="1:15">
      <c r="C237" s="33"/>
    </row>
    <row r="238" spans="1:15">
      <c r="C238" s="42" t="s">
        <v>17</v>
      </c>
    </row>
    <row r="239" spans="1:15">
      <c r="C239" s="17" t="s">
        <v>80</v>
      </c>
      <c r="E239" s="31">
        <v>0.04</v>
      </c>
      <c r="F239" s="31">
        <f>E239</f>
        <v>0.04</v>
      </c>
      <c r="G239" s="31">
        <f t="shared" ref="G239:K239" si="102">F239</f>
        <v>0.04</v>
      </c>
      <c r="H239" s="31">
        <f t="shared" si="102"/>
        <v>0.04</v>
      </c>
      <c r="I239" s="31">
        <f t="shared" si="102"/>
        <v>0.04</v>
      </c>
      <c r="J239" s="31">
        <f t="shared" si="102"/>
        <v>0.04</v>
      </c>
      <c r="K239" s="31">
        <f t="shared" si="102"/>
        <v>0.04</v>
      </c>
      <c r="O239" t="s">
        <v>346</v>
      </c>
    </row>
    <row r="240" spans="1:15">
      <c r="C240" s="17" t="s">
        <v>81</v>
      </c>
      <c r="D240" s="46"/>
      <c r="E240" s="408">
        <f t="shared" ref="E240:K240" si="103">E73</f>
        <v>33.5</v>
      </c>
      <c r="F240" s="408">
        <f t="shared" si="103"/>
        <v>0</v>
      </c>
      <c r="G240" s="65">
        <f t="shared" si="103"/>
        <v>16.75</v>
      </c>
      <c r="H240" s="65">
        <f t="shared" si="103"/>
        <v>16.75</v>
      </c>
      <c r="I240" s="65">
        <f t="shared" si="103"/>
        <v>16.75</v>
      </c>
      <c r="J240" s="65">
        <f t="shared" si="103"/>
        <v>16.75</v>
      </c>
      <c r="K240" s="65">
        <f t="shared" si="103"/>
        <v>16.75</v>
      </c>
      <c r="O240" t="s">
        <v>106</v>
      </c>
    </row>
    <row r="241" spans="1:15">
      <c r="C241" s="61" t="s">
        <v>34</v>
      </c>
      <c r="D241" s="15"/>
      <c r="E241" s="144">
        <f>AVERAGE(D240:E240)*E239</f>
        <v>1.34</v>
      </c>
      <c r="F241" s="144">
        <f>AVERAGE(E240:F240)*F239</f>
        <v>0.67</v>
      </c>
      <c r="G241" s="439">
        <f>IF($D$7=1,AVERAGE(F240,G240)*G239,0)</f>
        <v>0.33500000000000002</v>
      </c>
      <c r="H241" s="439">
        <f t="shared" ref="H241:K241" si="104">IF($D$7=1,AVERAGE(G240,H240)*H239,0)</f>
        <v>0.67</v>
      </c>
      <c r="I241" s="439">
        <f t="shared" si="104"/>
        <v>0.67</v>
      </c>
      <c r="J241" s="439">
        <f t="shared" si="104"/>
        <v>0.67</v>
      </c>
      <c r="K241" s="439">
        <f t="shared" si="104"/>
        <v>0.67</v>
      </c>
      <c r="O241" t="s">
        <v>105</v>
      </c>
    </row>
    <row r="242" spans="1:15">
      <c r="C242" s="37"/>
      <c r="D242" s="15"/>
      <c r="E242" s="15"/>
      <c r="F242" s="15"/>
    </row>
    <row r="243" spans="1:15">
      <c r="C243" s="42" t="s">
        <v>49</v>
      </c>
      <c r="D243" s="15"/>
      <c r="E243" s="15"/>
      <c r="F243" s="15"/>
    </row>
    <row r="244" spans="1:15">
      <c r="C244" s="17" t="s">
        <v>81</v>
      </c>
      <c r="D244" s="15"/>
      <c r="E244" s="65">
        <f t="shared" ref="E244:K244" si="105">E75</f>
        <v>15366.2</v>
      </c>
      <c r="F244" s="65">
        <f t="shared" si="105"/>
        <v>15568.4</v>
      </c>
      <c r="G244" s="65">
        <f t="shared" si="105"/>
        <v>15568.4</v>
      </c>
      <c r="H244" s="65">
        <f t="shared" si="105"/>
        <v>15568.4</v>
      </c>
      <c r="I244" s="65">
        <f t="shared" si="105"/>
        <v>15568.4</v>
      </c>
      <c r="J244" s="65">
        <f t="shared" si="105"/>
        <v>15568.4</v>
      </c>
      <c r="K244" s="65">
        <f t="shared" si="105"/>
        <v>15568.4</v>
      </c>
      <c r="O244" t="s">
        <v>107</v>
      </c>
    </row>
    <row r="245" spans="1:15">
      <c r="C245" s="17" t="s">
        <v>80</v>
      </c>
      <c r="E245" s="41"/>
      <c r="F245" s="41">
        <f>F246/AVERAGE(E244:F244)</f>
        <v>3.6291401860699672E-2</v>
      </c>
      <c r="G245" s="231">
        <f>F245</f>
        <v>3.6291401860699672E-2</v>
      </c>
      <c r="H245" s="231">
        <f>G245</f>
        <v>3.6291401860699672E-2</v>
      </c>
      <c r="I245" s="231">
        <f>H245</f>
        <v>3.6291401860699672E-2</v>
      </c>
      <c r="J245" s="231">
        <f>I245</f>
        <v>3.6291401860699672E-2</v>
      </c>
      <c r="K245" s="231">
        <f>J245</f>
        <v>3.6291401860699672E-2</v>
      </c>
      <c r="O245" t="s">
        <v>546</v>
      </c>
    </row>
    <row r="246" spans="1:15">
      <c r="C246" s="29" t="s">
        <v>109</v>
      </c>
      <c r="D246" s="26"/>
      <c r="E246" s="26"/>
      <c r="F246" s="144">
        <f>F236-F241</f>
        <v>561.33000000000004</v>
      </c>
      <c r="G246" s="76">
        <f>G245*AVERAGE(F244:G244)</f>
        <v>564.99906072811677</v>
      </c>
      <c r="H246" s="76">
        <f>H245*AVERAGE(G244:H244)</f>
        <v>564.99906072811677</v>
      </c>
      <c r="I246" s="76">
        <f>I245*AVERAGE(H244:I244)</f>
        <v>564.99906072811677</v>
      </c>
      <c r="J246" s="76">
        <f>J245*AVERAGE(I244:J244)</f>
        <v>564.99906072811677</v>
      </c>
      <c r="K246" s="76">
        <f>K245*AVERAGE(J244:K244)</f>
        <v>564.99906072811677</v>
      </c>
      <c r="O246" t="s">
        <v>82</v>
      </c>
    </row>
    <row r="247" spans="1:15">
      <c r="E247" s="15"/>
    </row>
    <row r="248" spans="1:15">
      <c r="C248" s="33" t="s">
        <v>35</v>
      </c>
      <c r="E248" s="15"/>
      <c r="F248" s="15"/>
    </row>
    <row r="249" spans="1:15">
      <c r="C249" s="17" t="s">
        <v>83</v>
      </c>
      <c r="D249" s="30"/>
      <c r="E249" s="31"/>
      <c r="F249" s="201">
        <f>F30/AVERAGE(E54,F54)</f>
        <v>3.2763266721805712E-2</v>
      </c>
      <c r="G249" s="201">
        <f>F249</f>
        <v>3.2763266721805712E-2</v>
      </c>
      <c r="H249" s="201">
        <f t="shared" ref="H249:K249" si="106">G249</f>
        <v>3.2763266721805712E-2</v>
      </c>
      <c r="I249" s="201">
        <f t="shared" si="106"/>
        <v>3.2763266721805712E-2</v>
      </c>
      <c r="J249" s="201">
        <f t="shared" si="106"/>
        <v>3.2763266721805712E-2</v>
      </c>
      <c r="K249" s="201">
        <f t="shared" si="106"/>
        <v>3.2763266721805712E-2</v>
      </c>
    </row>
    <row r="250" spans="1:15">
      <c r="C250" s="17" t="s">
        <v>4</v>
      </c>
      <c r="D250" s="15"/>
      <c r="E250" s="65">
        <f>E30</f>
        <v>81.2</v>
      </c>
      <c r="F250" s="65">
        <f>F30</f>
        <v>122.8</v>
      </c>
      <c r="G250" s="64">
        <f>G249*F54</f>
        <v>116.08680664870199</v>
      </c>
      <c r="H250" s="64">
        <f ca="1">H249*G54</f>
        <v>89.654981207477078</v>
      </c>
      <c r="I250" s="64">
        <f ca="1">I249*H54</f>
        <v>69.332029032634154</v>
      </c>
      <c r="J250" s="64">
        <f ca="1">J249*I54</f>
        <v>51.662373051061948</v>
      </c>
      <c r="K250" s="64">
        <f ca="1">K249*J54</f>
        <v>45.07643516417891</v>
      </c>
      <c r="O250" t="s">
        <v>108</v>
      </c>
    </row>
    <row r="251" spans="1:15">
      <c r="C251" s="35"/>
      <c r="D251" s="41"/>
      <c r="E251" s="41"/>
      <c r="F251" s="41"/>
      <c r="G251" s="41"/>
      <c r="H251" s="41"/>
    </row>
    <row r="253" spans="1:15">
      <c r="A253" t="s">
        <v>322</v>
      </c>
      <c r="C253" s="385" t="s">
        <v>115</v>
      </c>
      <c r="D253" s="385"/>
      <c r="E253" s="385"/>
      <c r="F253" s="385"/>
      <c r="G253" s="385"/>
      <c r="H253" s="385"/>
      <c r="I253" s="385"/>
      <c r="J253" s="385"/>
      <c r="K253" s="385"/>
    </row>
    <row r="254" spans="1:15">
      <c r="C254" s="23" t="str">
        <f>$C$15</f>
        <v xml:space="preserve">Fiscal year  </v>
      </c>
      <c r="D254" s="20">
        <f t="shared" ref="D254:K255" si="107">D15</f>
        <v>2022</v>
      </c>
      <c r="E254" s="20">
        <f t="shared" si="107"/>
        <v>2023</v>
      </c>
      <c r="F254" s="20">
        <f t="shared" si="107"/>
        <v>2024</v>
      </c>
      <c r="G254" s="21">
        <f t="shared" si="107"/>
        <v>2025</v>
      </c>
      <c r="H254" s="21">
        <f t="shared" si="107"/>
        <v>2026</v>
      </c>
      <c r="I254" s="21">
        <f t="shared" si="107"/>
        <v>2027</v>
      </c>
      <c r="J254" s="21">
        <f t="shared" si="107"/>
        <v>2028</v>
      </c>
      <c r="K254" s="21">
        <f t="shared" si="107"/>
        <v>2029</v>
      </c>
    </row>
    <row r="255" spans="1:15">
      <c r="C255" s="6" t="str">
        <f>$C$16</f>
        <v>Fiscal year end date</v>
      </c>
      <c r="D255" s="22">
        <f t="shared" si="107"/>
        <v>44836</v>
      </c>
      <c r="E255" s="22">
        <f t="shared" si="107"/>
        <v>45200</v>
      </c>
      <c r="F255" s="22">
        <f t="shared" si="107"/>
        <v>45564</v>
      </c>
      <c r="G255" s="22">
        <f t="shared" si="107"/>
        <v>45930</v>
      </c>
      <c r="H255" s="22">
        <f t="shared" si="107"/>
        <v>46295</v>
      </c>
      <c r="I255" s="22">
        <f t="shared" si="107"/>
        <v>46660</v>
      </c>
      <c r="J255" s="22">
        <f t="shared" si="107"/>
        <v>47026</v>
      </c>
      <c r="K255" s="22">
        <f t="shared" si="107"/>
        <v>47391</v>
      </c>
    </row>
    <row r="256" spans="1:15">
      <c r="G256" s="19"/>
      <c r="H256" s="19"/>
      <c r="I256" s="19"/>
      <c r="J256" s="18"/>
      <c r="K256" s="18"/>
    </row>
    <row r="257" spans="3:15">
      <c r="C257" t="s">
        <v>2</v>
      </c>
      <c r="D257" s="65">
        <f t="shared" ref="D257:K257" si="108">D34</f>
        <v>3283.4000000000051</v>
      </c>
      <c r="E257" s="65">
        <f t="shared" si="108"/>
        <v>4124.7000000000016</v>
      </c>
      <c r="F257" s="65">
        <f t="shared" si="108"/>
        <v>3762.2999999999984</v>
      </c>
      <c r="G257" s="65">
        <f t="shared" si="108"/>
        <v>4091.0284056401106</v>
      </c>
      <c r="H257" s="65">
        <f t="shared" ca="1" si="108"/>
        <v>4424.2182040986299</v>
      </c>
      <c r="I257" s="65">
        <f t="shared" ca="1" si="108"/>
        <v>4820.6034814033519</v>
      </c>
      <c r="J257" s="65">
        <f t="shared" ca="1" si="108"/>
        <v>5414.6047593226485</v>
      </c>
      <c r="K257" s="65">
        <f t="shared" ca="1" si="108"/>
        <v>6071.2339029129653</v>
      </c>
      <c r="O257" t="s">
        <v>124</v>
      </c>
    </row>
    <row r="258" spans="3:15">
      <c r="C258" t="s">
        <v>116</v>
      </c>
      <c r="D258" s="73">
        <v>1153.3</v>
      </c>
      <c r="E258" s="73">
        <v>1146.8</v>
      </c>
      <c r="F258" s="73">
        <v>1133.8</v>
      </c>
      <c r="G258" s="414">
        <f>F258+(G265-G264)/G266</f>
        <v>1118.0162012879366</v>
      </c>
      <c r="H258" s="414">
        <f t="shared" ref="H258:K258" ca="1" si="109">G258+(H265-H264)/H266</f>
        <v>1103.2096190242482</v>
      </c>
      <c r="I258" s="414">
        <f t="shared" ca="1" si="109"/>
        <v>1089.3551241852788</v>
      </c>
      <c r="J258" s="414">
        <f t="shared" ca="1" si="109"/>
        <v>1076.7202175102132</v>
      </c>
      <c r="K258" s="414">
        <f t="shared" ca="1" si="109"/>
        <v>1065.1506658732515</v>
      </c>
      <c r="O258" t="s">
        <v>614</v>
      </c>
    </row>
    <row r="259" spans="3:15">
      <c r="C259" s="13" t="s">
        <v>117</v>
      </c>
      <c r="D259" s="233">
        <f t="shared" ref="D259:K259" si="110">D257/D258</f>
        <v>2.8469608948235545</v>
      </c>
      <c r="E259" s="233">
        <f t="shared" si="110"/>
        <v>3.5967038716428337</v>
      </c>
      <c r="F259" s="233">
        <f t="shared" si="110"/>
        <v>3.3183101076027506</v>
      </c>
      <c r="G259" s="233">
        <f t="shared" si="110"/>
        <v>3.6591852612934517</v>
      </c>
      <c r="H259" s="233">
        <f t="shared" ca="1" si="110"/>
        <v>4.0103151094818248</v>
      </c>
      <c r="I259" s="233">
        <f t="shared" ca="1" si="110"/>
        <v>4.4251900728962452</v>
      </c>
      <c r="J259" s="233">
        <f t="shared" ca="1" si="110"/>
        <v>5.0287945478011684</v>
      </c>
      <c r="K259" s="233">
        <f t="shared" ca="1" si="110"/>
        <v>5.6998827465741986</v>
      </c>
      <c r="O259" t="s">
        <v>127</v>
      </c>
    </row>
    <row r="260" spans="3:15">
      <c r="D260" s="3"/>
      <c r="E260" s="3"/>
      <c r="F260" s="3"/>
      <c r="G260" s="15"/>
    </row>
    <row r="261" spans="3:15">
      <c r="C261" t="s">
        <v>118</v>
      </c>
      <c r="D261" s="73">
        <v>1158.5</v>
      </c>
      <c r="E261" s="73">
        <v>1151.3</v>
      </c>
      <c r="F261" s="73">
        <v>1137.3</v>
      </c>
      <c r="G261" s="414">
        <f>(F261-F258)+G258</f>
        <v>1121.5162012879366</v>
      </c>
      <c r="H261" s="414">
        <f t="shared" ref="H261:K261" ca="1" si="111">(G261-G258)+H258</f>
        <v>1106.7096190242482</v>
      </c>
      <c r="I261" s="414">
        <f t="shared" ca="1" si="111"/>
        <v>1092.8551241852788</v>
      </c>
      <c r="J261" s="414">
        <f t="shared" ca="1" si="111"/>
        <v>1080.2202175102132</v>
      </c>
      <c r="K261" s="414">
        <f t="shared" ca="1" si="111"/>
        <v>1068.6506658732515</v>
      </c>
      <c r="O261" t="s">
        <v>128</v>
      </c>
    </row>
    <row r="262" spans="3:15">
      <c r="C262" s="13" t="s">
        <v>119</v>
      </c>
      <c r="D262" s="233">
        <f>D257/D261</f>
        <v>2.8341821320673328</v>
      </c>
      <c r="E262" s="233">
        <f t="shared" ref="E262:F262" si="112">E257/E261</f>
        <v>3.5826457048553824</v>
      </c>
      <c r="F262" s="233">
        <f t="shared" si="112"/>
        <v>3.3080981271432326</v>
      </c>
      <c r="G262" s="235">
        <f>G257/G261</f>
        <v>3.6477657665061098</v>
      </c>
      <c r="H262" s="235">
        <f t="shared" ref="H262:K262" ca="1" si="113">H257/H261</f>
        <v>3.9976323762319215</v>
      </c>
      <c r="I262" s="235">
        <f t="shared" ca="1" si="113"/>
        <v>4.4110178693604079</v>
      </c>
      <c r="J262" s="235">
        <f t="shared" ca="1" si="113"/>
        <v>5.0125008508012439</v>
      </c>
      <c r="K262" s="235">
        <f t="shared" ca="1" si="113"/>
        <v>5.6812147288111561</v>
      </c>
      <c r="O262" t="s">
        <v>129</v>
      </c>
    </row>
    <row r="263" spans="3:15">
      <c r="G263" s="236"/>
    </row>
    <row r="264" spans="3:15">
      <c r="C264" t="s">
        <v>125</v>
      </c>
      <c r="G264" s="414">
        <f>-G209</f>
        <v>1223.9000000000001</v>
      </c>
      <c r="H264" s="414">
        <f>-H209</f>
        <v>1223.9000000000001</v>
      </c>
      <c r="I264" s="414">
        <f>-I209</f>
        <v>1223.9000000000001</v>
      </c>
      <c r="J264" s="414">
        <f>-J209</f>
        <v>1223.9000000000001</v>
      </c>
      <c r="K264" s="414">
        <f>-K209</f>
        <v>1223.9000000000001</v>
      </c>
      <c r="O264" t="s">
        <v>122</v>
      </c>
    </row>
    <row r="265" spans="3:15">
      <c r="C265" t="s">
        <v>126</v>
      </c>
      <c r="G265" s="414">
        <f>-G38</f>
        <v>-322.91227378221038</v>
      </c>
      <c r="H265" s="414">
        <f>-H38</f>
        <v>-345.32400458422939</v>
      </c>
      <c r="I265" s="414">
        <f>-I38</f>
        <v>-375.97365139069331</v>
      </c>
      <c r="J265" s="414">
        <f>-J38</f>
        <v>-414.92424301059805</v>
      </c>
      <c r="K265" s="414">
        <f>-K38</f>
        <v>-458.72396769146559</v>
      </c>
      <c r="O265" t="s">
        <v>123</v>
      </c>
    </row>
    <row r="266" spans="3:15">
      <c r="C266" t="s">
        <v>121</v>
      </c>
      <c r="G266" s="232">
        <v>98</v>
      </c>
      <c r="H266" s="232">
        <f ca="1">G266*(1+H267)</f>
        <v>105.98151394009348</v>
      </c>
      <c r="I266" s="232">
        <f t="shared" ref="I266:K266" ca="1" si="114">H266*(1+I267)</f>
        <v>115.47686653219669</v>
      </c>
      <c r="J266" s="232">
        <f t="shared" ca="1" si="114"/>
        <v>129.70608213867763</v>
      </c>
      <c r="K266" s="232">
        <f t="shared" ca="1" si="114"/>
        <v>145.43554071391779</v>
      </c>
      <c r="O266" t="s">
        <v>130</v>
      </c>
    </row>
    <row r="267" spans="3:15">
      <c r="C267" t="s">
        <v>120</v>
      </c>
      <c r="H267" s="441">
        <f ca="1">H269</f>
        <v>8.1444019796872213E-2</v>
      </c>
      <c r="I267" s="441">
        <f ca="1">I269</f>
        <v>8.9594423018626745E-2</v>
      </c>
      <c r="J267" s="441">
        <f ca="1">J269</f>
        <v>0.12322135189313976</v>
      </c>
      <c r="K267" s="441">
        <f ca="1">K269</f>
        <v>0.12127000121900555</v>
      </c>
      <c r="O267" s="80" t="s">
        <v>349</v>
      </c>
    </row>
    <row r="268" spans="3:15">
      <c r="C268" t="s">
        <v>2</v>
      </c>
      <c r="D268" s="15">
        <f t="shared" ref="D268:K268" si="115">D34</f>
        <v>3283.4000000000051</v>
      </c>
      <c r="E268" s="15">
        <f t="shared" si="115"/>
        <v>4124.7000000000016</v>
      </c>
      <c r="F268" s="15">
        <f t="shared" si="115"/>
        <v>3762.2999999999984</v>
      </c>
      <c r="G268" s="15">
        <f t="shared" si="115"/>
        <v>4091.0284056401106</v>
      </c>
      <c r="H268" s="15">
        <f t="shared" ca="1" si="115"/>
        <v>4424.2182040986299</v>
      </c>
      <c r="I268" s="15">
        <f t="shared" ca="1" si="115"/>
        <v>4820.6034814033519</v>
      </c>
      <c r="J268" s="15">
        <f t="shared" ca="1" si="115"/>
        <v>5414.6047593226485</v>
      </c>
      <c r="K268" s="15">
        <f t="shared" ca="1" si="115"/>
        <v>6071.2339029129653</v>
      </c>
      <c r="O268" s="80" t="s">
        <v>145</v>
      </c>
    </row>
    <row r="269" spans="3:15">
      <c r="C269" s="17" t="s">
        <v>144</v>
      </c>
      <c r="E269" s="62">
        <f>E268/D268-1</f>
        <v>0.25622829993299479</v>
      </c>
      <c r="F269" s="62">
        <f t="shared" ref="F269:K269" si="116">F268/E268-1</f>
        <v>-8.7860935340752788E-2</v>
      </c>
      <c r="G269" s="62">
        <f t="shared" si="116"/>
        <v>8.7374320399785432E-2</v>
      </c>
      <c r="H269" s="62">
        <f t="shared" ca="1" si="116"/>
        <v>8.1444019796872213E-2</v>
      </c>
      <c r="I269" s="62">
        <f t="shared" ca="1" si="116"/>
        <v>8.9594423018626745E-2</v>
      </c>
      <c r="J269" s="62">
        <f t="shared" ca="1" si="116"/>
        <v>0.12322135189313976</v>
      </c>
      <c r="K269" s="62">
        <f t="shared" ca="1" si="116"/>
        <v>0.12127000451136505</v>
      </c>
      <c r="O269" s="80" t="s">
        <v>146</v>
      </c>
    </row>
    <row r="270" spans="3:15">
      <c r="H270" s="203"/>
      <c r="I270" s="203"/>
      <c r="J270" s="203"/>
      <c r="K270" s="203"/>
    </row>
    <row r="273" spans="1:11">
      <c r="A273" t="s">
        <v>322</v>
      </c>
      <c r="C273" s="385" t="s">
        <v>57</v>
      </c>
      <c r="D273" s="385"/>
      <c r="E273" s="385"/>
      <c r="F273" s="385"/>
      <c r="G273" s="385"/>
      <c r="H273" s="385"/>
      <c r="I273" s="385"/>
      <c r="J273" s="385"/>
      <c r="K273" s="385"/>
    </row>
    <row r="274" spans="1:11">
      <c r="C274" s="13"/>
    </row>
    <row r="275" spans="1:11" ht="15.75" thickBot="1">
      <c r="C275" s="189" t="s">
        <v>553</v>
      </c>
      <c r="D275" s="190"/>
      <c r="E275" s="190"/>
      <c r="F275" s="190"/>
      <c r="G275" s="190"/>
      <c r="H275" s="190"/>
      <c r="I275" s="190"/>
    </row>
    <row r="276" spans="1:11">
      <c r="E276" s="208" t="s">
        <v>58</v>
      </c>
      <c r="F276" s="191"/>
      <c r="G276" s="191"/>
      <c r="H276" s="191"/>
      <c r="I276" s="191"/>
    </row>
    <row r="277" spans="1:11" ht="15.75" thickBot="1">
      <c r="D277" s="442">
        <f>G34</f>
        <v>4091.0284056401106</v>
      </c>
      <c r="E277" s="205">
        <f>F277-2.5%</f>
        <v>-1.5024763518556486E-2</v>
      </c>
      <c r="F277" s="205">
        <f>G277-2.5%</f>
        <v>9.9752364814435154E-3</v>
      </c>
      <c r="G277" s="205">
        <f>G42</f>
        <v>3.4975236481443517E-2</v>
      </c>
      <c r="H277" s="205">
        <f>G277+2.5%</f>
        <v>5.9975236481443518E-2</v>
      </c>
      <c r="I277" s="205">
        <f>H277+2.5%</f>
        <v>8.497523648144352E-2</v>
      </c>
    </row>
    <row r="278" spans="1:11">
      <c r="D278" s="206">
        <f>D279-0.5%</f>
        <v>0.68699999999999994</v>
      </c>
      <c r="E278" s="443">
        <f t="dataTable" ref="E278:I283" dt2D="1" dtr="1" r1="G42" r2="G44" ca="1"/>
        <v>3795.767626851959</v>
      </c>
      <c r="F278" s="443">
        <v>3790.0591338519589</v>
      </c>
      <c r="G278" s="443">
        <v>3790.0591338519589</v>
      </c>
      <c r="H278" s="443">
        <v>3795.767626851959</v>
      </c>
      <c r="I278" s="443">
        <v>3807.1846128519592</v>
      </c>
    </row>
    <row r="279" spans="1:11">
      <c r="C279" s="207" t="s">
        <v>59</v>
      </c>
      <c r="D279" s="206">
        <f>D280-0.5%</f>
        <v>0.69199999999999995</v>
      </c>
      <c r="E279" s="443">
        <v>3653.8457304578833</v>
      </c>
      <c r="F279" s="443">
        <v>3648.1372374578837</v>
      </c>
      <c r="G279" s="443">
        <v>3648.1372374578837</v>
      </c>
      <c r="H279" s="443">
        <v>3653.8457304578833</v>
      </c>
      <c r="I279" s="443">
        <v>3665.2627164578835</v>
      </c>
    </row>
    <row r="280" spans="1:11">
      <c r="C280" s="207" t="s">
        <v>60</v>
      </c>
      <c r="D280" s="206">
        <f>G44</f>
        <v>0.69699999999999995</v>
      </c>
      <c r="E280" s="443">
        <v>3653.8457304578833</v>
      </c>
      <c r="F280" s="443">
        <v>3648.1372374578837</v>
      </c>
      <c r="G280" s="443">
        <v>3648.1372374578837</v>
      </c>
      <c r="H280" s="443">
        <v>3653.8457304578833</v>
      </c>
      <c r="I280" s="443">
        <v>3665.2627164578835</v>
      </c>
    </row>
    <row r="281" spans="1:11">
      <c r="C281" s="207" t="s">
        <v>61</v>
      </c>
      <c r="D281" s="206">
        <f>D280+0.5%</f>
        <v>0.70199999999999996</v>
      </c>
      <c r="E281" s="443">
        <v>3795.767626851959</v>
      </c>
      <c r="F281" s="443">
        <v>3790.0591338519589</v>
      </c>
      <c r="G281" s="443">
        <v>3790.0591338519589</v>
      </c>
      <c r="H281" s="443">
        <v>3795.767626851959</v>
      </c>
      <c r="I281" s="443">
        <v>3807.1846128519592</v>
      </c>
    </row>
    <row r="282" spans="1:11">
      <c r="D282" s="206">
        <f>D281+0.5%</f>
        <v>0.70699999999999996</v>
      </c>
      <c r="E282" s="443">
        <v>4079.6114196401104</v>
      </c>
      <c r="F282" s="443">
        <v>4073.9029266401103</v>
      </c>
      <c r="G282" s="443">
        <v>4073.9029266401103</v>
      </c>
      <c r="H282" s="443">
        <v>4079.6114196401104</v>
      </c>
      <c r="I282" s="443">
        <v>4091.0284056401106</v>
      </c>
    </row>
    <row r="283" spans="1:11">
      <c r="D283" s="206">
        <f>D282+0.5%</f>
        <v>0.71199999999999997</v>
      </c>
      <c r="E283" s="443">
        <v>4505.3771088223366</v>
      </c>
      <c r="F283" s="443">
        <v>4499.6686158223365</v>
      </c>
      <c r="G283" s="443">
        <v>4499.6686158223365</v>
      </c>
      <c r="H283" s="443">
        <v>4505.3771088223366</v>
      </c>
      <c r="I283" s="443">
        <v>4516.7940948223368</v>
      </c>
    </row>
    <row r="285" spans="1:11" s="387" customFormat="1">
      <c r="A285" s="387" t="s">
        <v>322</v>
      </c>
      <c r="C285" s="385" t="s">
        <v>62</v>
      </c>
      <c r="D285" s="385"/>
      <c r="E285" s="385"/>
      <c r="F285" s="385"/>
      <c r="G285" s="385"/>
      <c r="H285" s="385"/>
      <c r="I285" s="385"/>
      <c r="J285" s="385"/>
      <c r="K285" s="385"/>
    </row>
    <row r="286" spans="1:11" ht="15.75" thickBot="1">
      <c r="F286" s="37" t="s">
        <v>564</v>
      </c>
    </row>
    <row r="287" spans="1:11" ht="15.75" thickBot="1">
      <c r="C287" t="s">
        <v>113</v>
      </c>
      <c r="D287" s="155" t="str">
        <f>D12</f>
        <v>Base case</v>
      </c>
      <c r="F287" s="199" t="s">
        <v>112</v>
      </c>
      <c r="G287" s="262">
        <f t="shared" ref="G287:K288" si="117">G15</f>
        <v>2025</v>
      </c>
      <c r="H287" s="262">
        <f t="shared" si="117"/>
        <v>2026</v>
      </c>
      <c r="I287" s="262">
        <f t="shared" si="117"/>
        <v>2027</v>
      </c>
      <c r="J287" s="262">
        <f t="shared" si="117"/>
        <v>2028</v>
      </c>
      <c r="K287" s="262">
        <f t="shared" si="117"/>
        <v>2029</v>
      </c>
    </row>
    <row r="288" spans="1:11">
      <c r="E288" s="200"/>
      <c r="F288" s="194" t="s">
        <v>111</v>
      </c>
      <c r="G288" s="11">
        <f t="shared" si="117"/>
        <v>45930</v>
      </c>
      <c r="H288" s="11">
        <f t="shared" si="117"/>
        <v>46295</v>
      </c>
      <c r="I288" s="11">
        <f t="shared" si="117"/>
        <v>46660</v>
      </c>
      <c r="J288" s="11">
        <f t="shared" si="117"/>
        <v>47026</v>
      </c>
      <c r="K288" s="11">
        <f t="shared" si="117"/>
        <v>47391</v>
      </c>
    </row>
    <row r="289" spans="3:19">
      <c r="C289" s="17" t="s">
        <v>1</v>
      </c>
      <c r="F289" s="268" t="str">
        <f>_xlfn.XLOOKUP($D$287,$C$295:$C$297,F295:F297)</f>
        <v>NM</v>
      </c>
      <c r="G289" s="267">
        <f>_xlfn.XLOOKUP($D$287,$C$295:$C$297,G295:G297)</f>
        <v>3.4975236481443517E-2</v>
      </c>
      <c r="H289" s="267">
        <f t="shared" ref="H289:K289" si="118">_xlfn.XLOOKUP($D$287,$C$295:$C$297,H295:H297)</f>
        <v>6.9405013750374556E-2</v>
      </c>
      <c r="I289" s="267">
        <f t="shared" si="118"/>
        <v>8.8756201131647838E-2</v>
      </c>
      <c r="J289" s="267">
        <f t="shared" si="118"/>
        <v>0.10359925881994636</v>
      </c>
      <c r="K289" s="267">
        <f t="shared" si="118"/>
        <v>0.10556077505393868</v>
      </c>
      <c r="O289" s="202"/>
      <c r="Q289" s="202"/>
      <c r="R289" s="202"/>
    </row>
    <row r="290" spans="3:19">
      <c r="C290" s="17" t="s">
        <v>131</v>
      </c>
      <c r="F290" s="268" t="str">
        <f>_xlfn.XLOOKUP($D$287,$C$299:$C$301,F299:F301)</f>
        <v>NM</v>
      </c>
      <c r="G290" s="267">
        <f t="shared" ref="G290:K290" si="119">_xlfn.XLOOKUP($D$287,$C$299:$C$301,G299:G301)</f>
        <v>0.69699999999999995</v>
      </c>
      <c r="H290" s="267">
        <f t="shared" si="119"/>
        <v>0.69879999999999998</v>
      </c>
      <c r="I290" s="267">
        <f t="shared" si="119"/>
        <v>0.69810000000000005</v>
      </c>
      <c r="J290" s="267">
        <f t="shared" si="119"/>
        <v>0.7</v>
      </c>
      <c r="K290" s="267">
        <f t="shared" si="119"/>
        <v>0.70099999999999996</v>
      </c>
      <c r="O290" s="202"/>
      <c r="Q290" s="202"/>
      <c r="R290" s="202"/>
    </row>
    <row r="291" spans="3:19">
      <c r="C291" s="17" t="s">
        <v>161</v>
      </c>
      <c r="F291" s="268" t="str">
        <f>_xlfn.XLOOKUP($D$287,$C$303:$C$305,F303:F305)</f>
        <v>NM</v>
      </c>
      <c r="G291" s="267">
        <f t="shared" ref="G291:K291" si="120">_xlfn.XLOOKUP($D$287,$C$303:$C$305,G303:G305)</f>
        <v>0.42255681912417559</v>
      </c>
      <c r="H291" s="267">
        <f t="shared" si="120"/>
        <v>0.42255681912417559</v>
      </c>
      <c r="I291" s="267">
        <f t="shared" si="120"/>
        <v>0.42255681912417559</v>
      </c>
      <c r="J291" s="267">
        <f t="shared" si="120"/>
        <v>0.42255681912417559</v>
      </c>
      <c r="K291" s="267">
        <f t="shared" si="120"/>
        <v>0.42255681912417559</v>
      </c>
      <c r="O291" s="202"/>
      <c r="Q291" s="202"/>
      <c r="R291" s="202"/>
    </row>
    <row r="292" spans="3:19">
      <c r="C292" s="17" t="s">
        <v>554</v>
      </c>
      <c r="F292" s="268" t="str">
        <f>_xlfn.XLOOKUP($D$287,$C$307:$C$309,F307:F309)</f>
        <v>NM</v>
      </c>
      <c r="G292" s="267">
        <f t="shared" ref="G292:K292" si="121">_xlfn.XLOOKUP($D$287,$C$307:$C$309,G307:G309)</f>
        <v>0.1021</v>
      </c>
      <c r="H292" s="267">
        <f t="shared" si="121"/>
        <v>0.12239999999999999</v>
      </c>
      <c r="I292" s="267">
        <f t="shared" si="121"/>
        <v>0.12520000000000001</v>
      </c>
      <c r="J292" s="267">
        <f t="shared" si="121"/>
        <v>0.129</v>
      </c>
      <c r="K292" s="267">
        <f t="shared" si="121"/>
        <v>0.13600000000000001</v>
      </c>
      <c r="O292" s="202"/>
      <c r="Q292" s="202"/>
      <c r="R292" s="202"/>
    </row>
    <row r="293" spans="3:19">
      <c r="F293" s="195"/>
    </row>
    <row r="294" spans="3:19">
      <c r="C294" s="29" t="s">
        <v>1</v>
      </c>
      <c r="F294" s="195"/>
    </row>
    <row r="295" spans="3:19">
      <c r="C295" s="37" t="s">
        <v>64</v>
      </c>
      <c r="F295" s="196">
        <v>2.5000000000000001E-2</v>
      </c>
      <c r="G295" s="18">
        <f>$F$295+G296</f>
        <v>5.9975236481443518E-2</v>
      </c>
      <c r="H295" s="18">
        <f t="shared" ref="H295:K295" si="122">$F$295+H296</f>
        <v>9.440501375037455E-2</v>
      </c>
      <c r="I295" s="18">
        <f t="shared" si="122"/>
        <v>0.11375620113164783</v>
      </c>
      <c r="J295" s="18">
        <f t="shared" si="122"/>
        <v>0.12859925881994635</v>
      </c>
      <c r="K295" s="18">
        <f t="shared" si="122"/>
        <v>0.13056077505393868</v>
      </c>
    </row>
    <row r="296" spans="3:19">
      <c r="C296" s="37" t="s">
        <v>63</v>
      </c>
      <c r="F296" s="197" t="s">
        <v>110</v>
      </c>
      <c r="G296" s="19">
        <v>3.4975236481443517E-2</v>
      </c>
      <c r="H296" s="19">
        <v>6.9405013750374556E-2</v>
      </c>
      <c r="I296" s="19">
        <v>8.8756201131647838E-2</v>
      </c>
      <c r="J296" s="19">
        <v>0.10359925881994636</v>
      </c>
      <c r="K296" s="19">
        <v>0.10556077505393868</v>
      </c>
      <c r="O296" t="s">
        <v>555</v>
      </c>
      <c r="Q296" s="19"/>
      <c r="R296" s="19"/>
      <c r="S296" s="19"/>
    </row>
    <row r="297" spans="3:19">
      <c r="C297" s="37" t="s">
        <v>65</v>
      </c>
      <c r="F297" s="196">
        <v>-2.5000000000000001E-2</v>
      </c>
      <c r="G297" s="18">
        <f>$F$297+G296</f>
        <v>9.9752364814435154E-3</v>
      </c>
      <c r="H297" s="18">
        <f t="shared" ref="H297:K297" si="123">$F$297+H296</f>
        <v>4.4405013750374554E-2</v>
      </c>
      <c r="I297" s="18">
        <f t="shared" si="123"/>
        <v>6.3756201131647844E-2</v>
      </c>
      <c r="J297" s="18">
        <f t="shared" si="123"/>
        <v>7.8599258819946366E-2</v>
      </c>
      <c r="K297" s="18">
        <f t="shared" si="123"/>
        <v>8.0560775053938688E-2</v>
      </c>
      <c r="Q297" s="19"/>
      <c r="R297" s="19"/>
      <c r="S297" s="19"/>
    </row>
    <row r="298" spans="3:19">
      <c r="C298" s="29" t="s">
        <v>131</v>
      </c>
      <c r="F298" s="197"/>
      <c r="G298" s="19"/>
      <c r="H298" s="19"/>
      <c r="I298" s="19"/>
      <c r="J298" s="19"/>
      <c r="K298" s="19"/>
      <c r="Q298" s="19"/>
      <c r="R298" s="19"/>
      <c r="S298" s="19"/>
    </row>
    <row r="299" spans="3:19">
      <c r="C299" s="37" t="s">
        <v>64</v>
      </c>
      <c r="F299" s="196">
        <v>0.01</v>
      </c>
      <c r="G299" s="18">
        <f>$F$299+G300</f>
        <v>0.70699999999999996</v>
      </c>
      <c r="H299" s="18">
        <f t="shared" ref="H299:K299" si="124">$F$299+H300</f>
        <v>0.70879999999999999</v>
      </c>
      <c r="I299" s="18">
        <f t="shared" si="124"/>
        <v>0.70810000000000006</v>
      </c>
      <c r="J299" s="18">
        <f t="shared" si="124"/>
        <v>0.71</v>
      </c>
      <c r="K299" s="18">
        <f t="shared" si="124"/>
        <v>0.71099999999999997</v>
      </c>
    </row>
    <row r="300" spans="3:19">
      <c r="C300" s="37" t="s">
        <v>63</v>
      </c>
      <c r="F300" s="197" t="s">
        <v>110</v>
      </c>
      <c r="G300" s="19">
        <v>0.69699999999999995</v>
      </c>
      <c r="H300" s="19">
        <v>0.69879999999999998</v>
      </c>
      <c r="I300" s="19">
        <v>0.69810000000000005</v>
      </c>
      <c r="J300" s="19">
        <v>0.7</v>
      </c>
      <c r="K300" s="19">
        <v>0.70099999999999996</v>
      </c>
      <c r="O300" t="s">
        <v>555</v>
      </c>
    </row>
    <row r="301" spans="3:19">
      <c r="C301" s="37" t="s">
        <v>65</v>
      </c>
      <c r="F301" s="196">
        <v>-0.01</v>
      </c>
      <c r="G301" s="18">
        <f>$F$301+G300</f>
        <v>0.68699999999999994</v>
      </c>
      <c r="H301" s="18">
        <f t="shared" ref="H301:K301" si="125">$F$301+H300</f>
        <v>0.68879999999999997</v>
      </c>
      <c r="I301" s="18">
        <f t="shared" si="125"/>
        <v>0.68810000000000004</v>
      </c>
      <c r="J301" s="18">
        <f t="shared" si="125"/>
        <v>0.69</v>
      </c>
      <c r="K301" s="18">
        <f t="shared" si="125"/>
        <v>0.69099999999999995</v>
      </c>
    </row>
    <row r="302" spans="3:19">
      <c r="C302" s="29" t="s">
        <v>161</v>
      </c>
      <c r="F302" s="197"/>
      <c r="G302" s="193"/>
      <c r="H302" s="193"/>
      <c r="I302" s="193"/>
      <c r="J302" s="193"/>
      <c r="K302" s="193"/>
    </row>
    <row r="303" spans="3:19">
      <c r="C303" s="37" t="s">
        <v>64</v>
      </c>
      <c r="F303" s="196">
        <v>-0.01</v>
      </c>
      <c r="G303" s="18">
        <f>$F$303+G304</f>
        <v>0.41255681912417558</v>
      </c>
      <c r="H303" s="18">
        <f t="shared" ref="H303:K303" si="126">$F$303+H304</f>
        <v>0.41255681912417558</v>
      </c>
      <c r="I303" s="18">
        <f t="shared" si="126"/>
        <v>0.41255681912417558</v>
      </c>
      <c r="J303" s="18">
        <f t="shared" si="126"/>
        <v>0.41255681912417558</v>
      </c>
      <c r="K303" s="18">
        <f t="shared" si="126"/>
        <v>0.41255681912417558</v>
      </c>
    </row>
    <row r="304" spans="3:19">
      <c r="C304" s="37" t="s">
        <v>63</v>
      </c>
      <c r="F304" s="197" t="s">
        <v>110</v>
      </c>
      <c r="G304" s="19">
        <v>0.42255681912417559</v>
      </c>
      <c r="H304" s="19">
        <v>0.42255681912417559</v>
      </c>
      <c r="I304" s="19">
        <v>0.42255681912417559</v>
      </c>
      <c r="J304" s="19">
        <v>0.42255681912417559</v>
      </c>
      <c r="K304" s="19">
        <v>0.42255681912417559</v>
      </c>
      <c r="O304" t="s">
        <v>556</v>
      </c>
    </row>
    <row r="305" spans="3:15">
      <c r="C305" s="37" t="s">
        <v>65</v>
      </c>
      <c r="F305" s="196">
        <v>0.01</v>
      </c>
      <c r="G305" s="18">
        <f>$F$305+G304</f>
        <v>0.4325568191241756</v>
      </c>
      <c r="H305" s="18">
        <f t="shared" ref="H305:K305" si="127">$F$305+H304</f>
        <v>0.4325568191241756</v>
      </c>
      <c r="I305" s="18">
        <f t="shared" si="127"/>
        <v>0.4325568191241756</v>
      </c>
      <c r="J305" s="18">
        <f t="shared" si="127"/>
        <v>0.4325568191241756</v>
      </c>
      <c r="K305" s="18">
        <f t="shared" si="127"/>
        <v>0.4325568191241756</v>
      </c>
    </row>
    <row r="306" spans="3:15">
      <c r="C306" s="29" t="s">
        <v>554</v>
      </c>
      <c r="F306" s="197"/>
      <c r="G306" s="193"/>
      <c r="H306" s="193"/>
      <c r="I306" s="193"/>
      <c r="J306" s="193"/>
      <c r="K306" s="193"/>
    </row>
    <row r="307" spans="3:15">
      <c r="C307" s="37" t="s">
        <v>64</v>
      </c>
      <c r="F307" s="196">
        <v>0.01</v>
      </c>
      <c r="G307" s="18">
        <f>$F$307+G308</f>
        <v>0.11209999999999999</v>
      </c>
      <c r="H307" s="18">
        <f t="shared" ref="H307:K307" si="128">$F$307+H308</f>
        <v>0.13239999999999999</v>
      </c>
      <c r="I307" s="18">
        <f t="shared" si="128"/>
        <v>0.13520000000000001</v>
      </c>
      <c r="J307" s="18">
        <f t="shared" si="128"/>
        <v>0.13900000000000001</v>
      </c>
      <c r="K307" s="18">
        <f t="shared" si="128"/>
        <v>0.14600000000000002</v>
      </c>
    </row>
    <row r="308" spans="3:15">
      <c r="C308" s="37" t="s">
        <v>63</v>
      </c>
      <c r="F308" s="197" t="s">
        <v>110</v>
      </c>
      <c r="G308" s="19">
        <v>0.1021</v>
      </c>
      <c r="H308" s="19">
        <v>0.12239999999999999</v>
      </c>
      <c r="I308" s="19">
        <v>0.12520000000000001</v>
      </c>
      <c r="J308" s="19">
        <v>0.129</v>
      </c>
      <c r="K308" s="19">
        <v>0.13600000000000001</v>
      </c>
      <c r="O308" t="s">
        <v>185</v>
      </c>
    </row>
    <row r="309" spans="3:15" ht="15.75" thickBot="1">
      <c r="C309" s="37" t="s">
        <v>65</v>
      </c>
      <c r="F309" s="198">
        <v>-0.01</v>
      </c>
      <c r="G309" s="18">
        <f>$F$309+G308</f>
        <v>9.2100000000000001E-2</v>
      </c>
      <c r="H309" s="18">
        <f t="shared" ref="H309:K309" si="129">$F$309+H308</f>
        <v>0.1124</v>
      </c>
      <c r="I309" s="18">
        <f t="shared" si="129"/>
        <v>0.11520000000000001</v>
      </c>
      <c r="J309" s="18">
        <f t="shared" si="129"/>
        <v>0.11900000000000001</v>
      </c>
      <c r="K309" s="18">
        <f t="shared" si="129"/>
        <v>0.126</v>
      </c>
    </row>
  </sheetData>
  <conditionalFormatting sqref="C46:C48 C292 C306">
    <cfRule type="expression" dxfId="1" priority="5">
      <formula>#REF!=$C46</formula>
    </cfRule>
  </conditionalFormatting>
  <dataValidations count="4">
    <dataValidation type="list" allowBlank="1" showInputMessage="1" showErrorMessage="1" sqref="D7" xr:uid="{06CABD5E-35B9-41C4-8F96-E9B135A3820C}">
      <formula1>"0,1"</formula1>
    </dataValidation>
    <dataValidation type="list" allowBlank="1" showInputMessage="1" showErrorMessage="1" sqref="C3" xr:uid="{3CFE8E7F-88C7-4A16-AA8B-542D25B76047}">
      <formula1>"$ bns except per share, $ mm except per share,$ in thousands except per share"</formula1>
    </dataValidation>
    <dataValidation type="list" allowBlank="1" showInputMessage="1" showErrorMessage="1" sqref="E147" xr:uid="{159C6225-5D65-41A0-B4F9-B1A43DD587FD}">
      <formula1>"1,.5"</formula1>
    </dataValidation>
    <dataValidation type="list" allowBlank="1" showInputMessage="1" showErrorMessage="1" sqref="D12" xr:uid="{AF89F685-E896-4783-922F-9233EBCA24D6}">
      <formula1>"Best case, Base case, Weak case"</formula1>
    </dataValidation>
  </dataValidations>
  <pageMargins left="0.7" right="0.7" top="0.75" bottom="0.75" header="0.3" footer="0.3"/>
  <pageSetup scale="1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7034-A7AC-4315-85A1-5D2E6BBDD046}">
  <dimension ref="B1:Q179"/>
  <sheetViews>
    <sheetView topLeftCell="A182" workbookViewId="0">
      <selection activeCell="D99" sqref="D99"/>
    </sheetView>
  </sheetViews>
  <sheetFormatPr defaultColWidth="9.140625" defaultRowHeight="15"/>
  <cols>
    <col min="1" max="1" width="1.42578125" customWidth="1"/>
    <col min="2" max="2" width="54.42578125" customWidth="1"/>
    <col min="3" max="3" width="13.42578125" customWidth="1"/>
    <col min="4" max="8" width="12.5703125" customWidth="1"/>
    <col min="9" max="9" width="14.5703125" bestFit="1" customWidth="1"/>
    <col min="10" max="10" width="1.85546875" customWidth="1"/>
    <col min="11" max="11" width="12.140625" bestFit="1" customWidth="1"/>
    <col min="12" max="16" width="9.42578125" customWidth="1"/>
  </cols>
  <sheetData>
    <row r="1" spans="2:14" ht="15.75" thickBot="1"/>
    <row r="2" spans="2:14" ht="15.75" thickBot="1">
      <c r="B2" s="44" t="s">
        <v>200</v>
      </c>
      <c r="C2" s="36"/>
      <c r="D2" s="36"/>
      <c r="E2" s="36"/>
      <c r="F2" s="36"/>
      <c r="G2" s="36"/>
      <c r="H2" s="36"/>
      <c r="I2" s="36"/>
    </row>
    <row r="3" spans="2:14">
      <c r="B3" s="106" t="str">
        <f>'[1]Financials '!$B$3</f>
        <v xml:space="preserve">$ and shares in millions, except per share data </v>
      </c>
    </row>
    <row r="4" spans="2:14">
      <c r="B4" t="s">
        <v>201</v>
      </c>
      <c r="D4" s="107">
        <v>45564</v>
      </c>
      <c r="F4" t="s">
        <v>202</v>
      </c>
      <c r="H4" s="105">
        <f>E154</f>
        <v>9.0195622195030675E-2</v>
      </c>
      <c r="I4" t="s">
        <v>203</v>
      </c>
    </row>
    <row r="5" spans="2:14">
      <c r="B5" t="s">
        <v>204</v>
      </c>
      <c r="D5" s="445">
        <f>EOMONTH(D4,12)</f>
        <v>45930</v>
      </c>
      <c r="F5" t="s">
        <v>350</v>
      </c>
      <c r="H5" s="470">
        <f>'Financial Statement Modelling'!D8</f>
        <v>97.07</v>
      </c>
    </row>
    <row r="6" spans="2:14">
      <c r="B6" t="s">
        <v>205</v>
      </c>
      <c r="D6" s="107">
        <v>45655</v>
      </c>
      <c r="F6" t="s">
        <v>206</v>
      </c>
      <c r="H6" s="444">
        <f>D7</f>
        <v>45737</v>
      </c>
      <c r="J6" s="109"/>
    </row>
    <row r="7" spans="2:14">
      <c r="B7" t="s">
        <v>207</v>
      </c>
      <c r="D7" s="107">
        <v>45737</v>
      </c>
      <c r="F7" t="s">
        <v>208</v>
      </c>
      <c r="H7" s="110">
        <v>0</v>
      </c>
      <c r="I7" s="109"/>
      <c r="J7" s="109"/>
      <c r="N7" s="214"/>
    </row>
    <row r="8" spans="2:14">
      <c r="B8" t="s">
        <v>209</v>
      </c>
      <c r="D8" s="231">
        <f>YEARFRAC(D7,D5)</f>
        <v>0.52500000000000002</v>
      </c>
      <c r="F8" t="s">
        <v>210</v>
      </c>
      <c r="H8" s="469" t="str">
        <f>'Financial Statement Modelling'!D12</f>
        <v>Base case</v>
      </c>
    </row>
    <row r="9" spans="2:14">
      <c r="D9" s="111"/>
      <c r="H9" s="111"/>
    </row>
    <row r="10" spans="2:14">
      <c r="B10" s="63" t="s">
        <v>211</v>
      </c>
      <c r="C10" s="45"/>
      <c r="D10" s="112"/>
      <c r="F10" s="45"/>
      <c r="G10" s="45"/>
      <c r="H10" s="45"/>
      <c r="I10" s="45"/>
    </row>
    <row r="11" spans="2:14" ht="17.25" customHeight="1">
      <c r="C11" s="113" t="s">
        <v>212</v>
      </c>
      <c r="D11" s="113" t="s">
        <v>213</v>
      </c>
      <c r="E11" s="114" t="s">
        <v>214</v>
      </c>
      <c r="F11" s="113"/>
      <c r="G11" s="113"/>
      <c r="H11" s="113"/>
      <c r="I11" s="113"/>
    </row>
    <row r="12" spans="2:14">
      <c r="B12" s="9" t="s">
        <v>215</v>
      </c>
      <c r="C12" s="115">
        <f>D7</f>
        <v>45737</v>
      </c>
      <c r="D12" s="116">
        <f>D4</f>
        <v>45564</v>
      </c>
      <c r="E12" s="117">
        <f>EOMONTH(D12,12)</f>
        <v>45930</v>
      </c>
      <c r="F12" s="118">
        <f>EOMONTH(E12,12)</f>
        <v>46295</v>
      </c>
      <c r="G12" s="118">
        <f t="shared" ref="G12:I12" si="0">EOMONTH(F12,12)</f>
        <v>46660</v>
      </c>
      <c r="H12" s="118">
        <f t="shared" si="0"/>
        <v>47026</v>
      </c>
      <c r="I12" s="118">
        <f t="shared" si="0"/>
        <v>47391</v>
      </c>
    </row>
    <row r="13" spans="2:14">
      <c r="B13" s="9"/>
      <c r="D13" s="119"/>
      <c r="E13" s="96"/>
      <c r="F13" s="96"/>
      <c r="G13" s="96"/>
      <c r="H13" s="96"/>
      <c r="I13" s="96"/>
    </row>
    <row r="14" spans="2:14">
      <c r="B14" t="s">
        <v>11</v>
      </c>
      <c r="C14" s="471">
        <f>+E14*(1-$D$8)+D14*$D$8</f>
        <v>36777.203796250004</v>
      </c>
      <c r="D14" s="472">
        <f>'Financial Statement Modelling'!F18</f>
        <v>36176.199999999997</v>
      </c>
      <c r="E14" s="472">
        <f>'Financial Statement Modelling'!G18</f>
        <v>37441.471149999998</v>
      </c>
      <c r="F14" s="472">
        <f>'Financial Statement Modelling'!H18</f>
        <v>40040.096969999999</v>
      </c>
      <c r="G14" s="472">
        <f>'Financial Statement Modelling'!I18</f>
        <v>43593.903870000002</v>
      </c>
      <c r="H14" s="472">
        <f>'Financial Statement Modelling'!J18</f>
        <v>48110.2</v>
      </c>
      <c r="I14" s="472">
        <f>'Financial Statement Modelling'!K18</f>
        <v>53188.75</v>
      </c>
    </row>
    <row r="15" spans="2:14">
      <c r="B15" s="17" t="s">
        <v>114</v>
      </c>
      <c r="C15" s="473"/>
      <c r="D15" s="474"/>
      <c r="E15" s="415">
        <f>E14/D14-1</f>
        <v>3.4975236481443517E-2</v>
      </c>
      <c r="F15" s="415">
        <f>F14/E14-1</f>
        <v>6.9405013750374556E-2</v>
      </c>
      <c r="G15" s="415">
        <f>G14/F14-1</f>
        <v>8.8756201131647838E-2</v>
      </c>
      <c r="H15" s="415">
        <f>H14/G14-1</f>
        <v>0.10359925881994636</v>
      </c>
      <c r="I15" s="415">
        <f>I14/H14-1</f>
        <v>0.10556077505393868</v>
      </c>
    </row>
    <row r="16" spans="2:14">
      <c r="B16" t="s">
        <v>38</v>
      </c>
      <c r="C16" s="471">
        <f>+E16*(1-$D$8)+D16*$D$8</f>
        <v>7144.1540868601151</v>
      </c>
      <c r="D16" s="472">
        <f>'Financial Statement Modelling'!F37</f>
        <v>6921.3999999999978</v>
      </c>
      <c r="E16" s="472">
        <f>'Financial Statement Modelling'!G37</f>
        <v>7390.3559723370863</v>
      </c>
      <c r="F16" s="472">
        <f>'Financial Statement Modelling'!H37</f>
        <v>7975.3559047633107</v>
      </c>
      <c r="G16" s="472">
        <f>'Financial Statement Modelling'!I37</f>
        <v>8652.7024648339575</v>
      </c>
      <c r="H16" s="472">
        <f>'Financial Statement Modelling'!J37</f>
        <v>9640.5254069802777</v>
      </c>
      <c r="I16" s="472">
        <f>'Financial Statement Modelling'!K37</f>
        <v>10711.375490868306</v>
      </c>
    </row>
    <row r="17" spans="2:13">
      <c r="B17" s="17" t="s">
        <v>216</v>
      </c>
      <c r="C17" s="473"/>
      <c r="D17" s="480">
        <f t="shared" ref="D17:I17" si="1">D16/D14</f>
        <v>0.1913246830789303</v>
      </c>
      <c r="E17" s="415">
        <f t="shared" si="1"/>
        <v>0.19738423051619558</v>
      </c>
      <c r="F17" s="415">
        <f t="shared" si="1"/>
        <v>0.19918423051619574</v>
      </c>
      <c r="G17" s="415">
        <f t="shared" si="1"/>
        <v>0.19848423051619574</v>
      </c>
      <c r="H17" s="415">
        <f t="shared" si="1"/>
        <v>0.20038423051619569</v>
      </c>
      <c r="I17" s="415">
        <f t="shared" si="1"/>
        <v>0.20138423051619572</v>
      </c>
    </row>
    <row r="18" spans="2:13">
      <c r="B18" t="s">
        <v>217</v>
      </c>
      <c r="C18" s="471">
        <f>+E18*(1-$D$8)+D18*$D$8</f>
        <v>5616.3134517278904</v>
      </c>
      <c r="D18" s="472">
        <f>'Financial Statement Modelling'!F29</f>
        <v>5408.7999999999984</v>
      </c>
      <c r="E18" s="472">
        <f>'Financial Statement Modelling'!G29</f>
        <v>5845.6704246902982</v>
      </c>
      <c r="F18" s="472">
        <f>'Financial Statement Modelling'!H29</f>
        <v>6321.1960112139013</v>
      </c>
      <c r="G18" s="472">
        <f>'Financial Statement Modelling'!I29</f>
        <v>6848.430168345044</v>
      </c>
      <c r="H18" s="472">
        <f>'Financial Statement Modelling'!J29</f>
        <v>7652.5759155249771</v>
      </c>
      <c r="I18" s="472">
        <f>'Financial Statement Modelling'!K29</f>
        <v>8524.8561758776686</v>
      </c>
    </row>
    <row r="19" spans="2:13">
      <c r="B19" s="17" t="s">
        <v>216</v>
      </c>
      <c r="C19" s="473"/>
      <c r="D19" s="480">
        <f>D18/D14</f>
        <v>0.14951266302154451</v>
      </c>
      <c r="E19" s="415">
        <f t="shared" ref="E19:I19" si="2">E18/E14</f>
        <v>0.15612822480374944</v>
      </c>
      <c r="F19" s="415">
        <f t="shared" si="2"/>
        <v>0.15787164591409583</v>
      </c>
      <c r="G19" s="415">
        <f t="shared" si="2"/>
        <v>0.15709605152058714</v>
      </c>
      <c r="H19" s="415">
        <f t="shared" si="2"/>
        <v>0.15906348166345136</v>
      </c>
      <c r="I19" s="415">
        <f t="shared" si="2"/>
        <v>0.16027555029734047</v>
      </c>
    </row>
    <row r="20" spans="2:13">
      <c r="B20" s="17"/>
      <c r="C20" s="473"/>
      <c r="D20" s="472"/>
      <c r="E20" s="476"/>
      <c r="F20" s="476"/>
      <c r="G20" s="476"/>
      <c r="H20" s="476"/>
      <c r="I20" s="476"/>
    </row>
    <row r="21" spans="2:13">
      <c r="B21" t="s">
        <v>218</v>
      </c>
      <c r="C21" s="473"/>
      <c r="D21" s="475">
        <f>D22*D18</f>
        <v>1313.9979555698646</v>
      </c>
      <c r="E21" s="471">
        <f t="shared" ref="E21:I21" si="3">E22*E18</f>
        <v>1414.0676757325832</v>
      </c>
      <c r="F21" s="471">
        <f t="shared" si="3"/>
        <v>1536.6827503260995</v>
      </c>
      <c r="G21" s="471">
        <f t="shared" si="3"/>
        <v>1651.15651358799</v>
      </c>
      <c r="H21" s="471">
        <f t="shared" si="3"/>
        <v>1848.0970835992819</v>
      </c>
      <c r="I21" s="471">
        <f t="shared" si="3"/>
        <v>2058.7527664744571</v>
      </c>
    </row>
    <row r="22" spans="2:13" ht="15" customHeight="1">
      <c r="B22" s="17" t="s">
        <v>0</v>
      </c>
      <c r="C22" s="473"/>
      <c r="D22" s="481">
        <f>'Financial Statement Modelling'!F49</f>
        <v>0.24293705730843534</v>
      </c>
      <c r="E22" s="481">
        <f>'Financial Statement Modelling'!G49</f>
        <v>0.2419</v>
      </c>
      <c r="F22" s="481">
        <f>'Financial Statement Modelling'!H49</f>
        <v>0.24310000000000001</v>
      </c>
      <c r="G22" s="481">
        <f>'Financial Statement Modelling'!I49</f>
        <v>0.24110000000000001</v>
      </c>
      <c r="H22" s="481">
        <f>'Financial Statement Modelling'!J49</f>
        <v>0.24149999999999999</v>
      </c>
      <c r="I22" s="481">
        <f>'Financial Statement Modelling'!K49</f>
        <v>0.24149999999999999</v>
      </c>
    </row>
    <row r="23" spans="2:13">
      <c r="B23" s="13" t="s">
        <v>219</v>
      </c>
      <c r="C23" s="477"/>
      <c r="D23" s="478">
        <f t="shared" ref="D23:I23" si="4">D18*(1-D22)</f>
        <v>4094.8020444301342</v>
      </c>
      <c r="E23" s="479">
        <f t="shared" si="4"/>
        <v>4431.6027489577154</v>
      </c>
      <c r="F23" s="479">
        <f t="shared" si="4"/>
        <v>4784.5132608878021</v>
      </c>
      <c r="G23" s="479">
        <f t="shared" si="4"/>
        <v>5197.2736547570539</v>
      </c>
      <c r="H23" s="479">
        <f t="shared" si="4"/>
        <v>5804.478831925695</v>
      </c>
      <c r="I23" s="479">
        <f t="shared" si="4"/>
        <v>6466.1034094032111</v>
      </c>
    </row>
    <row r="24" spans="2:13">
      <c r="C24" s="473"/>
      <c r="D24" s="473"/>
      <c r="E24" s="473"/>
      <c r="F24" s="473"/>
      <c r="G24" s="473"/>
      <c r="H24" s="473"/>
      <c r="I24" s="473"/>
    </row>
    <row r="25" spans="2:13">
      <c r="B25" t="s">
        <v>39</v>
      </c>
      <c r="C25" s="473"/>
      <c r="D25" s="471">
        <f t="shared" ref="D25:I25" si="5">D16-D18</f>
        <v>1512.5999999999995</v>
      </c>
      <c r="E25" s="471">
        <f t="shared" si="5"/>
        <v>1544.6855476467881</v>
      </c>
      <c r="F25" s="471">
        <f t="shared" si="5"/>
        <v>1654.1598935494094</v>
      </c>
      <c r="G25" s="471">
        <f t="shared" si="5"/>
        <v>1804.2722964889135</v>
      </c>
      <c r="H25" s="471">
        <f t="shared" si="5"/>
        <v>1987.9494914553006</v>
      </c>
      <c r="I25" s="471">
        <f t="shared" si="5"/>
        <v>2186.5193149906372</v>
      </c>
      <c r="M25" s="209"/>
    </row>
    <row r="26" spans="2:13">
      <c r="B26" t="s">
        <v>220</v>
      </c>
      <c r="C26" s="473"/>
      <c r="D26" s="471"/>
      <c r="E26" s="471">
        <f t="shared" ref="E26:I26" si="6">D32-E32</f>
        <v>319.07480963913622</v>
      </c>
      <c r="F26" s="471">
        <f t="shared" si="6"/>
        <v>649.17007830179682</v>
      </c>
      <c r="G26" s="471">
        <f t="shared" si="6"/>
        <v>885.7917108895781</v>
      </c>
      <c r="H26" s="471">
        <f t="shared" si="6"/>
        <v>1127.7591186228365</v>
      </c>
      <c r="I26" s="471">
        <f t="shared" si="6"/>
        <v>1267.5092654171985</v>
      </c>
      <c r="M26" s="209"/>
    </row>
    <row r="27" spans="2:13">
      <c r="B27" t="s">
        <v>28</v>
      </c>
      <c r="C27" s="473"/>
      <c r="D27" s="476"/>
      <c r="E27" s="476">
        <f>'Financial Statement Modelling'!G110</f>
        <v>-2594.8826199999999</v>
      </c>
      <c r="F27" s="476">
        <f>'Financial Statement Modelling'!H110</f>
        <v>-2924.3104499999999</v>
      </c>
      <c r="G27" s="476">
        <f>'Financial Statement Modelling'!I110</f>
        <v>-3327.8712399999999</v>
      </c>
      <c r="H27" s="476">
        <f>'Financial Statement Modelling'!J110</f>
        <v>-3577</v>
      </c>
      <c r="I27" s="476">
        <f>'Financial Statement Modelling'!K110</f>
        <v>-3575</v>
      </c>
      <c r="M27" s="209"/>
    </row>
    <row r="28" spans="2:13">
      <c r="B28" s="17" t="s">
        <v>97</v>
      </c>
      <c r="C28" s="473"/>
      <c r="D28" s="415"/>
      <c r="E28" s="415">
        <f t="shared" ref="E28:I28" si="7">-E27/E14</f>
        <v>6.9305039046255526E-2</v>
      </c>
      <c r="F28" s="415">
        <f t="shared" si="7"/>
        <v>7.3034549646346675E-2</v>
      </c>
      <c r="G28" s="415">
        <f t="shared" si="7"/>
        <v>7.6337995558368413E-2</v>
      </c>
      <c r="H28" s="415">
        <f t="shared" si="7"/>
        <v>7.4350137808614394E-2</v>
      </c>
      <c r="I28" s="415">
        <f t="shared" si="7"/>
        <v>6.7213461493266902E-2</v>
      </c>
      <c r="M28" s="209"/>
    </row>
    <row r="29" spans="2:13">
      <c r="C29" s="473"/>
      <c r="D29" s="476"/>
      <c r="E29" s="476"/>
      <c r="F29" s="476"/>
      <c r="G29" s="476"/>
      <c r="H29" s="476"/>
      <c r="I29" s="476"/>
      <c r="M29" s="209"/>
    </row>
    <row r="30" spans="2:13">
      <c r="B30" s="13" t="s">
        <v>221</v>
      </c>
      <c r="C30" s="477"/>
      <c r="D30" s="479"/>
      <c r="E30" s="479">
        <f>E23+E25+E26+E27</f>
        <v>3700.4804862436399</v>
      </c>
      <c r="F30" s="479">
        <f t="shared" ref="F30:I30" si="8">F23+F25+F26+F27</f>
        <v>4163.5327827390083</v>
      </c>
      <c r="G30" s="479">
        <f t="shared" si="8"/>
        <v>4559.4664221355451</v>
      </c>
      <c r="H30" s="479">
        <f t="shared" si="8"/>
        <v>5343.187442003833</v>
      </c>
      <c r="I30" s="479">
        <f t="shared" si="8"/>
        <v>6345.1319898110469</v>
      </c>
      <c r="M30" s="101"/>
    </row>
    <row r="31" spans="2:13" ht="14.25" customHeight="1">
      <c r="C31" s="473"/>
      <c r="D31" s="476"/>
      <c r="E31" s="473"/>
      <c r="F31" s="473"/>
      <c r="G31" s="473"/>
      <c r="H31" s="473"/>
      <c r="I31" s="473"/>
      <c r="M31" s="209"/>
    </row>
    <row r="32" spans="2:13">
      <c r="B32" t="s">
        <v>222</v>
      </c>
      <c r="C32" s="476"/>
      <c r="D32" s="476">
        <f>SUM('Financial Statement Modelling'!F55:F57)-SUM('Financial Statement Modelling'!F69:F71)</f>
        <v>-9017.3999999999978</v>
      </c>
      <c r="E32" s="476">
        <f>SUM('Financial Statement Modelling'!G55:G57)-SUM('Financial Statement Modelling'!G69:G71)</f>
        <v>-9336.474809639134</v>
      </c>
      <c r="F32" s="476">
        <f>SUM('Financial Statement Modelling'!H55:H57)-SUM('Financial Statement Modelling'!H69:H71)</f>
        <v>-9985.6448879409309</v>
      </c>
      <c r="G32" s="476">
        <f>SUM('Financial Statement Modelling'!I55:I57)-SUM('Financial Statement Modelling'!I69:I71)</f>
        <v>-10871.436598830509</v>
      </c>
      <c r="H32" s="476">
        <f>SUM('Financial Statement Modelling'!J55:J57)-SUM('Financial Statement Modelling'!J69:J71)</f>
        <v>-11999.195717453345</v>
      </c>
      <c r="I32" s="476">
        <f>SUM('Financial Statement Modelling'!K55:K57)-SUM('Financial Statement Modelling'!K69:K71)</f>
        <v>-13266.704982870544</v>
      </c>
    </row>
    <row r="33" spans="2:13">
      <c r="B33" s="17" t="s">
        <v>97</v>
      </c>
      <c r="C33" s="473"/>
      <c r="D33" s="62">
        <f>D32/D14</f>
        <v>-0.24926332782326499</v>
      </c>
      <c r="E33" s="62">
        <f t="shared" ref="E33:I33" si="9">E32/E14</f>
        <v>-0.24936185793113888</v>
      </c>
      <c r="F33" s="62">
        <f t="shared" si="9"/>
        <v>-0.2493911264855993</v>
      </c>
      <c r="G33" s="62">
        <f t="shared" si="9"/>
        <v>-0.24937974426997581</v>
      </c>
      <c r="H33" s="62">
        <f t="shared" si="9"/>
        <v>-0.24941063885523956</v>
      </c>
      <c r="I33" s="62">
        <f t="shared" si="9"/>
        <v>-0.24942689916327312</v>
      </c>
      <c r="J33" s="67"/>
    </row>
    <row r="34" spans="2:13">
      <c r="B34" s="239"/>
      <c r="C34" s="239"/>
      <c r="D34" s="240"/>
      <c r="E34" s="241"/>
      <c r="F34" s="241"/>
      <c r="G34" s="241"/>
      <c r="H34" s="241"/>
      <c r="I34" s="241"/>
      <c r="J34" s="67"/>
      <c r="K34" s="12"/>
      <c r="M34" s="62"/>
    </row>
    <row r="35" spans="2:13">
      <c r="B35" s="244" t="str">
        <f>"Present value of UFCF on "&amp;TEXT(D7,"mmm dd, yyyy")&amp;" valuation date"</f>
        <v>Present value of UFCF on Mar 21, 2025 valuation date</v>
      </c>
      <c r="C35" s="245"/>
      <c r="D35" s="246"/>
      <c r="E35" s="245"/>
      <c r="F35" s="246"/>
      <c r="G35" s="246"/>
      <c r="H35" s="246"/>
      <c r="I35" s="246"/>
      <c r="J35" s="67"/>
    </row>
    <row r="36" spans="2:13" ht="17.25">
      <c r="B36" s="242"/>
      <c r="C36" s="239"/>
      <c r="D36" s="247" t="s">
        <v>223</v>
      </c>
      <c r="E36" s="247" t="s">
        <v>224</v>
      </c>
      <c r="F36" s="248" t="s">
        <v>225</v>
      </c>
      <c r="G36" s="248" t="s">
        <v>226</v>
      </c>
      <c r="H36" s="248" t="s">
        <v>227</v>
      </c>
      <c r="I36" s="248" t="s">
        <v>228</v>
      </c>
      <c r="J36" s="67"/>
    </row>
    <row r="37" spans="2:13">
      <c r="B37" s="239" t="s">
        <v>229</v>
      </c>
      <c r="C37" s="239"/>
      <c r="D37" s="249">
        <f>D7</f>
        <v>45737</v>
      </c>
      <c r="E37" s="249">
        <f>IF($H$7=1,AVERAGE(E12,D37),E12)</f>
        <v>45930</v>
      </c>
      <c r="F37" s="249">
        <f>IF($H$7=1,AVERAGE(F12,E12),F12)</f>
        <v>46295</v>
      </c>
      <c r="G37" s="249">
        <f>IF($H$7=1,AVERAGE(G12,F12),G12)</f>
        <v>46660</v>
      </c>
      <c r="H37" s="249">
        <f>IF($H$7=1,AVERAGE(H12,G12),H12)</f>
        <v>47026</v>
      </c>
      <c r="I37" s="249">
        <f>IF($H$7=1,AVERAGE(I12,H12),I12)</f>
        <v>47391</v>
      </c>
      <c r="J37" s="67"/>
    </row>
    <row r="38" spans="2:13">
      <c r="B38" s="239" t="s">
        <v>230</v>
      </c>
      <c r="C38" s="250">
        <f>D8</f>
        <v>0.52500000000000002</v>
      </c>
      <c r="D38" s="251"/>
      <c r="E38" s="252">
        <f>E30*C38</f>
        <v>1942.752255277911</v>
      </c>
      <c r="F38" s="252">
        <f>F30</f>
        <v>4163.5327827390083</v>
      </c>
      <c r="G38" s="252">
        <f>G30</f>
        <v>4559.4664221355451</v>
      </c>
      <c r="H38" s="252">
        <f>H30</f>
        <v>5343.187442003833</v>
      </c>
      <c r="I38" s="252">
        <f>I30</f>
        <v>6345.1319898110469</v>
      </c>
      <c r="J38" s="157"/>
      <c r="K38" t="s">
        <v>231</v>
      </c>
    </row>
    <row r="39" spans="2:13" ht="15" customHeight="1">
      <c r="B39" s="242" t="s">
        <v>232</v>
      </c>
      <c r="C39" s="253"/>
      <c r="D39" s="243"/>
      <c r="E39" s="243">
        <f>E38/(1+$H$4)^((E37-$D$7)/365)</f>
        <v>1856.0356351863943</v>
      </c>
      <c r="F39" s="243">
        <f>F38/(1+$H$4)^((F37-$D$7)/365)</f>
        <v>3648.6015918381127</v>
      </c>
      <c r="G39" s="243">
        <f>G38/(1+$H$4)^((G37-$D$7)/365)</f>
        <v>3665.0005378925725</v>
      </c>
      <c r="H39" s="243">
        <f>H38/(1+$H$4)^((H37-$D$7)/365)</f>
        <v>3938.7031023723607</v>
      </c>
      <c r="I39" s="243">
        <f>I38/(1+$H$4)^((I37-$D$7)/365)</f>
        <v>4290.3138390687</v>
      </c>
      <c r="J39" s="157"/>
    </row>
    <row r="41" spans="2:13">
      <c r="B41" s="425" t="s">
        <v>233</v>
      </c>
      <c r="C41" s="425"/>
      <c r="D41" s="387"/>
      <c r="E41" s="425" t="s">
        <v>234</v>
      </c>
      <c r="F41" s="460"/>
      <c r="G41" s="460"/>
      <c r="H41" s="460"/>
      <c r="I41" s="460"/>
      <c r="J41" s="387"/>
      <c r="K41" s="387"/>
    </row>
    <row r="42" spans="2:13">
      <c r="B42" s="387" t="s">
        <v>235</v>
      </c>
      <c r="C42" s="446">
        <v>0.03</v>
      </c>
      <c r="D42" s="387"/>
      <c r="E42" s="387" t="s">
        <v>236</v>
      </c>
      <c r="F42" s="387"/>
      <c r="G42" s="387"/>
      <c r="H42" s="387"/>
      <c r="I42" s="447">
        <f>I16</f>
        <v>10711.375490868306</v>
      </c>
      <c r="J42" s="447"/>
      <c r="K42" s="387"/>
    </row>
    <row r="43" spans="2:13">
      <c r="B43" s="448" t="str">
        <f>YEAR(I12)&amp;" FCF x (1+g)"</f>
        <v>2029 FCF x (1+g)</v>
      </c>
      <c r="C43" s="447">
        <f>I38*(1+C42)</f>
        <v>6535.4859495053788</v>
      </c>
      <c r="D43" s="387"/>
      <c r="E43" s="387" t="s">
        <v>237</v>
      </c>
      <c r="F43" s="387"/>
      <c r="G43" s="387"/>
      <c r="H43" s="387"/>
      <c r="I43" s="449">
        <v>19</v>
      </c>
      <c r="J43" s="449"/>
      <c r="K43" s="387" t="s">
        <v>363</v>
      </c>
    </row>
    <row r="44" spans="2:13">
      <c r="B44" s="387" t="str">
        <f>"Terminal value in "&amp;YEAR(I12)</f>
        <v>Terminal value in 2029</v>
      </c>
      <c r="C44" s="447">
        <f>C43/(H4-C42)</f>
        <v>108570.78490410392</v>
      </c>
      <c r="D44" s="387"/>
      <c r="E44" s="387" t="str">
        <f>"Terminal value in "&amp;YEAR(I12)</f>
        <v>Terminal value in 2029</v>
      </c>
      <c r="F44" s="387"/>
      <c r="G44" s="387"/>
      <c r="H44" s="387"/>
      <c r="I44" s="447">
        <f>I42*I43</f>
        <v>203516.13432649782</v>
      </c>
      <c r="J44" s="447"/>
      <c r="K44" s="387"/>
    </row>
    <row r="45" spans="2:13">
      <c r="B45" s="387" t="s">
        <v>238</v>
      </c>
      <c r="C45" s="447">
        <f>C44/(1+H4)^((I37-$D$37)/365)</f>
        <v>73411.040422895807</v>
      </c>
      <c r="D45" s="387"/>
      <c r="E45" s="387" t="s">
        <v>238</v>
      </c>
      <c r="F45" s="387"/>
      <c r="G45" s="387"/>
      <c r="H45" s="387"/>
      <c r="I45" s="447">
        <f>I44/(1+H4)^((I37-D37)/365)</f>
        <v>137609.12916812938</v>
      </c>
      <c r="J45" s="447"/>
      <c r="K45" s="387"/>
    </row>
    <row r="46" spans="2:13">
      <c r="B46" s="387" t="s">
        <v>239</v>
      </c>
      <c r="C46" s="450">
        <f>SUM(E39:I39)</f>
        <v>17398.654706358138</v>
      </c>
      <c r="D46" s="387"/>
      <c r="E46" s="387" t="s">
        <v>239</v>
      </c>
      <c r="F46" s="387"/>
      <c r="G46" s="387"/>
      <c r="H46" s="387"/>
      <c r="I46" s="447">
        <f>C46</f>
        <v>17398.654706358138</v>
      </c>
      <c r="J46" s="447"/>
      <c r="K46" s="387"/>
    </row>
    <row r="47" spans="2:13">
      <c r="B47" s="431" t="s">
        <v>240</v>
      </c>
      <c r="C47" s="451">
        <f>C46+C45</f>
        <v>90809.695129253945</v>
      </c>
      <c r="D47" s="387"/>
      <c r="E47" s="431" t="s">
        <v>241</v>
      </c>
      <c r="F47" s="387"/>
      <c r="G47" s="387"/>
      <c r="H47" s="387"/>
      <c r="I47" s="451">
        <f>SUM(I45:I46)</f>
        <v>155007.7838744875</v>
      </c>
      <c r="J47" s="451"/>
      <c r="K47" s="387"/>
    </row>
    <row r="48" spans="2:13">
      <c r="B48" s="387"/>
      <c r="C48" s="387"/>
      <c r="D48" s="387"/>
      <c r="E48" s="387"/>
      <c r="F48" s="387"/>
      <c r="G48" s="387"/>
      <c r="H48" s="387"/>
      <c r="I48" s="387"/>
      <c r="J48" s="387"/>
      <c r="K48" s="387"/>
    </row>
    <row r="49" spans="2:11">
      <c r="B49" s="452" t="s">
        <v>242</v>
      </c>
      <c r="C49" s="453">
        <f>C45/$C$47</f>
        <v>0.80840531749838196</v>
      </c>
      <c r="D49" s="387"/>
      <c r="E49" s="452" t="s">
        <v>242</v>
      </c>
      <c r="F49" s="387"/>
      <c r="G49" s="387"/>
      <c r="H49" s="387"/>
      <c r="I49" s="453">
        <f>+I45/I47</f>
        <v>0.8877562515154328</v>
      </c>
      <c r="J49" s="453"/>
      <c r="K49" s="387"/>
    </row>
    <row r="50" spans="2:11">
      <c r="B50" s="452" t="s">
        <v>243</v>
      </c>
      <c r="C50" s="453">
        <f>1-C49</f>
        <v>0.19159468250161804</v>
      </c>
      <c r="D50" s="387"/>
      <c r="E50" s="452" t="s">
        <v>244</v>
      </c>
      <c r="F50" s="387"/>
      <c r="G50" s="454"/>
      <c r="H50" s="387"/>
      <c r="I50" s="455">
        <f>1-I49</f>
        <v>0.1122437484845672</v>
      </c>
      <c r="J50" s="455"/>
      <c r="K50" s="387"/>
    </row>
    <row r="51" spans="2:11">
      <c r="B51" s="452" t="s">
        <v>245</v>
      </c>
      <c r="C51" s="456">
        <f>(C44/I16)</f>
        <v>10.136026413849743</v>
      </c>
      <c r="D51" s="387"/>
      <c r="E51" s="387" t="s">
        <v>246</v>
      </c>
      <c r="F51" s="387"/>
      <c r="G51" s="387"/>
      <c r="H51" s="387"/>
      <c r="I51" s="457">
        <f>(H4-I38/I44)/(1+I38/I44)</f>
        <v>5.7233679102990563E-2</v>
      </c>
      <c r="J51" s="457"/>
      <c r="K51" s="387" t="s">
        <v>362</v>
      </c>
    </row>
    <row r="52" spans="2:11">
      <c r="B52" s="452"/>
      <c r="C52" s="458"/>
      <c r="D52" s="456"/>
      <c r="E52" s="387"/>
      <c r="F52" s="387"/>
      <c r="G52" s="387"/>
      <c r="H52" s="387"/>
      <c r="I52" s="457"/>
      <c r="J52" s="457"/>
      <c r="K52" s="387"/>
    </row>
    <row r="53" spans="2:11">
      <c r="B53" s="425" t="s">
        <v>247</v>
      </c>
      <c r="C53" s="423"/>
      <c r="D53" s="387"/>
      <c r="E53" s="425" t="s">
        <v>248</v>
      </c>
      <c r="F53" s="423"/>
      <c r="G53" s="425"/>
      <c r="H53" s="423"/>
      <c r="I53" s="423"/>
      <c r="J53" s="387"/>
      <c r="K53" s="387"/>
    </row>
    <row r="54" spans="2:11">
      <c r="B54" s="387" t="s">
        <v>249</v>
      </c>
      <c r="C54" s="459" t="s">
        <v>364</v>
      </c>
      <c r="D54" s="387"/>
      <c r="E54" s="387"/>
      <c r="F54" s="387"/>
      <c r="G54" s="387"/>
      <c r="H54" s="387"/>
      <c r="I54" s="387"/>
      <c r="J54" s="387"/>
      <c r="K54" s="387"/>
    </row>
    <row r="55" spans="2:11">
      <c r="B55" s="25" t="s">
        <v>250</v>
      </c>
      <c r="C55" s="214">
        <f>D6</f>
        <v>45655</v>
      </c>
      <c r="G55" s="16" t="s">
        <v>249</v>
      </c>
      <c r="H55" s="211" t="s">
        <v>251</v>
      </c>
      <c r="I55" s="211" t="s">
        <v>252</v>
      </c>
    </row>
    <row r="56" spans="2:11">
      <c r="B56" s="185" t="s">
        <v>253</v>
      </c>
      <c r="C56" s="120"/>
      <c r="E56" t="s">
        <v>254</v>
      </c>
      <c r="G56" s="108" t="s">
        <v>364</v>
      </c>
      <c r="H56" s="108">
        <v>45679</v>
      </c>
      <c r="I56" s="151">
        <v>1135.9000000000001</v>
      </c>
      <c r="J56" s="151"/>
    </row>
    <row r="57" spans="2:11">
      <c r="B57" s="17" t="s">
        <v>255</v>
      </c>
      <c r="C57" s="3">
        <f>1249.2+14312.2</f>
        <v>15561.400000000001</v>
      </c>
      <c r="E57" s="25" t="s">
        <v>365</v>
      </c>
      <c r="G57" s="108" t="s">
        <v>364</v>
      </c>
      <c r="H57" s="108">
        <v>45655</v>
      </c>
      <c r="I57" s="151">
        <v>3.7</v>
      </c>
      <c r="J57" s="121"/>
    </row>
    <row r="58" spans="2:11">
      <c r="B58" s="17" t="s">
        <v>256</v>
      </c>
      <c r="C58" s="3">
        <v>0</v>
      </c>
      <c r="E58" t="s">
        <v>256</v>
      </c>
      <c r="G58" s="108"/>
      <c r="H58" s="108"/>
      <c r="I58" s="482">
        <v>0</v>
      </c>
    </row>
    <row r="59" spans="2:11" ht="15" customHeight="1">
      <c r="B59" s="17" t="s">
        <v>257</v>
      </c>
      <c r="C59" s="3">
        <v>0</v>
      </c>
      <c r="E59" t="s">
        <v>259</v>
      </c>
      <c r="G59" s="108"/>
      <c r="H59" s="108"/>
      <c r="I59" s="482">
        <v>0</v>
      </c>
    </row>
    <row r="60" spans="2:11">
      <c r="B60" s="122" t="s">
        <v>258</v>
      </c>
      <c r="C60" s="3">
        <v>7.1</v>
      </c>
      <c r="E60" s="24" t="s">
        <v>261</v>
      </c>
      <c r="I60" s="167">
        <f>SUM(I56:I59)</f>
        <v>1139.6000000000001</v>
      </c>
    </row>
    <row r="61" spans="2:11" ht="15" customHeight="1">
      <c r="B61" s="185" t="s">
        <v>260</v>
      </c>
      <c r="J61" s="158"/>
    </row>
    <row r="62" spans="2:11">
      <c r="B62" s="168" t="s">
        <v>262</v>
      </c>
      <c r="C62" s="3">
        <f>3671.4+285.8</f>
        <v>3957.2000000000003</v>
      </c>
      <c r="J62" s="180"/>
    </row>
    <row r="63" spans="2:11">
      <c r="B63" s="168" t="s">
        <v>263</v>
      </c>
      <c r="C63" s="3">
        <v>449.3</v>
      </c>
      <c r="J63" s="180"/>
    </row>
    <row r="64" spans="2:11">
      <c r="J64" s="123"/>
    </row>
    <row r="65" spans="2:6">
      <c r="B65" s="176" t="s">
        <v>247</v>
      </c>
      <c r="C65" s="26">
        <f>SUM(C57:C60)-SUM(C62:C63)</f>
        <v>11162.000000000002</v>
      </c>
    </row>
    <row r="67" spans="2:6">
      <c r="B67" s="425" t="s">
        <v>264</v>
      </c>
      <c r="C67" s="423"/>
      <c r="D67" s="423"/>
    </row>
    <row r="68" spans="2:6" ht="17.25">
      <c r="C68" s="124" t="s">
        <v>265</v>
      </c>
      <c r="D68" s="124" t="s">
        <v>38</v>
      </c>
    </row>
    <row r="69" spans="2:6">
      <c r="B69" t="s">
        <v>266</v>
      </c>
      <c r="C69" s="125">
        <f>C47</f>
        <v>90809.695129253945</v>
      </c>
      <c r="D69" s="125">
        <f>I47</f>
        <v>155007.7838744875</v>
      </c>
    </row>
    <row r="70" spans="2:6">
      <c r="B70" t="s">
        <v>247</v>
      </c>
      <c r="C70" s="90">
        <f>$C$65</f>
        <v>11162.000000000002</v>
      </c>
      <c r="D70" s="90">
        <f>C70</f>
        <v>11162.000000000002</v>
      </c>
    </row>
    <row r="71" spans="2:6">
      <c r="B71" t="s">
        <v>267</v>
      </c>
      <c r="C71" s="126">
        <f>C69-C70</f>
        <v>79647.695129253945</v>
      </c>
      <c r="D71" s="126">
        <f>D69-D70</f>
        <v>143845.7838744875</v>
      </c>
    </row>
    <row r="72" spans="2:6">
      <c r="B72" t="s">
        <v>248</v>
      </c>
      <c r="C72" s="126">
        <f>$I$60</f>
        <v>1139.6000000000001</v>
      </c>
      <c r="D72" s="126">
        <f>C72</f>
        <v>1139.6000000000001</v>
      </c>
    </row>
    <row r="73" spans="2:6">
      <c r="B73" s="13" t="s">
        <v>268</v>
      </c>
      <c r="C73" s="152">
        <f>C71/C72</f>
        <v>69.890922366842702</v>
      </c>
      <c r="D73" s="152">
        <f>D71/D72</f>
        <v>126.22480157466434</v>
      </c>
    </row>
    <row r="75" spans="2:6" ht="17.25">
      <c r="C75" s="113" t="s">
        <v>269</v>
      </c>
      <c r="D75" s="113"/>
    </row>
    <row r="76" spans="2:6">
      <c r="B76" s="16"/>
      <c r="C76" s="211" t="s">
        <v>265</v>
      </c>
      <c r="D76" s="211" t="s">
        <v>38</v>
      </c>
    </row>
    <row r="77" spans="2:6">
      <c r="B77" t="s">
        <v>270</v>
      </c>
      <c r="C77" s="127">
        <f>C69/$C$14</f>
        <v>2.4691843249516805</v>
      </c>
      <c r="D77" s="127">
        <f>D69/$C$14</f>
        <v>4.2147789357029071</v>
      </c>
    </row>
    <row r="78" spans="2:6">
      <c r="B78" t="s">
        <v>271</v>
      </c>
      <c r="C78" s="177">
        <f>C69/$C$16</f>
        <v>12.711049345404751</v>
      </c>
      <c r="D78" s="177">
        <f>D69/$C$16</f>
        <v>21.697150144001732</v>
      </c>
    </row>
    <row r="79" spans="2:6">
      <c r="B79" s="157" t="s">
        <v>272</v>
      </c>
      <c r="C79" s="177">
        <f>C69/$C$18</f>
        <v>16.168915056070425</v>
      </c>
      <c r="D79" s="177">
        <f>D69/$C$18</f>
        <v>27.599560673879143</v>
      </c>
    </row>
    <row r="80" spans="2:6" ht="17.25">
      <c r="B80" s="157"/>
      <c r="C80" s="113" t="s">
        <v>273</v>
      </c>
      <c r="D80" s="113"/>
      <c r="E80" s="177"/>
      <c r="F80" s="177"/>
    </row>
    <row r="81" spans="2:17">
      <c r="B81" s="16"/>
      <c r="C81" s="211" t="s">
        <v>265</v>
      </c>
      <c r="D81" s="211" t="s">
        <v>38</v>
      </c>
      <c r="E81" s="177"/>
      <c r="F81" s="177"/>
    </row>
    <row r="82" spans="2:17">
      <c r="B82" t="s">
        <v>270</v>
      </c>
      <c r="C82" s="127">
        <f>C69/$E$14</f>
        <v>2.4253773246635357</v>
      </c>
      <c r="D82" s="127">
        <f>D69/$E$14</f>
        <v>4.1400024922494936</v>
      </c>
      <c r="E82" s="177"/>
      <c r="F82" s="177"/>
    </row>
    <row r="83" spans="2:17">
      <c r="B83" t="s">
        <v>271</v>
      </c>
      <c r="C83" s="177">
        <f>C69/$E$16</f>
        <v>12.287594192913657</v>
      </c>
      <c r="D83" s="177">
        <f>D69/$E$16</f>
        <v>20.974332556469356</v>
      </c>
      <c r="E83" s="177"/>
      <c r="F83" s="177"/>
    </row>
    <row r="84" spans="2:17">
      <c r="B84" s="157" t="s">
        <v>272</v>
      </c>
      <c r="C84" s="177">
        <f>C69/$E$18</f>
        <v>15.534521882332259</v>
      </c>
      <c r="D84" s="177">
        <f>D69/$E$18</f>
        <v>26.516682025004815</v>
      </c>
      <c r="E84" s="177"/>
      <c r="F84" s="177"/>
    </row>
    <row r="86" spans="2:17">
      <c r="B86" s="63" t="s">
        <v>274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 spans="2:17">
      <c r="B87" s="13"/>
    </row>
    <row r="88" spans="2:17" ht="17.25" customHeight="1">
      <c r="B88" s="162"/>
      <c r="C88" s="13"/>
      <c r="D88" s="163" t="s">
        <v>268</v>
      </c>
      <c r="E88" s="113"/>
      <c r="F88" s="113"/>
      <c r="G88" s="113"/>
      <c r="H88" s="113"/>
      <c r="I88" s="113"/>
      <c r="J88" s="164"/>
      <c r="L88" s="163" t="s">
        <v>275</v>
      </c>
      <c r="M88" s="113"/>
      <c r="N88" s="113"/>
      <c r="O88" s="113"/>
      <c r="P88" s="113"/>
      <c r="Q88" s="113"/>
    </row>
    <row r="89" spans="2:17" ht="15" customHeight="1">
      <c r="B89" s="162"/>
      <c r="D89" s="25"/>
      <c r="E89" s="191" t="s">
        <v>276</v>
      </c>
      <c r="F89" s="191"/>
      <c r="G89" s="191"/>
      <c r="H89" s="191"/>
      <c r="I89" s="191"/>
      <c r="J89" s="186"/>
      <c r="L89" s="25"/>
      <c r="M89" s="191" t="s">
        <v>276</v>
      </c>
      <c r="N89" s="191"/>
      <c r="O89" s="191"/>
      <c r="P89" s="191"/>
      <c r="Q89" s="191"/>
    </row>
    <row r="90" spans="2:17" ht="15" customHeight="1">
      <c r="B90" s="162"/>
      <c r="C90" s="192"/>
      <c r="D90" s="165">
        <f>C73</f>
        <v>69.890922366842702</v>
      </c>
      <c r="E90" s="169">
        <f>F90-0.005</f>
        <v>1.9999999999999997E-2</v>
      </c>
      <c r="F90" s="128">
        <f>G90-0.005</f>
        <v>2.4999999999999998E-2</v>
      </c>
      <c r="G90" s="129">
        <v>0.03</v>
      </c>
      <c r="H90" s="128">
        <f>G90+0.005</f>
        <v>3.4999999999999996E-2</v>
      </c>
      <c r="I90" s="128">
        <f>H90+0.005</f>
        <v>3.9999999999999994E-2</v>
      </c>
      <c r="J90" s="130"/>
      <c r="L90" s="131">
        <f>C78</f>
        <v>12.711049345404751</v>
      </c>
      <c r="M90" s="128">
        <f>N90-0.005</f>
        <v>1.9999999999999997E-2</v>
      </c>
      <c r="N90" s="128">
        <f>O90-0.005</f>
        <v>2.4999999999999998E-2</v>
      </c>
      <c r="O90" s="129">
        <v>0.03</v>
      </c>
      <c r="P90" s="128">
        <f>O90+0.005</f>
        <v>3.4999999999999996E-2</v>
      </c>
      <c r="Q90" s="132">
        <f>P90+0.005</f>
        <v>3.9999999999999994E-2</v>
      </c>
    </row>
    <row r="91" spans="2:17" ht="15" customHeight="1">
      <c r="B91" s="162"/>
      <c r="D91" s="178">
        <f>D92+0.01</f>
        <v>0.10999999999999999</v>
      </c>
      <c r="E91" s="133">
        <f t="dataTable" ref="E91:I95" dt2D="1" dtr="1" r1="C42" r2="H4" ca="1"/>
        <v>44.043980953972479</v>
      </c>
      <c r="F91" s="133">
        <v>46.561300681139379</v>
      </c>
      <c r="G91" s="133">
        <v>49.393285374202172</v>
      </c>
      <c r="H91" s="133">
        <v>52.602868026339948</v>
      </c>
      <c r="I91" s="133">
        <v>56.27096248592602</v>
      </c>
      <c r="J91" s="170"/>
      <c r="L91" s="178">
        <f t="shared" ref="L91" si="10">L92+0.01</f>
        <v>0.10999999999999999</v>
      </c>
      <c r="M91" s="179">
        <f t="dataTable" ref="M91:Q95" dt2D="1" dtr="1" r1="C42" r2="H4" ca="1"/>
        <v>8.5880735422537064</v>
      </c>
      <c r="N91" s="179">
        <v>8.989623890440587</v>
      </c>
      <c r="O91" s="179">
        <v>9.4413680321508302</v>
      </c>
      <c r="P91" s="179">
        <v>9.9533447260890995</v>
      </c>
      <c r="Q91" s="179">
        <v>10.538460947732842</v>
      </c>
    </row>
    <row r="92" spans="2:17" ht="15" customHeight="1">
      <c r="B92" s="162"/>
      <c r="D92" s="178">
        <f>D93+0.01</f>
        <v>9.9999999999999992E-2</v>
      </c>
      <c r="E92" s="133">
        <v>51.184383131084836</v>
      </c>
      <c r="F92" s="133">
        <v>54.498199377856338</v>
      </c>
      <c r="G92" s="133">
        <v>58.285417945595213</v>
      </c>
      <c r="H92" s="133">
        <v>62.65528552375541</v>
      </c>
      <c r="I92" s="133">
        <v>67.75346436494236</v>
      </c>
      <c r="J92" s="170"/>
      <c r="L92" s="178">
        <f>L93+0.01</f>
        <v>9.9999999999999992E-2</v>
      </c>
      <c r="M92" s="179">
        <v>9.7270750562333106</v>
      </c>
      <c r="N92" s="179">
        <v>10.255678575825167</v>
      </c>
      <c r="O92" s="179">
        <v>10.859796883930148</v>
      </c>
      <c r="P92" s="179">
        <v>11.556856470205121</v>
      </c>
      <c r="Q92" s="179">
        <v>12.370092654192597</v>
      </c>
    </row>
    <row r="93" spans="2:17" ht="15" customHeight="1">
      <c r="B93" s="162"/>
      <c r="C93" s="192" t="s">
        <v>277</v>
      </c>
      <c r="D93" s="159">
        <v>0.09</v>
      </c>
      <c r="E93" s="133">
        <v>60.382891174825581</v>
      </c>
      <c r="F93" s="133">
        <v>64.895990523196417</v>
      </c>
      <c r="G93" s="133">
        <v>70.161273096295744</v>
      </c>
      <c r="H93" s="133">
        <v>76.383879773594927</v>
      </c>
      <c r="I93" s="133">
        <v>83.851007786353946</v>
      </c>
      <c r="J93" s="170"/>
      <c r="K93" s="192" t="s">
        <v>277</v>
      </c>
      <c r="L93" s="159">
        <v>0.09</v>
      </c>
      <c r="M93" s="179">
        <v>11.194375402670001</v>
      </c>
      <c r="N93" s="179">
        <v>11.914282609999544</v>
      </c>
      <c r="O93" s="179">
        <v>12.754174351884012</v>
      </c>
      <c r="P93" s="179">
        <v>13.74677368320202</v>
      </c>
      <c r="Q93" s="179">
        <v>14.937892880783629</v>
      </c>
    </row>
    <row r="94" spans="2:17" ht="15" customHeight="1">
      <c r="B94" s="162"/>
      <c r="D94" s="178">
        <f t="shared" ref="D94:D95" si="11">D93-0.01</f>
        <v>0.08</v>
      </c>
      <c r="E94" s="133">
        <v>72.6695312056235</v>
      </c>
      <c r="F94" s="133">
        <v>79.098007741653504</v>
      </c>
      <c r="G94" s="133">
        <v>86.812179584889563</v>
      </c>
      <c r="H94" s="133">
        <v>96.240611837733539</v>
      </c>
      <c r="I94" s="133">
        <v>108.0261521537886</v>
      </c>
      <c r="J94" s="170"/>
      <c r="L94" s="178">
        <f t="shared" ref="L94:L95" si="12">L93-0.01</f>
        <v>0.08</v>
      </c>
      <c r="M94" s="179">
        <v>13.15427923577044</v>
      </c>
      <c r="N94" s="179">
        <v>14.179717905120246</v>
      </c>
      <c r="O94" s="179">
        <v>15.410244308340015</v>
      </c>
      <c r="P94" s="179">
        <v>16.914221023386389</v>
      </c>
      <c r="Q94" s="179">
        <v>18.794191917194368</v>
      </c>
    </row>
    <row r="95" spans="2:17" ht="15" customHeight="1">
      <c r="B95" s="160" t="s">
        <v>278</v>
      </c>
      <c r="D95" s="95">
        <f t="shared" si="11"/>
        <v>7.0000000000000007E-2</v>
      </c>
      <c r="E95" s="133">
        <v>89.898417283603379</v>
      </c>
      <c r="F95" s="133">
        <v>99.641731176542038</v>
      </c>
      <c r="G95" s="133">
        <v>111.82087354271539</v>
      </c>
      <c r="H95" s="133">
        <v>127.4797708706525</v>
      </c>
      <c r="I95" s="133">
        <v>148.35830064123539</v>
      </c>
      <c r="J95" s="170"/>
      <c r="L95" s="95">
        <f t="shared" si="12"/>
        <v>7.0000000000000007E-2</v>
      </c>
      <c r="M95" s="179">
        <v>15.902545627529513</v>
      </c>
      <c r="N95" s="179">
        <v>17.456750698891984</v>
      </c>
      <c r="O95" s="179">
        <v>19.399507038095074</v>
      </c>
      <c r="P95" s="179">
        <v>21.897336617070465</v>
      </c>
      <c r="Q95" s="179">
        <v>25.227776055704332</v>
      </c>
    </row>
    <row r="96" spans="2:17" ht="15" customHeight="1">
      <c r="B96" s="160" t="s">
        <v>279</v>
      </c>
      <c r="E96" s="161"/>
      <c r="F96" s="161"/>
      <c r="G96" s="161"/>
      <c r="H96" s="161"/>
      <c r="I96" s="161"/>
      <c r="J96" s="134"/>
    </row>
    <row r="97" spans="2:17" ht="17.25" customHeight="1">
      <c r="B97" s="162"/>
      <c r="D97" s="163" t="s">
        <v>268</v>
      </c>
      <c r="E97" s="113"/>
      <c r="F97" s="113"/>
      <c r="G97" s="113"/>
      <c r="H97" s="113"/>
      <c r="I97" s="113"/>
      <c r="J97" s="164"/>
      <c r="L97" s="163" t="s">
        <v>275</v>
      </c>
      <c r="M97" s="113"/>
      <c r="N97" s="113"/>
      <c r="O97" s="113"/>
      <c r="P97" s="113"/>
      <c r="Q97" s="113"/>
    </row>
    <row r="98" spans="2:17" ht="15" customHeight="1">
      <c r="B98" s="162"/>
      <c r="E98" s="191" t="s">
        <v>280</v>
      </c>
      <c r="F98" s="191"/>
      <c r="G98" s="191"/>
      <c r="H98" s="191"/>
      <c r="I98" s="191"/>
      <c r="J98" s="186"/>
      <c r="M98" s="191" t="s">
        <v>280</v>
      </c>
      <c r="N98" s="191"/>
      <c r="O98" s="191"/>
      <c r="P98" s="191"/>
      <c r="Q98" s="191"/>
    </row>
    <row r="99" spans="2:17" ht="15" customHeight="1">
      <c r="B99" s="162"/>
      <c r="D99" s="135">
        <f>D73</f>
        <v>126.22480157466434</v>
      </c>
      <c r="E99" s="171">
        <f>F99-1</f>
        <v>10.5</v>
      </c>
      <c r="F99" s="171">
        <f>G99-1</f>
        <v>11.5</v>
      </c>
      <c r="G99" s="172">
        <v>12.5</v>
      </c>
      <c r="H99" s="171">
        <f>G99+1</f>
        <v>13.5</v>
      </c>
      <c r="I99" s="171">
        <f>H99+1</f>
        <v>14.5</v>
      </c>
      <c r="J99" s="173"/>
      <c r="L99" s="131">
        <f>D78</f>
        <v>21.697150144001732</v>
      </c>
      <c r="M99" s="171">
        <f>N99-1</f>
        <v>10.5</v>
      </c>
      <c r="N99" s="171">
        <f>O99-1</f>
        <v>11.5</v>
      </c>
      <c r="O99" s="172">
        <v>12.5</v>
      </c>
      <c r="P99" s="171">
        <f>O99+1</f>
        <v>13.5</v>
      </c>
      <c r="Q99" s="156">
        <f>P99+1</f>
        <v>14.5</v>
      </c>
    </row>
    <row r="100" spans="2:17" ht="15" customHeight="1">
      <c r="B100" s="162"/>
      <c r="D100" s="178">
        <f t="shared" ref="D100" si="13">D101+0.01</f>
        <v>0.10999999999999999</v>
      </c>
      <c r="E100" s="133">
        <f t="dataTable" ref="E100:I104" dt2D="1" dtr="1" r1="I43" r2="H4" ca="1"/>
        <v>66.222989666528349</v>
      </c>
      <c r="F100" s="133">
        <v>72.080477760909389</v>
      </c>
      <c r="G100" s="133">
        <v>77.937965855290443</v>
      </c>
      <c r="H100" s="133">
        <v>83.795453949671511</v>
      </c>
      <c r="I100" s="133">
        <v>89.652942044052551</v>
      </c>
      <c r="J100" s="170"/>
      <c r="L100" s="178">
        <f t="shared" ref="L100" si="14">L101+0.01</f>
        <v>0.10999999999999999</v>
      </c>
      <c r="M100" s="179">
        <f t="dataTable" ref="M100:Q104" dt2D="1" dtr="1" r1="I43" r2="H4" ca="1"/>
        <v>12.125958926797145</v>
      </c>
      <c r="N100" s="179">
        <v>13.060316354030411</v>
      </c>
      <c r="O100" s="179">
        <v>13.994673781263677</v>
      </c>
      <c r="P100" s="179">
        <v>14.929031208496946</v>
      </c>
      <c r="Q100" s="179">
        <v>15.863388635730212</v>
      </c>
    </row>
    <row r="101" spans="2:17" ht="15" customHeight="1">
      <c r="B101" s="162"/>
      <c r="D101" s="178">
        <f>D102+0.01</f>
        <v>9.9999999999999992E-2</v>
      </c>
      <c r="E101" s="133">
        <v>69.170494691847225</v>
      </c>
      <c r="F101" s="133">
        <v>75.273188310240528</v>
      </c>
      <c r="G101" s="133">
        <v>81.375881928633831</v>
      </c>
      <c r="H101" s="133">
        <v>87.478575547027148</v>
      </c>
      <c r="I101" s="133">
        <v>93.581269165420437</v>
      </c>
      <c r="J101" s="170"/>
      <c r="L101" s="178">
        <f>L102+0.01</f>
        <v>9.9999999999999992E-2</v>
      </c>
      <c r="M101" s="179">
        <v>12.596130298524889</v>
      </c>
      <c r="N101" s="179">
        <v>13.569601693873475</v>
      </c>
      <c r="O101" s="179">
        <v>14.543073089222059</v>
      </c>
      <c r="P101" s="179">
        <v>15.516544484570645</v>
      </c>
      <c r="Q101" s="179">
        <v>16.490015879919227</v>
      </c>
    </row>
    <row r="102" spans="2:17" ht="15" customHeight="1">
      <c r="B102" s="162"/>
      <c r="C102" s="192" t="s">
        <v>277</v>
      </c>
      <c r="D102" s="159">
        <v>0.09</v>
      </c>
      <c r="E102" s="133">
        <v>72.266145498859444</v>
      </c>
      <c r="F102" s="133">
        <v>78.626691114638746</v>
      </c>
      <c r="G102" s="133">
        <v>84.987236730418061</v>
      </c>
      <c r="H102" s="133">
        <v>91.347782346197391</v>
      </c>
      <c r="I102" s="133">
        <v>97.708327961976693</v>
      </c>
      <c r="J102" s="170"/>
      <c r="K102" s="192" t="s">
        <v>277</v>
      </c>
      <c r="L102" s="159">
        <v>0.09</v>
      </c>
      <c r="M102" s="179">
        <v>13.089933150028278</v>
      </c>
      <c r="N102" s="179">
        <v>14.104535816154121</v>
      </c>
      <c r="O102" s="179">
        <v>15.119138482279963</v>
      </c>
      <c r="P102" s="179">
        <v>16.133741148405807</v>
      </c>
      <c r="Q102" s="179">
        <v>17.14834381453165</v>
      </c>
    </row>
    <row r="103" spans="2:17" ht="15" customHeight="1">
      <c r="B103" s="162"/>
      <c r="D103" s="178">
        <f t="shared" ref="D103:D104" si="15">D102-0.01</f>
        <v>0.08</v>
      </c>
      <c r="E103" s="133">
        <v>75.518928187387857</v>
      </c>
      <c r="F103" s="133">
        <v>82.150749657807808</v>
      </c>
      <c r="G103" s="133">
        <v>88.782571128227758</v>
      </c>
      <c r="H103" s="133">
        <v>95.414392598647723</v>
      </c>
      <c r="I103" s="133">
        <v>102.04621406906769</v>
      </c>
      <c r="J103" s="170"/>
      <c r="L103" s="178">
        <f t="shared" ref="L103:L104" si="16">L102-0.01</f>
        <v>0.08</v>
      </c>
      <c r="M103" s="179">
        <v>13.60880089934864</v>
      </c>
      <c r="N103" s="179">
        <v>14.666676143331822</v>
      </c>
      <c r="O103" s="179">
        <v>15.724551387315003</v>
      </c>
      <c r="P103" s="179">
        <v>16.782426631298186</v>
      </c>
      <c r="Q103" s="179">
        <v>17.840301875281366</v>
      </c>
    </row>
    <row r="104" spans="2:17" ht="15" customHeight="1">
      <c r="B104" s="162"/>
      <c r="D104" s="95">
        <f t="shared" si="15"/>
        <v>7.0000000000000007E-2</v>
      </c>
      <c r="E104" s="133">
        <v>78.938466623825363</v>
      </c>
      <c r="F104" s="133">
        <v>85.855820814409668</v>
      </c>
      <c r="G104" s="133">
        <v>92.773175004993945</v>
      </c>
      <c r="H104" s="133">
        <v>99.690529195578236</v>
      </c>
      <c r="I104" s="133">
        <v>106.60788338616251</v>
      </c>
      <c r="J104" s="170"/>
      <c r="L104" s="95">
        <f t="shared" si="16"/>
        <v>7.0000000000000007E-2</v>
      </c>
      <c r="M104" s="179">
        <v>14.15426869788501</v>
      </c>
      <c r="N104" s="179">
        <v>15.257690704150063</v>
      </c>
      <c r="O104" s="179">
        <v>16.361112710415114</v>
      </c>
      <c r="P104" s="179">
        <v>17.464534716680166</v>
      </c>
      <c r="Q104" s="179">
        <v>18.567956722945215</v>
      </c>
    </row>
    <row r="105" spans="2:17">
      <c r="J105" s="49"/>
    </row>
    <row r="106" spans="2:17">
      <c r="B106" s="85" t="s">
        <v>281</v>
      </c>
      <c r="C106" s="85"/>
      <c r="D106" s="85"/>
      <c r="E106" s="85"/>
      <c r="G106" s="85" t="s">
        <v>282</v>
      </c>
      <c r="H106" s="85"/>
      <c r="I106" s="85"/>
      <c r="J106" s="174"/>
      <c r="K106" s="85"/>
      <c r="L106" s="85"/>
      <c r="M106" s="85"/>
      <c r="N106" s="85"/>
      <c r="O106" s="85"/>
      <c r="P106" s="85"/>
    </row>
    <row r="107" spans="2:17">
      <c r="J107" s="49"/>
    </row>
    <row r="108" spans="2:17">
      <c r="J108" s="49"/>
    </row>
    <row r="109" spans="2:17">
      <c r="J109" s="49"/>
    </row>
    <row r="110" spans="2:17">
      <c r="J110" s="49"/>
    </row>
    <row r="111" spans="2:17">
      <c r="J111" s="49"/>
    </row>
    <row r="112" spans="2:17">
      <c r="J112" s="49"/>
    </row>
    <row r="113" spans="2:17">
      <c r="J113" s="49"/>
    </row>
    <row r="114" spans="2:17">
      <c r="J114" s="49"/>
    </row>
    <row r="115" spans="2:17">
      <c r="J115" s="49"/>
    </row>
    <row r="116" spans="2:17">
      <c r="J116" s="49"/>
    </row>
    <row r="117" spans="2:17">
      <c r="J117" s="49"/>
    </row>
    <row r="118" spans="2:17">
      <c r="J118" s="49"/>
    </row>
    <row r="119" spans="2:17">
      <c r="J119" s="49"/>
    </row>
    <row r="120" spans="2:17">
      <c r="J120" s="49"/>
      <c r="M120" s="212"/>
    </row>
    <row r="121" spans="2:17">
      <c r="J121" s="49"/>
    </row>
    <row r="122" spans="2:17">
      <c r="J122" s="49"/>
    </row>
    <row r="123" spans="2:17">
      <c r="J123" s="49"/>
    </row>
    <row r="124" spans="2:17">
      <c r="J124" s="49"/>
    </row>
    <row r="125" spans="2:17">
      <c r="J125" s="49"/>
    </row>
    <row r="126" spans="2:17">
      <c r="J126" s="49"/>
    </row>
    <row r="127" spans="2:17">
      <c r="B127" s="184"/>
      <c r="C127" s="182" t="s">
        <v>283</v>
      </c>
      <c r="D127" s="182" t="s">
        <v>284</v>
      </c>
      <c r="E127" s="183" t="s">
        <v>285</v>
      </c>
      <c r="G127" s="184"/>
      <c r="H127" s="136"/>
      <c r="I127" s="136"/>
      <c r="J127" s="137"/>
      <c r="K127" s="136"/>
      <c r="L127" s="136"/>
      <c r="M127" s="136"/>
      <c r="N127" s="136"/>
      <c r="O127" s="182" t="s">
        <v>283</v>
      </c>
      <c r="P127" s="182" t="s">
        <v>284</v>
      </c>
      <c r="Q127" s="183" t="s">
        <v>285</v>
      </c>
    </row>
    <row r="128" spans="2:17">
      <c r="B128" s="139" t="str">
        <f>"DCF Value at "&amp;TEXT(E90,"0.0%")&amp;"-"&amp;TEXT(I90,"0.0%")&amp;" Perpetuity Range at "&amp;TEXT(D102,"0.0%")&amp;" WACC"</f>
        <v>DCF Value at 2.0%-4.0% Perpetuity Range at 9.0% WACC</v>
      </c>
      <c r="C128" s="65">
        <f>E93</f>
        <v>60.382891174825581</v>
      </c>
      <c r="D128" s="65">
        <f>E128-C128</f>
        <v>23.468116611528366</v>
      </c>
      <c r="E128" s="138">
        <f>I93</f>
        <v>83.851007786353946</v>
      </c>
      <c r="G128" s="489" t="str">
        <f>"LTM EBITDA Purchase Multiple at "&amp;TEXT(M90,"0.0%")&amp;"-"&amp;TEXT(Q90,"0.0%")&amp;" Perpetuity Growth at "&amp;TEXT(L93,"0.0%")&amp;" WACC"</f>
        <v>LTM EBITDA Purchase Multiple at 2.0%-4.0% Perpetuity Growth at 9.0% WACC</v>
      </c>
      <c r="H128" s="387"/>
      <c r="I128" s="387"/>
      <c r="J128" s="486"/>
      <c r="K128" s="387"/>
      <c r="L128" s="387"/>
      <c r="M128" s="387"/>
      <c r="N128" s="387"/>
      <c r="O128" s="487">
        <f>M93</f>
        <v>11.194375402670001</v>
      </c>
      <c r="P128" s="487">
        <f>Q128-O128</f>
        <v>3.7435174781136276</v>
      </c>
      <c r="Q128" s="488">
        <f>Q93</f>
        <v>14.937892880783629</v>
      </c>
    </row>
    <row r="129" spans="2:17">
      <c r="B129" s="489" t="str">
        <f>"DCF Value at "&amp;TEXT(E99,"0.0x")&amp;"-"&amp;TEXT(I99,"0.0x")&amp;" Exit EBITDA Range at "&amp;TEXT(D102,"0.0%")&amp;" WACC"</f>
        <v>DCF Value at 10.5x-14.5x Exit EBITDA Range at 9.0% WACC</v>
      </c>
      <c r="C129" s="490">
        <f>E102</f>
        <v>72.266145498859444</v>
      </c>
      <c r="D129" s="490">
        <f>E129-C129</f>
        <v>25.442182463117248</v>
      </c>
      <c r="E129" s="491">
        <f>I102</f>
        <v>97.708327961976693</v>
      </c>
      <c r="G129" s="485" t="str">
        <f>"LTM EBITDA Purchase Multiple at "&amp;TEXT(M102,"0.0x")&amp;"-"&amp;TEXT(Q102,"0.0x")&amp;" Exit EBITDA Multiple at "&amp;TEXT(L102,"0.0%")&amp;" WACC"</f>
        <v>LTM EBITDA Purchase Multiple at 13.1x-17.1x Exit EBITDA Multiple at 9.0% WACC</v>
      </c>
      <c r="H129" s="387"/>
      <c r="I129" s="387"/>
      <c r="J129" s="486"/>
      <c r="K129" s="387"/>
      <c r="L129" s="387"/>
      <c r="M129" s="387"/>
      <c r="N129" s="387"/>
      <c r="O129" s="487">
        <f>M102</f>
        <v>13.089933150028278</v>
      </c>
      <c r="P129" s="487">
        <f>Q129-O129</f>
        <v>4.0584106645033717</v>
      </c>
      <c r="Q129" s="488">
        <f>Q102</f>
        <v>17.14834381453165</v>
      </c>
    </row>
    <row r="130" spans="2:17">
      <c r="B130" s="492" t="s">
        <v>286</v>
      </c>
      <c r="C130" s="493">
        <v>71.55</v>
      </c>
      <c r="D130" s="494">
        <f>E130-C130</f>
        <v>45.91</v>
      </c>
      <c r="E130" s="495">
        <v>117.46</v>
      </c>
      <c r="G130" s="140" t="str">
        <f>"LTM EBITDA Purchase Multiple at "&amp;TEXT(L104,"0.0%")&amp;"-"&amp;TEXT(L100,"0.0%")&amp;" WACC at "&amp;TEXT(O99,"0.0x")&amp;" Exit EBITDA"</f>
        <v>LTM EBITDA Purchase Multiple at 7.0%-11.0% WACC at 12.5x Exit EBITDA</v>
      </c>
      <c r="H130" s="6"/>
      <c r="I130" s="6"/>
      <c r="J130" s="97"/>
      <c r="K130" s="6"/>
      <c r="L130" s="6"/>
      <c r="M130" s="6"/>
      <c r="N130" s="6"/>
      <c r="O130" s="483">
        <f>O100</f>
        <v>13.994673781263677</v>
      </c>
      <c r="P130" s="483">
        <f>Q130-O130</f>
        <v>2.3664389291514372</v>
      </c>
      <c r="Q130" s="484">
        <f>O104</f>
        <v>16.361112710415114</v>
      </c>
    </row>
    <row r="131" spans="2:17">
      <c r="J131" s="49"/>
    </row>
    <row r="132" spans="2:17">
      <c r="J132" s="49"/>
    </row>
    <row r="134" spans="2:17" ht="15.75" thickBot="1"/>
    <row r="135" spans="2:17" ht="15.75" thickBot="1">
      <c r="B135" s="461" t="s">
        <v>287</v>
      </c>
      <c r="C135" s="462"/>
      <c r="D135" s="462"/>
      <c r="E135" s="462"/>
      <c r="F135" s="462"/>
      <c r="G135" s="462"/>
      <c r="H135" s="462"/>
      <c r="I135" s="462"/>
      <c r="J135" s="259"/>
    </row>
    <row r="136" spans="2:17">
      <c r="B136" s="238" t="str">
        <f>'Financial Statement Modelling'!C3</f>
        <v>$ mm except per share</v>
      </c>
    </row>
    <row r="137" spans="2:17">
      <c r="B137" s="98" t="s">
        <v>288</v>
      </c>
      <c r="C137" s="141"/>
      <c r="D137" s="1"/>
      <c r="E137" s="100"/>
      <c r="F137" s="102"/>
    </row>
    <row r="138" spans="2:17">
      <c r="E138" s="16" t="s">
        <v>289</v>
      </c>
    </row>
    <row r="139" spans="2:17">
      <c r="B139" t="s">
        <v>290</v>
      </c>
      <c r="C139" s="30">
        <v>4.8300000000000003E-2</v>
      </c>
      <c r="E139" t="s">
        <v>541</v>
      </c>
    </row>
    <row r="140" spans="2:17">
      <c r="B140" t="s">
        <v>0</v>
      </c>
      <c r="C140" s="166">
        <f>DCF!I22</f>
        <v>0.24149999999999999</v>
      </c>
      <c r="E140" t="s">
        <v>291</v>
      </c>
    </row>
    <row r="141" spans="2:17">
      <c r="B141" t="s">
        <v>292</v>
      </c>
      <c r="C141" s="201">
        <f>C139*(1-C140)</f>
        <v>3.6635550000000003E-2</v>
      </c>
      <c r="E141" t="s">
        <v>293</v>
      </c>
    </row>
    <row r="143" spans="2:17">
      <c r="B143" t="s">
        <v>294</v>
      </c>
      <c r="C143" s="30">
        <v>4.1700000000000001E-2</v>
      </c>
      <c r="E143" t="s">
        <v>542</v>
      </c>
    </row>
    <row r="144" spans="2:17">
      <c r="B144" t="s">
        <v>295</v>
      </c>
      <c r="C144" s="142">
        <f>IF(C165="Observed",C167,C168)</f>
        <v>0.98</v>
      </c>
      <c r="E144" t="s">
        <v>543</v>
      </c>
    </row>
    <row r="145" spans="2:6">
      <c r="B145" t="s">
        <v>297</v>
      </c>
      <c r="C145" s="30">
        <v>5.5E-2</v>
      </c>
      <c r="E145" t="s">
        <v>620</v>
      </c>
    </row>
    <row r="146" spans="2:6">
      <c r="B146" t="s">
        <v>298</v>
      </c>
      <c r="C146" s="153">
        <f>C143+C144*C145</f>
        <v>9.5599999999999991E-2</v>
      </c>
      <c r="E146" t="s">
        <v>299</v>
      </c>
    </row>
    <row r="148" spans="2:6">
      <c r="B148" s="5" t="s">
        <v>300</v>
      </c>
      <c r="C148" s="6"/>
      <c r="D148" s="6"/>
      <c r="E148" s="6"/>
      <c r="F148" s="13"/>
    </row>
    <row r="149" spans="2:6">
      <c r="B149" s="13"/>
      <c r="C149" s="192"/>
      <c r="D149" s="192" t="s">
        <v>301</v>
      </c>
      <c r="F149" s="13"/>
    </row>
    <row r="150" spans="2:6" ht="17.25">
      <c r="C150" s="103" t="s">
        <v>302</v>
      </c>
      <c r="D150" s="103" t="s">
        <v>303</v>
      </c>
      <c r="E150" s="103" t="s">
        <v>304</v>
      </c>
    </row>
    <row r="151" spans="2:6">
      <c r="B151" t="s">
        <v>305</v>
      </c>
      <c r="C151" s="68">
        <f>H5*I60</f>
        <v>110620.97200000001</v>
      </c>
      <c r="D151" s="271"/>
      <c r="E151" s="4">
        <f>IF(D151,D151,C151/(C151+C152))</f>
        <v>0.90834515025631002</v>
      </c>
    </row>
    <row r="152" spans="2:6">
      <c r="B152" t="s">
        <v>255</v>
      </c>
      <c r="C152" s="68">
        <f>C65</f>
        <v>11162.000000000002</v>
      </c>
      <c r="D152" s="213">
        <f>1-D151</f>
        <v>1</v>
      </c>
      <c r="E152" s="4">
        <f>1-E151</f>
        <v>9.1654849743689981E-2</v>
      </c>
    </row>
    <row r="154" spans="2:6">
      <c r="B154" s="143" t="s">
        <v>306</v>
      </c>
      <c r="C154" s="104"/>
      <c r="D154" s="136"/>
      <c r="E154" s="154">
        <f>C141*E152+C146*E151</f>
        <v>9.0195622195030675E-2</v>
      </c>
    </row>
    <row r="155" spans="2:6">
      <c r="B155" s="13"/>
      <c r="C155" s="144"/>
    </row>
    <row r="156" spans="2:6">
      <c r="B156" s="5" t="s">
        <v>307</v>
      </c>
      <c r="C156" s="6"/>
      <c r="D156" s="6"/>
      <c r="E156" s="6"/>
      <c r="F156" s="6"/>
    </row>
    <row r="157" spans="2:6">
      <c r="D157" s="191" t="s">
        <v>308</v>
      </c>
      <c r="E157" s="145"/>
      <c r="F157" s="191"/>
    </row>
    <row r="158" spans="2:6">
      <c r="C158" s="204">
        <f>E154</f>
        <v>9.0195622195030675E-2</v>
      </c>
      <c r="D158" s="146">
        <f>E158-0.1</f>
        <v>0.88</v>
      </c>
      <c r="E158" s="99">
        <f>C144</f>
        <v>0.98</v>
      </c>
      <c r="F158" s="147">
        <f>E158+0.1</f>
        <v>1.08</v>
      </c>
    </row>
    <row r="159" spans="2:6">
      <c r="C159" s="181">
        <f>C160-0.005</f>
        <v>4.5000000000000005E-2</v>
      </c>
      <c r="D159" s="148">
        <f t="dataTable" ref="D159:F163" dt2D="1" dtr="1" r1="C144" r2="C145" ca="1"/>
        <v>7.7206286546365466E-2</v>
      </c>
      <c r="E159" s="41">
        <v>7.7206286546365466E-2</v>
      </c>
      <c r="F159" s="41">
        <v>8.1293839722518857E-2</v>
      </c>
    </row>
    <row r="160" spans="2:6">
      <c r="B160" s="192" t="s">
        <v>309</v>
      </c>
      <c r="C160" s="181">
        <f>C161-0.005</f>
        <v>0.05</v>
      </c>
      <c r="D160" s="41">
        <v>7.3209567885237692E-2</v>
      </c>
      <c r="E160" s="41">
        <v>7.3209567885237692E-2</v>
      </c>
      <c r="F160" s="41">
        <v>7.6842948486262927E-2</v>
      </c>
    </row>
    <row r="161" spans="2:9">
      <c r="B161" s="192" t="s">
        <v>310</v>
      </c>
      <c r="C161" s="91">
        <f>C145</f>
        <v>5.5E-2</v>
      </c>
      <c r="D161" s="41">
        <v>7.3209567885237692E-2</v>
      </c>
      <c r="E161" s="41">
        <v>7.3209567885237692E-2</v>
      </c>
      <c r="F161" s="41">
        <v>7.6842948486262927E-2</v>
      </c>
    </row>
    <row r="162" spans="2:9">
      <c r="B162" s="192" t="s">
        <v>311</v>
      </c>
      <c r="C162" s="181">
        <f>C161+0.005</f>
        <v>0.06</v>
      </c>
      <c r="D162" s="41">
        <v>7.7206286546365466E-2</v>
      </c>
      <c r="E162" s="41">
        <v>7.7206286546365466E-2</v>
      </c>
      <c r="F162" s="41">
        <v>8.1293839722518857E-2</v>
      </c>
    </row>
    <row r="163" spans="2:9">
      <c r="C163" s="181">
        <f>C162+0.005</f>
        <v>6.5000000000000002E-2</v>
      </c>
      <c r="D163" s="41">
        <v>8.5199723868620986E-2</v>
      </c>
      <c r="E163" s="41">
        <v>8.5199723868620986E-2</v>
      </c>
      <c r="F163" s="41">
        <v>9.0195622195030675E-2</v>
      </c>
    </row>
    <row r="164" spans="2:9">
      <c r="C164" s="92"/>
      <c r="D164" s="41"/>
      <c r="E164" s="41"/>
      <c r="F164" s="41"/>
    </row>
    <row r="165" spans="2:9">
      <c r="B165" t="s">
        <v>312</v>
      </c>
      <c r="C165" s="188" t="s">
        <v>313</v>
      </c>
    </row>
    <row r="167" spans="2:9">
      <c r="B167" s="17" t="s">
        <v>313</v>
      </c>
      <c r="C167" s="142">
        <v>0.98</v>
      </c>
      <c r="D167" t="s">
        <v>296</v>
      </c>
    </row>
    <row r="168" spans="2:9">
      <c r="B168" s="17" t="s">
        <v>314</v>
      </c>
      <c r="C168" s="180">
        <f>C179</f>
        <v>0.63036848323608219</v>
      </c>
      <c r="D168" t="s">
        <v>315</v>
      </c>
    </row>
    <row r="170" spans="2:9">
      <c r="B170" s="5" t="s">
        <v>314</v>
      </c>
      <c r="C170" s="5"/>
      <c r="D170" s="6"/>
      <c r="E170" s="6"/>
      <c r="F170" s="6"/>
      <c r="G170" s="6"/>
      <c r="H170" s="6"/>
      <c r="I170" s="6"/>
    </row>
    <row r="171" spans="2:9">
      <c r="H171" s="88"/>
    </row>
    <row r="172" spans="2:9" ht="15.75" thickBot="1">
      <c r="C172" s="93" t="s">
        <v>316</v>
      </c>
      <c r="D172" s="93" t="s">
        <v>317</v>
      </c>
      <c r="E172" s="149" t="s">
        <v>318</v>
      </c>
      <c r="F172" s="93" t="s">
        <v>0</v>
      </c>
      <c r="G172" s="93" t="s">
        <v>319</v>
      </c>
    </row>
    <row r="173" spans="2:9">
      <c r="B173" s="69" t="s">
        <v>351</v>
      </c>
      <c r="C173" s="121">
        <v>0.62</v>
      </c>
      <c r="D173" s="437">
        <v>222611.8</v>
      </c>
      <c r="E173" s="3">
        <f>51988-1119</f>
        <v>50869</v>
      </c>
      <c r="F173" s="19">
        <v>0.20499999999999999</v>
      </c>
      <c r="G173" s="180">
        <f>C173/(1+(1-F173)*(E173)/D173)</f>
        <v>0.52468322739415041</v>
      </c>
      <c r="H173" t="s">
        <v>563</v>
      </c>
    </row>
    <row r="174" spans="2:9">
      <c r="B174" s="69" t="s">
        <v>567</v>
      </c>
      <c r="C174" s="121">
        <v>0.55000000000000004</v>
      </c>
      <c r="D174" s="437">
        <v>45871.7</v>
      </c>
      <c r="E174" s="3">
        <f>18330-510</f>
        <v>17820</v>
      </c>
      <c r="F174" s="19">
        <v>0.247</v>
      </c>
      <c r="G174" s="180">
        <f>C174/(1+(1-F174)*(E174)/D174)</f>
        <v>0.42552482570463629</v>
      </c>
      <c r="H174" t="s">
        <v>563</v>
      </c>
    </row>
    <row r="175" spans="2:9">
      <c r="B175" s="69" t="s">
        <v>562</v>
      </c>
      <c r="C175" s="121">
        <v>0.74</v>
      </c>
      <c r="D175" s="437">
        <v>21738.2</v>
      </c>
      <c r="E175" s="3">
        <f>15926-1335</f>
        <v>14591</v>
      </c>
      <c r="F175" s="19">
        <v>0.20100000000000001</v>
      </c>
      <c r="G175" s="180">
        <f>C175/(1+(1-F175)*(E175)/D175)</f>
        <v>0.48167657786200907</v>
      </c>
      <c r="H175" t="s">
        <v>563</v>
      </c>
    </row>
    <row r="176" spans="2:9">
      <c r="B176" s="69" t="s">
        <v>544</v>
      </c>
      <c r="C176" s="142">
        <f>C167</f>
        <v>0.98</v>
      </c>
      <c r="D176" s="12">
        <f>C151</f>
        <v>110620.97200000001</v>
      </c>
      <c r="E176" s="12">
        <f>C152</f>
        <v>11162.000000000002</v>
      </c>
      <c r="F176" s="50">
        <f>C140</f>
        <v>0.24149999999999999</v>
      </c>
      <c r="G176" s="180">
        <f>C176/(1+(1-F176)*(E176)/D176)</f>
        <v>0.91032803627193015</v>
      </c>
    </row>
    <row r="177" spans="2:9">
      <c r="C177" s="180"/>
      <c r="F177" s="15"/>
      <c r="G177" s="15"/>
      <c r="H177" s="15"/>
      <c r="I177" s="4"/>
    </row>
    <row r="178" spans="2:9">
      <c r="B178" t="s">
        <v>320</v>
      </c>
      <c r="C178" s="180">
        <f>AVERAGE(G173:G176)</f>
        <v>0.58555316680818148</v>
      </c>
    </row>
    <row r="179" spans="2:9">
      <c r="B179" s="13" t="str">
        <f>B176&amp;" beta"</f>
        <v>Starbucks Corporation (SBUX) beta</v>
      </c>
      <c r="C179" s="89">
        <f>C178*(1+(1-F176)*(E176)/D176)</f>
        <v>0.63036848323608219</v>
      </c>
    </row>
  </sheetData>
  <conditionalFormatting sqref="E91:J95 E100:J104">
    <cfRule type="cellIs" dxfId="0" priority="1" operator="lessThan">
      <formula>$C$7</formula>
    </cfRule>
  </conditionalFormatting>
  <dataValidations count="2">
    <dataValidation type="list" allowBlank="1" showInputMessage="1" showErrorMessage="1" sqref="H7" xr:uid="{60987B2B-16C0-41F0-8B81-454F5BC7991D}">
      <formula1>"0,1"</formula1>
    </dataValidation>
    <dataValidation type="list" allowBlank="1" showInputMessage="1" showErrorMessage="1" sqref="C165" xr:uid="{F13FE863-73F2-465A-A89F-5240C1E375EC}">
      <formula1>"Industry, Observed"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D50-18F4-4E92-9F0E-9F6A2048454D}">
  <sheetPr>
    <tabColor theme="1" tint="0.34998626667073579"/>
  </sheetPr>
  <dimension ref="A1"/>
  <sheetViews>
    <sheetView workbookViewId="0">
      <selection activeCell="F31" sqref="F3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47FF-8F71-49C5-AAB5-3780603504A7}">
  <dimension ref="A1:R278"/>
  <sheetViews>
    <sheetView topLeftCell="A276" workbookViewId="0">
      <selection activeCell="O220" sqref="O220"/>
    </sheetView>
  </sheetViews>
  <sheetFormatPr defaultRowHeight="15" outlineLevelRow="1"/>
  <cols>
    <col min="1" max="1" width="9.140625" style="273"/>
    <col min="2" max="2" width="33.7109375" style="273" bestFit="1" customWidth="1"/>
    <col min="3" max="3" width="14" style="273" customWidth="1"/>
    <col min="4" max="4" width="0.7109375" style="273" customWidth="1"/>
    <col min="5" max="5" width="22" style="273" bestFit="1" customWidth="1"/>
    <col min="6" max="6" width="0.7109375" style="273" customWidth="1"/>
    <col min="7" max="7" width="23.7109375" style="273" bestFit="1" customWidth="1"/>
    <col min="8" max="8" width="0.7109375" style="273" customWidth="1"/>
    <col min="9" max="9" width="35" style="273" bestFit="1" customWidth="1"/>
    <col min="10" max="10" width="0.7109375" style="273" customWidth="1"/>
    <col min="11" max="11" width="16.140625" style="273" bestFit="1" customWidth="1"/>
    <col min="12" max="13" width="7" style="504" customWidth="1"/>
    <col min="14" max="14" width="6.85546875" style="496" customWidth="1"/>
    <col min="15" max="16" width="10.5703125" style="273" bestFit="1" customWidth="1"/>
    <col min="17" max="17" width="13.28515625" style="273" bestFit="1" customWidth="1"/>
    <col min="18" max="18" width="10.5703125" style="273" bestFit="1" customWidth="1"/>
    <col min="19" max="19" width="9.5703125" style="273" bestFit="1" customWidth="1"/>
    <col min="20" max="16384" width="9.140625" style="273"/>
  </cols>
  <sheetData>
    <row r="1" spans="1:14" s="498" customFormat="1" ht="15.75" thickBot="1">
      <c r="A1" s="497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504"/>
      <c r="M1" s="504"/>
      <c r="N1" s="504"/>
    </row>
    <row r="2" spans="1:14" s="500" customFormat="1" ht="15.75" thickBot="1">
      <c r="A2" s="501" t="s">
        <v>366</v>
      </c>
      <c r="B2" s="501"/>
      <c r="C2" s="502"/>
      <c r="D2" s="502"/>
      <c r="E2" s="502"/>
      <c r="F2" s="502"/>
      <c r="G2" s="502"/>
      <c r="H2" s="502"/>
      <c r="I2" s="502"/>
      <c r="J2" s="502"/>
      <c r="K2" s="502"/>
      <c r="L2" s="505"/>
      <c r="M2" s="505"/>
      <c r="N2" s="505"/>
    </row>
    <row r="3" spans="1:14">
      <c r="A3" s="9" t="s">
        <v>367</v>
      </c>
    </row>
    <row r="5" spans="1:14">
      <c r="A5" s="13" t="s">
        <v>368</v>
      </c>
      <c r="C5" s="274">
        <v>45737</v>
      </c>
    </row>
    <row r="6" spans="1:14">
      <c r="A6" s="13" t="s">
        <v>369</v>
      </c>
      <c r="C6" s="274">
        <v>45657</v>
      </c>
    </row>
    <row r="7" spans="1:14" ht="15.75" thickBot="1">
      <c r="A7" s="497"/>
      <c r="B7" s="497"/>
      <c r="C7" s="497"/>
      <c r="D7" s="497"/>
      <c r="E7" s="497"/>
      <c r="F7" s="497"/>
      <c r="G7" s="497"/>
      <c r="H7" s="497"/>
      <c r="I7" s="497"/>
      <c r="J7" s="497"/>
      <c r="K7" s="497"/>
    </row>
    <row r="8" spans="1:14" s="500" customFormat="1" ht="15.75" thickBot="1">
      <c r="A8" s="503" t="s">
        <v>370</v>
      </c>
      <c r="B8" s="503"/>
      <c r="C8" s="503"/>
      <c r="D8" s="503"/>
      <c r="E8" s="503"/>
      <c r="F8" s="503"/>
      <c r="G8" s="503"/>
      <c r="H8" s="503"/>
      <c r="I8" s="503"/>
      <c r="J8" s="503"/>
      <c r="K8" s="503"/>
      <c r="L8" s="505"/>
      <c r="M8" s="505"/>
      <c r="N8" s="505"/>
    </row>
    <row r="9" spans="1:14">
      <c r="B9" s="273" t="s">
        <v>6</v>
      </c>
      <c r="C9" s="71" t="s">
        <v>371</v>
      </c>
      <c r="E9" s="275" t="s">
        <v>147</v>
      </c>
      <c r="G9" s="275" t="s">
        <v>569</v>
      </c>
      <c r="I9" s="275" t="s">
        <v>568</v>
      </c>
      <c r="K9" s="275" t="s">
        <v>571</v>
      </c>
    </row>
    <row r="10" spans="1:14">
      <c r="B10" s="273" t="s">
        <v>372</v>
      </c>
      <c r="C10" s="71" t="s">
        <v>373</v>
      </c>
      <c r="E10" s="275" t="s">
        <v>570</v>
      </c>
      <c r="G10" s="275" t="s">
        <v>565</v>
      </c>
      <c r="I10" s="275" t="s">
        <v>566</v>
      </c>
      <c r="K10" s="275" t="s">
        <v>567</v>
      </c>
    </row>
    <row r="11" spans="1:14">
      <c r="B11" s="273" t="s">
        <v>374</v>
      </c>
      <c r="C11" s="71"/>
      <c r="E11" s="276">
        <v>97.07</v>
      </c>
      <c r="G11" s="276">
        <v>305.44</v>
      </c>
      <c r="I11" s="276">
        <v>67</v>
      </c>
      <c r="K11" s="276">
        <v>33.32</v>
      </c>
    </row>
    <row r="12" spans="1:14">
      <c r="B12" s="273" t="s">
        <v>375</v>
      </c>
      <c r="E12" s="277">
        <v>45564</v>
      </c>
      <c r="G12" s="277">
        <v>45657</v>
      </c>
      <c r="I12" s="277">
        <v>45657</v>
      </c>
      <c r="K12" s="277">
        <v>45657</v>
      </c>
    </row>
    <row r="13" spans="1:14">
      <c r="B13" s="273" t="s">
        <v>376</v>
      </c>
      <c r="E13" s="277">
        <v>45655</v>
      </c>
      <c r="G13" s="277">
        <v>45657</v>
      </c>
      <c r="I13" s="277">
        <v>45657</v>
      </c>
      <c r="K13" s="277">
        <v>45657</v>
      </c>
    </row>
    <row r="14" spans="1:14" ht="15.75" thickBot="1">
      <c r="A14" s="497"/>
      <c r="B14" s="497"/>
      <c r="C14" s="497"/>
      <c r="D14" s="497"/>
      <c r="E14" s="497"/>
      <c r="F14" s="497"/>
      <c r="G14" s="497"/>
      <c r="H14" s="497"/>
      <c r="I14" s="497"/>
      <c r="J14" s="497"/>
      <c r="K14" s="497"/>
    </row>
    <row r="15" spans="1:14" s="500" customFormat="1" ht="15.75" thickBot="1">
      <c r="A15" s="503" t="s">
        <v>377</v>
      </c>
      <c r="B15" s="503"/>
      <c r="C15" s="503"/>
      <c r="D15" s="503"/>
      <c r="E15" s="503"/>
      <c r="F15" s="503"/>
      <c r="G15" s="503"/>
      <c r="H15" s="503"/>
      <c r="I15" s="503"/>
      <c r="J15" s="503"/>
      <c r="K15" s="503"/>
      <c r="L15" s="505"/>
      <c r="M15" s="505"/>
      <c r="N15" s="505"/>
    </row>
    <row r="16" spans="1:14" s="9" customFormat="1">
      <c r="B16" s="9" t="s">
        <v>289</v>
      </c>
      <c r="E16" s="278" t="s">
        <v>378</v>
      </c>
      <c r="G16" s="278" t="s">
        <v>379</v>
      </c>
      <c r="I16" s="278" t="s">
        <v>379</v>
      </c>
      <c r="K16" s="278" t="s">
        <v>379</v>
      </c>
      <c r="L16" s="507"/>
      <c r="M16" s="507"/>
      <c r="N16" s="458"/>
    </row>
    <row r="17" spans="1:17" s="9" customFormat="1">
      <c r="B17" s="9" t="s">
        <v>380</v>
      </c>
      <c r="E17" s="279">
        <f>+E13</f>
        <v>45655</v>
      </c>
      <c r="G17" s="279">
        <f>+G13</f>
        <v>45657</v>
      </c>
      <c r="I17" s="279">
        <f>+I13</f>
        <v>45657</v>
      </c>
      <c r="K17" s="279">
        <f>+K13</f>
        <v>45657</v>
      </c>
      <c r="L17" s="507"/>
      <c r="M17" s="507"/>
      <c r="N17" s="458"/>
      <c r="Q17" s="321"/>
    </row>
    <row r="19" spans="1:17" ht="13.15" customHeight="1">
      <c r="B19" s="273" t="s">
        <v>381</v>
      </c>
      <c r="E19" s="280">
        <v>1135.9000000000001</v>
      </c>
      <c r="G19" s="280">
        <v>714.461139</v>
      </c>
      <c r="I19" s="280">
        <v>324.984645</v>
      </c>
      <c r="K19" s="280">
        <v>1356.7508769999999</v>
      </c>
    </row>
    <row r="20" spans="1:17">
      <c r="B20" s="273" t="s">
        <v>382</v>
      </c>
      <c r="E20" s="280">
        <v>9.6</v>
      </c>
      <c r="G20" s="280">
        <v>1.2</v>
      </c>
      <c r="I20" s="320">
        <f>(2359+5816)/1000000</f>
        <v>8.175E-3</v>
      </c>
      <c r="K20" s="280">
        <v>12.488799</v>
      </c>
    </row>
    <row r="21" spans="1:17">
      <c r="B21" s="13" t="s">
        <v>383</v>
      </c>
      <c r="E21" s="281">
        <f>+E19+E20</f>
        <v>1145.5</v>
      </c>
      <c r="G21" s="281">
        <f>+G19+G20</f>
        <v>715.66113900000005</v>
      </c>
      <c r="I21" s="281">
        <f>+I19+I20</f>
        <v>324.99281999999999</v>
      </c>
      <c r="K21" s="281">
        <f>+K19+K20</f>
        <v>1369.2396759999999</v>
      </c>
    </row>
    <row r="23" spans="1:17" ht="13.15" customHeight="1">
      <c r="A23" s="282" t="s">
        <v>384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08"/>
      <c r="M23" s="508"/>
    </row>
    <row r="24" spans="1:17">
      <c r="B24" s="273" t="s">
        <v>385</v>
      </c>
      <c r="E24" s="275" t="s">
        <v>386</v>
      </c>
      <c r="G24" s="275" t="s">
        <v>386</v>
      </c>
      <c r="I24" s="275" t="s">
        <v>386</v>
      </c>
      <c r="K24" s="275" t="s">
        <v>386</v>
      </c>
    </row>
    <row r="26" spans="1:17">
      <c r="B26" s="273" t="s">
        <v>387</v>
      </c>
      <c r="E26" s="280">
        <v>0.8</v>
      </c>
      <c r="G26" s="280">
        <v>9.5</v>
      </c>
      <c r="I26" s="280">
        <f>4615/1000000</f>
        <v>4.6150000000000002E-3</v>
      </c>
      <c r="K26" s="280">
        <v>0</v>
      </c>
    </row>
    <row r="27" spans="1:17">
      <c r="B27" s="273" t="s">
        <v>388</v>
      </c>
      <c r="E27" s="283">
        <v>58.45</v>
      </c>
      <c r="G27" s="283">
        <v>208.72</v>
      </c>
      <c r="I27" s="283">
        <v>62.91</v>
      </c>
      <c r="K27" s="283">
        <v>14.76</v>
      </c>
    </row>
    <row r="28" spans="1:17" outlineLevel="1">
      <c r="B28" s="273" t="s">
        <v>389</v>
      </c>
      <c r="E28" s="281">
        <f>+IF(E$11&gt;E27,E26,0)</f>
        <v>0.8</v>
      </c>
      <c r="G28" s="281">
        <f>+IF(G$11&gt;G27,G26,0)</f>
        <v>9.5</v>
      </c>
      <c r="I28" s="281">
        <f>+IF(I$11&gt;I27,I26,0)</f>
        <v>4.6150000000000002E-3</v>
      </c>
      <c r="K28" s="281">
        <f>+IF(K$11&gt;K27,K26,0)</f>
        <v>0</v>
      </c>
    </row>
    <row r="29" spans="1:17" outlineLevel="1">
      <c r="B29" s="273" t="s">
        <v>390</v>
      </c>
      <c r="E29" s="284">
        <f>+E28*E27</f>
        <v>46.760000000000005</v>
      </c>
      <c r="G29" s="284">
        <f>+G28*G27</f>
        <v>1982.84</v>
      </c>
      <c r="I29" s="322">
        <f>+I28*I27</f>
        <v>0.29032964999999999</v>
      </c>
      <c r="K29" s="284">
        <f>+K28*K27</f>
        <v>0</v>
      </c>
    </row>
    <row r="31" spans="1:17" outlineLevel="1">
      <c r="B31" s="273" t="s">
        <v>391</v>
      </c>
      <c r="E31" s="280"/>
      <c r="G31" s="280"/>
      <c r="I31" s="280"/>
      <c r="K31" s="280"/>
    </row>
    <row r="32" spans="1:17" outlineLevel="1">
      <c r="B32" s="273" t="s">
        <v>388</v>
      </c>
      <c r="E32" s="283"/>
      <c r="G32" s="283"/>
      <c r="I32" s="283"/>
      <c r="K32" s="283"/>
    </row>
    <row r="33" spans="1:11" outlineLevel="1">
      <c r="B33" s="273" t="s">
        <v>389</v>
      </c>
      <c r="E33" s="281">
        <f>+IF(E$11&gt;E32,E31,0)</f>
        <v>0</v>
      </c>
      <c r="G33" s="281">
        <f>+IF(G$11&gt;G32,G31,0)</f>
        <v>0</v>
      </c>
      <c r="I33" s="281">
        <f>+IF(I$11&gt;I32,I31,0)</f>
        <v>0</v>
      </c>
      <c r="K33" s="281">
        <f>+IF(K$11&gt;K32,K31,0)</f>
        <v>0</v>
      </c>
    </row>
    <row r="34" spans="1:11" outlineLevel="1">
      <c r="B34" s="273" t="s">
        <v>390</v>
      </c>
      <c r="E34" s="284">
        <f>+E33*E32</f>
        <v>0</v>
      </c>
      <c r="G34" s="284">
        <f>+G33*G32</f>
        <v>0</v>
      </c>
      <c r="I34" s="284">
        <f>+I33*I32</f>
        <v>0</v>
      </c>
      <c r="K34" s="284">
        <f>+K33*K32</f>
        <v>0</v>
      </c>
    </row>
    <row r="35" spans="1:11" outlineLevel="1" collapsed="1"/>
    <row r="36" spans="1:11" outlineLevel="1">
      <c r="B36" s="273" t="s">
        <v>392</v>
      </c>
      <c r="E36" s="280"/>
      <c r="G36" s="280"/>
      <c r="I36" s="280"/>
      <c r="K36" s="280"/>
    </row>
    <row r="37" spans="1:11" outlineLevel="1">
      <c r="B37" s="273" t="s">
        <v>388</v>
      </c>
      <c r="E37" s="283"/>
      <c r="G37" s="283"/>
      <c r="I37" s="283"/>
      <c r="K37" s="283"/>
    </row>
    <row r="38" spans="1:11" outlineLevel="1">
      <c r="B38" s="273" t="s">
        <v>389</v>
      </c>
      <c r="E38" s="281">
        <f>+IF(E$11&gt;E37,E36,0)</f>
        <v>0</v>
      </c>
      <c r="G38" s="281">
        <f>+IF(G$11&gt;G37,G36,0)</f>
        <v>0</v>
      </c>
      <c r="I38" s="281">
        <f>+IF(I$11&gt;I37,I36,0)</f>
        <v>0</v>
      </c>
      <c r="K38" s="281">
        <f>+IF(K$11&gt;K37,K36,0)</f>
        <v>0</v>
      </c>
    </row>
    <row r="39" spans="1:11" outlineLevel="1">
      <c r="B39" s="273" t="s">
        <v>390</v>
      </c>
      <c r="E39" s="284">
        <f>+E38*E37</f>
        <v>0</v>
      </c>
      <c r="G39" s="284">
        <f>+G38*G37</f>
        <v>0</v>
      </c>
      <c r="I39" s="284">
        <f>+I38*I37</f>
        <v>0</v>
      </c>
      <c r="K39" s="284">
        <f>+K38*K37</f>
        <v>0</v>
      </c>
    </row>
    <row r="41" spans="1:11">
      <c r="B41" s="13" t="s">
        <v>393</v>
      </c>
      <c r="C41" s="13"/>
      <c r="D41" s="13"/>
      <c r="E41" s="285">
        <f t="shared" ref="E41:K41" si="0">+SUM(E28,E33,E38)</f>
        <v>0.8</v>
      </c>
      <c r="F41" s="285">
        <f t="shared" si="0"/>
        <v>0</v>
      </c>
      <c r="G41" s="285">
        <f t="shared" si="0"/>
        <v>9.5</v>
      </c>
      <c r="H41" s="285">
        <f t="shared" si="0"/>
        <v>0</v>
      </c>
      <c r="I41" s="285">
        <f t="shared" si="0"/>
        <v>4.6150000000000002E-3</v>
      </c>
      <c r="J41" s="285">
        <f t="shared" si="0"/>
        <v>0</v>
      </c>
      <c r="K41" s="285">
        <f t="shared" si="0"/>
        <v>0</v>
      </c>
    </row>
    <row r="42" spans="1:11">
      <c r="B42" s="13" t="s">
        <v>394</v>
      </c>
      <c r="E42" s="304">
        <f t="shared" ref="E42:K42" si="1">+SUM(E29,E34)</f>
        <v>46.760000000000005</v>
      </c>
      <c r="F42" s="304">
        <f t="shared" si="1"/>
        <v>0</v>
      </c>
      <c r="G42" s="304">
        <f t="shared" si="1"/>
        <v>1982.84</v>
      </c>
      <c r="H42" s="304">
        <f t="shared" si="1"/>
        <v>0</v>
      </c>
      <c r="I42" s="304">
        <f t="shared" si="1"/>
        <v>0.29032964999999999</v>
      </c>
      <c r="J42" s="304">
        <f t="shared" si="1"/>
        <v>0</v>
      </c>
      <c r="K42" s="304">
        <f t="shared" si="1"/>
        <v>0</v>
      </c>
    </row>
    <row r="43" spans="1:11">
      <c r="B43" s="13" t="s">
        <v>395</v>
      </c>
      <c r="C43" s="13"/>
      <c r="D43" s="13"/>
      <c r="E43" s="285">
        <f>IFERROR(E42/E$11,0)</f>
        <v>0.48171422684660564</v>
      </c>
      <c r="G43" s="285">
        <f>IFERROR(G42/G$11,0)</f>
        <v>6.4917496071241487</v>
      </c>
      <c r="I43" s="285">
        <f>IFERROR(I42/I$11,0)</f>
        <v>4.333278358208955E-3</v>
      </c>
      <c r="K43" s="285">
        <f>IFERROR(K42/K$11,0)</f>
        <v>0</v>
      </c>
    </row>
    <row r="44" spans="1:11">
      <c r="B44" s="13" t="s">
        <v>396</v>
      </c>
      <c r="C44" s="13"/>
      <c r="D44" s="13"/>
      <c r="E44" s="287">
        <f>+E41-E43</f>
        <v>0.3182857731533944</v>
      </c>
      <c r="G44" s="287">
        <f>+G41-G43</f>
        <v>3.0082503928758513</v>
      </c>
      <c r="I44" s="323">
        <f>+I41-I43</f>
        <v>2.8172164179104519E-4</v>
      </c>
      <c r="K44" s="287">
        <f>+K41-K43</f>
        <v>0</v>
      </c>
    </row>
    <row r="46" spans="1:11">
      <c r="A46" s="13" t="s">
        <v>397</v>
      </c>
    </row>
    <row r="47" spans="1:11">
      <c r="B47" s="273" t="s">
        <v>398</v>
      </c>
      <c r="E47" s="280">
        <v>0</v>
      </c>
      <c r="G47" s="280">
        <v>0</v>
      </c>
      <c r="I47" s="280">
        <v>12.79</v>
      </c>
      <c r="K47" s="280">
        <v>0</v>
      </c>
    </row>
    <row r="48" spans="1:11">
      <c r="B48" s="273" t="s">
        <v>388</v>
      </c>
      <c r="E48" s="283">
        <v>0</v>
      </c>
      <c r="G48" s="283">
        <v>0</v>
      </c>
      <c r="I48" s="283">
        <v>62.91</v>
      </c>
      <c r="K48" s="283">
        <v>0</v>
      </c>
    </row>
    <row r="49" spans="1:11">
      <c r="B49" s="273" t="s">
        <v>399</v>
      </c>
      <c r="E49" s="281">
        <f>+IF(E$11&gt;E48,E47,0)</f>
        <v>0</v>
      </c>
      <c r="G49" s="281">
        <f>+IF(G$11&gt;G48,G47,0)</f>
        <v>0</v>
      </c>
      <c r="I49" s="281">
        <f>+IF(I$11&gt;I48,I47,0)</f>
        <v>12.79</v>
      </c>
      <c r="K49" s="281">
        <f>+IF(K$11&gt;K48,K47,0)</f>
        <v>0</v>
      </c>
    </row>
    <row r="50" spans="1:11">
      <c r="B50" s="273" t="s">
        <v>400</v>
      </c>
      <c r="E50" s="284">
        <f>+E49*E48</f>
        <v>0</v>
      </c>
      <c r="G50" s="284">
        <f>+G49*G48</f>
        <v>0</v>
      </c>
      <c r="I50" s="284">
        <f>+I49*I48</f>
        <v>804.61889999999994</v>
      </c>
      <c r="K50" s="284">
        <f>+K49*K48</f>
        <v>0</v>
      </c>
    </row>
    <row r="52" spans="1:11">
      <c r="B52" s="273" t="s">
        <v>401</v>
      </c>
      <c r="E52" s="280"/>
      <c r="G52" s="280"/>
      <c r="I52" s="280"/>
      <c r="K52" s="280"/>
    </row>
    <row r="53" spans="1:11">
      <c r="B53" s="273" t="s">
        <v>388</v>
      </c>
      <c r="E53" s="283"/>
      <c r="G53" s="283"/>
      <c r="I53" s="283"/>
      <c r="K53" s="283"/>
    </row>
    <row r="54" spans="1:11">
      <c r="B54" s="273" t="s">
        <v>399</v>
      </c>
      <c r="E54" s="281">
        <f>+IF(E$11&gt;E53,E52,0)</f>
        <v>0</v>
      </c>
      <c r="G54" s="281">
        <f>+IF(G$11&gt;G53,G52,0)</f>
        <v>0</v>
      </c>
      <c r="I54" s="281">
        <f>+IF(I$11&gt;I53,I52,0)</f>
        <v>0</v>
      </c>
      <c r="K54" s="281">
        <f>+IF(K$11&gt;K53,K52,0)</f>
        <v>0</v>
      </c>
    </row>
    <row r="55" spans="1:11">
      <c r="B55" s="273" t="s">
        <v>400</v>
      </c>
      <c r="E55" s="284">
        <f>+E54*E53</f>
        <v>0</v>
      </c>
      <c r="G55" s="284">
        <f>+G54*G53</f>
        <v>0</v>
      </c>
      <c r="I55" s="284">
        <f>+I54*I53</f>
        <v>0</v>
      </c>
      <c r="K55" s="284">
        <f>+K54*K53</f>
        <v>0</v>
      </c>
    </row>
    <row r="57" spans="1:11">
      <c r="B57" s="13" t="s">
        <v>402</v>
      </c>
      <c r="C57" s="13"/>
      <c r="D57" s="13"/>
      <c r="E57" s="285">
        <f>+SUM(E49,E54)</f>
        <v>0</v>
      </c>
      <c r="G57" s="285">
        <f>+SUM(G49,G54)</f>
        <v>0</v>
      </c>
      <c r="I57" s="285">
        <f>+SUM(I49,I54)</f>
        <v>12.79</v>
      </c>
      <c r="K57" s="285">
        <f>+SUM(K49,K54)</f>
        <v>0</v>
      </c>
    </row>
    <row r="58" spans="1:11">
      <c r="B58" s="13" t="s">
        <v>403</v>
      </c>
      <c r="E58" s="286">
        <f>+SUM(E50,E55)</f>
        <v>0</v>
      </c>
      <c r="G58" s="286">
        <f>+SUM(G50,G55)</f>
        <v>0</v>
      </c>
      <c r="I58" s="286">
        <f>+SUM(I50,I55)</f>
        <v>804.61889999999994</v>
      </c>
      <c r="K58" s="286">
        <f>+SUM(K50,K55)</f>
        <v>0</v>
      </c>
    </row>
    <row r="59" spans="1:11">
      <c r="B59" s="13" t="s">
        <v>395</v>
      </c>
      <c r="C59" s="13"/>
      <c r="D59" s="13"/>
      <c r="E59" s="285">
        <f>IFERROR(E58/E$11,0)</f>
        <v>0</v>
      </c>
      <c r="G59" s="285">
        <f>IFERROR(G58/G$11,0)</f>
        <v>0</v>
      </c>
      <c r="I59" s="285">
        <f>IFERROR(I58/I$11,0)</f>
        <v>12.009237313432834</v>
      </c>
      <c r="K59" s="285">
        <f>IFERROR(K58/K$11,0)</f>
        <v>0</v>
      </c>
    </row>
    <row r="60" spans="1:11">
      <c r="B60" s="13" t="s">
        <v>404</v>
      </c>
      <c r="C60" s="13"/>
      <c r="D60" s="13"/>
      <c r="E60" s="287">
        <f>+E57-E59</f>
        <v>0</v>
      </c>
      <c r="G60" s="287">
        <f>+G57-G59</f>
        <v>0</v>
      </c>
      <c r="I60" s="287">
        <f>+I57-I59</f>
        <v>0.78076268656716508</v>
      </c>
      <c r="K60" s="287">
        <f>+K57-K59</f>
        <v>0</v>
      </c>
    </row>
    <row r="62" spans="1:11">
      <c r="A62" s="13" t="s">
        <v>405</v>
      </c>
    </row>
    <row r="63" spans="1:11">
      <c r="B63" s="273" t="s">
        <v>406</v>
      </c>
      <c r="E63" s="288">
        <v>0</v>
      </c>
      <c r="G63" s="288">
        <v>0</v>
      </c>
      <c r="I63" s="288">
        <v>0</v>
      </c>
      <c r="K63" s="288">
        <v>0</v>
      </c>
    </row>
    <row r="64" spans="1:11">
      <c r="B64" s="273" t="s">
        <v>407</v>
      </c>
      <c r="E64" s="288">
        <v>0</v>
      </c>
      <c r="G64" s="288">
        <v>0</v>
      </c>
      <c r="I64" s="288">
        <v>0</v>
      </c>
      <c r="K64" s="288">
        <v>0</v>
      </c>
    </row>
    <row r="66" spans="1:14">
      <c r="B66" s="13" t="s">
        <v>408</v>
      </c>
      <c r="C66" s="71"/>
      <c r="E66" s="287">
        <f>+E21+E44+E60+E63+E64</f>
        <v>1145.8182857731533</v>
      </c>
      <c r="G66" s="287">
        <f>+G21+G44+G60+G63+G64</f>
        <v>718.66938939287593</v>
      </c>
      <c r="I66" s="287">
        <f>+I21+I44+I60+I63+I64</f>
        <v>325.77386440820896</v>
      </c>
      <c r="K66" s="287">
        <f>+K21+K44+K60+K63+K64</f>
        <v>1369.2396759999999</v>
      </c>
    </row>
    <row r="67" spans="1:14" ht="15.75" thickBot="1">
      <c r="A67" s="497"/>
      <c r="B67" s="497"/>
      <c r="C67" s="497"/>
      <c r="D67" s="497"/>
      <c r="E67" s="497"/>
      <c r="F67" s="497"/>
      <c r="G67" s="497"/>
      <c r="H67" s="497"/>
      <c r="I67" s="497"/>
      <c r="J67" s="497"/>
      <c r="K67" s="497"/>
    </row>
    <row r="68" spans="1:14" s="500" customFormat="1" ht="15.75" thickBot="1">
      <c r="A68" s="501" t="s">
        <v>409</v>
      </c>
      <c r="B68" s="501"/>
      <c r="C68" s="501"/>
      <c r="D68" s="501"/>
      <c r="E68" s="501"/>
      <c r="F68" s="501"/>
      <c r="G68" s="501"/>
      <c r="H68" s="501"/>
      <c r="I68" s="501"/>
      <c r="J68" s="501"/>
      <c r="K68" s="501"/>
      <c r="L68" s="505"/>
      <c r="M68" s="505"/>
      <c r="N68" s="505"/>
    </row>
    <row r="69" spans="1:14" s="9" customFormat="1">
      <c r="B69" s="9" t="s">
        <v>289</v>
      </c>
      <c r="E69" s="278" t="s">
        <v>378</v>
      </c>
      <c r="G69" s="278" t="s">
        <v>379</v>
      </c>
      <c r="I69" s="278" t="s">
        <v>379</v>
      </c>
      <c r="K69" s="278" t="s">
        <v>379</v>
      </c>
      <c r="L69" s="507"/>
      <c r="M69" s="507"/>
      <c r="N69" s="458"/>
    </row>
    <row r="70" spans="1:14" s="9" customFormat="1">
      <c r="B70" s="9" t="s">
        <v>380</v>
      </c>
      <c r="E70" s="279">
        <f>+E13</f>
        <v>45655</v>
      </c>
      <c r="G70" s="279">
        <f>+G13</f>
        <v>45657</v>
      </c>
      <c r="I70" s="279">
        <f>+I13</f>
        <v>45657</v>
      </c>
      <c r="K70" s="279">
        <f>+K13</f>
        <v>45657</v>
      </c>
      <c r="L70" s="507"/>
      <c r="M70" s="507"/>
      <c r="N70" s="458"/>
    </row>
    <row r="72" spans="1:14">
      <c r="B72" s="289" t="s">
        <v>410</v>
      </c>
      <c r="E72" s="290">
        <v>3671.4</v>
      </c>
      <c r="G72" s="290">
        <v>1085</v>
      </c>
      <c r="I72" s="290">
        <v>1334</v>
      </c>
      <c r="K72" s="290">
        <f>80+510</f>
        <v>590</v>
      </c>
    </row>
    <row r="73" spans="1:14">
      <c r="B73" s="289" t="s">
        <v>411</v>
      </c>
      <c r="E73" s="290">
        <v>285.8</v>
      </c>
      <c r="G73" s="290">
        <v>0</v>
      </c>
      <c r="I73" s="290">
        <v>0</v>
      </c>
      <c r="K73" s="290">
        <v>0</v>
      </c>
    </row>
    <row r="74" spans="1:14">
      <c r="B74" s="289" t="s">
        <v>412</v>
      </c>
      <c r="E74" s="290">
        <v>227.3</v>
      </c>
      <c r="G74" s="290">
        <v>0</v>
      </c>
      <c r="I74" s="290">
        <v>0</v>
      </c>
      <c r="K74" s="290">
        <v>0</v>
      </c>
    </row>
    <row r="75" spans="1:14" s="13" customFormat="1">
      <c r="B75" s="13" t="s">
        <v>413</v>
      </c>
      <c r="E75" s="291">
        <f>+SUM(E72:E74)</f>
        <v>4184.5</v>
      </c>
      <c r="G75" s="291">
        <f>+SUM(G72:G74)</f>
        <v>1085</v>
      </c>
      <c r="I75" s="291">
        <f>+SUM(I72:I74)</f>
        <v>1334</v>
      </c>
      <c r="K75" s="291">
        <f>+SUM(K72:K74)</f>
        <v>590</v>
      </c>
      <c r="L75" s="509"/>
      <c r="M75" s="509"/>
      <c r="N75" s="431"/>
    </row>
    <row r="76" spans="1:14">
      <c r="B76" s="289" t="s">
        <v>414</v>
      </c>
      <c r="E76" s="290">
        <v>1241.5</v>
      </c>
      <c r="G76" s="290">
        <v>2383</v>
      </c>
      <c r="I76" s="290">
        <v>698</v>
      </c>
      <c r="K76" s="290">
        <v>1502</v>
      </c>
    </row>
    <row r="77" spans="1:14">
      <c r="B77" s="289" t="s">
        <v>415</v>
      </c>
      <c r="E77" s="290">
        <v>1731.6</v>
      </c>
      <c r="G77" s="290">
        <v>56</v>
      </c>
      <c r="I77" s="290">
        <v>142</v>
      </c>
      <c r="K77" s="290">
        <v>1299</v>
      </c>
    </row>
    <row r="78" spans="1:14">
      <c r="B78" s="289" t="s">
        <v>545</v>
      </c>
      <c r="E78" s="290">
        <v>354.4</v>
      </c>
      <c r="G78" s="290">
        <v>1074</v>
      </c>
      <c r="I78" s="290">
        <v>108</v>
      </c>
      <c r="K78" s="290">
        <v>606</v>
      </c>
    </row>
    <row r="79" spans="1:14">
      <c r="B79" s="289" t="s">
        <v>416</v>
      </c>
      <c r="E79" s="290">
        <f>3287.9+170.5</f>
        <v>3458.4</v>
      </c>
      <c r="G79" s="290">
        <v>3145</v>
      </c>
      <c r="I79" s="290">
        <f>5986+10922</f>
        <v>16908</v>
      </c>
      <c r="K79" s="324">
        <f>20053+23634</f>
        <v>43687</v>
      </c>
    </row>
    <row r="80" spans="1:14">
      <c r="B80" s="289" t="s">
        <v>417</v>
      </c>
      <c r="E80" s="290">
        <v>449.3</v>
      </c>
      <c r="G80" s="290">
        <v>2710</v>
      </c>
      <c r="I80" s="290">
        <v>0</v>
      </c>
      <c r="K80" s="290">
        <v>1543</v>
      </c>
    </row>
    <row r="81" spans="2:16" ht="13.15" customHeight="1">
      <c r="B81" s="289" t="s">
        <v>418</v>
      </c>
      <c r="E81" s="290">
        <v>8683.5</v>
      </c>
      <c r="G81" s="290">
        <v>25295</v>
      </c>
      <c r="I81" s="290">
        <v>2236</v>
      </c>
      <c r="K81" s="290">
        <v>2964</v>
      </c>
    </row>
    <row r="82" spans="2:16" ht="13.15" customHeight="1">
      <c r="B82" s="289" t="s">
        <v>572</v>
      </c>
      <c r="E82" s="290">
        <v>9358.1</v>
      </c>
      <c r="G82" s="290">
        <v>13339</v>
      </c>
      <c r="I82" s="290">
        <v>1852</v>
      </c>
      <c r="K82" s="290">
        <v>1200</v>
      </c>
    </row>
    <row r="83" spans="2:16" ht="13.15" customHeight="1">
      <c r="B83" s="289" t="s">
        <v>419</v>
      </c>
      <c r="E83" s="290">
        <f xml:space="preserve"> 708.8+1723</f>
        <v>2431.8000000000002</v>
      </c>
      <c r="G83" s="290">
        <v>6095</v>
      </c>
      <c r="I83" s="290">
        <v>1354</v>
      </c>
      <c r="K83" s="290">
        <v>39</v>
      </c>
    </row>
    <row r="84" spans="2:16">
      <c r="E84" s="292"/>
      <c r="G84" s="292"/>
      <c r="I84" s="292"/>
      <c r="K84" s="292"/>
    </row>
    <row r="85" spans="2:16">
      <c r="B85" s="289" t="s">
        <v>420</v>
      </c>
      <c r="E85" s="290">
        <v>0</v>
      </c>
      <c r="G85" s="290">
        <v>0</v>
      </c>
      <c r="I85" s="290">
        <v>0</v>
      </c>
      <c r="K85" s="290">
        <v>0</v>
      </c>
      <c r="P85" s="32"/>
    </row>
    <row r="86" spans="2:16">
      <c r="B86" s="289" t="s">
        <v>421</v>
      </c>
      <c r="E86" s="290">
        <v>1249.2</v>
      </c>
      <c r="G86" s="290">
        <v>0</v>
      </c>
      <c r="I86" s="290">
        <v>222</v>
      </c>
      <c r="K86" s="290">
        <v>0</v>
      </c>
      <c r="P86" s="32"/>
    </row>
    <row r="87" spans="2:16">
      <c r="B87" s="289" t="s">
        <v>422</v>
      </c>
      <c r="E87" s="290">
        <v>1453.3</v>
      </c>
      <c r="G87" s="290">
        <v>0</v>
      </c>
      <c r="I87" s="290">
        <v>0</v>
      </c>
      <c r="K87" s="290">
        <v>0</v>
      </c>
      <c r="P87" s="318"/>
    </row>
    <row r="88" spans="2:16">
      <c r="B88" s="289" t="s">
        <v>423</v>
      </c>
      <c r="E88" s="290">
        <v>0</v>
      </c>
      <c r="G88" s="290">
        <v>0</v>
      </c>
      <c r="I88" s="290">
        <v>0</v>
      </c>
      <c r="K88" s="290">
        <v>2642</v>
      </c>
    </row>
    <row r="89" spans="2:16" s="13" customFormat="1">
      <c r="B89" s="13" t="s">
        <v>424</v>
      </c>
      <c r="E89" s="291">
        <f>+SUM(E85:E88)</f>
        <v>2702.5</v>
      </c>
      <c r="G89" s="291">
        <f>+SUM(G85:G88)</f>
        <v>0</v>
      </c>
      <c r="I89" s="291">
        <f>+SUM(I85:I88)</f>
        <v>222</v>
      </c>
      <c r="K89" s="291">
        <f>+SUM(K85:K88)</f>
        <v>2642</v>
      </c>
      <c r="L89" s="509"/>
      <c r="M89" s="509"/>
      <c r="N89" s="431"/>
    </row>
    <row r="90" spans="2:16">
      <c r="B90" s="289" t="s">
        <v>425</v>
      </c>
      <c r="E90" s="290">
        <v>14312.2</v>
      </c>
      <c r="G90" s="290">
        <v>38424</v>
      </c>
      <c r="I90" s="290">
        <v>13455</v>
      </c>
      <c r="K90" s="290">
        <v>12912</v>
      </c>
    </row>
    <row r="91" spans="2:16">
      <c r="B91" s="289" t="s">
        <v>426</v>
      </c>
      <c r="E91" s="290">
        <v>8856.7999999999993</v>
      </c>
      <c r="G91" s="290">
        <v>0</v>
      </c>
      <c r="I91" s="290">
        <f>1770+286</f>
        <v>2056</v>
      </c>
      <c r="K91" s="290">
        <v>0</v>
      </c>
    </row>
    <row r="92" spans="2:16">
      <c r="B92" s="289" t="s">
        <v>427</v>
      </c>
      <c r="E92" s="290">
        <v>0</v>
      </c>
      <c r="G92" s="290">
        <v>0</v>
      </c>
      <c r="I92" s="290">
        <v>0</v>
      </c>
      <c r="K92" s="290">
        <v>0</v>
      </c>
    </row>
    <row r="93" spans="2:16" s="13" customFormat="1">
      <c r="B93" s="13" t="s">
        <v>428</v>
      </c>
      <c r="E93" s="291">
        <f>+SUM(E90:E92)</f>
        <v>23169</v>
      </c>
      <c r="G93" s="291">
        <f>+SUM(G90:G92)</f>
        <v>38424</v>
      </c>
      <c r="I93" s="291">
        <f>+SUM(I90:I92)</f>
        <v>15511</v>
      </c>
      <c r="K93" s="291">
        <f>+SUM(K90:K92)</f>
        <v>12912</v>
      </c>
      <c r="L93" s="509"/>
      <c r="M93" s="509"/>
      <c r="N93" s="431"/>
    </row>
    <row r="94" spans="2:16">
      <c r="E94" s="292"/>
      <c r="G94" s="292"/>
      <c r="I94" s="292"/>
      <c r="K94" s="292"/>
    </row>
    <row r="95" spans="2:16">
      <c r="B95" s="289" t="s">
        <v>429</v>
      </c>
      <c r="E95" s="290">
        <v>7.1</v>
      </c>
      <c r="G95" s="290">
        <v>0</v>
      </c>
      <c r="I95" s="290">
        <v>1733</v>
      </c>
      <c r="K95" s="290">
        <v>0</v>
      </c>
    </row>
    <row r="96" spans="2:16">
      <c r="B96" s="289" t="s">
        <v>430</v>
      </c>
      <c r="E96" s="290">
        <v>0</v>
      </c>
      <c r="G96" s="290">
        <v>0</v>
      </c>
      <c r="I96" s="290">
        <v>0</v>
      </c>
      <c r="K96" s="290">
        <v>0</v>
      </c>
    </row>
    <row r="97" spans="1:14" s="13" customFormat="1">
      <c r="B97" s="13" t="s">
        <v>431</v>
      </c>
      <c r="E97" s="293">
        <v>-7464.6</v>
      </c>
      <c r="G97" s="293">
        <v>-3797</v>
      </c>
      <c r="I97" s="293">
        <v>4843</v>
      </c>
      <c r="K97" s="293">
        <v>24243</v>
      </c>
      <c r="L97" s="509"/>
      <c r="M97" s="509"/>
      <c r="N97" s="431"/>
    </row>
    <row r="98" spans="1:14" ht="15.75" thickBot="1">
      <c r="A98" s="497"/>
      <c r="B98" s="497"/>
      <c r="C98" s="497"/>
      <c r="D98" s="497"/>
      <c r="E98" s="497"/>
      <c r="F98" s="497"/>
      <c r="G98" s="497"/>
      <c r="H98" s="497"/>
      <c r="I98" s="497"/>
      <c r="J98" s="497"/>
      <c r="K98" s="497"/>
    </row>
    <row r="99" spans="1:14" s="500" customFormat="1" ht="15.75" thickBot="1">
      <c r="A99" s="501" t="s">
        <v>432</v>
      </c>
      <c r="B99" s="501"/>
      <c r="C99" s="501"/>
      <c r="D99" s="501"/>
      <c r="E99" s="501"/>
      <c r="F99" s="501"/>
      <c r="G99" s="501"/>
      <c r="H99" s="501"/>
      <c r="I99" s="501"/>
      <c r="J99" s="501"/>
      <c r="K99" s="501"/>
      <c r="L99" s="505"/>
      <c r="M99" s="505"/>
      <c r="N99" s="505"/>
    </row>
    <row r="101" spans="1:14" ht="13.15" customHeight="1">
      <c r="B101" s="289" t="s">
        <v>433</v>
      </c>
      <c r="C101" s="71" t="s">
        <v>434</v>
      </c>
      <c r="E101" s="511">
        <f>+E11</f>
        <v>97.07</v>
      </c>
      <c r="F101" s="80"/>
      <c r="G101" s="511">
        <f>+G11</f>
        <v>305.44</v>
      </c>
      <c r="H101" s="80"/>
      <c r="I101" s="511">
        <f>+I11</f>
        <v>67</v>
      </c>
      <c r="J101" s="80"/>
      <c r="K101" s="511">
        <f>+K11</f>
        <v>33.32</v>
      </c>
    </row>
    <row r="102" spans="1:14" ht="13.15" customHeight="1">
      <c r="B102" s="289" t="s">
        <v>408</v>
      </c>
      <c r="C102" s="71" t="s">
        <v>435</v>
      </c>
      <c r="E102" s="375">
        <f>+E66</f>
        <v>1145.8182857731533</v>
      </c>
      <c r="F102" s="80"/>
      <c r="G102" s="375">
        <f>+G66</f>
        <v>718.66938939287593</v>
      </c>
      <c r="H102" s="80"/>
      <c r="I102" s="375">
        <f>+I66</f>
        <v>325.77386440820896</v>
      </c>
      <c r="J102" s="80"/>
      <c r="K102" s="375">
        <f>+K66</f>
        <v>1369.2396759999999</v>
      </c>
    </row>
    <row r="103" spans="1:14" s="13" customFormat="1">
      <c r="B103" s="13" t="s">
        <v>436</v>
      </c>
      <c r="C103" s="71" t="s">
        <v>437</v>
      </c>
      <c r="E103" s="294">
        <f>+E101*E102</f>
        <v>111224.58099999999</v>
      </c>
      <c r="G103" s="294">
        <f>+G101*G102</f>
        <v>219510.37829616002</v>
      </c>
      <c r="I103" s="294">
        <f>+I101*I102</f>
        <v>21826.848915350001</v>
      </c>
      <c r="K103" s="294">
        <f>+K101*K102</f>
        <v>45623.066004319997</v>
      </c>
      <c r="L103" s="509"/>
      <c r="M103" s="509"/>
      <c r="N103" s="431"/>
    </row>
    <row r="105" spans="1:14">
      <c r="B105" s="289" t="s">
        <v>438</v>
      </c>
      <c r="C105" s="71" t="s">
        <v>439</v>
      </c>
      <c r="E105" s="295">
        <f>+E89+E93</f>
        <v>25871.5</v>
      </c>
      <c r="G105" s="295">
        <f>+G89+G93</f>
        <v>38424</v>
      </c>
      <c r="I105" s="295">
        <f>+I89+I93</f>
        <v>15733</v>
      </c>
      <c r="K105" s="295">
        <f>+K89+K93</f>
        <v>15554</v>
      </c>
    </row>
    <row r="106" spans="1:14" ht="13.15" customHeight="1">
      <c r="B106" s="289" t="s">
        <v>440</v>
      </c>
      <c r="C106" s="71" t="s">
        <v>441</v>
      </c>
      <c r="E106" s="292">
        <f>+E95</f>
        <v>7.1</v>
      </c>
      <c r="G106" s="295">
        <f>+G95</f>
        <v>0</v>
      </c>
      <c r="I106" s="295">
        <f>+I95</f>
        <v>1733</v>
      </c>
      <c r="K106" s="295">
        <f>+K95</f>
        <v>0</v>
      </c>
    </row>
    <row r="107" spans="1:14">
      <c r="B107" s="289" t="s">
        <v>430</v>
      </c>
      <c r="C107" s="71" t="s">
        <v>442</v>
      </c>
      <c r="E107" s="295">
        <f>+E96</f>
        <v>0</v>
      </c>
      <c r="G107" s="295">
        <f>+G96</f>
        <v>0</v>
      </c>
      <c r="I107" s="295">
        <f>+I96</f>
        <v>0</v>
      </c>
      <c r="K107" s="295">
        <f>+K96</f>
        <v>0</v>
      </c>
    </row>
    <row r="108" spans="1:14">
      <c r="B108" s="289" t="s">
        <v>413</v>
      </c>
      <c r="C108" s="71" t="s">
        <v>443</v>
      </c>
      <c r="E108" s="292">
        <f>-E75</f>
        <v>-4184.5</v>
      </c>
      <c r="G108" s="292">
        <f>-G75</f>
        <v>-1085</v>
      </c>
      <c r="I108" s="292">
        <f>-I75</f>
        <v>-1334</v>
      </c>
      <c r="K108" s="292">
        <f>-K75</f>
        <v>-590</v>
      </c>
    </row>
    <row r="109" spans="1:14" s="13" customFormat="1">
      <c r="B109" s="13" t="s">
        <v>318</v>
      </c>
      <c r="C109" s="71" t="s">
        <v>444</v>
      </c>
      <c r="E109" s="296">
        <f>SUM(E105:E108)</f>
        <v>21694.1</v>
      </c>
      <c r="G109" s="296">
        <f>SUM(G105:G108)</f>
        <v>37339</v>
      </c>
      <c r="I109" s="296">
        <f>SUM(I105:I108)</f>
        <v>16132</v>
      </c>
      <c r="K109" s="296">
        <f>SUM(K105:K108)</f>
        <v>14964</v>
      </c>
      <c r="L109" s="509"/>
      <c r="M109" s="509"/>
      <c r="N109" s="431"/>
    </row>
    <row r="111" spans="1:14" s="13" customFormat="1">
      <c r="B111" s="13" t="s">
        <v>445</v>
      </c>
      <c r="C111" s="71" t="s">
        <v>446</v>
      </c>
      <c r="E111" s="286">
        <f>+E103+E109</f>
        <v>132918.68099999998</v>
      </c>
      <c r="G111" s="286">
        <f>+G103+G109</f>
        <v>256849.37829616002</v>
      </c>
      <c r="I111" s="286">
        <f>+I103+I109</f>
        <v>37958.848915349998</v>
      </c>
      <c r="K111" s="286">
        <f>+K103+K109</f>
        <v>60587.066004319997</v>
      </c>
      <c r="L111" s="509"/>
      <c r="M111" s="509"/>
      <c r="N111" s="431"/>
    </row>
    <row r="112" spans="1:14" ht="15.75" thickBot="1">
      <c r="A112" s="497"/>
      <c r="B112" s="497"/>
      <c r="C112" s="497"/>
      <c r="D112" s="497"/>
      <c r="E112" s="497"/>
      <c r="F112" s="497"/>
      <c r="G112" s="497"/>
      <c r="H112" s="497"/>
      <c r="I112" s="497"/>
      <c r="J112" s="497"/>
      <c r="K112" s="497"/>
    </row>
    <row r="113" spans="1:16" s="500" customFormat="1" ht="15.75" thickBot="1">
      <c r="A113" s="501" t="s">
        <v>447</v>
      </c>
      <c r="B113" s="501"/>
      <c r="C113" s="501"/>
      <c r="D113" s="501"/>
      <c r="E113" s="501"/>
      <c r="F113" s="501"/>
      <c r="G113" s="501"/>
      <c r="H113" s="501"/>
      <c r="I113" s="501"/>
      <c r="J113" s="501"/>
      <c r="K113" s="501"/>
      <c r="L113" s="505"/>
      <c r="M113" s="505"/>
      <c r="N113" s="505"/>
    </row>
    <row r="115" spans="1:16" s="13" customFormat="1" ht="13.15" customHeight="1">
      <c r="A115" s="297" t="s">
        <v>448</v>
      </c>
      <c r="B115" s="297"/>
      <c r="C115" s="297"/>
      <c r="D115" s="297"/>
      <c r="E115" s="297"/>
      <c r="F115" s="297"/>
      <c r="G115" s="297"/>
      <c r="H115" s="297"/>
      <c r="I115" s="297"/>
      <c r="J115" s="297"/>
      <c r="K115" s="297"/>
      <c r="L115" s="510"/>
      <c r="M115" s="510"/>
      <c r="N115" s="431"/>
    </row>
    <row r="116" spans="1:16" s="9" customFormat="1">
      <c r="B116" s="9" t="s">
        <v>289</v>
      </c>
      <c r="E116" s="278" t="s">
        <v>379</v>
      </c>
      <c r="G116" s="278" t="s">
        <v>379</v>
      </c>
      <c r="I116" s="278" t="s">
        <v>379</v>
      </c>
      <c r="K116" s="278" t="s">
        <v>379</v>
      </c>
      <c r="L116" s="507"/>
      <c r="M116" s="507"/>
      <c r="N116" s="458"/>
    </row>
    <row r="117" spans="1:16" s="9" customFormat="1">
      <c r="B117" s="9" t="s">
        <v>380</v>
      </c>
      <c r="E117" s="279">
        <f>+E12</f>
        <v>45564</v>
      </c>
      <c r="G117" s="279">
        <f>+G12</f>
        <v>45657</v>
      </c>
      <c r="I117" s="279">
        <f>+I12</f>
        <v>45657</v>
      </c>
      <c r="K117" s="279">
        <f>+K12</f>
        <v>45657</v>
      </c>
      <c r="L117" s="507"/>
      <c r="M117" s="507"/>
      <c r="N117" s="458"/>
      <c r="P117" s="32"/>
    </row>
    <row r="118" spans="1:16">
      <c r="P118" s="318"/>
    </row>
    <row r="119" spans="1:16" ht="13.15" customHeight="1">
      <c r="B119" s="273" t="s">
        <v>11</v>
      </c>
      <c r="E119" s="290">
        <v>36176.199999999997</v>
      </c>
      <c r="G119" s="290">
        <v>25920</v>
      </c>
      <c r="I119" s="290">
        <v>8406</v>
      </c>
      <c r="K119" s="290">
        <v>15351</v>
      </c>
    </row>
    <row r="120" spans="1:16">
      <c r="B120" s="273" t="s">
        <v>449</v>
      </c>
      <c r="E120" s="290">
        <v>-11180.6</v>
      </c>
      <c r="G120" s="290">
        <v>0</v>
      </c>
      <c r="I120" s="290">
        <v>0</v>
      </c>
      <c r="K120" s="290">
        <v>-6822</v>
      </c>
    </row>
    <row r="121" spans="1:16">
      <c r="B121" s="273" t="s">
        <v>450</v>
      </c>
      <c r="E121" s="298">
        <f>+E119+E120</f>
        <v>24995.599999999999</v>
      </c>
      <c r="G121" s="298">
        <f>+G119+G120</f>
        <v>25920</v>
      </c>
      <c r="I121" s="298">
        <f>+I119+I120</f>
        <v>8406</v>
      </c>
      <c r="K121" s="298">
        <f>+K119+K120</f>
        <v>8529</v>
      </c>
    </row>
    <row r="122" spans="1:16">
      <c r="B122" s="273" t="s">
        <v>451</v>
      </c>
      <c r="E122" s="290">
        <f>301.2-19888</f>
        <v>-19586.8</v>
      </c>
      <c r="G122" s="290">
        <v>-14208</v>
      </c>
      <c r="I122" s="290">
        <v>-5987</v>
      </c>
      <c r="K122" s="290">
        <f>-(5013+306+412+207)</f>
        <v>-5938</v>
      </c>
    </row>
    <row r="123" spans="1:16" s="13" customFormat="1">
      <c r="B123" s="13" t="s">
        <v>452</v>
      </c>
      <c r="E123" s="299">
        <f>+E121+E122</f>
        <v>5408.7999999999993</v>
      </c>
      <c r="F123" s="299">
        <f t="shared" ref="F123:K123" si="2">+F121+F122</f>
        <v>0</v>
      </c>
      <c r="G123" s="299">
        <f t="shared" si="2"/>
        <v>11712</v>
      </c>
      <c r="H123" s="299">
        <f t="shared" si="2"/>
        <v>0</v>
      </c>
      <c r="I123" s="299">
        <f t="shared" si="2"/>
        <v>2419</v>
      </c>
      <c r="J123" s="299">
        <f t="shared" si="2"/>
        <v>0</v>
      </c>
      <c r="K123" s="299">
        <f t="shared" si="2"/>
        <v>2591</v>
      </c>
      <c r="L123" s="509"/>
      <c r="M123" s="509"/>
      <c r="N123" s="431"/>
    </row>
    <row r="124" spans="1:16">
      <c r="B124" s="273" t="s">
        <v>453</v>
      </c>
      <c r="C124" s="28"/>
      <c r="E124" s="300">
        <f>122.8-562</f>
        <v>-439.2</v>
      </c>
      <c r="G124" s="300">
        <f>-1506+139</f>
        <v>-1367</v>
      </c>
      <c r="I124" s="300">
        <f>-577-33</f>
        <v>-610</v>
      </c>
      <c r="K124" s="300">
        <f>-735-2+60</f>
        <v>-677</v>
      </c>
    </row>
    <row r="125" spans="1:16">
      <c r="B125" s="273" t="s">
        <v>454</v>
      </c>
      <c r="C125" s="28"/>
      <c r="E125" s="301">
        <f>+E123+E124</f>
        <v>4969.5999999999995</v>
      </c>
      <c r="G125" s="301">
        <f>+G123+G124</f>
        <v>10345</v>
      </c>
      <c r="I125" s="301">
        <f>+I123+I124</f>
        <v>1809</v>
      </c>
      <c r="K125" s="301">
        <f>+K123+K124</f>
        <v>1914</v>
      </c>
    </row>
    <row r="126" spans="1:16">
      <c r="B126" s="273" t="s">
        <v>455</v>
      </c>
      <c r="C126"/>
      <c r="E126" s="290">
        <v>-1207.3</v>
      </c>
      <c r="G126" s="290">
        <v>-2121</v>
      </c>
      <c r="I126" s="290">
        <v>-364</v>
      </c>
      <c r="K126" s="290">
        <v>-473</v>
      </c>
    </row>
    <row r="127" spans="1:16" s="13" customFormat="1">
      <c r="B127" s="13" t="s">
        <v>456</v>
      </c>
      <c r="C127" s="81"/>
      <c r="E127" s="299">
        <f>+E125+E126</f>
        <v>3762.2999999999993</v>
      </c>
      <c r="G127" s="299">
        <f>+G125+G126</f>
        <v>8224</v>
      </c>
      <c r="I127" s="299">
        <f>+I125+I126</f>
        <v>1445</v>
      </c>
      <c r="K127" s="299">
        <f>+K125+K126</f>
        <v>1441</v>
      </c>
      <c r="L127" s="509"/>
      <c r="M127" s="509"/>
      <c r="N127" s="431"/>
    </row>
    <row r="128" spans="1:16">
      <c r="B128" s="273" t="s">
        <v>457</v>
      </c>
      <c r="E128" s="280">
        <v>1137.3</v>
      </c>
      <c r="G128" s="280">
        <v>721.9</v>
      </c>
      <c r="I128" s="280">
        <v>454</v>
      </c>
      <c r="K128" s="280">
        <v>1368.3</v>
      </c>
    </row>
    <row r="129" spans="1:14">
      <c r="B129" s="273" t="s">
        <v>458</v>
      </c>
      <c r="E129" s="290">
        <v>1512.6</v>
      </c>
      <c r="G129" s="290">
        <v>447</v>
      </c>
      <c r="I129" s="290">
        <v>264</v>
      </c>
      <c r="K129" s="290">
        <f>422+133+178</f>
        <v>733</v>
      </c>
    </row>
    <row r="131" spans="1:14" s="9" customFormat="1">
      <c r="B131" s="9" t="s">
        <v>459</v>
      </c>
      <c r="E131" s="302">
        <f>-(IFERROR(E126/E125,0))</f>
        <v>0.24293705730843532</v>
      </c>
      <c r="G131" s="302">
        <f>-(IFERROR(G126/G125,0))</f>
        <v>0.20502658289028516</v>
      </c>
      <c r="I131" s="302">
        <f>-(IFERROR(I126/I125,0))</f>
        <v>0.20121614151464898</v>
      </c>
      <c r="K131" s="302">
        <f>-(IFERROR(K126/K125,0))</f>
        <v>0.2471264367816092</v>
      </c>
      <c r="L131" s="507"/>
      <c r="M131" s="507"/>
      <c r="N131" s="458"/>
    </row>
    <row r="132" spans="1:14" s="9" customFormat="1">
      <c r="E132" s="302"/>
      <c r="G132" s="302"/>
      <c r="I132" s="302"/>
      <c r="K132" s="302"/>
      <c r="L132" s="507"/>
      <c r="M132" s="507"/>
      <c r="N132" s="458"/>
    </row>
    <row r="133" spans="1:14">
      <c r="B133" s="273" t="s">
        <v>460</v>
      </c>
      <c r="E133" s="290">
        <v>0</v>
      </c>
      <c r="G133" s="290">
        <v>291</v>
      </c>
      <c r="I133" s="290">
        <v>-17</v>
      </c>
      <c r="K133" s="290">
        <v>0</v>
      </c>
    </row>
    <row r="134" spans="1:14">
      <c r="B134" s="273" t="s">
        <v>461</v>
      </c>
      <c r="E134" s="290">
        <v>0</v>
      </c>
      <c r="G134" s="290">
        <v>236</v>
      </c>
      <c r="I134" s="290">
        <v>0</v>
      </c>
      <c r="K134" s="290">
        <v>0</v>
      </c>
    </row>
    <row r="135" spans="1:14">
      <c r="B135" s="273" t="s">
        <v>462</v>
      </c>
      <c r="E135" s="290">
        <v>0</v>
      </c>
      <c r="G135" s="290">
        <f>SUM(G133+G134)*G131</f>
        <v>108.04900918318027</v>
      </c>
      <c r="I135" s="290">
        <f>SUM(I133+I134)*I131</f>
        <v>-3.4206744057490326</v>
      </c>
      <c r="K135" s="290">
        <v>0</v>
      </c>
    </row>
    <row r="137" spans="1:14" s="13" customFormat="1">
      <c r="B137" s="13" t="s">
        <v>53</v>
      </c>
      <c r="E137" s="303">
        <f>+E138+E129</f>
        <v>6921.4</v>
      </c>
      <c r="G137" s="303">
        <f>+G138+G129</f>
        <v>12450</v>
      </c>
      <c r="I137" s="303">
        <f>+I138+I129</f>
        <v>2666</v>
      </c>
      <c r="K137" s="303">
        <f>+K138+K129</f>
        <v>3324</v>
      </c>
      <c r="L137" s="509"/>
      <c r="M137" s="509"/>
      <c r="N137" s="431"/>
    </row>
    <row r="138" spans="1:14" s="13" customFormat="1">
      <c r="B138" s="13" t="s">
        <v>463</v>
      </c>
      <c r="E138" s="303">
        <f>+E123+E133</f>
        <v>5408.7999999999993</v>
      </c>
      <c r="G138" s="303">
        <f>+G123+G133</f>
        <v>12003</v>
      </c>
      <c r="I138" s="303">
        <f>+I123+I133</f>
        <v>2402</v>
      </c>
      <c r="K138" s="303">
        <f>+K123+K133</f>
        <v>2591</v>
      </c>
      <c r="L138" s="509"/>
      <c r="M138" s="509"/>
      <c r="N138" s="431"/>
    </row>
    <row r="139" spans="1:14" s="13" customFormat="1">
      <c r="B139" s="13" t="s">
        <v>464</v>
      </c>
      <c r="E139" s="303">
        <f>+E127+E133+E134+E135</f>
        <v>3762.2999999999993</v>
      </c>
      <c r="G139" s="303">
        <f>+G127+G133+G134+G135</f>
        <v>8859.0490091831798</v>
      </c>
      <c r="I139" s="303">
        <f>+I127+I133+I134+I135</f>
        <v>1424.579325594251</v>
      </c>
      <c r="K139" s="303">
        <f>+K127+K133+K134+K135</f>
        <v>1441</v>
      </c>
      <c r="L139" s="509"/>
      <c r="M139" s="509"/>
      <c r="N139" s="506"/>
    </row>
    <row r="140" spans="1:14" s="13" customFormat="1" ht="13.15" customHeight="1">
      <c r="B140" s="13" t="s">
        <v>465</v>
      </c>
      <c r="E140" s="304">
        <f>+IFERROR(E139/E128,0)</f>
        <v>3.3080981271432335</v>
      </c>
      <c r="G140" s="304">
        <f>+IFERROR(G139/G128,0)</f>
        <v>12.271850684559052</v>
      </c>
      <c r="I140" s="304">
        <f>+IFERROR(I139/I128,0)</f>
        <v>3.1378399242164119</v>
      </c>
      <c r="K140" s="304">
        <f>+IFERROR(K139/K128,0)</f>
        <v>1.0531316231820507</v>
      </c>
      <c r="L140" s="509"/>
      <c r="M140" s="509"/>
      <c r="N140" s="431"/>
    </row>
    <row r="142" spans="1:14" s="13" customFormat="1" ht="13.15" customHeight="1">
      <c r="A142" s="297" t="s">
        <v>466</v>
      </c>
      <c r="B142" s="297"/>
      <c r="C142" s="297"/>
      <c r="D142" s="297"/>
      <c r="E142" s="297"/>
      <c r="F142" s="297"/>
      <c r="G142" s="297"/>
      <c r="H142" s="297"/>
      <c r="I142" s="297"/>
      <c r="J142" s="297"/>
      <c r="K142" s="297"/>
      <c r="L142" s="510"/>
      <c r="M142" s="510"/>
      <c r="N142" s="431"/>
    </row>
    <row r="143" spans="1:14" s="9" customFormat="1">
      <c r="B143" s="9" t="s">
        <v>289</v>
      </c>
      <c r="E143" s="278" t="s">
        <v>378</v>
      </c>
      <c r="G143" s="278" t="s">
        <v>524</v>
      </c>
      <c r="I143" s="278" t="s">
        <v>524</v>
      </c>
      <c r="K143" s="278" t="s">
        <v>524</v>
      </c>
      <c r="L143" s="507"/>
      <c r="M143" s="507"/>
      <c r="N143" s="458"/>
    </row>
    <row r="144" spans="1:14" s="9" customFormat="1">
      <c r="B144" s="9" t="s">
        <v>380</v>
      </c>
      <c r="E144" s="279">
        <f>+E13</f>
        <v>45655</v>
      </c>
      <c r="G144" s="279">
        <f>+G13</f>
        <v>45657</v>
      </c>
      <c r="I144" s="279">
        <f>+I13</f>
        <v>45657</v>
      </c>
      <c r="K144" s="279">
        <f>+K13</f>
        <v>45657</v>
      </c>
      <c r="L144" s="507"/>
      <c r="M144" s="507"/>
      <c r="N144" s="458"/>
    </row>
    <row r="145" spans="2:18" s="9" customFormat="1">
      <c r="L145" s="507"/>
      <c r="M145" s="507"/>
      <c r="N145" s="458"/>
    </row>
    <row r="146" spans="2:18">
      <c r="B146" s="273" t="s">
        <v>11</v>
      </c>
      <c r="E146" s="290">
        <v>9397.7999999999993</v>
      </c>
      <c r="G146" s="290"/>
      <c r="I146" s="290"/>
      <c r="K146" s="290"/>
    </row>
    <row r="147" spans="2:18">
      <c r="B147" s="273" t="s">
        <v>449</v>
      </c>
      <c r="E147" s="290">
        <v>-2893.7</v>
      </c>
      <c r="G147" s="290"/>
      <c r="I147" s="290"/>
      <c r="K147" s="290"/>
      <c r="R147" s="32"/>
    </row>
    <row r="148" spans="2:18">
      <c r="B148" s="273" t="s">
        <v>450</v>
      </c>
      <c r="E148" s="298">
        <f>+E146+E147</f>
        <v>6504.0999999999995</v>
      </c>
      <c r="G148" s="298">
        <f>+G146+G147</f>
        <v>0</v>
      </c>
      <c r="I148" s="298">
        <f>+I146+I147</f>
        <v>0</v>
      </c>
      <c r="K148" s="298">
        <f>+K146+K147</f>
        <v>0</v>
      </c>
      <c r="R148" s="318"/>
    </row>
    <row r="149" spans="2:18">
      <c r="B149" s="273" t="s">
        <v>451</v>
      </c>
      <c r="E149" s="290">
        <v>-5428.9</v>
      </c>
      <c r="G149" s="290"/>
      <c r="I149" s="290"/>
      <c r="K149" s="290"/>
      <c r="R149" s="318"/>
    </row>
    <row r="150" spans="2:18">
      <c r="B150" t="s">
        <v>159</v>
      </c>
      <c r="E150" s="290">
        <v>46.5</v>
      </c>
      <c r="G150" s="290"/>
      <c r="I150" s="290"/>
      <c r="K150" s="290"/>
      <c r="R150" s="318"/>
    </row>
    <row r="151" spans="2:18" s="13" customFormat="1">
      <c r="B151" s="13" t="s">
        <v>452</v>
      </c>
      <c r="E151" s="299">
        <f>+E148+E149+E150</f>
        <v>1121.6999999999998</v>
      </c>
      <c r="G151" s="299">
        <f>+G148+G149</f>
        <v>0</v>
      </c>
      <c r="I151" s="299">
        <f>+I148+I149</f>
        <v>0</v>
      </c>
      <c r="K151" s="299">
        <f>+K148+K149</f>
        <v>0</v>
      </c>
      <c r="L151" s="509"/>
      <c r="M151" s="509"/>
      <c r="N151" s="431"/>
    </row>
    <row r="152" spans="2:18">
      <c r="B152" s="273" t="s">
        <v>453</v>
      </c>
      <c r="E152" s="300">
        <f>27.8-127.2</f>
        <v>-99.4</v>
      </c>
      <c r="G152" s="300"/>
      <c r="I152" s="300"/>
      <c r="K152" s="300"/>
    </row>
    <row r="153" spans="2:18">
      <c r="B153" s="273" t="s">
        <v>454</v>
      </c>
      <c r="E153" s="301">
        <f>+E151+E152</f>
        <v>1022.2999999999998</v>
      </c>
      <c r="G153" s="301">
        <f>+G151+G152</f>
        <v>0</v>
      </c>
      <c r="I153" s="301">
        <f>+I151+I152</f>
        <v>0</v>
      </c>
      <c r="K153" s="301">
        <f>+K151+K152</f>
        <v>0</v>
      </c>
    </row>
    <row r="154" spans="2:18">
      <c r="B154" s="273" t="s">
        <v>455</v>
      </c>
      <c r="E154" s="290">
        <v>-241.4</v>
      </c>
      <c r="G154" s="290"/>
      <c r="I154" s="290"/>
      <c r="K154" s="290"/>
    </row>
    <row r="155" spans="2:18" s="13" customFormat="1">
      <c r="B155" s="13" t="s">
        <v>456</v>
      </c>
      <c r="E155" s="299">
        <f>+E153+E154</f>
        <v>780.89999999999986</v>
      </c>
      <c r="G155" s="299">
        <f>+G153+G154</f>
        <v>0</v>
      </c>
      <c r="I155" s="299">
        <f>+I153+I154</f>
        <v>0</v>
      </c>
      <c r="K155" s="299">
        <f>+K153+K154</f>
        <v>0</v>
      </c>
      <c r="L155" s="509"/>
      <c r="M155" s="509"/>
      <c r="N155" s="431"/>
    </row>
    <row r="156" spans="2:18">
      <c r="B156" s="273" t="s">
        <v>457</v>
      </c>
      <c r="E156" s="280">
        <v>1138.4000000000001</v>
      </c>
      <c r="G156" s="280"/>
      <c r="I156" s="280"/>
      <c r="K156" s="280"/>
    </row>
    <row r="157" spans="2:18">
      <c r="B157" s="273" t="s">
        <v>458</v>
      </c>
      <c r="E157" s="290">
        <v>407.6</v>
      </c>
      <c r="G157" s="290"/>
      <c r="I157" s="290"/>
      <c r="K157" s="290"/>
    </row>
    <row r="159" spans="2:18">
      <c r="B159" s="273" t="s">
        <v>460</v>
      </c>
      <c r="E159" s="290">
        <v>0</v>
      </c>
      <c r="G159" s="290"/>
      <c r="I159" s="290"/>
      <c r="K159" s="290"/>
    </row>
    <row r="160" spans="2:18">
      <c r="B160" s="273" t="s">
        <v>461</v>
      </c>
      <c r="E160" s="290">
        <v>0</v>
      </c>
      <c r="G160" s="290"/>
      <c r="I160" s="290"/>
      <c r="K160" s="290"/>
    </row>
    <row r="161" spans="1:14">
      <c r="B161" s="273" t="s">
        <v>462</v>
      </c>
      <c r="E161" s="290">
        <v>0</v>
      </c>
      <c r="G161" s="290"/>
      <c r="I161" s="290"/>
      <c r="K161" s="290"/>
    </row>
    <row r="162" spans="1:14" s="9" customFormat="1">
      <c r="B162" s="9" t="s">
        <v>459</v>
      </c>
      <c r="E162" s="302">
        <f>-(IFERROR(E154/E153,0))</f>
        <v>0.23613420717988853</v>
      </c>
      <c r="G162" s="302">
        <f>-(IFERROR(G154/G153,0))</f>
        <v>0</v>
      </c>
      <c r="I162" s="302">
        <f>-(IFERROR(I154/I153,0))</f>
        <v>0</v>
      </c>
      <c r="K162" s="302">
        <f>-(IFERROR(K154/K153,0))</f>
        <v>0</v>
      </c>
      <c r="L162" s="507"/>
      <c r="M162" s="507"/>
      <c r="N162" s="458"/>
    </row>
    <row r="164" spans="1:14" s="13" customFormat="1">
      <c r="B164" s="13" t="s">
        <v>53</v>
      </c>
      <c r="E164" s="303">
        <f>+E165+E157</f>
        <v>1529.2999999999997</v>
      </c>
      <c r="G164" s="303">
        <f>+G165+G157</f>
        <v>0</v>
      </c>
      <c r="I164" s="303">
        <f>+I165+I157</f>
        <v>0</v>
      </c>
      <c r="K164" s="303">
        <f>+K165+K157</f>
        <v>0</v>
      </c>
      <c r="L164" s="509"/>
      <c r="M164" s="509"/>
      <c r="N164" s="431"/>
    </row>
    <row r="165" spans="1:14" s="13" customFormat="1">
      <c r="B165" s="13" t="s">
        <v>463</v>
      </c>
      <c r="E165" s="303">
        <f>+E151+E159</f>
        <v>1121.6999999999998</v>
      </c>
      <c r="G165" s="303">
        <f>+G151+G159</f>
        <v>0</v>
      </c>
      <c r="I165" s="303">
        <f>+I151+I159</f>
        <v>0</v>
      </c>
      <c r="K165" s="303">
        <f>+K151+K159</f>
        <v>0</v>
      </c>
      <c r="L165" s="509"/>
      <c r="M165" s="509"/>
      <c r="N165" s="431"/>
    </row>
    <row r="166" spans="1:14" s="13" customFormat="1">
      <c r="B166" s="13" t="s">
        <v>464</v>
      </c>
      <c r="E166" s="303">
        <f>+E155+E159+E160+E161</f>
        <v>780.89999999999986</v>
      </c>
      <c r="G166" s="303">
        <f>+G155+G159+G160+G161</f>
        <v>0</v>
      </c>
      <c r="I166" s="303">
        <f>+I155+I159+I160+I161</f>
        <v>0</v>
      </c>
      <c r="K166" s="303">
        <f>+K155+K159+K160+K161</f>
        <v>0</v>
      </c>
      <c r="L166" s="509"/>
      <c r="M166" s="509"/>
      <c r="N166" s="431"/>
    </row>
    <row r="167" spans="1:14" s="13" customFormat="1" ht="13.15" customHeight="1">
      <c r="B167" s="13" t="s">
        <v>465</v>
      </c>
      <c r="E167" s="304">
        <f>+IFERROR(E166/E156,0)</f>
        <v>0.68596275474349944</v>
      </c>
      <c r="G167" s="304">
        <f>+IFERROR(G166/G156,0)</f>
        <v>0</v>
      </c>
      <c r="I167" s="304">
        <f>+IFERROR(I166/I156,0)</f>
        <v>0</v>
      </c>
      <c r="K167" s="304">
        <f>+IFERROR(K166/K156,0)</f>
        <v>0</v>
      </c>
      <c r="L167" s="509"/>
      <c r="M167" s="509"/>
      <c r="N167" s="431"/>
    </row>
    <row r="169" spans="1:14" s="13" customFormat="1" ht="13.15" customHeight="1">
      <c r="A169" s="297" t="s">
        <v>467</v>
      </c>
      <c r="B169" s="297"/>
      <c r="C169" s="297"/>
      <c r="D169" s="297"/>
      <c r="E169" s="297"/>
      <c r="F169" s="297"/>
      <c r="G169" s="297"/>
      <c r="H169" s="297"/>
      <c r="I169" s="297"/>
      <c r="J169" s="297"/>
      <c r="K169" s="297"/>
      <c r="L169" s="510"/>
      <c r="M169" s="510"/>
      <c r="N169" s="431"/>
    </row>
    <row r="170" spans="1:14" s="9" customFormat="1">
      <c r="B170" s="9" t="s">
        <v>289</v>
      </c>
      <c r="E170" s="278" t="s">
        <v>378</v>
      </c>
      <c r="G170" s="278" t="s">
        <v>524</v>
      </c>
      <c r="I170" s="278" t="s">
        <v>524</v>
      </c>
      <c r="K170" s="278" t="s">
        <v>524</v>
      </c>
      <c r="L170" s="507"/>
      <c r="M170" s="507"/>
      <c r="N170" s="458"/>
    </row>
    <row r="171" spans="1:14" s="9" customFormat="1">
      <c r="B171" s="9" t="s">
        <v>380</v>
      </c>
      <c r="E171" s="279">
        <f>+EOMONTH(E144,-12)</f>
        <v>45291</v>
      </c>
      <c r="G171" s="279">
        <f>+EOMONTH(G144,-12)</f>
        <v>45291</v>
      </c>
      <c r="I171" s="279">
        <f>+EOMONTH(I144,-12)</f>
        <v>45291</v>
      </c>
      <c r="K171" s="279">
        <f>+EOMONTH(K144,-12)</f>
        <v>45291</v>
      </c>
      <c r="L171" s="507"/>
      <c r="M171" s="507"/>
      <c r="N171" s="458"/>
    </row>
    <row r="172" spans="1:14" s="9" customFormat="1">
      <c r="L172" s="507"/>
      <c r="M172" s="507"/>
      <c r="N172" s="458"/>
    </row>
    <row r="173" spans="1:14">
      <c r="B173" s="273" t="s">
        <v>11</v>
      </c>
      <c r="E173" s="290">
        <v>9425.2999999999993</v>
      </c>
      <c r="G173" s="290"/>
      <c r="I173" s="290"/>
      <c r="K173" s="290"/>
    </row>
    <row r="174" spans="1:14">
      <c r="B174" s="273" t="s">
        <v>449</v>
      </c>
      <c r="C174" s="32"/>
      <c r="E174" s="290">
        <v>-2980.6</v>
      </c>
      <c r="G174" s="290"/>
      <c r="I174" s="290"/>
      <c r="K174" s="290"/>
    </row>
    <row r="175" spans="1:14">
      <c r="B175" s="273" t="s">
        <v>450</v>
      </c>
      <c r="C175" s="318"/>
      <c r="E175" s="298">
        <f>+E173+E174</f>
        <v>6444.6999999999989</v>
      </c>
      <c r="G175" s="298">
        <f>+G173+G174</f>
        <v>0</v>
      </c>
      <c r="I175" s="298">
        <f>+I173+I174</f>
        <v>0</v>
      </c>
      <c r="K175" s="298">
        <f>+K173+K174</f>
        <v>0</v>
      </c>
    </row>
    <row r="176" spans="1:14">
      <c r="B176" s="273" t="s">
        <v>451</v>
      </c>
      <c r="E176" s="290">
        <v>-5015.2</v>
      </c>
      <c r="G176" s="290"/>
      <c r="I176" s="290"/>
      <c r="K176" s="290"/>
    </row>
    <row r="177" spans="2:14">
      <c r="B177" t="s">
        <v>159</v>
      </c>
      <c r="E177" s="290">
        <v>55.9</v>
      </c>
      <c r="G177" s="290"/>
      <c r="I177" s="290"/>
      <c r="K177" s="290"/>
    </row>
    <row r="178" spans="2:14" s="13" customFormat="1">
      <c r="B178" s="13" t="s">
        <v>452</v>
      </c>
      <c r="E178" s="299">
        <f>+E175+E176+E177</f>
        <v>1485.3999999999992</v>
      </c>
      <c r="G178" s="299">
        <f>+G175+G176</f>
        <v>0</v>
      </c>
      <c r="I178" s="299">
        <f>+I175+I176</f>
        <v>0</v>
      </c>
      <c r="K178" s="299">
        <f>+K175+K176</f>
        <v>0</v>
      </c>
      <c r="L178" s="509"/>
      <c r="M178" s="509"/>
      <c r="N178" s="431"/>
    </row>
    <row r="179" spans="2:14">
      <c r="B179" s="273" t="s">
        <v>453</v>
      </c>
      <c r="E179" s="300">
        <f>33.8-140.1</f>
        <v>-106.3</v>
      </c>
      <c r="G179" s="300"/>
      <c r="I179" s="300"/>
      <c r="K179" s="300"/>
    </row>
    <row r="180" spans="2:14">
      <c r="B180" s="273" t="s">
        <v>454</v>
      </c>
      <c r="E180" s="301">
        <f>+E178+E179</f>
        <v>1379.0999999999992</v>
      </c>
      <c r="G180" s="301">
        <f>+G178+G179</f>
        <v>0</v>
      </c>
      <c r="I180" s="301">
        <f>+I178+I179</f>
        <v>0</v>
      </c>
      <c r="K180" s="301">
        <f>+K178+K179</f>
        <v>0</v>
      </c>
    </row>
    <row r="181" spans="2:14">
      <c r="B181" s="273" t="s">
        <v>455</v>
      </c>
      <c r="E181" s="290">
        <v>-354.7</v>
      </c>
      <c r="G181" s="290"/>
      <c r="I181" s="290"/>
      <c r="K181" s="290"/>
    </row>
    <row r="182" spans="2:14" s="13" customFormat="1">
      <c r="B182" s="13" t="s">
        <v>456</v>
      </c>
      <c r="E182" s="299">
        <f>+E180+E181</f>
        <v>1024.3999999999992</v>
      </c>
      <c r="G182" s="299">
        <f>+G180+G181</f>
        <v>0</v>
      </c>
      <c r="I182" s="299">
        <f>+I180+I181</f>
        <v>0</v>
      </c>
      <c r="K182" s="299">
        <f>+K180+K181</f>
        <v>0</v>
      </c>
      <c r="L182" s="509"/>
      <c r="M182" s="509"/>
      <c r="N182" s="431"/>
    </row>
    <row r="183" spans="2:14">
      <c r="B183" s="273" t="s">
        <v>457</v>
      </c>
      <c r="E183" s="280">
        <v>1140.5999999999999</v>
      </c>
      <c r="G183" s="280"/>
      <c r="I183" s="280"/>
      <c r="K183" s="280"/>
    </row>
    <row r="184" spans="2:14">
      <c r="B184" s="273" t="s">
        <v>458</v>
      </c>
      <c r="E184" s="290">
        <v>365.3</v>
      </c>
      <c r="G184" s="290"/>
      <c r="I184" s="290"/>
      <c r="K184" s="290"/>
    </row>
    <row r="186" spans="2:14">
      <c r="B186" s="273" t="s">
        <v>460</v>
      </c>
      <c r="E186" s="290">
        <v>0</v>
      </c>
      <c r="G186" s="290"/>
      <c r="I186" s="290"/>
      <c r="K186" s="290"/>
    </row>
    <row r="187" spans="2:14">
      <c r="B187" s="273" t="s">
        <v>461</v>
      </c>
      <c r="E187" s="290">
        <v>0</v>
      </c>
      <c r="G187" s="290"/>
      <c r="I187" s="290"/>
      <c r="K187" s="290"/>
    </row>
    <row r="188" spans="2:14">
      <c r="B188" s="273" t="s">
        <v>462</v>
      </c>
      <c r="E188" s="290">
        <v>0</v>
      </c>
      <c r="G188" s="290"/>
      <c r="I188" s="290"/>
      <c r="K188" s="290"/>
    </row>
    <row r="189" spans="2:14" s="9" customFormat="1">
      <c r="B189" s="9" t="s">
        <v>459</v>
      </c>
      <c r="E189" s="302">
        <f>-(IFERROR(E181/E180,0))</f>
        <v>0.25719672250018144</v>
      </c>
      <c r="G189" s="302">
        <f>-(IFERROR(G181/G180,0))</f>
        <v>0</v>
      </c>
      <c r="I189" s="302">
        <f>-(IFERROR(I181/I180,0))</f>
        <v>0</v>
      </c>
      <c r="K189" s="302">
        <f>-(IFERROR(K181/K180,0))</f>
        <v>0</v>
      </c>
      <c r="L189" s="507"/>
      <c r="M189" s="507"/>
      <c r="N189" s="458"/>
    </row>
    <row r="190" spans="2:14">
      <c r="G190" s="305"/>
    </row>
    <row r="191" spans="2:14" s="13" customFormat="1">
      <c r="B191" s="13" t="s">
        <v>53</v>
      </c>
      <c r="E191" s="303">
        <f>+E192+E184</f>
        <v>1850.6999999999991</v>
      </c>
      <c r="G191" s="303">
        <f>+G192+G184</f>
        <v>0</v>
      </c>
      <c r="I191" s="303">
        <f>+I192+I184</f>
        <v>0</v>
      </c>
      <c r="K191" s="303">
        <f>+K192+K184</f>
        <v>0</v>
      </c>
      <c r="L191" s="509"/>
      <c r="M191" s="509"/>
      <c r="N191" s="431"/>
    </row>
    <row r="192" spans="2:14" s="13" customFormat="1">
      <c r="B192" s="13" t="s">
        <v>463</v>
      </c>
      <c r="E192" s="303">
        <f>+E178+E186</f>
        <v>1485.3999999999992</v>
      </c>
      <c r="G192" s="303">
        <f>+G178+G186</f>
        <v>0</v>
      </c>
      <c r="I192" s="303">
        <f>+I178+I186</f>
        <v>0</v>
      </c>
      <c r="K192" s="303">
        <f>+K178+K186</f>
        <v>0</v>
      </c>
      <c r="L192" s="509"/>
      <c r="M192" s="509"/>
      <c r="N192" s="431"/>
    </row>
    <row r="193" spans="1:14" s="13" customFormat="1">
      <c r="B193" s="13" t="s">
        <v>464</v>
      </c>
      <c r="E193" s="303">
        <f>+E182+E186+E187+E188</f>
        <v>1024.3999999999992</v>
      </c>
      <c r="G193" s="303">
        <f>+G182+G186+G187+G188</f>
        <v>0</v>
      </c>
      <c r="I193" s="303">
        <f>+I182+I186+I187+I188</f>
        <v>0</v>
      </c>
      <c r="K193" s="303">
        <f>+K182+K186+K187+K188</f>
        <v>0</v>
      </c>
      <c r="L193" s="509"/>
      <c r="M193" s="509"/>
      <c r="N193" s="431"/>
    </row>
    <row r="194" spans="1:14" s="13" customFormat="1">
      <c r="B194" s="13" t="s">
        <v>465</v>
      </c>
      <c r="E194" s="304">
        <f>+IFERROR(E193/E183,0)</f>
        <v>0.89812379449412527</v>
      </c>
      <c r="G194" s="304">
        <f>+IFERROR(G193/G183,0)</f>
        <v>0</v>
      </c>
      <c r="I194" s="304">
        <f>+IFERROR(I193/I183,0)</f>
        <v>0</v>
      </c>
      <c r="K194" s="304">
        <f>+IFERROR(K193/K183,0)</f>
        <v>0</v>
      </c>
      <c r="L194" s="509"/>
      <c r="M194" s="509"/>
      <c r="N194" s="431"/>
    </row>
    <row r="195" spans="1:14" s="13" customFormat="1">
      <c r="E195" s="286"/>
      <c r="G195" s="286"/>
      <c r="I195" s="286"/>
      <c r="K195" s="286"/>
      <c r="L195" s="509"/>
      <c r="M195" s="509"/>
      <c r="N195" s="431"/>
    </row>
    <row r="196" spans="1:14" s="13" customFormat="1" ht="13.15" customHeight="1">
      <c r="A196" s="297" t="s">
        <v>468</v>
      </c>
      <c r="B196" s="297"/>
      <c r="C196" s="297"/>
      <c r="D196" s="297"/>
      <c r="E196" s="297"/>
      <c r="F196" s="297"/>
      <c r="G196" s="297"/>
      <c r="H196" s="297"/>
      <c r="I196" s="297"/>
      <c r="J196" s="297"/>
      <c r="K196" s="297"/>
      <c r="L196" s="510"/>
      <c r="M196" s="510"/>
      <c r="N196" s="431"/>
    </row>
    <row r="197" spans="1:14" s="13" customFormat="1">
      <c r="E197" s="286"/>
      <c r="G197" s="286"/>
      <c r="I197" s="286"/>
      <c r="K197" s="286"/>
      <c r="L197" s="509"/>
      <c r="M197" s="509"/>
      <c r="N197" s="431"/>
    </row>
    <row r="198" spans="1:14" s="13" customFormat="1">
      <c r="B198" s="13" t="s">
        <v>469</v>
      </c>
      <c r="C198" s="71" t="s">
        <v>470</v>
      </c>
      <c r="E198" s="303">
        <f>+E119+E146-E173</f>
        <v>36148.699999999997</v>
      </c>
      <c r="G198" s="303">
        <f>+G119+G146-G173</f>
        <v>25920</v>
      </c>
      <c r="I198" s="303">
        <f>+I119+I146-I173</f>
        <v>8406</v>
      </c>
      <c r="K198" s="303">
        <f>+K119+K146-K173</f>
        <v>15351</v>
      </c>
      <c r="L198" s="509"/>
      <c r="M198" s="509"/>
      <c r="N198" s="431"/>
    </row>
    <row r="199" spans="1:14" s="13" customFormat="1">
      <c r="B199" s="13" t="s">
        <v>471</v>
      </c>
      <c r="C199" s="71" t="s">
        <v>472</v>
      </c>
      <c r="E199" s="303">
        <f>+E137+E164-E191</f>
        <v>6600</v>
      </c>
      <c r="G199" s="303">
        <f>+G137+G164-G191</f>
        <v>12450</v>
      </c>
      <c r="I199" s="303">
        <f>+I137+I164-I191</f>
        <v>2666</v>
      </c>
      <c r="K199" s="303">
        <f>+K137+K164-K191</f>
        <v>3324</v>
      </c>
      <c r="L199" s="509"/>
      <c r="M199" s="509"/>
      <c r="N199" s="431"/>
    </row>
    <row r="200" spans="1:14" s="13" customFormat="1">
      <c r="B200" s="13" t="s">
        <v>473</v>
      </c>
      <c r="C200" s="71" t="s">
        <v>474</v>
      </c>
      <c r="E200" s="303">
        <f>+E138+E165-E192</f>
        <v>5045.1000000000004</v>
      </c>
      <c r="G200" s="303">
        <f>+G138+G165-G192</f>
        <v>12003</v>
      </c>
      <c r="I200" s="303">
        <f>+I138+I165-I192</f>
        <v>2402</v>
      </c>
      <c r="K200" s="303">
        <f>+K138+K165-K192</f>
        <v>2591</v>
      </c>
      <c r="L200" s="509"/>
      <c r="M200" s="509"/>
      <c r="N200" s="431"/>
    </row>
    <row r="201" spans="1:14" s="13" customFormat="1">
      <c r="B201" s="13" t="s">
        <v>475</v>
      </c>
      <c r="C201" s="71" t="s">
        <v>476</v>
      </c>
      <c r="E201" s="303">
        <f>+E139+E166-E193</f>
        <v>3518.7999999999997</v>
      </c>
      <c r="G201" s="303">
        <f>+G139+G166-G193</f>
        <v>8859.0490091831798</v>
      </c>
      <c r="I201" s="303">
        <f>+I139+I166-I193</f>
        <v>1424.579325594251</v>
      </c>
      <c r="K201" s="303">
        <f>+K139+K166-K193</f>
        <v>1441</v>
      </c>
      <c r="L201" s="509"/>
      <c r="M201" s="509"/>
      <c r="N201" s="431"/>
    </row>
    <row r="202" spans="1:14" s="13" customFormat="1">
      <c r="B202" s="13" t="s">
        <v>477</v>
      </c>
      <c r="C202" s="71" t="s">
        <v>478</v>
      </c>
      <c r="E202" s="304">
        <f>+E140+E167-E194</f>
        <v>3.0959370873926075</v>
      </c>
      <c r="G202" s="304">
        <f>+G140+G167-G194</f>
        <v>12.271850684559052</v>
      </c>
      <c r="I202" s="304">
        <f>+I140+I167-I194</f>
        <v>3.1378399242164119</v>
      </c>
      <c r="K202" s="304">
        <f>+K140+K167-K194</f>
        <v>1.0531316231820507</v>
      </c>
      <c r="L202" s="509"/>
      <c r="M202" s="509"/>
      <c r="N202" s="431"/>
    </row>
    <row r="203" spans="1:14" ht="15.75" thickBot="1">
      <c r="A203" s="497"/>
      <c r="B203" s="497"/>
      <c r="C203" s="497"/>
      <c r="D203" s="497"/>
      <c r="E203" s="497"/>
      <c r="F203" s="497"/>
      <c r="G203" s="497"/>
      <c r="H203" s="497"/>
      <c r="I203" s="497"/>
      <c r="J203" s="497"/>
      <c r="K203" s="497"/>
    </row>
    <row r="204" spans="1:14" s="500" customFormat="1" ht="15.75" thickBot="1">
      <c r="A204" s="501" t="s">
        <v>479</v>
      </c>
      <c r="B204" s="501"/>
      <c r="C204" s="501"/>
      <c r="D204" s="501"/>
      <c r="E204" s="501"/>
      <c r="F204" s="501"/>
      <c r="G204" s="501"/>
      <c r="H204" s="501"/>
      <c r="I204" s="501"/>
      <c r="J204" s="501"/>
      <c r="K204" s="501"/>
      <c r="L204" s="505"/>
      <c r="M204" s="505"/>
      <c r="N204" s="505"/>
    </row>
    <row r="205" spans="1:14">
      <c r="I205" s="71" t="s">
        <v>573</v>
      </c>
    </row>
    <row r="206" spans="1:14">
      <c r="A206" s="38" t="s">
        <v>480</v>
      </c>
      <c r="B206" s="306"/>
      <c r="C206" s="307"/>
      <c r="D206" s="306"/>
      <c r="E206" s="306"/>
      <c r="F206" s="306"/>
      <c r="G206" s="306"/>
      <c r="H206" s="306"/>
      <c r="I206" s="306"/>
      <c r="J206" s="306"/>
      <c r="K206" s="306"/>
    </row>
    <row r="207" spans="1:14">
      <c r="B207" s="13" t="s">
        <v>11</v>
      </c>
    </row>
    <row r="208" spans="1:14" ht="13.15" customHeight="1">
      <c r="B208" s="308" t="s">
        <v>481</v>
      </c>
      <c r="C208" s="71" t="s">
        <v>482</v>
      </c>
      <c r="E208" s="292">
        <f>+E119</f>
        <v>36176.199999999997</v>
      </c>
      <c r="G208" s="295">
        <f>+G119</f>
        <v>25920</v>
      </c>
      <c r="I208" s="295">
        <f>+I119</f>
        <v>8406</v>
      </c>
      <c r="K208" s="295">
        <f>+K119</f>
        <v>15351</v>
      </c>
    </row>
    <row r="209" spans="2:15" ht="13.15" customHeight="1">
      <c r="B209" s="308" t="s">
        <v>483</v>
      </c>
      <c r="C209" s="71" t="s">
        <v>484</v>
      </c>
      <c r="E209" s="309">
        <v>37441.471149999998</v>
      </c>
      <c r="G209" s="309">
        <v>26547.633000000002</v>
      </c>
      <c r="I209" s="309">
        <v>9262.2999999999993</v>
      </c>
      <c r="K209" s="309">
        <v>16097.66</v>
      </c>
    </row>
    <row r="210" spans="2:15" ht="13.15" customHeight="1">
      <c r="B210" s="308" t="s">
        <v>485</v>
      </c>
      <c r="C210" s="71" t="s">
        <v>486</v>
      </c>
      <c r="E210" s="309">
        <v>40040.096969999999</v>
      </c>
      <c r="G210" s="309">
        <v>27957.70451</v>
      </c>
      <c r="I210" s="309">
        <v>9584.26</v>
      </c>
      <c r="K210" s="309">
        <v>16731.25</v>
      </c>
    </row>
    <row r="211" spans="2:15" ht="13.15" customHeight="1">
      <c r="B211" s="308" t="s">
        <v>487</v>
      </c>
      <c r="C211" s="71" t="s">
        <v>488</v>
      </c>
      <c r="E211" s="309">
        <v>43593.903870000002</v>
      </c>
      <c r="G211" s="309">
        <v>29802.00951</v>
      </c>
      <c r="I211" s="309">
        <v>9868.06</v>
      </c>
      <c r="K211" s="309">
        <v>17382.07</v>
      </c>
    </row>
    <row r="212" spans="2:15" ht="13.15" customHeight="1">
      <c r="B212" s="308" t="s">
        <v>489</v>
      </c>
      <c r="C212" s="71" t="s">
        <v>490</v>
      </c>
      <c r="E212" s="309">
        <v>48110.2</v>
      </c>
      <c r="G212" s="309">
        <v>31673.666669999999</v>
      </c>
      <c r="I212" s="309">
        <v>9960.33</v>
      </c>
      <c r="K212" s="309">
        <v>17856.47</v>
      </c>
    </row>
    <row r="213" spans="2:15">
      <c r="B213" s="310"/>
      <c r="O213" s="351"/>
    </row>
    <row r="214" spans="2:15">
      <c r="B214" s="13" t="s">
        <v>53</v>
      </c>
    </row>
    <row r="215" spans="2:15">
      <c r="B215" s="308" t="s">
        <v>481</v>
      </c>
      <c r="C215" s="71" t="s">
        <v>491</v>
      </c>
      <c r="E215" s="295">
        <f>+E137</f>
        <v>6921.4</v>
      </c>
      <c r="G215" s="295">
        <f>+G137</f>
        <v>12450</v>
      </c>
      <c r="I215" s="295">
        <f>+I137</f>
        <v>2666</v>
      </c>
      <c r="K215" s="295">
        <f>+K137</f>
        <v>3324</v>
      </c>
    </row>
    <row r="216" spans="2:15">
      <c r="B216" s="308" t="s">
        <v>483</v>
      </c>
      <c r="C216" s="71" t="s">
        <v>492</v>
      </c>
      <c r="E216" s="309">
        <f>E223+1654.54429</f>
        <v>6605.9249600000003</v>
      </c>
      <c r="G216" s="309">
        <f>G223+2088.90714</f>
        <v>14703.620989999999</v>
      </c>
      <c r="I216" s="309">
        <f>I223+281.73</f>
        <v>2878.7599999999998</v>
      </c>
      <c r="K216" s="309">
        <f>K223+787.04</f>
        <v>4937.54</v>
      </c>
      <c r="O216" s="319"/>
    </row>
    <row r="217" spans="2:15">
      <c r="B217" s="308" t="s">
        <v>485</v>
      </c>
      <c r="C217" s="71" t="s">
        <v>493</v>
      </c>
      <c r="E217" s="309">
        <f>E224+1766.67474</f>
        <v>7759.4833899999994</v>
      </c>
      <c r="G217" s="309">
        <f>G224+2234.36538</f>
        <v>15673.658019999999</v>
      </c>
      <c r="I217" s="309">
        <f>I224+287.18</f>
        <v>3055.0299999999997</v>
      </c>
      <c r="K217" s="309">
        <f>K224+808.84</f>
        <v>5312.73</v>
      </c>
    </row>
    <row r="218" spans="2:15">
      <c r="B218" s="308" t="s">
        <v>487</v>
      </c>
      <c r="C218" s="71" t="s">
        <v>494</v>
      </c>
      <c r="E218" s="309">
        <f>E225+1892.07889</f>
        <v>8906.9387800000004</v>
      </c>
      <c r="G218" s="309">
        <f>G225+2541.086</f>
        <v>16988.66128</v>
      </c>
      <c r="I218" s="309">
        <f>I225+262.61</f>
        <v>3237.6200000000003</v>
      </c>
      <c r="K218" s="309">
        <f>K225+844.84</f>
        <v>5482.41</v>
      </c>
    </row>
    <row r="219" spans="2:15">
      <c r="B219" s="308" t="s">
        <v>489</v>
      </c>
      <c r="C219" s="71" t="s">
        <v>495</v>
      </c>
      <c r="E219" s="309">
        <f>E226+2153.2</f>
        <v>11089.966670000002</v>
      </c>
      <c r="G219" s="309">
        <f>G226+2664.66667</f>
        <v>18278.333340000001</v>
      </c>
      <c r="I219" s="309">
        <f>I226+243</f>
        <v>3493</v>
      </c>
      <c r="K219" s="309">
        <f>K226+844.84</f>
        <v>5697.42</v>
      </c>
    </row>
    <row r="220" spans="2:15">
      <c r="B220" s="310"/>
    </row>
    <row r="221" spans="2:15">
      <c r="B221" s="13" t="s">
        <v>463</v>
      </c>
    </row>
    <row r="222" spans="2:15">
      <c r="B222" s="308" t="s">
        <v>481</v>
      </c>
      <c r="C222" s="71" t="s">
        <v>496</v>
      </c>
      <c r="E222" s="295">
        <f>+E138</f>
        <v>5408.7999999999993</v>
      </c>
      <c r="G222" s="295">
        <f>+G138</f>
        <v>12003</v>
      </c>
      <c r="I222" s="295">
        <f>+I138</f>
        <v>2402</v>
      </c>
      <c r="K222" s="295">
        <f>+K138</f>
        <v>2591</v>
      </c>
    </row>
    <row r="223" spans="2:15">
      <c r="B223" s="308" t="s">
        <v>483</v>
      </c>
      <c r="C223" s="71" t="s">
        <v>497</v>
      </c>
      <c r="E223" s="309">
        <f>4418.67479+532.70588</f>
        <v>4951.3806700000005</v>
      </c>
      <c r="G223" s="309">
        <v>12614.71385</v>
      </c>
      <c r="I223" s="309">
        <f>515.05+2081.98</f>
        <v>2597.0299999999997</v>
      </c>
      <c r="K223" s="309">
        <f>3462.96+687.54</f>
        <v>4150.5</v>
      </c>
    </row>
    <row r="224" spans="2:15">
      <c r="B224" s="308" t="s">
        <v>485</v>
      </c>
      <c r="C224" s="71" t="s">
        <v>498</v>
      </c>
      <c r="E224" s="309">
        <f>545.96667+5446.84198</f>
        <v>5992.8086499999999</v>
      </c>
      <c r="G224" s="309">
        <v>13439.29264</v>
      </c>
      <c r="I224" s="309">
        <f>532.46+2235.39</f>
        <v>2767.85</v>
      </c>
      <c r="K224" s="309">
        <f>3834.22+669.67</f>
        <v>4503.8899999999994</v>
      </c>
    </row>
    <row r="225" spans="2:15">
      <c r="B225" s="308" t="s">
        <v>487</v>
      </c>
      <c r="C225" s="71" t="s">
        <v>499</v>
      </c>
      <c r="E225" s="309">
        <f>6429.0456+585.81429</f>
        <v>7014.8598900000006</v>
      </c>
      <c r="G225" s="309">
        <v>14447.575279999999</v>
      </c>
      <c r="I225" s="309">
        <f>574+2401.01</f>
        <v>2975.01</v>
      </c>
      <c r="K225" s="309">
        <f>4039.77+597.8</f>
        <v>4637.57</v>
      </c>
    </row>
    <row r="226" spans="2:15">
      <c r="B226" s="308" t="s">
        <v>489</v>
      </c>
      <c r="C226" s="71" t="s">
        <v>500</v>
      </c>
      <c r="E226" s="309">
        <f>8209.56667+727.2</f>
        <v>8936.7666700000009</v>
      </c>
      <c r="G226" s="309">
        <v>15613.666670000001</v>
      </c>
      <c r="I226" s="309">
        <f>606+2644</f>
        <v>3250</v>
      </c>
      <c r="K226" s="309">
        <f>597.8+4254.78</f>
        <v>4852.58</v>
      </c>
    </row>
    <row r="227" spans="2:15">
      <c r="B227" s="310"/>
    </row>
    <row r="228" spans="2:15">
      <c r="B228" s="13" t="s">
        <v>464</v>
      </c>
      <c r="O228" s="319"/>
    </row>
    <row r="229" spans="2:15">
      <c r="B229" s="308" t="s">
        <v>481</v>
      </c>
      <c r="C229" s="71" t="s">
        <v>501</v>
      </c>
      <c r="E229" s="292">
        <f>+E139</f>
        <v>3762.2999999999993</v>
      </c>
      <c r="G229" s="295">
        <f>+G139</f>
        <v>8859.0490091831798</v>
      </c>
      <c r="I229" s="295">
        <f>+I139</f>
        <v>1424.579325594251</v>
      </c>
      <c r="K229" s="295">
        <f>+K139</f>
        <v>1441</v>
      </c>
      <c r="O229" s="319"/>
    </row>
    <row r="230" spans="2:15">
      <c r="B230" s="308" t="s">
        <v>483</v>
      </c>
      <c r="C230" s="71" t="s">
        <v>502</v>
      </c>
      <c r="E230" s="309">
        <v>3334.6085699999999</v>
      </c>
      <c r="G230" s="309">
        <v>8772.1374899999992</v>
      </c>
      <c r="I230" s="309">
        <v>1693.46</v>
      </c>
      <c r="K230" s="309">
        <v>2462.91</v>
      </c>
      <c r="O230" s="350"/>
    </row>
    <row r="231" spans="2:15">
      <c r="B231" s="308" t="s">
        <v>485</v>
      </c>
      <c r="C231" s="71" t="s">
        <v>503</v>
      </c>
      <c r="E231" s="309">
        <v>4097.2722999999996</v>
      </c>
      <c r="G231" s="309">
        <v>9380.8544000000002</v>
      </c>
      <c r="I231" s="309">
        <v>1820.71</v>
      </c>
      <c r="K231" s="309">
        <v>2706.93</v>
      </c>
      <c r="O231" s="350"/>
    </row>
    <row r="232" spans="2:15">
      <c r="B232" s="308" t="s">
        <v>487</v>
      </c>
      <c r="C232" s="71" t="s">
        <v>504</v>
      </c>
      <c r="E232" s="309">
        <v>4819.6967400000003</v>
      </c>
      <c r="G232" s="309">
        <v>10136.23201</v>
      </c>
      <c r="I232" s="309">
        <v>1944.38</v>
      </c>
      <c r="K232" s="309">
        <v>2841.65</v>
      </c>
    </row>
    <row r="233" spans="2:15">
      <c r="B233" s="308" t="s">
        <v>489</v>
      </c>
      <c r="C233" s="71" t="s">
        <v>505</v>
      </c>
      <c r="E233" s="309">
        <v>5969.8666700000003</v>
      </c>
      <c r="G233" s="309">
        <v>10847.333329999999</v>
      </c>
      <c r="I233" s="309">
        <v>2054</v>
      </c>
      <c r="K233" s="309">
        <v>2940.05</v>
      </c>
    </row>
    <row r="234" spans="2:15">
      <c r="B234" s="310"/>
    </row>
    <row r="235" spans="2:15">
      <c r="B235" s="13" t="s">
        <v>465</v>
      </c>
    </row>
    <row r="236" spans="2:15">
      <c r="B236" s="308" t="s">
        <v>481</v>
      </c>
      <c r="C236" s="71" t="s">
        <v>506</v>
      </c>
      <c r="E236" s="311">
        <f>+E140</f>
        <v>3.3080981271432335</v>
      </c>
      <c r="G236" s="311">
        <f>+G140</f>
        <v>12.271850684559052</v>
      </c>
      <c r="I236" s="311">
        <f>+I140</f>
        <v>3.1378399242164119</v>
      </c>
      <c r="K236" s="311">
        <f>+K140</f>
        <v>1.0531316231820507</v>
      </c>
    </row>
    <row r="237" spans="2:15">
      <c r="B237" s="308" t="s">
        <v>483</v>
      </c>
      <c r="C237" s="71" t="s">
        <v>507</v>
      </c>
      <c r="E237" s="312">
        <v>2.94</v>
      </c>
      <c r="G237" s="312">
        <v>12.320180000000001</v>
      </c>
      <c r="I237" s="312">
        <v>3.73</v>
      </c>
      <c r="K237" s="312">
        <v>2.0299999999999998</v>
      </c>
    </row>
    <row r="238" spans="2:15">
      <c r="B238" s="308" t="s">
        <v>485</v>
      </c>
      <c r="C238" s="71" t="s">
        <v>508</v>
      </c>
      <c r="E238" s="312">
        <v>3.64</v>
      </c>
      <c r="G238" s="312">
        <v>13.331340000000001</v>
      </c>
      <c r="I238" s="312">
        <v>4.07</v>
      </c>
      <c r="K238" s="312">
        <v>2.1800000000000002</v>
      </c>
    </row>
    <row r="239" spans="2:15">
      <c r="B239" s="308" t="s">
        <v>487</v>
      </c>
      <c r="C239" s="71" t="s">
        <v>509</v>
      </c>
      <c r="E239" s="312">
        <v>4.33</v>
      </c>
      <c r="G239" s="312">
        <v>14.62787</v>
      </c>
      <c r="I239" s="312">
        <v>4.53</v>
      </c>
      <c r="K239" s="312">
        <v>2.3199999999999998</v>
      </c>
    </row>
    <row r="240" spans="2:15">
      <c r="B240" s="308" t="s">
        <v>489</v>
      </c>
      <c r="C240" s="71" t="s">
        <v>510</v>
      </c>
      <c r="E240" s="312">
        <v>5.53</v>
      </c>
      <c r="G240" s="312">
        <v>16.286670000000001</v>
      </c>
      <c r="I240" s="312">
        <v>5.42</v>
      </c>
      <c r="K240" s="312">
        <v>2.27</v>
      </c>
    </row>
    <row r="241" spans="1:11">
      <c r="B241" s="310"/>
    </row>
    <row r="242" spans="1:11">
      <c r="A242" s="38" t="s">
        <v>511</v>
      </c>
      <c r="B242" s="306"/>
      <c r="C242" s="307"/>
      <c r="D242" s="306"/>
      <c r="E242" s="306"/>
      <c r="F242" s="306"/>
      <c r="G242" s="306"/>
      <c r="H242" s="306"/>
      <c r="I242" s="306"/>
      <c r="J242" s="306"/>
      <c r="K242" s="306"/>
    </row>
    <row r="243" spans="1:11">
      <c r="A243" s="13"/>
      <c r="B243" s="308" t="s">
        <v>512</v>
      </c>
      <c r="C243" s="313"/>
      <c r="E243" s="314">
        <f>EOMONTH(E12,12)</f>
        <v>45930</v>
      </c>
      <c r="G243" s="314">
        <f>EOMONTH(G12,12)</f>
        <v>46022</v>
      </c>
      <c r="I243" s="314">
        <f>EOMONTH(I12,12)</f>
        <v>46022</v>
      </c>
      <c r="K243" s="314">
        <f>EOMONTH(K12,12)</f>
        <v>46022</v>
      </c>
    </row>
    <row r="244" spans="1:11">
      <c r="A244" s="13"/>
      <c r="B244" s="308" t="s">
        <v>513</v>
      </c>
      <c r="C244" s="313"/>
      <c r="E244" s="314">
        <f>+$C$6</f>
        <v>45657</v>
      </c>
      <c r="G244" s="314">
        <f>+$C$6</f>
        <v>45657</v>
      </c>
      <c r="I244" s="314">
        <f>+$C$6</f>
        <v>45657</v>
      </c>
      <c r="K244" s="314">
        <f>+$C$6</f>
        <v>45657</v>
      </c>
    </row>
    <row r="245" spans="1:11">
      <c r="A245" s="13"/>
      <c r="B245" s="308"/>
      <c r="C245" s="313"/>
    </row>
    <row r="246" spans="1:11">
      <c r="A246" s="13"/>
      <c r="B246" s="308" t="s">
        <v>514</v>
      </c>
      <c r="C246" s="313"/>
      <c r="E246" s="315">
        <f>YEARFRAC(E243,E244)</f>
        <v>0.75</v>
      </c>
      <c r="G246" s="315">
        <f>YEARFRAC(G243,G244)</f>
        <v>1</v>
      </c>
      <c r="I246" s="315">
        <f>YEARFRAC(I243,I244)</f>
        <v>1</v>
      </c>
      <c r="K246" s="315">
        <f>YEARFRAC(K243,K244)</f>
        <v>1</v>
      </c>
    </row>
    <row r="247" spans="1:11">
      <c r="A247" s="13"/>
      <c r="B247" s="308" t="s">
        <v>515</v>
      </c>
      <c r="C247" s="313"/>
      <c r="E247" s="315">
        <f>1-E246</f>
        <v>0.25</v>
      </c>
      <c r="G247" s="315">
        <f>1-G246</f>
        <v>0</v>
      </c>
      <c r="I247" s="315">
        <f>1-I246</f>
        <v>0</v>
      </c>
      <c r="K247" s="315">
        <f>1-K246</f>
        <v>0</v>
      </c>
    </row>
    <row r="248" spans="1:11">
      <c r="A248" s="13"/>
      <c r="C248" s="313"/>
    </row>
    <row r="249" spans="1:11">
      <c r="B249" s="13" t="s">
        <v>11</v>
      </c>
    </row>
    <row r="250" spans="1:11">
      <c r="B250" s="308" t="s">
        <v>516</v>
      </c>
      <c r="C250" s="71" t="s">
        <v>517</v>
      </c>
      <c r="E250" s="316">
        <f>IF(E209="","n/a",E208*E$246+E209*E$247)</f>
        <v>36492.517787499994</v>
      </c>
      <c r="G250" s="316">
        <f>IF(G209="","n/a",G208*G$246+G209*G$247)</f>
        <v>25920</v>
      </c>
      <c r="I250" s="316">
        <f>IF(I209="","n/a",I208*I$246+I209*I$247)</f>
        <v>8406</v>
      </c>
      <c r="K250" s="316">
        <f>IF(K209="","n/a",K208*K$246+K209*K$247)</f>
        <v>15351</v>
      </c>
    </row>
    <row r="251" spans="1:11">
      <c r="B251" s="308" t="s">
        <v>518</v>
      </c>
      <c r="C251" s="71" t="s">
        <v>519</v>
      </c>
      <c r="E251" s="316">
        <f t="shared" ref="E251:G253" si="3">IF(E210="","n/a",E209*E$246+E210*E$247)</f>
        <v>38091.127605000001</v>
      </c>
      <c r="G251" s="316">
        <f>IF(G210="","n/a",G209*G$246+G210*G$247)</f>
        <v>26547.633000000002</v>
      </c>
      <c r="I251" s="316">
        <f t="shared" ref="I251:K253" si="4">IF(I210="","n/a",I209*I$246+I210*I$247)</f>
        <v>9262.2999999999993</v>
      </c>
      <c r="K251" s="316">
        <f t="shared" si="4"/>
        <v>16097.66</v>
      </c>
    </row>
    <row r="252" spans="1:11">
      <c r="B252" s="308" t="s">
        <v>520</v>
      </c>
      <c r="C252" s="71" t="s">
        <v>521</v>
      </c>
      <c r="E252" s="316">
        <f t="shared" si="3"/>
        <v>40928.548694999998</v>
      </c>
      <c r="G252" s="316">
        <f t="shared" si="3"/>
        <v>27957.70451</v>
      </c>
      <c r="I252" s="316">
        <f t="shared" si="4"/>
        <v>9584.26</v>
      </c>
      <c r="K252" s="316">
        <f t="shared" si="4"/>
        <v>16731.25</v>
      </c>
    </row>
    <row r="253" spans="1:11">
      <c r="B253" s="308" t="s">
        <v>522</v>
      </c>
      <c r="C253" s="71" t="s">
        <v>523</v>
      </c>
      <c r="E253" s="316">
        <f t="shared" si="3"/>
        <v>44722.977902500003</v>
      </c>
      <c r="G253" s="316">
        <f t="shared" si="3"/>
        <v>29802.00951</v>
      </c>
      <c r="I253" s="316">
        <f t="shared" si="4"/>
        <v>9868.06</v>
      </c>
      <c r="K253" s="316">
        <f t="shared" si="4"/>
        <v>17382.07</v>
      </c>
    </row>
    <row r="254" spans="1:11">
      <c r="B254" s="310"/>
      <c r="C254" s="71"/>
    </row>
    <row r="255" spans="1:11">
      <c r="B255" s="13" t="s">
        <v>53</v>
      </c>
    </row>
    <row r="256" spans="1:11">
      <c r="B256" s="308" t="s">
        <v>516</v>
      </c>
      <c r="C256" s="71" t="s">
        <v>525</v>
      </c>
      <c r="E256" s="316">
        <f>IF(E216="","n/a",E215*E$246+E216*E$247)</f>
        <v>6842.5312399999993</v>
      </c>
      <c r="G256" s="316">
        <f>IF(G216="","n/a",G215*G$246+G216*G$247)</f>
        <v>12450</v>
      </c>
      <c r="I256" s="316">
        <f>IF(I216="","n/a",I215*I$246+I216*I$247)</f>
        <v>2666</v>
      </c>
      <c r="K256" s="316">
        <f>IF(K216="","n/a",K215*K$246+K216*K$247)</f>
        <v>3324</v>
      </c>
    </row>
    <row r="257" spans="2:11">
      <c r="B257" s="308" t="s">
        <v>518</v>
      </c>
      <c r="C257" s="71" t="s">
        <v>526</v>
      </c>
      <c r="E257" s="316">
        <f t="shared" ref="E257:G259" si="5">IF(E217="","n/a",E216*E$246+E217*E$247)</f>
        <v>6894.3145674999996</v>
      </c>
      <c r="G257" s="316">
        <f t="shared" si="5"/>
        <v>14703.620989999999</v>
      </c>
      <c r="I257" s="316">
        <f>IF(I217="","n/a",I216*I$246+I217*I$247)</f>
        <v>2878.7599999999998</v>
      </c>
      <c r="K257" s="316">
        <f t="shared" ref="I257:K259" si="6">IF(K217="","n/a",K216*K$246+K217*K$247)</f>
        <v>4937.54</v>
      </c>
    </row>
    <row r="258" spans="2:11">
      <c r="B258" s="308" t="s">
        <v>520</v>
      </c>
      <c r="C258" s="71" t="s">
        <v>527</v>
      </c>
      <c r="E258" s="316">
        <f t="shared" si="5"/>
        <v>8046.3472374999992</v>
      </c>
      <c r="G258" s="316">
        <f t="shared" si="5"/>
        <v>15673.658019999999</v>
      </c>
      <c r="I258" s="316">
        <f t="shared" si="6"/>
        <v>3055.0299999999997</v>
      </c>
      <c r="K258" s="316">
        <f t="shared" si="6"/>
        <v>5312.73</v>
      </c>
    </row>
    <row r="259" spans="2:11">
      <c r="B259" s="308" t="s">
        <v>522</v>
      </c>
      <c r="C259" s="71" t="s">
        <v>528</v>
      </c>
      <c r="E259" s="316">
        <f t="shared" si="5"/>
        <v>9452.6957524999998</v>
      </c>
      <c r="G259" s="316">
        <f t="shared" si="5"/>
        <v>16988.66128</v>
      </c>
      <c r="I259" s="316">
        <f t="shared" si="6"/>
        <v>3237.6200000000003</v>
      </c>
      <c r="K259" s="316">
        <f t="shared" si="6"/>
        <v>5482.41</v>
      </c>
    </row>
    <row r="260" spans="2:11">
      <c r="B260" s="310"/>
    </row>
    <row r="261" spans="2:11">
      <c r="B261" s="13" t="s">
        <v>463</v>
      </c>
      <c r="C261" s="71"/>
    </row>
    <row r="262" spans="2:11">
      <c r="B262" s="308" t="s">
        <v>516</v>
      </c>
      <c r="C262" s="71" t="s">
        <v>529</v>
      </c>
      <c r="E262" s="316">
        <f>IF(E223="","n/a",E222*E$246+E223*E$247)</f>
        <v>5294.4451675</v>
      </c>
      <c r="G262" s="316">
        <f>IF(G223="","n/a",G222*G$246+G223*G$247)</f>
        <v>12003</v>
      </c>
      <c r="I262" s="316">
        <f>IF(I223="","n/a",I222*I$246+I223*I$247)</f>
        <v>2402</v>
      </c>
      <c r="K262" s="316">
        <f>IF(K223="","n/a",K222*K$246+K223*K$247)</f>
        <v>2591</v>
      </c>
    </row>
    <row r="263" spans="2:11">
      <c r="B263" s="308" t="s">
        <v>518</v>
      </c>
      <c r="C263" s="71" t="s">
        <v>530</v>
      </c>
      <c r="E263" s="316">
        <f t="shared" ref="E263:G265" si="7">IF(E224="","n/a",E223*E$246+E224*E$247)</f>
        <v>5211.7376650000006</v>
      </c>
      <c r="G263" s="316">
        <f t="shared" si="7"/>
        <v>12614.71385</v>
      </c>
      <c r="I263" s="316">
        <f t="shared" ref="I263:K265" si="8">IF(I224="","n/a",I223*I$246+I224*I$247)</f>
        <v>2597.0299999999997</v>
      </c>
      <c r="K263" s="316">
        <f t="shared" si="8"/>
        <v>4150.5</v>
      </c>
    </row>
    <row r="264" spans="2:11">
      <c r="B264" s="308" t="s">
        <v>520</v>
      </c>
      <c r="C264" s="71" t="s">
        <v>531</v>
      </c>
      <c r="E264" s="316">
        <f t="shared" si="7"/>
        <v>6248.3214600000001</v>
      </c>
      <c r="G264" s="316">
        <f t="shared" si="7"/>
        <v>13439.29264</v>
      </c>
      <c r="I264" s="316">
        <f t="shared" si="8"/>
        <v>2767.85</v>
      </c>
      <c r="K264" s="316">
        <f t="shared" si="8"/>
        <v>4503.8899999999994</v>
      </c>
    </row>
    <row r="265" spans="2:11">
      <c r="B265" s="308" t="s">
        <v>522</v>
      </c>
      <c r="C265" s="71" t="s">
        <v>532</v>
      </c>
      <c r="E265" s="316">
        <f t="shared" si="7"/>
        <v>7495.3365850000009</v>
      </c>
      <c r="G265" s="316">
        <f t="shared" si="7"/>
        <v>14447.575279999999</v>
      </c>
      <c r="I265" s="316">
        <f t="shared" si="8"/>
        <v>2975.01</v>
      </c>
      <c r="K265" s="316">
        <f t="shared" si="8"/>
        <v>4637.57</v>
      </c>
    </row>
    <row r="266" spans="2:11">
      <c r="B266" s="310"/>
      <c r="C266" s="71"/>
    </row>
    <row r="267" spans="2:11">
      <c r="B267" s="13" t="s">
        <v>464</v>
      </c>
    </row>
    <row r="268" spans="2:11">
      <c r="B268" s="308" t="s">
        <v>516</v>
      </c>
      <c r="C268" s="71" t="s">
        <v>533</v>
      </c>
      <c r="E268" s="316">
        <f>IF(E230="","n/a",E229*E$246+E230*E$247)</f>
        <v>3655.3771424999995</v>
      </c>
      <c r="G268" s="316">
        <f>IF(G230="","n/a",G229*G$246+G230*G$247)</f>
        <v>8859.0490091831798</v>
      </c>
      <c r="I268" s="316">
        <f>IF(I230="","n/a",I229*I$246+I230*I$247)</f>
        <v>1424.579325594251</v>
      </c>
      <c r="K268" s="316">
        <f>IF(K230="","n/a",K229*K$246+K230*K$247)</f>
        <v>1441</v>
      </c>
    </row>
    <row r="269" spans="2:11">
      <c r="B269" s="308" t="s">
        <v>518</v>
      </c>
      <c r="C269" s="71" t="s">
        <v>534</v>
      </c>
      <c r="E269" s="316">
        <f t="shared" ref="E269:G271" si="9">IF(E231="","n/a",E230*E$246+E231*E$247)</f>
        <v>3525.2745024999995</v>
      </c>
      <c r="G269" s="316">
        <f t="shared" si="9"/>
        <v>8772.1374899999992</v>
      </c>
      <c r="I269" s="316">
        <f t="shared" ref="I269:K271" si="10">IF(I231="","n/a",I230*I$246+I231*I$247)</f>
        <v>1693.46</v>
      </c>
      <c r="K269" s="316">
        <f t="shared" si="10"/>
        <v>2462.91</v>
      </c>
    </row>
    <row r="270" spans="2:11">
      <c r="B270" s="308" t="s">
        <v>520</v>
      </c>
      <c r="C270" s="71" t="s">
        <v>535</v>
      </c>
      <c r="E270" s="316">
        <f t="shared" si="9"/>
        <v>4277.8784099999993</v>
      </c>
      <c r="G270" s="316">
        <f t="shared" si="9"/>
        <v>9380.8544000000002</v>
      </c>
      <c r="I270" s="316">
        <f t="shared" si="10"/>
        <v>1820.71</v>
      </c>
      <c r="K270" s="316">
        <f t="shared" si="10"/>
        <v>2706.93</v>
      </c>
    </row>
    <row r="271" spans="2:11">
      <c r="B271" s="308" t="s">
        <v>522</v>
      </c>
      <c r="C271" s="71" t="s">
        <v>536</v>
      </c>
      <c r="E271" s="316">
        <f>IF(E233="","n/a",E232*E$246+E233*E$247)</f>
        <v>5107.2392225000003</v>
      </c>
      <c r="G271" s="316">
        <f t="shared" si="9"/>
        <v>10136.23201</v>
      </c>
      <c r="I271" s="316">
        <f t="shared" si="10"/>
        <v>1944.38</v>
      </c>
      <c r="K271" s="316">
        <f t="shared" si="10"/>
        <v>2841.65</v>
      </c>
    </row>
    <row r="272" spans="2:11">
      <c r="B272" s="310"/>
      <c r="C272" s="71"/>
    </row>
    <row r="273" spans="2:11">
      <c r="B273" s="13" t="s">
        <v>465</v>
      </c>
    </row>
    <row r="274" spans="2:11">
      <c r="B274" s="308" t="s">
        <v>516</v>
      </c>
      <c r="C274" s="71" t="s">
        <v>537</v>
      </c>
      <c r="E274" s="317">
        <f>IF(E237="","n/a",E236*E$246+E237*E$247)</f>
        <v>3.2160735953574249</v>
      </c>
      <c r="G274" s="317">
        <f>IF(G237="","n/a",G236*G$246+G237*G$247)</f>
        <v>12.271850684559052</v>
      </c>
      <c r="I274" s="317">
        <f>IF(I237="","n/a",I236*I$246+I237*I$247)</f>
        <v>3.1378399242164119</v>
      </c>
      <c r="K274" s="317">
        <f>IF(K237="","n/a",K236*K$246+K237*K$247)</f>
        <v>1.0531316231820507</v>
      </c>
    </row>
    <row r="275" spans="2:11">
      <c r="B275" s="308" t="s">
        <v>518</v>
      </c>
      <c r="C275" s="71" t="s">
        <v>538</v>
      </c>
      <c r="E275" s="317">
        <f t="shared" ref="E275:G277" si="11">IF(E238="","n/a",E237*E$246+E238*E$247)</f>
        <v>3.1150000000000002</v>
      </c>
      <c r="G275" s="317">
        <f t="shared" si="11"/>
        <v>12.320180000000001</v>
      </c>
      <c r="I275" s="317">
        <f t="shared" ref="I275:K277" si="12">IF(I238="","n/a",I237*I$246+I238*I$247)</f>
        <v>3.73</v>
      </c>
      <c r="K275" s="317">
        <f t="shared" si="12"/>
        <v>2.0299999999999998</v>
      </c>
    </row>
    <row r="276" spans="2:11">
      <c r="B276" s="308" t="s">
        <v>520</v>
      </c>
      <c r="C276" s="71" t="s">
        <v>539</v>
      </c>
      <c r="E276" s="317">
        <f t="shared" si="11"/>
        <v>3.8125</v>
      </c>
      <c r="G276" s="317">
        <f t="shared" si="11"/>
        <v>13.331340000000001</v>
      </c>
      <c r="I276" s="317">
        <f t="shared" si="12"/>
        <v>4.07</v>
      </c>
      <c r="K276" s="317">
        <f t="shared" si="12"/>
        <v>2.1800000000000002</v>
      </c>
    </row>
    <row r="277" spans="2:11">
      <c r="B277" s="308" t="s">
        <v>522</v>
      </c>
      <c r="C277" s="71" t="s">
        <v>540</v>
      </c>
      <c r="E277" s="317">
        <f t="shared" si="11"/>
        <v>4.63</v>
      </c>
      <c r="G277" s="317">
        <f t="shared" si="11"/>
        <v>14.62787</v>
      </c>
      <c r="I277" s="317">
        <f t="shared" si="12"/>
        <v>4.53</v>
      </c>
      <c r="K277" s="317">
        <f t="shared" si="12"/>
        <v>2.3199999999999998</v>
      </c>
    </row>
    <row r="278" spans="2:11">
      <c r="C278" s="7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BFC1-6C63-4B4D-A02A-ED4A465BA224}">
  <dimension ref="A1:AN21"/>
  <sheetViews>
    <sheetView workbookViewId="0">
      <selection activeCell="H17" sqref="H17"/>
    </sheetView>
  </sheetViews>
  <sheetFormatPr defaultColWidth="5" defaultRowHeight="15" outlineLevelCol="1"/>
  <cols>
    <col min="1" max="1" width="4.28515625" customWidth="1"/>
    <col min="2" max="2" width="7.7109375" bestFit="1" customWidth="1"/>
    <col min="3" max="3" width="35" bestFit="1" customWidth="1"/>
    <col min="5" max="5" width="10.140625" bestFit="1" customWidth="1"/>
    <col min="6" max="6" width="9.28515625" bestFit="1" customWidth="1"/>
    <col min="7" max="7" width="8.28515625" bestFit="1" customWidth="1"/>
    <col min="8" max="8" width="11.42578125" customWidth="1" outlineLevel="1"/>
    <col min="9" max="9" width="5" customWidth="1" outlineLevel="1"/>
    <col min="10" max="13" width="8.28515625" customWidth="1" outlineLevel="1"/>
    <col min="14" max="14" width="5" customWidth="1" outlineLevel="1"/>
    <col min="15" max="15" width="9.140625" customWidth="1" outlineLevel="1"/>
    <col min="16" max="16" width="5" customWidth="1" outlineLevel="1"/>
    <col min="17" max="17" width="10.42578125" customWidth="1" outlineLevel="1"/>
    <col min="18" max="18" width="10.85546875" customWidth="1" outlineLevel="1"/>
    <col min="19" max="20" width="10.42578125" customWidth="1" outlineLevel="1"/>
    <col min="21" max="21" width="5" customWidth="1" outlineLevel="1"/>
    <col min="22" max="22" width="9.140625" customWidth="1" outlineLevel="1"/>
    <col min="23" max="23" width="5" customWidth="1" outlineLevel="1"/>
    <col min="24" max="27" width="7.42578125" bestFit="1" customWidth="1"/>
    <col min="29" max="32" width="7.28515625" bestFit="1" customWidth="1"/>
    <col min="34" max="34" width="9.140625" bestFit="1" customWidth="1"/>
    <col min="36" max="39" width="7.42578125" bestFit="1" customWidth="1"/>
  </cols>
  <sheetData>
    <row r="1" spans="1:40" s="387" customFormat="1" ht="18" customHeight="1" thickBot="1">
      <c r="C1" s="388" t="s">
        <v>373</v>
      </c>
      <c r="D1" s="388"/>
      <c r="E1" s="388" t="s">
        <v>446</v>
      </c>
      <c r="F1" s="388" t="s">
        <v>437</v>
      </c>
      <c r="G1" s="388" t="s">
        <v>434</v>
      </c>
      <c r="H1" s="388" t="s">
        <v>444</v>
      </c>
      <c r="J1" s="388" t="s">
        <v>517</v>
      </c>
      <c r="K1" s="388" t="s">
        <v>470</v>
      </c>
      <c r="L1" s="388" t="s">
        <v>519</v>
      </c>
      <c r="M1" s="388" t="s">
        <v>521</v>
      </c>
      <c r="Q1" s="388" t="s">
        <v>525</v>
      </c>
      <c r="R1" s="388" t="s">
        <v>472</v>
      </c>
      <c r="S1" s="388" t="s">
        <v>526</v>
      </c>
      <c r="T1" s="388" t="s">
        <v>527</v>
      </c>
      <c r="AC1" s="388" t="s">
        <v>533</v>
      </c>
      <c r="AD1" s="388" t="s">
        <v>476</v>
      </c>
      <c r="AE1" s="388" t="s">
        <v>534</v>
      </c>
      <c r="AF1" s="388" t="s">
        <v>535</v>
      </c>
    </row>
    <row r="2" spans="1:40" s="44" customFormat="1" ht="15.75" thickBot="1">
      <c r="A2" s="44" t="s">
        <v>574</v>
      </c>
    </row>
    <row r="3" spans="1:40">
      <c r="A3" s="9" t="s">
        <v>367</v>
      </c>
    </row>
    <row r="5" spans="1:40" s="13" customFormat="1" ht="17.25">
      <c r="E5" s="325" t="s">
        <v>575</v>
      </c>
      <c r="F5" s="325" t="s">
        <v>309</v>
      </c>
      <c r="H5" s="325" t="s">
        <v>576</v>
      </c>
      <c r="J5" s="163" t="s">
        <v>11</v>
      </c>
      <c r="K5" s="163"/>
      <c r="L5" s="163"/>
      <c r="M5" s="163"/>
      <c r="O5" s="344" t="s">
        <v>348</v>
      </c>
      <c r="Q5" s="163" t="s">
        <v>53</v>
      </c>
      <c r="R5" s="163"/>
      <c r="S5" s="163"/>
      <c r="T5" s="163"/>
      <c r="V5" s="344" t="s">
        <v>348</v>
      </c>
      <c r="X5" s="163" t="s">
        <v>577</v>
      </c>
      <c r="Y5" s="163"/>
      <c r="Z5" s="163"/>
      <c r="AA5" s="163"/>
      <c r="AC5" s="163" t="s">
        <v>464</v>
      </c>
      <c r="AD5" s="163"/>
      <c r="AE5" s="163"/>
      <c r="AF5" s="163"/>
      <c r="AH5" s="344" t="s">
        <v>348</v>
      </c>
      <c r="AJ5" s="163" t="s">
        <v>578</v>
      </c>
      <c r="AK5" s="163"/>
      <c r="AL5" s="163"/>
      <c r="AM5" s="163"/>
    </row>
    <row r="6" spans="1:40" s="356" customFormat="1">
      <c r="B6" s="357" t="s">
        <v>6</v>
      </c>
      <c r="C6" s="357" t="s">
        <v>579</v>
      </c>
      <c r="D6" s="357"/>
      <c r="E6" s="358" t="s">
        <v>580</v>
      </c>
      <c r="F6" s="358" t="s">
        <v>581</v>
      </c>
      <c r="G6" s="358" t="s">
        <v>582</v>
      </c>
      <c r="H6" s="358" t="s">
        <v>583</v>
      </c>
      <c r="I6" s="357"/>
      <c r="J6" s="359">
        <f>'Input Tab'!C6</f>
        <v>45657</v>
      </c>
      <c r="K6" s="359" t="s">
        <v>212</v>
      </c>
      <c r="L6" s="360">
        <f>+EOMONTH(J6,12)</f>
        <v>46022</v>
      </c>
      <c r="M6" s="360">
        <f>+EOMONTH(L6,12)</f>
        <v>46387</v>
      </c>
      <c r="N6" s="357"/>
      <c r="O6" s="358" t="str">
        <f>"'"&amp;RIGHT(YEAR(J6),2)&amp;"A-'"&amp;RIGHT(YEAR(M6),2)&amp;"E"</f>
        <v>'24A-'26E</v>
      </c>
      <c r="P6" s="357"/>
      <c r="Q6" s="359">
        <f>+J6</f>
        <v>45657</v>
      </c>
      <c r="R6" s="359" t="str">
        <f>+K6</f>
        <v>LTM</v>
      </c>
      <c r="S6" s="360">
        <f>+L6</f>
        <v>46022</v>
      </c>
      <c r="T6" s="360">
        <f>+M6</f>
        <v>46387</v>
      </c>
      <c r="U6" s="357"/>
      <c r="V6" s="358" t="str">
        <f>"'"&amp;RIGHT(YEAR(Q6),2)&amp;"A-'"&amp;RIGHT(YEAR(T6),2)&amp;"E"</f>
        <v>'24A-'26E</v>
      </c>
      <c r="W6" s="357"/>
      <c r="X6" s="359">
        <f>+Q6</f>
        <v>45657</v>
      </c>
      <c r="Y6" s="359" t="str">
        <f>+R6</f>
        <v>LTM</v>
      </c>
      <c r="Z6" s="360">
        <f t="shared" ref="Z6:AA6" si="0">+S6</f>
        <v>46022</v>
      </c>
      <c r="AA6" s="360">
        <f t="shared" si="0"/>
        <v>46387</v>
      </c>
      <c r="AB6" s="357"/>
      <c r="AC6" s="359">
        <f>+Q6</f>
        <v>45657</v>
      </c>
      <c r="AD6" s="359" t="str">
        <f>+Y6</f>
        <v>LTM</v>
      </c>
      <c r="AE6" s="360">
        <f t="shared" ref="AE6:AF6" si="1">+S6</f>
        <v>46022</v>
      </c>
      <c r="AF6" s="360">
        <f t="shared" si="1"/>
        <v>46387</v>
      </c>
      <c r="AG6" s="357"/>
      <c r="AH6" s="358" t="str">
        <f>"'"&amp;RIGHT(YEAR(AC6),2)&amp;"A-'"&amp;RIGHT(YEAR(AF6),2)&amp;"E"</f>
        <v>'24A-'26E</v>
      </c>
      <c r="AI6" s="357"/>
      <c r="AJ6" s="359">
        <f>+AC6</f>
        <v>45657</v>
      </c>
      <c r="AK6" s="359" t="str">
        <f>+AD6</f>
        <v>LTM</v>
      </c>
      <c r="AL6" s="360">
        <f t="shared" ref="AL6:AM6" si="2">+AE6</f>
        <v>46022</v>
      </c>
      <c r="AM6" s="360">
        <f t="shared" si="2"/>
        <v>46387</v>
      </c>
      <c r="AN6" s="361"/>
    </row>
    <row r="7" spans="1:40">
      <c r="AN7" s="327"/>
    </row>
    <row r="8" spans="1:40">
      <c r="B8" s="391" t="s">
        <v>569</v>
      </c>
      <c r="C8" t="str">
        <f>+HLOOKUP($B8,INPUTS,MATCH(C$1,METRICS,0),FALSE)</f>
        <v>McDonald's 
Corporation</v>
      </c>
      <c r="E8" s="328">
        <f t="shared" ref="E8:F10" si="3">+HLOOKUP($B8,INPUTS,MATCH(E$1,METRICS,0),FALSE)</f>
        <v>256849.37829616002</v>
      </c>
      <c r="F8" s="328">
        <f t="shared" si="3"/>
        <v>219510.37829616002</v>
      </c>
      <c r="G8" s="329">
        <f t="shared" ref="G8:G10" si="4">+HLOOKUP($B8,INPUTS,MATCH(G$1,METRICS,0),FALSE)</f>
        <v>305.44</v>
      </c>
      <c r="H8" s="330">
        <f>+HLOOKUP($B8,INPUTS,MATCH(H$1,METRICS,0),FALSE)/R8</f>
        <v>2.9991164658634539</v>
      </c>
      <c r="J8" s="328">
        <f t="shared" ref="J8:M10" si="5">+HLOOKUP($B8,INPUTS,MATCH(J$1,METRICS,0),FALSE)</f>
        <v>25920</v>
      </c>
      <c r="K8" s="328">
        <f t="shared" si="5"/>
        <v>25920</v>
      </c>
      <c r="L8" s="328">
        <f t="shared" si="5"/>
        <v>26547.633000000002</v>
      </c>
      <c r="M8" s="328">
        <f t="shared" si="5"/>
        <v>27957.70451</v>
      </c>
      <c r="O8" s="345">
        <f>+(M8/J8)^(1/(YEAR(M$6)-YEAR(J$6)))-1</f>
        <v>3.8563981241750867E-2</v>
      </c>
      <c r="Q8" s="328">
        <f t="shared" ref="Q8:T10" si="6">+HLOOKUP($B8,INPUTS,MATCH(Q$1,METRICS,0),FALSE)</f>
        <v>12450</v>
      </c>
      <c r="R8" s="328">
        <f t="shared" si="6"/>
        <v>12450</v>
      </c>
      <c r="S8" s="328">
        <f t="shared" si="6"/>
        <v>14703.620989999999</v>
      </c>
      <c r="T8" s="328">
        <f t="shared" si="6"/>
        <v>15673.658019999999</v>
      </c>
      <c r="V8" s="345">
        <f>+(T8/Q8)^(1/(YEAR(T$6)-YEAR(Q$6)))-1</f>
        <v>0.12201976587762497</v>
      </c>
      <c r="X8" s="302">
        <f t="shared" ref="X8:AA10" si="7">+Q8/J8</f>
        <v>0.48032407407407407</v>
      </c>
      <c r="Y8" s="302">
        <f t="shared" si="7"/>
        <v>0.48032407407407407</v>
      </c>
      <c r="Z8" s="302">
        <f t="shared" si="7"/>
        <v>0.55385807804409526</v>
      </c>
      <c r="AA8" s="302">
        <f t="shared" si="7"/>
        <v>0.56062034758232016</v>
      </c>
      <c r="AC8" s="328">
        <f t="shared" ref="AC8:AF10" si="8">+HLOOKUP($B8,INPUTS,MATCH(AC$1,METRICS,0),FALSE)</f>
        <v>8859.0490091831798</v>
      </c>
      <c r="AD8" s="328">
        <f t="shared" si="8"/>
        <v>8859.0490091831798</v>
      </c>
      <c r="AE8" s="328">
        <f t="shared" si="8"/>
        <v>8772.1374899999992</v>
      </c>
      <c r="AF8" s="328">
        <f t="shared" si="8"/>
        <v>9380.8544000000002</v>
      </c>
      <c r="AH8" s="345">
        <f>+(AF8/AC8)^(1/(YEAR(AF$6)-YEAR(AC$6)))-1</f>
        <v>2.9029074310089165E-2</v>
      </c>
      <c r="AJ8" s="4">
        <f>+AC8/J8</f>
        <v>0.34178429819379552</v>
      </c>
      <c r="AK8" s="4">
        <f t="shared" ref="AJ8:AM10" si="9">+AD8/K8</f>
        <v>0.34178429819379552</v>
      </c>
      <c r="AL8" s="4">
        <f t="shared" si="9"/>
        <v>0.33043011744210865</v>
      </c>
      <c r="AM8" s="4">
        <f t="shared" si="9"/>
        <v>0.33553736132537731</v>
      </c>
    </row>
    <row r="9" spans="1:40">
      <c r="B9" s="391" t="s">
        <v>568</v>
      </c>
      <c r="C9" t="str">
        <f>+HLOOKUP($B9,INPUTS,MATCH(C$1,METRICS,0),FALSE)</f>
        <v xml:space="preserve">Restaurant Brands 
International Inc. </v>
      </c>
      <c r="E9" s="331">
        <f t="shared" si="3"/>
        <v>37958.848915349998</v>
      </c>
      <c r="F9" s="331">
        <f t="shared" si="3"/>
        <v>21826.848915350001</v>
      </c>
      <c r="G9" s="332">
        <f t="shared" si="4"/>
        <v>67</v>
      </c>
      <c r="H9" s="330">
        <f>+HLOOKUP($B9,INPUTS,MATCH(H$1,METRICS,0),FALSE)/R9</f>
        <v>6.0510127531882967</v>
      </c>
      <c r="J9" s="331">
        <f t="shared" si="5"/>
        <v>8406</v>
      </c>
      <c r="K9" s="331">
        <f t="shared" si="5"/>
        <v>8406</v>
      </c>
      <c r="L9" s="331">
        <f t="shared" si="5"/>
        <v>9262.2999999999993</v>
      </c>
      <c r="M9" s="331">
        <f t="shared" si="5"/>
        <v>9584.26</v>
      </c>
      <c r="O9" s="345">
        <f t="shared" ref="O9:O10" si="10">+(M9/J9)^(1/(YEAR(M$6)-YEAR(J$6)))-1</f>
        <v>6.7786929568317777E-2</v>
      </c>
      <c r="Q9" s="331">
        <f t="shared" si="6"/>
        <v>2666</v>
      </c>
      <c r="R9" s="331">
        <f t="shared" si="6"/>
        <v>2666</v>
      </c>
      <c r="S9" s="331">
        <f t="shared" si="6"/>
        <v>2878.7599999999998</v>
      </c>
      <c r="T9" s="331">
        <f t="shared" si="6"/>
        <v>3055.0299999999997</v>
      </c>
      <c r="V9" s="345">
        <f t="shared" ref="V9:V10" si="11">+(T9/Q9)^(1/(YEAR(T$6)-YEAR(Q$6)))-1</f>
        <v>7.047780485289401E-2</v>
      </c>
      <c r="X9" s="302">
        <f t="shared" si="7"/>
        <v>0.31715441351415657</v>
      </c>
      <c r="Y9" s="302">
        <f t="shared" si="7"/>
        <v>0.31715441351415657</v>
      </c>
      <c r="Z9" s="302">
        <f t="shared" si="7"/>
        <v>0.31080401196247154</v>
      </c>
      <c r="AA9" s="302">
        <f t="shared" si="7"/>
        <v>0.31875491691585994</v>
      </c>
      <c r="AC9" s="331">
        <f t="shared" si="8"/>
        <v>1424.579325594251</v>
      </c>
      <c r="AD9" s="331">
        <f t="shared" si="8"/>
        <v>1424.579325594251</v>
      </c>
      <c r="AE9" s="331">
        <f t="shared" si="8"/>
        <v>1693.46</v>
      </c>
      <c r="AF9" s="331">
        <f t="shared" si="8"/>
        <v>1820.71</v>
      </c>
      <c r="AH9" s="345">
        <f t="shared" ref="AH9:AH10" si="12">+(AF9/AC9)^(1/(YEAR(AF$6)-YEAR(AC$6)))-1</f>
        <v>0.13051692902833945</v>
      </c>
      <c r="AJ9" s="4">
        <f t="shared" si="9"/>
        <v>0.16947172562386997</v>
      </c>
      <c r="AK9" s="4">
        <f t="shared" si="9"/>
        <v>0.16947172562386997</v>
      </c>
      <c r="AL9" s="4">
        <f t="shared" si="9"/>
        <v>0.18283363743346687</v>
      </c>
      <c r="AM9" s="4">
        <f t="shared" si="9"/>
        <v>0.18996876128151782</v>
      </c>
    </row>
    <row r="10" spans="1:40">
      <c r="B10" s="391" t="s">
        <v>571</v>
      </c>
      <c r="C10" t="str">
        <f>+HLOOKUP($B10,INPUTS,MATCH(C$1,METRICS,0),FALSE)</f>
        <v>Keurig Dr Pepper</v>
      </c>
      <c r="E10" s="331">
        <f t="shared" si="3"/>
        <v>60587.066004319997</v>
      </c>
      <c r="F10" s="331">
        <f t="shared" si="3"/>
        <v>45623.066004319997</v>
      </c>
      <c r="G10" s="332">
        <f t="shared" si="4"/>
        <v>33.32</v>
      </c>
      <c r="H10" s="330">
        <f>+HLOOKUP($B10,INPUTS,MATCH(H$1,METRICS,0),FALSE)/R10</f>
        <v>4.5018050541516246</v>
      </c>
      <c r="J10" s="331">
        <f t="shared" si="5"/>
        <v>15351</v>
      </c>
      <c r="K10" s="331">
        <f t="shared" si="5"/>
        <v>15351</v>
      </c>
      <c r="L10" s="331">
        <f t="shared" si="5"/>
        <v>16097.66</v>
      </c>
      <c r="M10" s="331">
        <f t="shared" si="5"/>
        <v>16731.25</v>
      </c>
      <c r="O10" s="345">
        <f t="shared" si="10"/>
        <v>4.3988845376115249E-2</v>
      </c>
      <c r="Q10" s="331">
        <f t="shared" si="6"/>
        <v>3324</v>
      </c>
      <c r="R10" s="331">
        <f t="shared" si="6"/>
        <v>3324</v>
      </c>
      <c r="S10" s="331">
        <f t="shared" si="6"/>
        <v>4937.54</v>
      </c>
      <c r="T10" s="331">
        <f t="shared" si="6"/>
        <v>5312.73</v>
      </c>
      <c r="V10" s="345">
        <f t="shared" si="11"/>
        <v>0.26423661702495971</v>
      </c>
      <c r="X10" s="302">
        <f t="shared" si="7"/>
        <v>0.21653312487785811</v>
      </c>
      <c r="Y10" s="302">
        <f t="shared" si="7"/>
        <v>0.21653312487785811</v>
      </c>
      <c r="Z10" s="302">
        <f t="shared" si="7"/>
        <v>0.30672408287912656</v>
      </c>
      <c r="AA10" s="302">
        <f t="shared" si="7"/>
        <v>0.31753335823683226</v>
      </c>
      <c r="AC10" s="331">
        <f t="shared" si="8"/>
        <v>1441</v>
      </c>
      <c r="AD10" s="331">
        <f t="shared" si="8"/>
        <v>1441</v>
      </c>
      <c r="AE10" s="331">
        <f t="shared" si="8"/>
        <v>2462.91</v>
      </c>
      <c r="AF10" s="331">
        <f t="shared" si="8"/>
        <v>2706.93</v>
      </c>
      <c r="AH10" s="345">
        <f t="shared" si="12"/>
        <v>0.37058672858343744</v>
      </c>
      <c r="AJ10" s="4">
        <f t="shared" si="9"/>
        <v>9.3870106182007682E-2</v>
      </c>
      <c r="AK10" s="4">
        <f t="shared" si="9"/>
        <v>9.3870106182007682E-2</v>
      </c>
      <c r="AL10" s="4">
        <f t="shared" si="9"/>
        <v>0.15299801337585711</v>
      </c>
      <c r="AM10" s="4">
        <f t="shared" si="9"/>
        <v>0.1617888681359731</v>
      </c>
    </row>
    <row r="11" spans="1:40">
      <c r="B11" s="465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</row>
    <row r="12" spans="1:40" s="333" customFormat="1">
      <c r="B12" s="466" t="s">
        <v>584</v>
      </c>
      <c r="C12" s="334"/>
      <c r="D12" s="334"/>
      <c r="E12" s="334"/>
      <c r="F12" s="334"/>
      <c r="G12" s="334"/>
      <c r="H12" s="335">
        <f>+AVERAGE(H8:H10)</f>
        <v>4.5173114244011252</v>
      </c>
      <c r="I12" s="334"/>
      <c r="J12" s="336"/>
      <c r="K12" s="336"/>
      <c r="L12" s="334"/>
      <c r="M12" s="334"/>
      <c r="N12" s="334"/>
      <c r="O12" s="346">
        <f>+AVERAGE(O8:O10)</f>
        <v>5.0113252062061298E-2</v>
      </c>
      <c r="P12" s="334"/>
      <c r="Q12" s="334"/>
      <c r="R12" s="334"/>
      <c r="S12" s="334"/>
      <c r="T12" s="334"/>
      <c r="U12" s="334"/>
      <c r="V12" s="346">
        <f>+AVERAGE(V8:V10)</f>
        <v>0.15224472925182622</v>
      </c>
      <c r="W12" s="334"/>
      <c r="X12" s="346">
        <f>+AVERAGE(X8:X10)</f>
        <v>0.3380038708220296</v>
      </c>
      <c r="Y12" s="346">
        <f>+AVERAGE(Y8:Y10)</f>
        <v>0.3380038708220296</v>
      </c>
      <c r="Z12" s="346">
        <f>+AVERAGE(Z8:Z10)</f>
        <v>0.39046205762856445</v>
      </c>
      <c r="AA12" s="346">
        <f>+AVERAGE(AA8:AA10)</f>
        <v>0.39896954091167075</v>
      </c>
      <c r="AB12" s="334"/>
      <c r="AC12" s="334"/>
      <c r="AD12" s="334"/>
      <c r="AE12" s="334"/>
      <c r="AF12" s="334"/>
      <c r="AG12" s="334"/>
      <c r="AH12" s="346">
        <f>+AVERAGE(AH8:AH10)</f>
        <v>0.17671091064062203</v>
      </c>
      <c r="AI12" s="334"/>
      <c r="AJ12" s="346">
        <f>+AVERAGE(AJ8:AJ10)</f>
        <v>0.20170870999989107</v>
      </c>
      <c r="AK12" s="346">
        <f>+AVERAGE(AK8:AK10)</f>
        <v>0.20170870999989107</v>
      </c>
      <c r="AL12" s="346">
        <f>+AVERAGE(AL8:AL10)</f>
        <v>0.22208725608381089</v>
      </c>
      <c r="AM12" s="346">
        <f>+AVERAGE(AM8:AM10)</f>
        <v>0.22909833024762274</v>
      </c>
      <c r="AN12" s="334"/>
    </row>
    <row r="13" spans="1:40" s="333" customFormat="1">
      <c r="B13" s="466" t="s">
        <v>585</v>
      </c>
      <c r="C13" s="334"/>
      <c r="D13" s="334"/>
      <c r="E13" s="334"/>
      <c r="F13" s="334"/>
      <c r="G13" s="334"/>
      <c r="H13" s="335">
        <f>+MEDIAN(H8:H10)</f>
        <v>4.5018050541516246</v>
      </c>
      <c r="I13" s="334"/>
      <c r="J13" s="334"/>
      <c r="K13" s="334"/>
      <c r="L13" s="334"/>
      <c r="M13" s="334"/>
      <c r="N13" s="334"/>
      <c r="O13" s="346">
        <f>+MEDIAN(O8:O10)</f>
        <v>4.3988845376115249E-2</v>
      </c>
      <c r="P13" s="334"/>
      <c r="Q13" s="334"/>
      <c r="R13" s="334"/>
      <c r="S13" s="334"/>
      <c r="T13" s="334"/>
      <c r="U13" s="334"/>
      <c r="V13" s="346">
        <f>+MEDIAN(V8:V10)</f>
        <v>0.12201976587762497</v>
      </c>
      <c r="W13" s="334"/>
      <c r="X13" s="346">
        <f>+MEDIAN(X8:X10)</f>
        <v>0.31715441351415657</v>
      </c>
      <c r="Y13" s="346">
        <f>+MEDIAN(Y8:Y10)</f>
        <v>0.31715441351415657</v>
      </c>
      <c r="Z13" s="346">
        <f>+MEDIAN(Z8:Z10)</f>
        <v>0.31080401196247154</v>
      </c>
      <c r="AA13" s="346">
        <f>+MEDIAN(AA8:AA10)</f>
        <v>0.31875491691585994</v>
      </c>
      <c r="AB13" s="334"/>
      <c r="AC13" s="334"/>
      <c r="AD13" s="334"/>
      <c r="AE13" s="334"/>
      <c r="AF13" s="334"/>
      <c r="AG13" s="334"/>
      <c r="AH13" s="346">
        <f>+MEDIAN(AH8:AH10)</f>
        <v>0.13051692902833945</v>
      </c>
      <c r="AI13" s="334"/>
      <c r="AJ13" s="346">
        <f>+MEDIAN(AJ8:AJ10)</f>
        <v>0.16947172562386997</v>
      </c>
      <c r="AK13" s="346">
        <f>+MEDIAN(AK8:AK10)</f>
        <v>0.16947172562386997</v>
      </c>
      <c r="AL13" s="346">
        <f>+MEDIAN(AL8:AL10)</f>
        <v>0.18283363743346687</v>
      </c>
      <c r="AM13" s="346">
        <f>+MEDIAN(AM8:AM10)</f>
        <v>0.18996876128151782</v>
      </c>
      <c r="AN13" s="334"/>
    </row>
    <row r="14" spans="1:40" s="333" customFormat="1">
      <c r="B14" s="466" t="s">
        <v>586</v>
      </c>
      <c r="C14" s="334"/>
      <c r="D14" s="334"/>
      <c r="E14" s="334"/>
      <c r="F14" s="334"/>
      <c r="G14" s="334"/>
      <c r="H14" s="335">
        <f>+MAX(H8:H10)</f>
        <v>6.0510127531882967</v>
      </c>
      <c r="I14" s="334"/>
      <c r="J14" s="334"/>
      <c r="K14" s="334"/>
      <c r="L14" s="334"/>
      <c r="M14" s="334"/>
      <c r="N14" s="334"/>
      <c r="O14" s="346">
        <f>+MAX(O8:O10)</f>
        <v>6.7786929568317777E-2</v>
      </c>
      <c r="P14" s="334"/>
      <c r="Q14" s="334"/>
      <c r="R14" s="334"/>
      <c r="S14" s="334"/>
      <c r="T14" s="334"/>
      <c r="U14" s="334"/>
      <c r="V14" s="346">
        <f>+MAX(V8:V10)</f>
        <v>0.26423661702495971</v>
      </c>
      <c r="W14" s="334"/>
      <c r="X14" s="346">
        <f>+MAX(X8:X10)</f>
        <v>0.48032407407407407</v>
      </c>
      <c r="Y14" s="346">
        <f>+MAX(Y8:Y10)</f>
        <v>0.48032407407407407</v>
      </c>
      <c r="Z14" s="346">
        <f>+MAX(Z8:Z10)</f>
        <v>0.55385807804409526</v>
      </c>
      <c r="AA14" s="346">
        <f>+MAX(AA8:AA10)</f>
        <v>0.56062034758232016</v>
      </c>
      <c r="AB14" s="334"/>
      <c r="AC14" s="334"/>
      <c r="AD14" s="334"/>
      <c r="AE14" s="334"/>
      <c r="AF14" s="334"/>
      <c r="AG14" s="334"/>
      <c r="AH14" s="346">
        <f>+MAX(AH8:AH10)</f>
        <v>0.37058672858343744</v>
      </c>
      <c r="AI14" s="334"/>
      <c r="AJ14" s="346">
        <f>+MAX(AJ8:AJ10)</f>
        <v>0.34178429819379552</v>
      </c>
      <c r="AK14" s="346">
        <f>+MAX(AK8:AK10)</f>
        <v>0.34178429819379552</v>
      </c>
      <c r="AL14" s="346">
        <f>+MAX(AL8:AL10)</f>
        <v>0.33043011744210865</v>
      </c>
      <c r="AM14" s="346">
        <f>+MAX(AM8:AM10)</f>
        <v>0.33553736132537731</v>
      </c>
      <c r="AN14" s="334"/>
    </row>
    <row r="15" spans="1:40" s="333" customFormat="1">
      <c r="B15" s="467" t="s">
        <v>587</v>
      </c>
      <c r="C15" s="337"/>
      <c r="D15" s="337"/>
      <c r="E15" s="337"/>
      <c r="F15" s="337"/>
      <c r="G15" s="337"/>
      <c r="H15" s="338">
        <f>+MIN(H8:H10)</f>
        <v>2.9991164658634539</v>
      </c>
      <c r="I15" s="337"/>
      <c r="J15" s="337"/>
      <c r="K15" s="337"/>
      <c r="L15" s="337"/>
      <c r="M15" s="337"/>
      <c r="N15" s="337"/>
      <c r="O15" s="347">
        <f>+MIN(O8:O10)</f>
        <v>3.8563981241750867E-2</v>
      </c>
      <c r="P15" s="337"/>
      <c r="Q15" s="337"/>
      <c r="R15" s="337"/>
      <c r="S15" s="337"/>
      <c r="T15" s="337"/>
      <c r="U15" s="337"/>
      <c r="V15" s="347">
        <f>+MIN(V8:V10)</f>
        <v>7.047780485289401E-2</v>
      </c>
      <c r="W15" s="337"/>
      <c r="X15" s="347">
        <f>+MIN(X8:X10)</f>
        <v>0.21653312487785811</v>
      </c>
      <c r="Y15" s="347">
        <f>+MIN(Y8:Y10)</f>
        <v>0.21653312487785811</v>
      </c>
      <c r="Z15" s="347">
        <f>+MIN(Z8:Z10)</f>
        <v>0.30672408287912656</v>
      </c>
      <c r="AA15" s="347">
        <f>+MIN(AA8:AA10)</f>
        <v>0.31753335823683226</v>
      </c>
      <c r="AB15" s="337"/>
      <c r="AC15" s="337"/>
      <c r="AD15" s="337"/>
      <c r="AE15" s="337"/>
      <c r="AF15" s="337"/>
      <c r="AG15" s="337"/>
      <c r="AH15" s="347">
        <f>+MIN(AH8:AH10)</f>
        <v>2.9029074310089165E-2</v>
      </c>
      <c r="AI15" s="337"/>
      <c r="AJ15" s="347">
        <f>+MIN(AJ8:AJ10)</f>
        <v>9.3870106182007682E-2</v>
      </c>
      <c r="AK15" s="347">
        <f>+MIN(AK8:AK10)</f>
        <v>9.3870106182007682E-2</v>
      </c>
      <c r="AL15" s="347">
        <f>+MIN(AL8:AL10)</f>
        <v>0.15299801337585711</v>
      </c>
      <c r="AM15" s="347">
        <f>+MIN(AM8:AM10)</f>
        <v>0.1617888681359731</v>
      </c>
      <c r="AN15" s="337"/>
    </row>
    <row r="16" spans="1:40">
      <c r="B16" s="80"/>
    </row>
    <row r="17" spans="2:40" s="333" customFormat="1">
      <c r="B17" s="468" t="s">
        <v>147</v>
      </c>
      <c r="C17" s="339" t="str">
        <f>+HLOOKUP($B17,INPUTS,MATCH(C$1,METRICS,0),FALSE)</f>
        <v>Starbucks 
Corporation</v>
      </c>
      <c r="D17" s="339"/>
      <c r="E17" s="340">
        <f>+HLOOKUP($B17,INPUTS,MATCH(E$1,METRICS,0),FALSE)</f>
        <v>132918.68099999998</v>
      </c>
      <c r="F17" s="340">
        <f>+HLOOKUP($B17,INPUTS,MATCH(F$1,METRICS,0),FALSE)</f>
        <v>111224.58099999999</v>
      </c>
      <c r="G17" s="341">
        <f>+HLOOKUP($B17,INPUTS,MATCH(G$1,METRICS,0),FALSE)</f>
        <v>97.07</v>
      </c>
      <c r="H17" s="342">
        <f>+HLOOKUP($B17,INPUTS,MATCH(H$1,METRICS,0),FALSE)/R17</f>
        <v>3.2869848484848481</v>
      </c>
      <c r="I17" s="339"/>
      <c r="J17" s="340">
        <f>+HLOOKUP($B17,INPUTS,MATCH(J$1,METRICS,0),FALSE)</f>
        <v>36492.517787499994</v>
      </c>
      <c r="K17" s="340">
        <f>+HLOOKUP($B17,INPUTS,MATCH(K$1,METRICS,0),FALSE)</f>
        <v>36148.699999999997</v>
      </c>
      <c r="L17" s="340">
        <f>+HLOOKUP($B17,INPUTS,MATCH(L$1,METRICS,0),FALSE)</f>
        <v>38091.127605000001</v>
      </c>
      <c r="M17" s="340">
        <f>+HLOOKUP($B17,INPUTS,MATCH(M$1,METRICS,0),FALSE)</f>
        <v>40928.548694999998</v>
      </c>
      <c r="N17" s="339"/>
      <c r="O17" s="348">
        <f t="shared" ref="O17" si="13">+(M17/J17)^(1/(YEAR(M$6)-YEAR(J$6)))-1</f>
        <v>5.9037304442658645E-2</v>
      </c>
      <c r="P17" s="339"/>
      <c r="Q17" s="340">
        <f>+HLOOKUP($B17,INPUTS,MATCH(Q$1,METRICS,0),FALSE)</f>
        <v>6842.5312399999993</v>
      </c>
      <c r="R17" s="340">
        <f>+HLOOKUP($B17,INPUTS,MATCH(R$1,METRICS,0),FALSE)</f>
        <v>6600</v>
      </c>
      <c r="S17" s="340">
        <f>+HLOOKUP($B17,INPUTS,MATCH(S$1,METRICS,0),FALSE)</f>
        <v>6894.3145674999996</v>
      </c>
      <c r="T17" s="340">
        <f>+HLOOKUP($B17,INPUTS,MATCH(T$1,METRICS,0),FALSE)</f>
        <v>8046.3472374999992</v>
      </c>
      <c r="U17" s="339"/>
      <c r="V17" s="348">
        <f t="shared" ref="V17" si="14">+(T17/Q17)^(1/(YEAR(T$6)-YEAR(Q$6)))-1</f>
        <v>8.4403700165636808E-2</v>
      </c>
      <c r="W17" s="339"/>
      <c r="X17" s="348">
        <f>+Q17/J17</f>
        <v>0.18750504637265158</v>
      </c>
      <c r="Y17" s="348">
        <f>+R17/K17</f>
        <v>0.18257917988752018</v>
      </c>
      <c r="Z17" s="348">
        <f t="shared" ref="Z17:AA17" si="15">+S17/L17</f>
        <v>0.18099528685506866</v>
      </c>
      <c r="AA17" s="348">
        <f t="shared" si="15"/>
        <v>0.19659498062004271</v>
      </c>
      <c r="AB17" s="339"/>
      <c r="AC17" s="340">
        <f>+HLOOKUP($B17,INPUTS,MATCH(AC$1,METRICS,0),FALSE)</f>
        <v>3655.3771424999995</v>
      </c>
      <c r="AD17" s="340">
        <f>+HLOOKUP($B17,INPUTS,MATCH(AD$1,METRICS,0),FALSE)</f>
        <v>3518.7999999999997</v>
      </c>
      <c r="AE17" s="340">
        <f>+HLOOKUP($B17,INPUTS,MATCH(AE$1,METRICS,0),FALSE)</f>
        <v>3525.2745024999995</v>
      </c>
      <c r="AF17" s="340">
        <f>+HLOOKUP($B17,INPUTS,MATCH(AF$1,METRICS,0),FALSE)</f>
        <v>4277.8784099999993</v>
      </c>
      <c r="AG17" s="339"/>
      <c r="AH17" s="348">
        <f t="shared" ref="AH17" si="16">+(AF17/AC17)^(1/(YEAR(AF$6)-YEAR(AC$6)))-1</f>
        <v>8.1802852680619376E-2</v>
      </c>
      <c r="AI17" s="339"/>
      <c r="AJ17" s="348">
        <f>+AC17/J17</f>
        <v>0.10016785259339103</v>
      </c>
      <c r="AK17" s="348">
        <f>+AD17/K17</f>
        <v>9.7342366392152421E-2</v>
      </c>
      <c r="AL17" s="348">
        <f t="shared" ref="AL17:AM17" si="17">+AE17/L17</f>
        <v>9.2548441701611819E-2</v>
      </c>
      <c r="AM17" s="348">
        <f t="shared" si="17"/>
        <v>0.10452064747955754</v>
      </c>
      <c r="AN17" s="339"/>
    </row>
    <row r="21" spans="2:40">
      <c r="O21" s="343"/>
      <c r="V21" s="343"/>
      <c r="AH21" s="3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2209-F32F-43D7-9922-D5616857EF11}">
  <dimension ref="A1:X42"/>
  <sheetViews>
    <sheetView topLeftCell="A30" zoomScaleNormal="100" workbookViewId="0">
      <selection activeCell="X36" sqref="X36"/>
    </sheetView>
  </sheetViews>
  <sheetFormatPr defaultRowHeight="15" outlineLevelRow="1"/>
  <cols>
    <col min="1" max="1" width="2.85546875" customWidth="1"/>
    <col min="2" max="3" width="35" bestFit="1" customWidth="1"/>
    <col min="4" max="4" width="0.7109375" customWidth="1"/>
    <col min="5" max="6" width="11.42578125" bestFit="1" customWidth="1"/>
    <col min="7" max="7" width="10.7109375" customWidth="1"/>
    <col min="8" max="8" width="0.7109375" customWidth="1"/>
    <col min="9" max="11" width="10.7109375" customWidth="1"/>
    <col min="12" max="12" width="2.28515625" customWidth="1"/>
    <col min="13" max="15" width="10.7109375" customWidth="1"/>
    <col min="16" max="16" width="2.28515625" customWidth="1"/>
    <col min="17" max="19" width="10.7109375" customWidth="1"/>
    <col min="20" max="20" width="0.7109375" customWidth="1"/>
    <col min="21" max="21" width="2.28515625" customWidth="1"/>
    <col min="22" max="22" width="12.7109375" customWidth="1"/>
  </cols>
  <sheetData>
    <row r="1" spans="1:24" ht="15.75" outlineLevel="1" thickBot="1">
      <c r="C1" s="69"/>
      <c r="D1" s="69"/>
      <c r="E1" s="69"/>
      <c r="F1" s="69"/>
      <c r="G1" s="69"/>
      <c r="I1" s="69"/>
      <c r="J1" s="69"/>
      <c r="K1" s="69"/>
      <c r="M1" s="69"/>
      <c r="N1" s="69"/>
      <c r="O1" s="69"/>
      <c r="V1" s="388" t="s">
        <v>478</v>
      </c>
    </row>
    <row r="2" spans="1:24" s="44" customFormat="1" ht="15.75" thickBot="1">
      <c r="A2" s="44" t="s">
        <v>588</v>
      </c>
    </row>
    <row r="3" spans="1:24">
      <c r="A3" s="9" t="s">
        <v>367</v>
      </c>
    </row>
    <row r="4" spans="1:24">
      <c r="V4" s="500"/>
      <c r="W4" s="500"/>
      <c r="X4" s="500"/>
    </row>
    <row r="5" spans="1:24" s="13" customFormat="1" ht="17.25">
      <c r="E5" s="325" t="s">
        <v>575</v>
      </c>
      <c r="F5" s="325" t="s">
        <v>309</v>
      </c>
      <c r="I5" s="163" t="s">
        <v>270</v>
      </c>
      <c r="J5" s="163"/>
      <c r="K5" s="163"/>
      <c r="M5" s="163" t="s">
        <v>589</v>
      </c>
      <c r="N5" s="163"/>
      <c r="O5" s="163"/>
      <c r="Q5" s="163" t="s">
        <v>590</v>
      </c>
      <c r="R5" s="163"/>
      <c r="S5" s="163"/>
      <c r="V5" s="512"/>
      <c r="W5" s="512"/>
      <c r="X5" s="499"/>
    </row>
    <row r="6" spans="1:24" s="356" customFormat="1">
      <c r="B6" s="357" t="s">
        <v>6</v>
      </c>
      <c r="C6" s="357" t="s">
        <v>579</v>
      </c>
      <c r="D6" s="357"/>
      <c r="E6" s="358" t="s">
        <v>580</v>
      </c>
      <c r="F6" s="358" t="s">
        <v>581</v>
      </c>
      <c r="G6" s="358" t="s">
        <v>582</v>
      </c>
      <c r="H6" s="357"/>
      <c r="I6" s="359" t="s">
        <v>212</v>
      </c>
      <c r="J6" s="360">
        <f>+'Operating Metrics'!L6</f>
        <v>46022</v>
      </c>
      <c r="K6" s="360">
        <f>+EOMONTH(J6,12)</f>
        <v>46387</v>
      </c>
      <c r="L6" s="357"/>
      <c r="M6" s="359" t="str">
        <f>+I6</f>
        <v>LTM</v>
      </c>
      <c r="N6" s="360">
        <f t="shared" ref="N6:O6" si="0">+J6</f>
        <v>46022</v>
      </c>
      <c r="O6" s="360">
        <f t="shared" si="0"/>
        <v>46387</v>
      </c>
      <c r="P6" s="357"/>
      <c r="Q6" s="359" t="str">
        <f>+M6</f>
        <v>LTM</v>
      </c>
      <c r="R6" s="360">
        <f t="shared" ref="R6:S6" si="1">+N6</f>
        <v>46022</v>
      </c>
      <c r="S6" s="360">
        <f t="shared" si="1"/>
        <v>46387</v>
      </c>
      <c r="T6" s="361"/>
      <c r="V6" s="513"/>
      <c r="W6" s="513"/>
      <c r="X6" s="513"/>
    </row>
    <row r="7" spans="1:24">
      <c r="T7" s="327"/>
      <c r="V7" s="500"/>
      <c r="W7" s="500"/>
      <c r="X7" s="500"/>
    </row>
    <row r="8" spans="1:24">
      <c r="B8" s="391" t="s">
        <v>569</v>
      </c>
      <c r="C8" t="str">
        <f>'Operating Metrics'!C8</f>
        <v>McDonald's 
Corporation</v>
      </c>
      <c r="E8" s="328">
        <f>+'Operating Metrics'!E8</f>
        <v>256849.37829616002</v>
      </c>
      <c r="F8" s="328">
        <f>+'Operating Metrics'!F8</f>
        <v>219510.37829616002</v>
      </c>
      <c r="G8" s="329">
        <f>+'Operating Metrics'!G8</f>
        <v>305.44</v>
      </c>
      <c r="I8" s="179">
        <f>+$E8/'Operating Metrics'!K8</f>
        <v>9.9093124342654324</v>
      </c>
      <c r="J8" s="179">
        <f>+$E8/'Operating Metrics'!L8</f>
        <v>9.6750387613148039</v>
      </c>
      <c r="K8" s="179">
        <f>+$E8/'Operating Metrics'!M8</f>
        <v>9.1870696395796489</v>
      </c>
      <c r="M8" s="179">
        <f>+$E8/'Operating Metrics'!R8</f>
        <v>20.630472152302008</v>
      </c>
      <c r="N8" s="179">
        <f>+$E8/'Operating Metrics'!S8</f>
        <v>17.468443893571827</v>
      </c>
      <c r="O8" s="179">
        <f>+$E8/'Operating Metrics'!T8</f>
        <v>16.387328214537632</v>
      </c>
      <c r="Q8" s="179">
        <f>+$F8/'Operating Metrics'!AD8</f>
        <v>24.778097295614721</v>
      </c>
      <c r="R8" s="179">
        <f>+$F8/'Operating Metrics'!AE8</f>
        <v>25.023590720778824</v>
      </c>
      <c r="S8" s="179">
        <f>+$F8/'Operating Metrics'!AF8</f>
        <v>23.399827876676138</v>
      </c>
      <c r="V8" s="514"/>
      <c r="W8" s="515"/>
      <c r="X8" s="500"/>
    </row>
    <row r="9" spans="1:24">
      <c r="B9" s="391" t="s">
        <v>568</v>
      </c>
      <c r="C9" t="str">
        <f>'Operating Metrics'!C9</f>
        <v xml:space="preserve">Restaurant Brands 
International Inc. </v>
      </c>
      <c r="E9" s="331">
        <f>+'Operating Metrics'!E9</f>
        <v>37958.848915349998</v>
      </c>
      <c r="F9" s="331">
        <f>+'Operating Metrics'!F9</f>
        <v>21826.848915350001</v>
      </c>
      <c r="G9" s="332">
        <f>+'Operating Metrics'!G9</f>
        <v>67</v>
      </c>
      <c r="I9" s="179">
        <f>+$E9/'Operating Metrics'!K9</f>
        <v>4.5156850958065666</v>
      </c>
      <c r="J9" s="179">
        <f>+$E9/'Operating Metrics'!L9</f>
        <v>4.0982098307493819</v>
      </c>
      <c r="K9" s="179">
        <f>+$E9/'Operating Metrics'!M9</f>
        <v>3.9605403980432499</v>
      </c>
      <c r="M9" s="179">
        <f>+$E9/'Operating Metrics'!R9</f>
        <v>14.238127875225056</v>
      </c>
      <c r="N9" s="179">
        <f>+$E9/'Operating Metrics'!S9</f>
        <v>13.185833107084301</v>
      </c>
      <c r="O9" s="179">
        <f>+$E9/'Operating Metrics'!T9</f>
        <v>12.425033114355669</v>
      </c>
      <c r="Q9" s="179">
        <f>+$F9/'Operating Metrics'!AD9</f>
        <v>15.32161005231851</v>
      </c>
      <c r="R9" s="179">
        <f>+$F9/'Operating Metrics'!AE9</f>
        <v>12.88890727584354</v>
      </c>
      <c r="S9" s="179">
        <f>+$F9/'Operating Metrics'!AF9</f>
        <v>11.988097453932808</v>
      </c>
      <c r="V9" s="514"/>
      <c r="W9" s="515"/>
      <c r="X9" s="500"/>
    </row>
    <row r="10" spans="1:24">
      <c r="B10" s="391" t="s">
        <v>571</v>
      </c>
      <c r="C10" t="str">
        <f>'Operating Metrics'!C10</f>
        <v>Keurig Dr Pepper</v>
      </c>
      <c r="E10" s="331">
        <f>+'Operating Metrics'!E10</f>
        <v>60587.066004319997</v>
      </c>
      <c r="F10" s="331">
        <f>+'Operating Metrics'!F10</f>
        <v>45623.066004319997</v>
      </c>
      <c r="G10" s="332">
        <f>+'Operating Metrics'!G10</f>
        <v>33.32</v>
      </c>
      <c r="I10" s="179">
        <f>+$E10/'Operating Metrics'!K10</f>
        <v>3.9467830111601847</v>
      </c>
      <c r="J10" s="179">
        <f>+$E10/'Operating Metrics'!L10</f>
        <v>3.7637188264828549</v>
      </c>
      <c r="K10" s="179">
        <f>+$E10/'Operating Metrics'!M10</f>
        <v>3.621191841871946</v>
      </c>
      <c r="M10" s="179">
        <f>+$E10/'Operating Metrics'!R10</f>
        <v>18.227155837641394</v>
      </c>
      <c r="N10" s="179">
        <f>+$E10/'Operating Metrics'!S10</f>
        <v>12.27069876989756</v>
      </c>
      <c r="O10" s="179">
        <f>+$E10/'Operating Metrics'!T10</f>
        <v>11.404130457282792</v>
      </c>
      <c r="Q10" s="179">
        <f>+$F10/'Operating Metrics'!AD10</f>
        <v>31.660698129299096</v>
      </c>
      <c r="R10" s="179">
        <f>+$F10/'Operating Metrics'!AE10</f>
        <v>18.524049195593829</v>
      </c>
      <c r="S10" s="179">
        <f>+$F10/'Operating Metrics'!AF10</f>
        <v>16.854172809906427</v>
      </c>
      <c r="V10" s="514"/>
      <c r="W10" s="515"/>
      <c r="X10" s="500"/>
    </row>
    <row r="11" spans="1:24">
      <c r="B11" s="215"/>
      <c r="C11" s="215"/>
      <c r="D11" s="215"/>
      <c r="E11" s="215"/>
      <c r="F11" s="215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V11" s="516"/>
      <c r="W11" s="500"/>
      <c r="X11" s="500"/>
    </row>
    <row r="12" spans="1:24" s="333" customFormat="1">
      <c r="B12" s="466" t="s">
        <v>584</v>
      </c>
      <c r="C12" s="334"/>
      <c r="D12" s="334"/>
      <c r="E12" s="334"/>
      <c r="F12" s="334"/>
      <c r="G12" s="334"/>
      <c r="H12" s="334"/>
      <c r="I12" s="335">
        <f>+AVERAGE(I8:I10)</f>
        <v>6.1239268470773949</v>
      </c>
      <c r="J12" s="335">
        <f>+AVERAGE(J8:J10)</f>
        <v>5.8456558061823465</v>
      </c>
      <c r="K12" s="335">
        <f>+AVERAGE(K8:K10)</f>
        <v>5.5896006264982816</v>
      </c>
      <c r="L12" s="334"/>
      <c r="M12" s="335">
        <f>+AVERAGE(M8:M10)</f>
        <v>17.698585288389484</v>
      </c>
      <c r="N12" s="335">
        <f>+AVERAGE(N8:N10)</f>
        <v>14.308325256851228</v>
      </c>
      <c r="O12" s="335">
        <f>+AVERAGE(O8:O10)</f>
        <v>13.405497262058697</v>
      </c>
      <c r="P12" s="334"/>
      <c r="Q12" s="335">
        <f>+AVERAGE(Q8:Q10)</f>
        <v>23.920135159077443</v>
      </c>
      <c r="R12" s="335">
        <f>+AVERAGE(R8:R10)</f>
        <v>18.812182397405397</v>
      </c>
      <c r="S12" s="335">
        <f>+AVERAGE(S8:S10)</f>
        <v>17.414032713505122</v>
      </c>
      <c r="T12" s="334"/>
      <c r="V12" s="517"/>
      <c r="W12" s="518"/>
      <c r="X12" s="518"/>
    </row>
    <row r="13" spans="1:24" s="333" customFormat="1">
      <c r="B13" s="466" t="s">
        <v>585</v>
      </c>
      <c r="C13" s="334"/>
      <c r="D13" s="334"/>
      <c r="E13" s="334"/>
      <c r="F13" s="334"/>
      <c r="G13" s="334"/>
      <c r="H13" s="334"/>
      <c r="I13" s="335">
        <f>+MEDIAN(I8:I10)</f>
        <v>4.5156850958065666</v>
      </c>
      <c r="J13" s="335">
        <f>+MEDIAN(J8:J10)</f>
        <v>4.0982098307493819</v>
      </c>
      <c r="K13" s="335">
        <f>+MEDIAN(K8:K10)</f>
        <v>3.9605403980432499</v>
      </c>
      <c r="L13" s="334"/>
      <c r="M13" s="335">
        <f>+MEDIAN(M8:M10)</f>
        <v>18.227155837641394</v>
      </c>
      <c r="N13" s="335">
        <f>+MEDIAN(N8:N10)</f>
        <v>13.185833107084301</v>
      </c>
      <c r="O13" s="335">
        <f>+MEDIAN(O8:O10)</f>
        <v>12.425033114355669</v>
      </c>
      <c r="P13" s="334"/>
      <c r="Q13" s="335">
        <f>+MEDIAN(Q8:Q10)</f>
        <v>24.778097295614721</v>
      </c>
      <c r="R13" s="335">
        <f>+MEDIAN(R8:R10)</f>
        <v>18.524049195593829</v>
      </c>
      <c r="S13" s="335">
        <f>+MEDIAN(S8:S10)</f>
        <v>16.854172809906427</v>
      </c>
      <c r="T13" s="334"/>
      <c r="V13" s="517"/>
      <c r="W13" s="518"/>
      <c r="X13" s="518"/>
    </row>
    <row r="14" spans="1:24" s="333" customFormat="1">
      <c r="B14" s="466" t="s">
        <v>586</v>
      </c>
      <c r="C14" s="334"/>
      <c r="D14" s="334"/>
      <c r="E14" s="334"/>
      <c r="F14" s="334"/>
      <c r="G14" s="334"/>
      <c r="H14" s="334"/>
      <c r="I14" s="335">
        <f>+MAX(I8:I10)</f>
        <v>9.9093124342654324</v>
      </c>
      <c r="J14" s="335">
        <f>+MAX(J8:J10)</f>
        <v>9.6750387613148039</v>
      </c>
      <c r="K14" s="335">
        <f>+MAX(K8:K10)</f>
        <v>9.1870696395796489</v>
      </c>
      <c r="L14" s="334"/>
      <c r="M14" s="335">
        <f>+MAX(M8:M10)</f>
        <v>20.630472152302008</v>
      </c>
      <c r="N14" s="335">
        <f>+MAX(N8:N10)</f>
        <v>17.468443893571827</v>
      </c>
      <c r="O14" s="335">
        <f>+MAX(O8:O10)</f>
        <v>16.387328214537632</v>
      </c>
      <c r="P14" s="334"/>
      <c r="Q14" s="335">
        <f>+MAX(Q8:Q10)</f>
        <v>31.660698129299096</v>
      </c>
      <c r="R14" s="335">
        <f>+MAX(R8:R10)</f>
        <v>25.023590720778824</v>
      </c>
      <c r="S14" s="335">
        <f>+MAX(S8:S10)</f>
        <v>23.399827876676138</v>
      </c>
      <c r="T14" s="334"/>
      <c r="V14" s="517"/>
      <c r="W14" s="518"/>
      <c r="X14" s="518"/>
    </row>
    <row r="15" spans="1:24" s="333" customFormat="1">
      <c r="B15" s="467" t="s">
        <v>587</v>
      </c>
      <c r="C15" s="337"/>
      <c r="D15" s="337"/>
      <c r="E15" s="337"/>
      <c r="F15" s="337"/>
      <c r="G15" s="337"/>
      <c r="H15" s="337"/>
      <c r="I15" s="338">
        <f>+MIN(I8:I10)</f>
        <v>3.9467830111601847</v>
      </c>
      <c r="J15" s="338">
        <f>+MIN(J8:J10)</f>
        <v>3.7637188264828549</v>
      </c>
      <c r="K15" s="338">
        <f>+MIN(K8:K10)</f>
        <v>3.621191841871946</v>
      </c>
      <c r="L15" s="337"/>
      <c r="M15" s="338">
        <f>+MIN(M8:M10)</f>
        <v>14.238127875225056</v>
      </c>
      <c r="N15" s="338">
        <f>+MIN(N8:N10)</f>
        <v>12.27069876989756</v>
      </c>
      <c r="O15" s="338">
        <f>+MIN(O8:O10)</f>
        <v>11.404130457282792</v>
      </c>
      <c r="P15" s="337"/>
      <c r="Q15" s="338">
        <f>+MIN(Q8:Q10)</f>
        <v>15.32161005231851</v>
      </c>
      <c r="R15" s="338">
        <f>+MIN(R8:R10)</f>
        <v>12.88890727584354</v>
      </c>
      <c r="S15" s="338">
        <f>+MIN(S8:S10)</f>
        <v>11.988097453932808</v>
      </c>
      <c r="T15" s="337"/>
      <c r="V15" s="517"/>
      <c r="W15" s="518"/>
      <c r="X15" s="518"/>
    </row>
    <row r="16" spans="1:24">
      <c r="B16" s="80"/>
      <c r="V16" s="516"/>
      <c r="W16" s="500"/>
      <c r="X16" s="500"/>
    </row>
    <row r="17" spans="2:24" s="333" customFormat="1">
      <c r="B17" s="468" t="s">
        <v>147</v>
      </c>
      <c r="C17" s="339" t="str">
        <f>'Operating Metrics'!C17</f>
        <v>Starbucks 
Corporation</v>
      </c>
      <c r="D17" s="339"/>
      <c r="E17" s="340">
        <f>'Operating Metrics'!E17</f>
        <v>132918.68099999998</v>
      </c>
      <c r="F17" s="340">
        <f>'Operating Metrics'!F17</f>
        <v>111224.58099999999</v>
      </c>
      <c r="G17" s="340">
        <f>'Operating Metrics'!G17</f>
        <v>97.07</v>
      </c>
      <c r="H17" s="339"/>
      <c r="I17" s="349">
        <f>+$E17/'Operating Metrics'!K17</f>
        <v>3.6769975407137738</v>
      </c>
      <c r="J17" s="349">
        <f>+$E17/'Operating Metrics'!L17</f>
        <v>3.4894918937120809</v>
      </c>
      <c r="K17" s="349">
        <f>+$E17/'Operating Metrics'!M17</f>
        <v>3.2475786520189485</v>
      </c>
      <c r="L17" s="342"/>
      <c r="M17" s="349">
        <f>+$E17/'Operating Metrics'!R17</f>
        <v>20.13919409090909</v>
      </c>
      <c r="N17" s="349">
        <f>+$E17/'Operating Metrics'!S17</f>
        <v>19.279462765824832</v>
      </c>
      <c r="O17" s="349">
        <f>+$E17/'Operating Metrics'!T17</f>
        <v>16.51913310185428</v>
      </c>
      <c r="P17" s="342"/>
      <c r="Q17" s="342">
        <f>+$F17/'Operating Metrics'!AD17</f>
        <v>31.608668011822211</v>
      </c>
      <c r="R17" s="342">
        <f>+$F17/'Operating Metrics'!AE17</f>
        <v>31.550615681452172</v>
      </c>
      <c r="S17" s="342">
        <f>+$F17/'Operating Metrics'!AF17</f>
        <v>25.999939769209103</v>
      </c>
      <c r="T17" s="339"/>
      <c r="V17" s="519"/>
      <c r="W17" s="520"/>
      <c r="X17" s="518"/>
    </row>
    <row r="18" spans="2:24">
      <c r="V18" s="500"/>
      <c r="W18" s="500"/>
      <c r="X18" s="500"/>
    </row>
    <row r="21" spans="2:24" ht="17.25">
      <c r="B21" s="326" t="s">
        <v>599</v>
      </c>
      <c r="C21" s="326"/>
    </row>
    <row r="22" spans="2:24">
      <c r="B22" t="str">
        <f>C17</f>
        <v>Starbucks 
Corporation</v>
      </c>
      <c r="C22" s="330">
        <f>J17</f>
        <v>3.4894918937120809</v>
      </c>
    </row>
    <row r="23" spans="2:24">
      <c r="B23" t="str">
        <f>C9</f>
        <v xml:space="preserve">Restaurant Brands 
International Inc. </v>
      </c>
      <c r="C23" s="330">
        <f>J9</f>
        <v>4.0982098307493819</v>
      </c>
    </row>
    <row r="24" spans="2:24">
      <c r="B24" t="str">
        <f>C8</f>
        <v>McDonald's 
Corporation</v>
      </c>
      <c r="C24" s="330">
        <f>J8</f>
        <v>9.6750387613148039</v>
      </c>
    </row>
    <row r="25" spans="2:24">
      <c r="B25" t="str">
        <f>C10</f>
        <v>Keurig Dr Pepper</v>
      </c>
      <c r="C25" s="330">
        <f>J10</f>
        <v>3.7637188264828549</v>
      </c>
    </row>
    <row r="27" spans="2:24">
      <c r="C27" s="330"/>
    </row>
    <row r="28" spans="2:24">
      <c r="C28" s="330"/>
    </row>
    <row r="38" spans="2:3" ht="17.25">
      <c r="B38" s="326" t="s">
        <v>600</v>
      </c>
      <c r="C38" s="326"/>
    </row>
    <row r="39" spans="2:3">
      <c r="B39" t="str">
        <f>C17</f>
        <v>Starbucks 
Corporation</v>
      </c>
      <c r="C39" s="330">
        <f>N17</f>
        <v>19.279462765824832</v>
      </c>
    </row>
    <row r="40" spans="2:3">
      <c r="B40" t="str">
        <f>C9</f>
        <v xml:space="preserve">Restaurant Brands 
International Inc. </v>
      </c>
      <c r="C40" s="330">
        <f>N9</f>
        <v>13.185833107084301</v>
      </c>
    </row>
    <row r="41" spans="2:3">
      <c r="B41" t="str">
        <f>C8</f>
        <v>McDonald's 
Corporation</v>
      </c>
      <c r="C41" s="330">
        <f>N8</f>
        <v>17.468443893571827</v>
      </c>
    </row>
    <row r="42" spans="2:3">
      <c r="B42" t="str">
        <f>C10</f>
        <v>Keurig Dr Pepper</v>
      </c>
      <c r="C42" s="330">
        <f>N10</f>
        <v>12.27069876989756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A1A6-5DC0-4599-AE02-CC437AB0F5CF}">
  <sheetPr>
    <tabColor rgb="FFFFC000"/>
  </sheetPr>
  <dimension ref="B1:S25"/>
  <sheetViews>
    <sheetView tabSelected="1" workbookViewId="0">
      <selection activeCell="T13" sqref="T13"/>
    </sheetView>
  </sheetViews>
  <sheetFormatPr defaultRowHeight="15"/>
  <cols>
    <col min="1" max="1" width="2.28515625" style="273" customWidth="1"/>
    <col min="2" max="2" width="37.28515625" style="273" customWidth="1"/>
    <col min="3" max="16384" width="9.140625" style="273"/>
  </cols>
  <sheetData>
    <row r="1" spans="2:11" ht="15.75" thickBot="1"/>
    <row r="2" spans="2:11" ht="15.75" thickBot="1">
      <c r="B2" s="382" t="s">
        <v>147</v>
      </c>
      <c r="C2" s="364" t="s">
        <v>591</v>
      </c>
      <c r="D2" s="365"/>
      <c r="E2" s="365"/>
      <c r="F2" s="362"/>
      <c r="G2" s="362"/>
      <c r="H2" s="362"/>
      <c r="I2" s="363"/>
    </row>
    <row r="3" spans="2:11" ht="17.25">
      <c r="C3" s="163" t="str">
        <f>'Valuation Metrics'!B21</f>
        <v>2025E EV / Revenue</v>
      </c>
      <c r="D3" s="163"/>
      <c r="E3" s="163"/>
      <c r="G3" s="163" t="str">
        <f>'Valuation Metrics'!B38</f>
        <v>2025E EV / EBITDA</v>
      </c>
      <c r="H3" s="163"/>
      <c r="I3" s="163"/>
    </row>
    <row r="4" spans="2:11">
      <c r="C4" s="352" t="s">
        <v>283</v>
      </c>
      <c r="E4" s="352" t="s">
        <v>285</v>
      </c>
      <c r="G4" s="352" t="s">
        <v>283</v>
      </c>
      <c r="I4" s="352" t="s">
        <v>285</v>
      </c>
    </row>
    <row r="5" spans="2:11">
      <c r="C5" s="368">
        <v>2</v>
      </c>
      <c r="D5" s="80"/>
      <c r="E5" s="368">
        <v>3</v>
      </c>
      <c r="F5" s="80"/>
      <c r="G5" s="368">
        <v>12</v>
      </c>
      <c r="H5" s="80"/>
      <c r="I5" s="368">
        <v>19</v>
      </c>
    </row>
    <row r="6" spans="2:11">
      <c r="B6" s="353" t="s">
        <v>592</v>
      </c>
      <c r="C6" s="369">
        <f>'Operating Metrics'!L17</f>
        <v>38091.127605000001</v>
      </c>
      <c r="D6" s="80"/>
      <c r="E6" s="369">
        <f>'Operating Metrics'!L17</f>
        <v>38091.127605000001</v>
      </c>
      <c r="F6" s="80"/>
      <c r="G6" s="369">
        <f>'Operating Metrics'!S17</f>
        <v>6894.3145674999996</v>
      </c>
      <c r="H6" s="80"/>
      <c r="I6" s="369">
        <f>'Operating Metrics'!S17</f>
        <v>6894.3145674999996</v>
      </c>
    </row>
    <row r="7" spans="2:11" s="13" customFormat="1">
      <c r="B7" s="207" t="s">
        <v>593</v>
      </c>
      <c r="C7" s="370">
        <f>C5*C6</f>
        <v>76182.255210000003</v>
      </c>
      <c r="D7" s="371"/>
      <c r="E7" s="370">
        <f>E5*E6</f>
        <v>114273.382815</v>
      </c>
      <c r="F7" s="356"/>
      <c r="G7" s="370">
        <f>G5*G6</f>
        <v>82731.774810000003</v>
      </c>
      <c r="H7" s="371"/>
      <c r="I7" s="370">
        <f>I5*I6</f>
        <v>130991.97678249999</v>
      </c>
    </row>
    <row r="8" spans="2:11">
      <c r="B8" s="353" t="s">
        <v>594</v>
      </c>
      <c r="C8" s="372">
        <f>+HLOOKUP($B2,INPUTS,MATCH($K$8,METRICS,0),FALSE)</f>
        <v>21694.1</v>
      </c>
      <c r="D8" s="80"/>
      <c r="E8" s="372">
        <f>+HLOOKUP($B2,INPUTS,MATCH($K$8,METRICS,0),FALSE)</f>
        <v>21694.1</v>
      </c>
      <c r="F8" s="80"/>
      <c r="G8" s="372">
        <f>+HLOOKUP($B2,INPUTS,MATCH($K$8,METRICS,0),FALSE)</f>
        <v>21694.1</v>
      </c>
      <c r="H8" s="80"/>
      <c r="I8" s="372">
        <f>+HLOOKUP($B2,INPUTS,MATCH($K$8,METRICS,0),FALSE)</f>
        <v>21694.1</v>
      </c>
      <c r="K8" s="354" t="s">
        <v>444</v>
      </c>
    </row>
    <row r="9" spans="2:11" s="13" customFormat="1">
      <c r="B9" s="207" t="s">
        <v>595</v>
      </c>
      <c r="C9" s="370">
        <f>C7+C8</f>
        <v>97876.355210000009</v>
      </c>
      <c r="D9" s="373"/>
      <c r="E9" s="370">
        <f>E7+E8</f>
        <v>135967.482815</v>
      </c>
      <c r="F9" s="356"/>
      <c r="G9" s="370">
        <f>G7+G8</f>
        <v>104425.87481000001</v>
      </c>
      <c r="H9" s="373"/>
      <c r="I9" s="370">
        <f>I7+I8</f>
        <v>152686.07678249999</v>
      </c>
    </row>
    <row r="10" spans="2:11">
      <c r="B10" s="353" t="s">
        <v>435</v>
      </c>
      <c r="C10" s="374">
        <f>+HLOOKUP($B2,INPUTS,MATCH($K$10,METRICS,0),FALSE)</f>
        <v>1145.8182857731533</v>
      </c>
      <c r="D10" s="375"/>
      <c r="E10" s="374">
        <f>+HLOOKUP($B2,INPUTS,MATCH($K$10,METRICS,0),FALSE)</f>
        <v>1145.8182857731533</v>
      </c>
      <c r="F10" s="80"/>
      <c r="G10" s="374">
        <f>+HLOOKUP($B2,INPUTS,MATCH($K$10,METRICS,0),FALSE)</f>
        <v>1145.8182857731533</v>
      </c>
      <c r="H10" s="375"/>
      <c r="I10" s="374">
        <f>+HLOOKUP($B2,INPUTS,MATCH($K$10,METRICS,0),FALSE)</f>
        <v>1145.8182857731533</v>
      </c>
      <c r="K10" s="354" t="s">
        <v>435</v>
      </c>
    </row>
    <row r="11" spans="2:11" s="13" customFormat="1">
      <c r="B11" s="207" t="s">
        <v>433</v>
      </c>
      <c r="C11" s="376">
        <f>C9/C10</f>
        <v>85.420486324283857</v>
      </c>
      <c r="D11" s="371"/>
      <c r="E11" s="376">
        <f>E9/E10</f>
        <v>118.66408880292433</v>
      </c>
      <c r="F11" s="356"/>
      <c r="G11" s="376">
        <f>G9/G10</f>
        <v>91.136505767611766</v>
      </c>
      <c r="H11" s="371"/>
      <c r="I11" s="376">
        <f>I9/I10</f>
        <v>133.2550533346336</v>
      </c>
    </row>
    <row r="14" spans="2:11">
      <c r="C14" s="352" t="s">
        <v>283</v>
      </c>
      <c r="D14" s="352" t="s">
        <v>596</v>
      </c>
      <c r="E14" s="352" t="s">
        <v>285</v>
      </c>
    </row>
    <row r="15" spans="2:11">
      <c r="B15" s="377" t="s">
        <v>597</v>
      </c>
      <c r="C15" s="366">
        <v>71.55</v>
      </c>
      <c r="D15" s="367">
        <f>E15-C15</f>
        <v>45.91</v>
      </c>
      <c r="E15" s="366">
        <v>117.46</v>
      </c>
      <c r="F15" t="s">
        <v>601</v>
      </c>
    </row>
    <row r="16" spans="2:11" ht="30">
      <c r="B16" s="378" t="s">
        <v>598</v>
      </c>
      <c r="C16" s="366">
        <v>76</v>
      </c>
      <c r="D16" s="367">
        <f t="shared" ref="D16:D19" si="0">E16-C16</f>
        <v>49</v>
      </c>
      <c r="E16" s="366">
        <v>125</v>
      </c>
      <c r="F16" t="s">
        <v>601</v>
      </c>
    </row>
    <row r="17" spans="2:19">
      <c r="B17" s="380" t="s">
        <v>602</v>
      </c>
      <c r="C17" s="366">
        <f>DCF!C73</f>
        <v>69.890922366842702</v>
      </c>
      <c r="D17" s="367">
        <f t="shared" si="0"/>
        <v>56.333879207821639</v>
      </c>
      <c r="E17" s="366">
        <f>DCF!D73</f>
        <v>126.22480157466434</v>
      </c>
      <c r="F17" s="355"/>
    </row>
    <row r="18" spans="2:19" ht="30">
      <c r="B18" s="379" t="s">
        <v>603</v>
      </c>
      <c r="C18" s="366">
        <f>C11</f>
        <v>85.420486324283857</v>
      </c>
      <c r="D18" s="367">
        <f t="shared" si="0"/>
        <v>33.243602478640469</v>
      </c>
      <c r="E18" s="366">
        <f>E11</f>
        <v>118.66408880292433</v>
      </c>
    </row>
    <row r="19" spans="2:19" ht="30">
      <c r="B19" s="379" t="s">
        <v>604</v>
      </c>
      <c r="C19" s="366">
        <f>G11</f>
        <v>91.136505767611766</v>
      </c>
      <c r="D19" s="367">
        <f>E19-C19</f>
        <v>42.118547567021835</v>
      </c>
      <c r="E19" s="366">
        <f>I11</f>
        <v>133.2550533346336</v>
      </c>
    </row>
    <row r="20" spans="2:19">
      <c r="C20" s="80"/>
      <c r="D20" s="80"/>
      <c r="E20" s="80"/>
    </row>
    <row r="21" spans="2:19">
      <c r="C21" s="80"/>
      <c r="D21" s="80"/>
      <c r="E21" s="80"/>
      <c r="S21" s="13"/>
    </row>
    <row r="24" spans="2:19">
      <c r="B24"/>
    </row>
    <row r="25" spans="2:19">
      <c r="B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Financial Statement Modelling</vt:lpstr>
      <vt:lpstr>DCF</vt:lpstr>
      <vt:lpstr>Trading Comps =&gt;</vt:lpstr>
      <vt:lpstr>Input Tab</vt:lpstr>
      <vt:lpstr>Operating Metrics</vt:lpstr>
      <vt:lpstr>Valuation Metrics</vt:lpstr>
      <vt:lpstr>Football Field</vt:lpstr>
      <vt:lpstr>INPUTS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2025-04-01T02:12:56Z</cp:lastPrinted>
  <dcterms:created xsi:type="dcterms:W3CDTF">2011-11-04T21:28:06Z</dcterms:created>
  <dcterms:modified xsi:type="dcterms:W3CDTF">2025-04-09T03:25:35Z</dcterms:modified>
</cp:coreProperties>
</file>