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NQUIA_D&amp;G_SP" sheetId="1" r:id="rId4"/>
    <sheet state="visible" name="SAÍDA PARA NUVEM" sheetId="2" r:id="rId5"/>
  </sheets>
  <definedNames/>
  <calcPr/>
</workbook>
</file>

<file path=xl/sharedStrings.xml><?xml version="1.0" encoding="utf-8"?>
<sst xmlns="http://schemas.openxmlformats.org/spreadsheetml/2006/main" count="11" uniqueCount="11">
  <si>
    <t>Data atualização</t>
  </si>
  <si>
    <t>driver_uuid</t>
  </si>
  <si>
    <t>dias da última rota</t>
  </si>
  <si>
    <t>data da última rota</t>
  </si>
  <si>
    <t>Franquia</t>
  </si>
  <si>
    <t>Modal</t>
  </si>
  <si>
    <t>Região</t>
  </si>
  <si>
    <r>
      <rPr>
        <rFont val="Calibri"/>
        <b/>
        <color rgb="FFFF0000"/>
      </rPr>
      <t xml:space="preserve">Preenchimento automático
</t>
    </r>
    <r>
      <rPr>
        <rFont val="Calibri"/>
        <b/>
        <i/>
        <color rgb="FF666666"/>
      </rPr>
      <t>(Dados dos últimos 30 dias)</t>
    </r>
  </si>
  <si>
    <t>UUID</t>
  </si>
  <si>
    <t>Data de solicitação</t>
  </si>
  <si>
    <t>Franqueado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</si>
</sst>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6">
    <font>
      <sz val="10.0"/>
      <color rgb="FF000000"/>
      <name val="Arial"/>
      <scheme val="minor"/>
    </font>
    <font>
      <color rgb="FFFFFFFF"/>
      <name val="Calibri"/>
    </font>
    <font>
      <color rgb="FFFFFFFF"/>
      <name val="Arial"/>
    </font>
    <font>
      <color theme="1"/>
      <name val="Arial"/>
    </font>
    <font>
      <color theme="1"/>
      <name val="Arial"/>
      <scheme val="minor"/>
    </font>
    <font>
      <b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165" xfId="0" applyFont="1" applyNumberFormat="1"/>
    <xf borderId="0" fillId="0" fontId="4" numFmtId="0" xfId="0" applyFont="1"/>
    <xf borderId="0" fillId="3" fontId="5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32.88"/>
    <col customWidth="1" min="3" max="3" width="14.63"/>
    <col customWidth="1" min="4" max="4" width="14.75"/>
    <col customWidth="1" min="5" max="5" width="17.25"/>
    <col customWidth="1" min="6" max="6" width="17.38"/>
    <col customWidth="1" min="7" max="7" width="2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f>IFERROR(__xludf.DUMMYFUNCTION("query(IMPORTRANGE(""https://docs.google.com/spreadsheets/d/1lKv7bdRKk7ntXUE0aS8YlCPdi6ysq0vm5RUx0D7sXQc/edit#gid=0"",""Base total!A2:G""),""select * where Col5='FRANQUIA_D&amp;G_SP'"")"),45705.0)</f>
        <v>45705</v>
      </c>
      <c r="B2" s="4" t="str">
        <f>IFERROR(__xludf.DUMMYFUNCTION("""COMPUTED_VALUE"""),"5d632c59-416c-48cf-a1d8-80073fe12b6b")</f>
        <v>5d632c59-416c-48cf-a1d8-80073fe12b6b</v>
      </c>
      <c r="C2" s="5">
        <f>IFERROR(__xludf.DUMMYFUNCTION("""COMPUTED_VALUE"""),0.0)</f>
        <v>0</v>
      </c>
      <c r="D2" s="3">
        <f>IFERROR(__xludf.DUMMYFUNCTION("""COMPUTED_VALUE"""),45705.0)</f>
        <v>45705</v>
      </c>
      <c r="E2" s="4" t="str">
        <f>IFERROR(__xludf.DUMMYFUNCTION("""COMPUTED_VALUE"""),"FRANQUIA_D&amp;G_SP")</f>
        <v>FRANQUIA_D&amp;G_SP</v>
      </c>
      <c r="F2" s="4" t="str">
        <f>IFERROR(__xludf.DUMMYFUNCTION("""COMPUTED_VALUE"""),"MOTORCYCLE")</f>
        <v>MOTORCYCLE</v>
      </c>
      <c r="G2" s="4" t="str">
        <f>IFERROR(__xludf.DUMMYFUNCTION("""COMPUTED_VALUE"""),"SAO PAULO")</f>
        <v>SAO PAULO</v>
      </c>
    </row>
    <row r="3">
      <c r="A3" s="6">
        <f>IFERROR(__xludf.DUMMYFUNCTION("""COMPUTED_VALUE"""),45705.0)</f>
        <v>45705</v>
      </c>
      <c r="B3" s="7" t="str">
        <f>IFERROR(__xludf.DUMMYFUNCTION("""COMPUTED_VALUE"""),"23a3309b-ab2e-4284-9d1e-b70e320c6aca")</f>
        <v>23a3309b-ab2e-4284-9d1e-b70e320c6aca</v>
      </c>
      <c r="C3" s="7">
        <f>IFERROR(__xludf.DUMMYFUNCTION("""COMPUTED_VALUE"""),0.0)</f>
        <v>0</v>
      </c>
      <c r="D3" s="6">
        <f>IFERROR(__xludf.DUMMYFUNCTION("""COMPUTED_VALUE"""),45705.0)</f>
        <v>45705</v>
      </c>
      <c r="E3" s="7" t="str">
        <f>IFERROR(__xludf.DUMMYFUNCTION("""COMPUTED_VALUE"""),"FRANQUIA_D&amp;G_SP")</f>
        <v>FRANQUIA_D&amp;G_SP</v>
      </c>
      <c r="F3" s="7" t="str">
        <f>IFERROR(__xludf.DUMMYFUNCTION("""COMPUTED_VALUE"""),"BICYCLE")</f>
        <v>BICYCLE</v>
      </c>
      <c r="G3" s="7" t="str">
        <f>IFERROR(__xludf.DUMMYFUNCTION("""COMPUTED_VALUE"""),"SAO PAULO")</f>
        <v>SAO PAULO</v>
      </c>
    </row>
    <row r="4">
      <c r="A4" s="6">
        <f>IFERROR(__xludf.DUMMYFUNCTION("""COMPUTED_VALUE"""),45705.0)</f>
        <v>45705</v>
      </c>
      <c r="B4" s="7" t="str">
        <f>IFERROR(__xludf.DUMMYFUNCTION("""COMPUTED_VALUE"""),"e89e22c9-de96-4906-a4f3-823cb7bfaa3e")</f>
        <v>e89e22c9-de96-4906-a4f3-823cb7bfaa3e</v>
      </c>
      <c r="C4" s="7">
        <f>IFERROR(__xludf.DUMMYFUNCTION("""COMPUTED_VALUE"""),0.0)</f>
        <v>0</v>
      </c>
      <c r="D4" s="6">
        <f>IFERROR(__xludf.DUMMYFUNCTION("""COMPUTED_VALUE"""),45705.0)</f>
        <v>45705</v>
      </c>
      <c r="E4" s="7" t="str">
        <f>IFERROR(__xludf.DUMMYFUNCTION("""COMPUTED_VALUE"""),"FRANQUIA_D&amp;G_SP")</f>
        <v>FRANQUIA_D&amp;G_SP</v>
      </c>
      <c r="F4" s="7" t="str">
        <f>IFERROR(__xludf.DUMMYFUNCTION("""COMPUTED_VALUE"""),"MOTORCYCLE")</f>
        <v>MOTORCYCLE</v>
      </c>
      <c r="G4" s="7" t="str">
        <f>IFERROR(__xludf.DUMMYFUNCTION("""COMPUTED_VALUE"""),"SAO PAULO")</f>
        <v>SAO PAULO</v>
      </c>
    </row>
    <row r="5">
      <c r="A5" s="6">
        <f>IFERROR(__xludf.DUMMYFUNCTION("""COMPUTED_VALUE"""),45705.0)</f>
        <v>45705</v>
      </c>
      <c r="B5" s="7" t="str">
        <f>IFERROR(__xludf.DUMMYFUNCTION("""COMPUTED_VALUE"""),"e7a21908-aeab-46e1-bdc6-dd4fc32f522d")</f>
        <v>e7a21908-aeab-46e1-bdc6-dd4fc32f522d</v>
      </c>
      <c r="C5" s="7">
        <f>IFERROR(__xludf.DUMMYFUNCTION("""COMPUTED_VALUE"""),0.0)</f>
        <v>0</v>
      </c>
      <c r="D5" s="6">
        <f>IFERROR(__xludf.DUMMYFUNCTION("""COMPUTED_VALUE"""),45705.0)</f>
        <v>45705</v>
      </c>
      <c r="E5" s="7" t="str">
        <f>IFERROR(__xludf.DUMMYFUNCTION("""COMPUTED_VALUE"""),"FRANQUIA_D&amp;G_SP")</f>
        <v>FRANQUIA_D&amp;G_SP</v>
      </c>
      <c r="F5" s="7" t="str">
        <f>IFERROR(__xludf.DUMMYFUNCTION("""COMPUTED_VALUE"""),"MOTORCYCLE")</f>
        <v>MOTORCYCLE</v>
      </c>
      <c r="G5" s="7" t="str">
        <f>IFERROR(__xludf.DUMMYFUNCTION("""COMPUTED_VALUE"""),"SAO PAULO")</f>
        <v>SAO PAULO</v>
      </c>
    </row>
    <row r="6">
      <c r="A6" s="6">
        <f>IFERROR(__xludf.DUMMYFUNCTION("""COMPUTED_VALUE"""),45705.0)</f>
        <v>45705</v>
      </c>
      <c r="B6" s="7" t="str">
        <f>IFERROR(__xludf.DUMMYFUNCTION("""COMPUTED_VALUE"""),"b0741c3c-ed50-4694-ae5a-095d8c3bb3b4")</f>
        <v>b0741c3c-ed50-4694-ae5a-095d8c3bb3b4</v>
      </c>
      <c r="C6" s="7">
        <f>IFERROR(__xludf.DUMMYFUNCTION("""COMPUTED_VALUE"""),83.0)</f>
        <v>83</v>
      </c>
      <c r="D6" s="6">
        <f>IFERROR(__xludf.DUMMYFUNCTION("""COMPUTED_VALUE"""),45622.0)</f>
        <v>45622</v>
      </c>
      <c r="E6" s="7" t="str">
        <f>IFERROR(__xludf.DUMMYFUNCTION("""COMPUTED_VALUE"""),"FRANQUIA_D&amp;G_SP")</f>
        <v>FRANQUIA_D&amp;G_SP</v>
      </c>
      <c r="F6" s="7" t="str">
        <f>IFERROR(__xludf.DUMMYFUNCTION("""COMPUTED_VALUE"""),"BICYCLE")</f>
        <v>BICYCLE</v>
      </c>
      <c r="G6" s="7" t="str">
        <f>IFERROR(__xludf.DUMMYFUNCTION("""COMPUTED_VALUE"""),"SAO PAULO")</f>
        <v>SAO PAULO</v>
      </c>
    </row>
    <row r="7">
      <c r="A7" s="6">
        <f>IFERROR(__xludf.DUMMYFUNCTION("""COMPUTED_VALUE"""),45705.0)</f>
        <v>45705</v>
      </c>
      <c r="B7" s="7" t="str">
        <f>IFERROR(__xludf.DUMMYFUNCTION("""COMPUTED_VALUE"""),"35fcf9d9-bf19-4630-a106-7377e820f64a")</f>
        <v>35fcf9d9-bf19-4630-a106-7377e820f64a</v>
      </c>
      <c r="C7" s="7">
        <f>IFERROR(__xludf.DUMMYFUNCTION("""COMPUTED_VALUE"""),0.0)</f>
        <v>0</v>
      </c>
      <c r="D7" s="6">
        <f>IFERROR(__xludf.DUMMYFUNCTION("""COMPUTED_VALUE"""),45705.0)</f>
        <v>45705</v>
      </c>
      <c r="E7" s="7" t="str">
        <f>IFERROR(__xludf.DUMMYFUNCTION("""COMPUTED_VALUE"""),"FRANQUIA_D&amp;G_SP")</f>
        <v>FRANQUIA_D&amp;G_SP</v>
      </c>
      <c r="F7" s="7" t="str">
        <f>IFERROR(__xludf.DUMMYFUNCTION("""COMPUTED_VALUE"""),"EMOTORCYCLE")</f>
        <v>EMOTORCYCLE</v>
      </c>
      <c r="G7" s="7" t="str">
        <f>IFERROR(__xludf.DUMMYFUNCTION("""COMPUTED_VALUE"""),"SAO PAULO")</f>
        <v>SAO PAULO</v>
      </c>
    </row>
    <row r="8">
      <c r="A8" s="6">
        <f>IFERROR(__xludf.DUMMYFUNCTION("""COMPUTED_VALUE"""),45705.0)</f>
        <v>45705</v>
      </c>
      <c r="B8" s="7" t="str">
        <f>IFERROR(__xludf.DUMMYFUNCTION("""COMPUTED_VALUE"""),"ab45ed46-bb18-416e-ac03-d41475edc702")</f>
        <v>ab45ed46-bb18-416e-ac03-d41475edc702</v>
      </c>
      <c r="C8" s="7">
        <f>IFERROR(__xludf.DUMMYFUNCTION("""COMPUTED_VALUE"""),513.0)</f>
        <v>513</v>
      </c>
      <c r="D8" s="6">
        <f>IFERROR(__xludf.DUMMYFUNCTION("""COMPUTED_VALUE"""),45192.0)</f>
        <v>45192</v>
      </c>
      <c r="E8" s="7" t="str">
        <f>IFERROR(__xludf.DUMMYFUNCTION("""COMPUTED_VALUE"""),"FRANQUIA_D&amp;G_SP")</f>
        <v>FRANQUIA_D&amp;G_SP</v>
      </c>
      <c r="F8" s="7" t="str">
        <f>IFERROR(__xludf.DUMMYFUNCTION("""COMPUTED_VALUE"""),"BICYCLE")</f>
        <v>BICYCLE</v>
      </c>
      <c r="G8" s="7" t="str">
        <f>IFERROR(__xludf.DUMMYFUNCTION("""COMPUTED_VALUE"""),"SAO PAULO")</f>
        <v>SAO PAULO</v>
      </c>
    </row>
    <row r="9">
      <c r="A9" s="6">
        <f>IFERROR(__xludf.DUMMYFUNCTION("""COMPUTED_VALUE"""),45705.0)</f>
        <v>45705</v>
      </c>
      <c r="B9" s="7" t="str">
        <f>IFERROR(__xludf.DUMMYFUNCTION("""COMPUTED_VALUE"""),"bcd7f342-14d8-495a-a5c7-92c459054638")</f>
        <v>bcd7f342-14d8-495a-a5c7-92c459054638</v>
      </c>
      <c r="C9" s="7">
        <f>IFERROR(__xludf.DUMMYFUNCTION("""COMPUTED_VALUE"""),332.0)</f>
        <v>332</v>
      </c>
      <c r="D9" s="6">
        <f>IFERROR(__xludf.DUMMYFUNCTION("""COMPUTED_VALUE"""),45373.0)</f>
        <v>45373</v>
      </c>
      <c r="E9" s="7" t="str">
        <f>IFERROR(__xludf.DUMMYFUNCTION("""COMPUTED_VALUE"""),"FRANQUIA_D&amp;G_SP")</f>
        <v>FRANQUIA_D&amp;G_SP</v>
      </c>
      <c r="F9" s="7" t="str">
        <f>IFERROR(__xludf.DUMMYFUNCTION("""COMPUTED_VALUE"""),"BICYCLE")</f>
        <v>BICYCLE</v>
      </c>
      <c r="G9" s="7" t="str">
        <f>IFERROR(__xludf.DUMMYFUNCTION("""COMPUTED_VALUE"""),"SAO PAULO")</f>
        <v>SAO PAULO</v>
      </c>
    </row>
    <row r="10">
      <c r="A10" s="6">
        <f>IFERROR(__xludf.DUMMYFUNCTION("""COMPUTED_VALUE"""),45705.0)</f>
        <v>45705</v>
      </c>
      <c r="B10" s="7" t="str">
        <f>IFERROR(__xludf.DUMMYFUNCTION("""COMPUTED_VALUE"""),"5aea3616-df60-409f-bf3a-c0400261859e")</f>
        <v>5aea3616-df60-409f-bf3a-c0400261859e</v>
      </c>
      <c r="C10" s="7">
        <f>IFERROR(__xludf.DUMMYFUNCTION("""COMPUTED_VALUE"""),141.0)</f>
        <v>141</v>
      </c>
      <c r="D10" s="6">
        <f>IFERROR(__xludf.DUMMYFUNCTION("""COMPUTED_VALUE"""),45564.0)</f>
        <v>45564</v>
      </c>
      <c r="E10" s="7" t="str">
        <f>IFERROR(__xludf.DUMMYFUNCTION("""COMPUTED_VALUE"""),"FRANQUIA_D&amp;G_SP")</f>
        <v>FRANQUIA_D&amp;G_SP</v>
      </c>
      <c r="F10" s="7" t="str">
        <f>IFERROR(__xludf.DUMMYFUNCTION("""COMPUTED_VALUE"""),"BICYCLE")</f>
        <v>BICYCLE</v>
      </c>
      <c r="G10" s="7" t="str">
        <f>IFERROR(__xludf.DUMMYFUNCTION("""COMPUTED_VALUE"""),"SAO PAULO")</f>
        <v>SAO PAULO</v>
      </c>
    </row>
    <row r="11">
      <c r="A11" s="6">
        <f>IFERROR(__xludf.DUMMYFUNCTION("""COMPUTED_VALUE"""),45705.0)</f>
        <v>45705</v>
      </c>
      <c r="B11" s="7" t="str">
        <f>IFERROR(__xludf.DUMMYFUNCTION("""COMPUTED_VALUE"""),"d7d48d83-b4f6-4265-ab03-d72ea9ed9329")</f>
        <v>d7d48d83-b4f6-4265-ab03-d72ea9ed9329</v>
      </c>
      <c r="C11" s="7">
        <f>IFERROR(__xludf.DUMMYFUNCTION("""COMPUTED_VALUE"""),8.0)</f>
        <v>8</v>
      </c>
      <c r="D11" s="6">
        <f>IFERROR(__xludf.DUMMYFUNCTION("""COMPUTED_VALUE"""),45697.0)</f>
        <v>45697</v>
      </c>
      <c r="E11" s="7" t="str">
        <f>IFERROR(__xludf.DUMMYFUNCTION("""COMPUTED_VALUE"""),"FRANQUIA_D&amp;G_SP")</f>
        <v>FRANQUIA_D&amp;G_SP</v>
      </c>
      <c r="F11" s="7" t="str">
        <f>IFERROR(__xludf.DUMMYFUNCTION("""COMPUTED_VALUE"""),"BICYCLE")</f>
        <v>BICYCLE</v>
      </c>
      <c r="G11" s="7" t="str">
        <f>IFERROR(__xludf.DUMMYFUNCTION("""COMPUTED_VALUE"""),"SAO PAULO")</f>
        <v>SAO PAULO</v>
      </c>
    </row>
    <row r="12">
      <c r="A12" s="6">
        <f>IFERROR(__xludf.DUMMYFUNCTION("""COMPUTED_VALUE"""),45705.0)</f>
        <v>45705</v>
      </c>
      <c r="B12" s="7" t="str">
        <f>IFERROR(__xludf.DUMMYFUNCTION("""COMPUTED_VALUE"""),"dc485616-95df-435e-82bf-bafc885724f5")</f>
        <v>dc485616-95df-435e-82bf-bafc885724f5</v>
      </c>
      <c r="C12" s="7">
        <f>IFERROR(__xludf.DUMMYFUNCTION("""COMPUTED_VALUE"""),2.0)</f>
        <v>2</v>
      </c>
      <c r="D12" s="6">
        <f>IFERROR(__xludf.DUMMYFUNCTION("""COMPUTED_VALUE"""),45703.0)</f>
        <v>45703</v>
      </c>
      <c r="E12" s="7" t="str">
        <f>IFERROR(__xludf.DUMMYFUNCTION("""COMPUTED_VALUE"""),"FRANQUIA_D&amp;G_SP")</f>
        <v>FRANQUIA_D&amp;G_SP</v>
      </c>
      <c r="F12" s="7" t="str">
        <f>IFERROR(__xludf.DUMMYFUNCTION("""COMPUTED_VALUE"""),"MOTORCYCLE")</f>
        <v>MOTORCYCLE</v>
      </c>
      <c r="G12" s="7" t="str">
        <f>IFERROR(__xludf.DUMMYFUNCTION("""COMPUTED_VALUE"""),"SAO PAULO")</f>
        <v>SAO PAULO</v>
      </c>
    </row>
    <row r="13">
      <c r="A13" s="6">
        <f>IFERROR(__xludf.DUMMYFUNCTION("""COMPUTED_VALUE"""),45705.0)</f>
        <v>45705</v>
      </c>
      <c r="B13" s="7" t="str">
        <f>IFERROR(__xludf.DUMMYFUNCTION("""COMPUTED_VALUE"""),"5a5491eb-9f2d-4cae-ad7a-3b5f63358892")</f>
        <v>5a5491eb-9f2d-4cae-ad7a-3b5f63358892</v>
      </c>
      <c r="C13" s="7">
        <f>IFERROR(__xludf.DUMMYFUNCTION("""COMPUTED_VALUE"""),18.0)</f>
        <v>18</v>
      </c>
      <c r="D13" s="6">
        <f>IFERROR(__xludf.DUMMYFUNCTION("""COMPUTED_VALUE"""),45687.0)</f>
        <v>45687</v>
      </c>
      <c r="E13" s="7" t="str">
        <f>IFERROR(__xludf.DUMMYFUNCTION("""COMPUTED_VALUE"""),"FRANQUIA_D&amp;G_SP")</f>
        <v>FRANQUIA_D&amp;G_SP</v>
      </c>
      <c r="F13" s="7" t="str">
        <f>IFERROR(__xludf.DUMMYFUNCTION("""COMPUTED_VALUE"""),"BICYCLE")</f>
        <v>BICYCLE</v>
      </c>
      <c r="G13" s="7" t="str">
        <f>IFERROR(__xludf.DUMMYFUNCTION("""COMPUTED_VALUE"""),"SAO PAULO")</f>
        <v>SAO PAULO</v>
      </c>
    </row>
    <row r="14">
      <c r="A14" s="6">
        <f>IFERROR(__xludf.DUMMYFUNCTION("""COMPUTED_VALUE"""),45705.0)</f>
        <v>45705</v>
      </c>
      <c r="B14" s="7" t="str">
        <f>IFERROR(__xludf.DUMMYFUNCTION("""COMPUTED_VALUE"""),"30ba2fc4-3485-42f4-a0d1-b9d5352b028f")</f>
        <v>30ba2fc4-3485-42f4-a0d1-b9d5352b028f</v>
      </c>
      <c r="C14" s="7">
        <f>IFERROR(__xludf.DUMMYFUNCTION("""COMPUTED_VALUE"""),0.0)</f>
        <v>0</v>
      </c>
      <c r="D14" s="6">
        <f>IFERROR(__xludf.DUMMYFUNCTION("""COMPUTED_VALUE"""),45705.0)</f>
        <v>45705</v>
      </c>
      <c r="E14" s="7" t="str">
        <f>IFERROR(__xludf.DUMMYFUNCTION("""COMPUTED_VALUE"""),"FRANQUIA_D&amp;G_SP")</f>
        <v>FRANQUIA_D&amp;G_SP</v>
      </c>
      <c r="F14" s="7" t="str">
        <f>IFERROR(__xludf.DUMMYFUNCTION("""COMPUTED_VALUE"""),"MOTORCYCLE")</f>
        <v>MOTORCYCLE</v>
      </c>
      <c r="G14" s="7" t="str">
        <f>IFERROR(__xludf.DUMMYFUNCTION("""COMPUTED_VALUE"""),"SAO PAULO")</f>
        <v>SAO PAULO</v>
      </c>
    </row>
    <row r="15">
      <c r="A15" s="6">
        <f>IFERROR(__xludf.DUMMYFUNCTION("""COMPUTED_VALUE"""),45705.0)</f>
        <v>45705</v>
      </c>
      <c r="B15" s="7" t="str">
        <f>IFERROR(__xludf.DUMMYFUNCTION("""COMPUTED_VALUE"""),"569d471f-ed02-4000-96f5-aa7749aa953a")</f>
        <v>569d471f-ed02-4000-96f5-aa7749aa953a</v>
      </c>
      <c r="C15" s="7">
        <f>IFERROR(__xludf.DUMMYFUNCTION("""COMPUTED_VALUE"""),17.0)</f>
        <v>17</v>
      </c>
      <c r="D15" s="6">
        <f>IFERROR(__xludf.DUMMYFUNCTION("""COMPUTED_VALUE"""),45688.0)</f>
        <v>45688</v>
      </c>
      <c r="E15" s="7" t="str">
        <f>IFERROR(__xludf.DUMMYFUNCTION("""COMPUTED_VALUE"""),"FRANQUIA_D&amp;G_SP")</f>
        <v>FRANQUIA_D&amp;G_SP</v>
      </c>
      <c r="F15" s="7" t="str">
        <f>IFERROR(__xludf.DUMMYFUNCTION("""COMPUTED_VALUE"""),"BICYCLE")</f>
        <v>BICYCLE</v>
      </c>
      <c r="G15" s="7" t="str">
        <f>IFERROR(__xludf.DUMMYFUNCTION("""COMPUTED_VALUE"""),"SAO PAULO")</f>
        <v>SAO PAULO</v>
      </c>
    </row>
    <row r="16">
      <c r="A16" s="6">
        <f>IFERROR(__xludf.DUMMYFUNCTION("""COMPUTED_VALUE"""),45705.0)</f>
        <v>45705</v>
      </c>
      <c r="B16" s="7" t="str">
        <f>IFERROR(__xludf.DUMMYFUNCTION("""COMPUTED_VALUE"""),"d7a03003-a5a8-481e-a4f9-8b915037ccf4")</f>
        <v>d7a03003-a5a8-481e-a4f9-8b915037ccf4</v>
      </c>
      <c r="C16" s="7">
        <f>IFERROR(__xludf.DUMMYFUNCTION("""COMPUTED_VALUE"""),1.0)</f>
        <v>1</v>
      </c>
      <c r="D16" s="6">
        <f>IFERROR(__xludf.DUMMYFUNCTION("""COMPUTED_VALUE"""),45704.0)</f>
        <v>45704</v>
      </c>
      <c r="E16" s="7" t="str">
        <f>IFERROR(__xludf.DUMMYFUNCTION("""COMPUTED_VALUE"""),"FRANQUIA_D&amp;G_SP")</f>
        <v>FRANQUIA_D&amp;G_SP</v>
      </c>
      <c r="F16" s="7" t="str">
        <f>IFERROR(__xludf.DUMMYFUNCTION("""COMPUTED_VALUE"""),"MOTORCYCLE")</f>
        <v>MOTORCYCLE</v>
      </c>
      <c r="G16" s="7" t="str">
        <f>IFERROR(__xludf.DUMMYFUNCTION("""COMPUTED_VALUE"""),"SAO PAULO")</f>
        <v>SAO PAULO</v>
      </c>
    </row>
    <row r="17">
      <c r="A17" s="6">
        <f>IFERROR(__xludf.DUMMYFUNCTION("""COMPUTED_VALUE"""),45705.0)</f>
        <v>45705</v>
      </c>
      <c r="B17" s="7" t="str">
        <f>IFERROR(__xludf.DUMMYFUNCTION("""COMPUTED_VALUE"""),"41351252-5619-40a0-ad01-67457a2293c4")</f>
        <v>41351252-5619-40a0-ad01-67457a2293c4</v>
      </c>
      <c r="C17" s="7">
        <f>IFERROR(__xludf.DUMMYFUNCTION("""COMPUTED_VALUE"""),0.0)</f>
        <v>0</v>
      </c>
      <c r="D17" s="6">
        <f>IFERROR(__xludf.DUMMYFUNCTION("""COMPUTED_VALUE"""),45705.0)</f>
        <v>45705</v>
      </c>
      <c r="E17" s="7" t="str">
        <f>IFERROR(__xludf.DUMMYFUNCTION("""COMPUTED_VALUE"""),"FRANQUIA_D&amp;G_SP")</f>
        <v>FRANQUIA_D&amp;G_SP</v>
      </c>
      <c r="F17" s="7" t="str">
        <f>IFERROR(__xludf.DUMMYFUNCTION("""COMPUTED_VALUE"""),"MOTORCYCLE")</f>
        <v>MOTORCYCLE</v>
      </c>
      <c r="G17" s="7" t="str">
        <f>IFERROR(__xludf.DUMMYFUNCTION("""COMPUTED_VALUE"""),"SAO PAULO")</f>
        <v>SAO PAULO</v>
      </c>
    </row>
    <row r="18">
      <c r="A18" s="6">
        <f>IFERROR(__xludf.DUMMYFUNCTION("""COMPUTED_VALUE"""),45705.0)</f>
        <v>45705</v>
      </c>
      <c r="B18" s="7" t="str">
        <f>IFERROR(__xludf.DUMMYFUNCTION("""COMPUTED_VALUE"""),"10ca883c-f883-44a3-b9fa-794706fa7cc9")</f>
        <v>10ca883c-f883-44a3-b9fa-794706fa7cc9</v>
      </c>
      <c r="C18" s="7">
        <f>IFERROR(__xludf.DUMMYFUNCTION("""COMPUTED_VALUE"""),0.0)</f>
        <v>0</v>
      </c>
      <c r="D18" s="6">
        <f>IFERROR(__xludf.DUMMYFUNCTION("""COMPUTED_VALUE"""),45705.0)</f>
        <v>45705</v>
      </c>
      <c r="E18" s="7" t="str">
        <f>IFERROR(__xludf.DUMMYFUNCTION("""COMPUTED_VALUE"""),"FRANQUIA_D&amp;G_SP")</f>
        <v>FRANQUIA_D&amp;G_SP</v>
      </c>
      <c r="F18" s="7" t="str">
        <f>IFERROR(__xludf.DUMMYFUNCTION("""COMPUTED_VALUE"""),"BICYCLE")</f>
        <v>BICYCLE</v>
      </c>
      <c r="G18" s="7" t="str">
        <f>IFERROR(__xludf.DUMMYFUNCTION("""COMPUTED_VALUE"""),"SAO PAULO")</f>
        <v>SAO PAULO</v>
      </c>
    </row>
    <row r="19">
      <c r="A19" s="6">
        <f>IFERROR(__xludf.DUMMYFUNCTION("""COMPUTED_VALUE"""),45705.0)</f>
        <v>45705</v>
      </c>
      <c r="B19" s="7" t="str">
        <f>IFERROR(__xludf.DUMMYFUNCTION("""COMPUTED_VALUE"""),"6aee158b-0470-405b-8f16-c74d740a550e")</f>
        <v>6aee158b-0470-405b-8f16-c74d740a550e</v>
      </c>
      <c r="C19" s="7">
        <f>IFERROR(__xludf.DUMMYFUNCTION("""COMPUTED_VALUE"""),6.0)</f>
        <v>6</v>
      </c>
      <c r="D19" s="6">
        <f>IFERROR(__xludf.DUMMYFUNCTION("""COMPUTED_VALUE"""),45699.0)</f>
        <v>45699</v>
      </c>
      <c r="E19" s="7" t="str">
        <f>IFERROR(__xludf.DUMMYFUNCTION("""COMPUTED_VALUE"""),"FRANQUIA_D&amp;G_SP")</f>
        <v>FRANQUIA_D&amp;G_SP</v>
      </c>
      <c r="F19" s="7" t="str">
        <f>IFERROR(__xludf.DUMMYFUNCTION("""COMPUTED_VALUE"""),"MOTORCYCLE")</f>
        <v>MOTORCYCLE</v>
      </c>
      <c r="G19" s="7" t="str">
        <f>IFERROR(__xludf.DUMMYFUNCTION("""COMPUTED_VALUE"""),"SAO PAULO")</f>
        <v>SAO PAULO</v>
      </c>
    </row>
    <row r="20">
      <c r="A20" s="6">
        <f>IFERROR(__xludf.DUMMYFUNCTION("""COMPUTED_VALUE"""),45705.0)</f>
        <v>45705</v>
      </c>
      <c r="B20" s="7" t="str">
        <f>IFERROR(__xludf.DUMMYFUNCTION("""COMPUTED_VALUE"""),"3720a4ff-ce05-48d1-9673-314991d1a78c")</f>
        <v>3720a4ff-ce05-48d1-9673-314991d1a78c</v>
      </c>
      <c r="C20" s="7">
        <f>IFERROR(__xludf.DUMMYFUNCTION("""COMPUTED_VALUE"""),0.0)</f>
        <v>0</v>
      </c>
      <c r="D20" s="6">
        <f>IFERROR(__xludf.DUMMYFUNCTION("""COMPUTED_VALUE"""),45705.0)</f>
        <v>45705</v>
      </c>
      <c r="E20" s="7" t="str">
        <f>IFERROR(__xludf.DUMMYFUNCTION("""COMPUTED_VALUE"""),"FRANQUIA_D&amp;G_SP")</f>
        <v>FRANQUIA_D&amp;G_SP</v>
      </c>
      <c r="F20" s="7" t="str">
        <f>IFERROR(__xludf.DUMMYFUNCTION("""COMPUTED_VALUE"""),"MOTORCYCLE")</f>
        <v>MOTORCYCLE</v>
      </c>
      <c r="G20" s="7" t="str">
        <f>IFERROR(__xludf.DUMMYFUNCTION("""COMPUTED_VALUE"""),"SAO PAULO")</f>
        <v>SAO PAULO</v>
      </c>
    </row>
    <row r="21">
      <c r="A21" s="6">
        <f>IFERROR(__xludf.DUMMYFUNCTION("""COMPUTED_VALUE"""),45705.0)</f>
        <v>45705</v>
      </c>
      <c r="B21" s="7" t="str">
        <f>IFERROR(__xludf.DUMMYFUNCTION("""COMPUTED_VALUE"""),"cfd6dd8a-51cf-44ce-889a-628f968d7a7b")</f>
        <v>cfd6dd8a-51cf-44ce-889a-628f968d7a7b</v>
      </c>
      <c r="C21" s="7">
        <f>IFERROR(__xludf.DUMMYFUNCTION("""COMPUTED_VALUE"""),398.0)</f>
        <v>398</v>
      </c>
      <c r="D21" s="6">
        <f>IFERROR(__xludf.DUMMYFUNCTION("""COMPUTED_VALUE"""),45307.0)</f>
        <v>45307</v>
      </c>
      <c r="E21" s="7" t="str">
        <f>IFERROR(__xludf.DUMMYFUNCTION("""COMPUTED_VALUE"""),"FRANQUIA_D&amp;G_SP")</f>
        <v>FRANQUIA_D&amp;G_SP</v>
      </c>
      <c r="F21" s="7" t="str">
        <f>IFERROR(__xludf.DUMMYFUNCTION("""COMPUTED_VALUE"""),"BICYCLE")</f>
        <v>BICYCLE</v>
      </c>
      <c r="G21" s="7" t="str">
        <f>IFERROR(__xludf.DUMMYFUNCTION("""COMPUTED_VALUE"""),"SAO PAULO")</f>
        <v>SAO PAULO</v>
      </c>
    </row>
    <row r="22">
      <c r="A22" s="6">
        <f>IFERROR(__xludf.DUMMYFUNCTION("""COMPUTED_VALUE"""),45705.0)</f>
        <v>45705</v>
      </c>
      <c r="B22" s="7" t="str">
        <f>IFERROR(__xludf.DUMMYFUNCTION("""COMPUTED_VALUE"""),"32770e83-5628-4fe5-976f-24eea106609f")</f>
        <v>32770e83-5628-4fe5-976f-24eea106609f</v>
      </c>
      <c r="C22" s="7">
        <f>IFERROR(__xludf.DUMMYFUNCTION("""COMPUTED_VALUE"""),5.0)</f>
        <v>5</v>
      </c>
      <c r="D22" s="6">
        <f>IFERROR(__xludf.DUMMYFUNCTION("""COMPUTED_VALUE"""),45700.0)</f>
        <v>45700</v>
      </c>
      <c r="E22" s="7" t="str">
        <f>IFERROR(__xludf.DUMMYFUNCTION("""COMPUTED_VALUE"""),"FRANQUIA_D&amp;G_SP")</f>
        <v>FRANQUIA_D&amp;G_SP</v>
      </c>
      <c r="F22" s="7" t="str">
        <f>IFERROR(__xludf.DUMMYFUNCTION("""COMPUTED_VALUE"""),"BICYCLE")</f>
        <v>BICYCLE</v>
      </c>
      <c r="G22" s="7" t="str">
        <f>IFERROR(__xludf.DUMMYFUNCTION("""COMPUTED_VALUE"""),"SAO PAULO")</f>
        <v>SAO PAULO</v>
      </c>
    </row>
    <row r="23">
      <c r="A23" s="6">
        <f>IFERROR(__xludf.DUMMYFUNCTION("""COMPUTED_VALUE"""),45705.0)</f>
        <v>45705</v>
      </c>
      <c r="B23" s="7" t="str">
        <f>IFERROR(__xludf.DUMMYFUNCTION("""COMPUTED_VALUE"""),"2cb1d219-74ac-4784-97e9-cbbaaaf4243a")</f>
        <v>2cb1d219-74ac-4784-97e9-cbbaaaf4243a</v>
      </c>
      <c r="C23" s="7">
        <f>IFERROR(__xludf.DUMMYFUNCTION("""COMPUTED_VALUE"""),34.0)</f>
        <v>34</v>
      </c>
      <c r="D23" s="6">
        <f>IFERROR(__xludf.DUMMYFUNCTION("""COMPUTED_VALUE"""),45671.0)</f>
        <v>45671</v>
      </c>
      <c r="E23" s="7" t="str">
        <f>IFERROR(__xludf.DUMMYFUNCTION("""COMPUTED_VALUE"""),"FRANQUIA_D&amp;G_SP")</f>
        <v>FRANQUIA_D&amp;G_SP</v>
      </c>
      <c r="F23" s="7" t="str">
        <f>IFERROR(__xludf.DUMMYFUNCTION("""COMPUTED_VALUE"""),"MOTORCYCLE")</f>
        <v>MOTORCYCLE</v>
      </c>
      <c r="G23" s="7" t="str">
        <f>IFERROR(__xludf.DUMMYFUNCTION("""COMPUTED_VALUE"""),"BARUERI")</f>
        <v>BARUERI</v>
      </c>
    </row>
    <row r="24">
      <c r="A24" s="6">
        <f>IFERROR(__xludf.DUMMYFUNCTION("""COMPUTED_VALUE"""),45705.0)</f>
        <v>45705</v>
      </c>
      <c r="B24" s="7" t="str">
        <f>IFERROR(__xludf.DUMMYFUNCTION("""COMPUTED_VALUE"""),"3a44d545-016c-40cc-8514-4a3f07405c64")</f>
        <v>3a44d545-016c-40cc-8514-4a3f07405c64</v>
      </c>
      <c r="C24" s="7">
        <f>IFERROR(__xludf.DUMMYFUNCTION("""COMPUTED_VALUE"""),0.0)</f>
        <v>0</v>
      </c>
      <c r="D24" s="6">
        <f>IFERROR(__xludf.DUMMYFUNCTION("""COMPUTED_VALUE"""),45705.0)</f>
        <v>45705</v>
      </c>
      <c r="E24" s="7" t="str">
        <f>IFERROR(__xludf.DUMMYFUNCTION("""COMPUTED_VALUE"""),"FRANQUIA_D&amp;G_SP")</f>
        <v>FRANQUIA_D&amp;G_SP</v>
      </c>
      <c r="F24" s="7" t="str">
        <f>IFERROR(__xludf.DUMMYFUNCTION("""COMPUTED_VALUE"""),"MOTORCYCLE")</f>
        <v>MOTORCYCLE</v>
      </c>
      <c r="G24" s="7" t="str">
        <f>IFERROR(__xludf.DUMMYFUNCTION("""COMPUTED_VALUE"""),"SAO PAULO")</f>
        <v>SAO PAULO</v>
      </c>
    </row>
    <row r="25">
      <c r="A25" s="6">
        <f>IFERROR(__xludf.DUMMYFUNCTION("""COMPUTED_VALUE"""),45705.0)</f>
        <v>45705</v>
      </c>
      <c r="B25" s="7" t="str">
        <f>IFERROR(__xludf.DUMMYFUNCTION("""COMPUTED_VALUE"""),"f46c044f-0dab-403e-95b8-e2226b5b5604")</f>
        <v>f46c044f-0dab-403e-95b8-e2226b5b5604</v>
      </c>
      <c r="C25" s="7">
        <f>IFERROR(__xludf.DUMMYFUNCTION("""COMPUTED_VALUE"""),5.0)</f>
        <v>5</v>
      </c>
      <c r="D25" s="6">
        <f>IFERROR(__xludf.DUMMYFUNCTION("""COMPUTED_VALUE"""),45700.0)</f>
        <v>45700</v>
      </c>
      <c r="E25" s="7" t="str">
        <f>IFERROR(__xludf.DUMMYFUNCTION("""COMPUTED_VALUE"""),"FRANQUIA_D&amp;G_SP")</f>
        <v>FRANQUIA_D&amp;G_SP</v>
      </c>
      <c r="F25" s="7" t="str">
        <f>IFERROR(__xludf.DUMMYFUNCTION("""COMPUTED_VALUE"""),"BICYCLE")</f>
        <v>BICYCLE</v>
      </c>
      <c r="G25" s="7" t="str">
        <f>IFERROR(__xludf.DUMMYFUNCTION("""COMPUTED_VALUE"""),"SAO PAULO")</f>
        <v>SAO PAULO</v>
      </c>
    </row>
    <row r="26">
      <c r="A26" s="6">
        <f>IFERROR(__xludf.DUMMYFUNCTION("""COMPUTED_VALUE"""),45705.0)</f>
        <v>45705</v>
      </c>
      <c r="B26" s="7" t="str">
        <f>IFERROR(__xludf.DUMMYFUNCTION("""COMPUTED_VALUE"""),"69c31ee3-3e7c-45f5-8df5-0d48531e5c0b")</f>
        <v>69c31ee3-3e7c-45f5-8df5-0d48531e5c0b</v>
      </c>
      <c r="C26" s="7">
        <f>IFERROR(__xludf.DUMMYFUNCTION("""COMPUTED_VALUE"""),5.0)</f>
        <v>5</v>
      </c>
      <c r="D26" s="6">
        <f>IFERROR(__xludf.DUMMYFUNCTION("""COMPUTED_VALUE"""),45700.0)</f>
        <v>45700</v>
      </c>
      <c r="E26" s="7" t="str">
        <f>IFERROR(__xludf.DUMMYFUNCTION("""COMPUTED_VALUE"""),"FRANQUIA_D&amp;G_SP")</f>
        <v>FRANQUIA_D&amp;G_SP</v>
      </c>
      <c r="F26" s="7" t="str">
        <f>IFERROR(__xludf.DUMMYFUNCTION("""COMPUTED_VALUE"""),"MOTORCYCLE")</f>
        <v>MOTORCYCLE</v>
      </c>
      <c r="G26" s="7" t="str">
        <f>IFERROR(__xludf.DUMMYFUNCTION("""COMPUTED_VALUE"""),"SAO PAULO")</f>
        <v>SAO PAULO</v>
      </c>
    </row>
    <row r="27">
      <c r="A27" s="6">
        <f>IFERROR(__xludf.DUMMYFUNCTION("""COMPUTED_VALUE"""),45705.0)</f>
        <v>45705</v>
      </c>
      <c r="B27" s="7" t="str">
        <f>IFERROR(__xludf.DUMMYFUNCTION("""COMPUTED_VALUE"""),"64a427eb-59b4-47cc-b128-c1f00fa674a0")</f>
        <v>64a427eb-59b4-47cc-b128-c1f00fa674a0</v>
      </c>
      <c r="C27" s="7">
        <f>IFERROR(__xludf.DUMMYFUNCTION("""COMPUTED_VALUE"""),2.0)</f>
        <v>2</v>
      </c>
      <c r="D27" s="6">
        <f>IFERROR(__xludf.DUMMYFUNCTION("""COMPUTED_VALUE"""),45703.0)</f>
        <v>45703</v>
      </c>
      <c r="E27" s="7" t="str">
        <f>IFERROR(__xludf.DUMMYFUNCTION("""COMPUTED_VALUE"""),"FRANQUIA_D&amp;G_SP")</f>
        <v>FRANQUIA_D&amp;G_SP</v>
      </c>
      <c r="F27" s="7" t="str">
        <f>IFERROR(__xludf.DUMMYFUNCTION("""COMPUTED_VALUE"""),"MOTORCYCLE")</f>
        <v>MOTORCYCLE</v>
      </c>
      <c r="G27" s="7" t="str">
        <f>IFERROR(__xludf.DUMMYFUNCTION("""COMPUTED_VALUE"""),"SAO PAULO")</f>
        <v>SAO PAULO</v>
      </c>
    </row>
    <row r="28">
      <c r="A28" s="6">
        <f>IFERROR(__xludf.DUMMYFUNCTION("""COMPUTED_VALUE"""),45705.0)</f>
        <v>45705</v>
      </c>
      <c r="B28" s="7" t="str">
        <f>IFERROR(__xludf.DUMMYFUNCTION("""COMPUTED_VALUE"""),"4b3c767a-8464-4312-bc29-9b7ac289ddae")</f>
        <v>4b3c767a-8464-4312-bc29-9b7ac289ddae</v>
      </c>
      <c r="C28" s="7">
        <f>IFERROR(__xludf.DUMMYFUNCTION("""COMPUTED_VALUE"""),0.0)</f>
        <v>0</v>
      </c>
      <c r="D28" s="6">
        <f>IFERROR(__xludf.DUMMYFUNCTION("""COMPUTED_VALUE"""),45705.0)</f>
        <v>45705</v>
      </c>
      <c r="E28" s="7" t="str">
        <f>IFERROR(__xludf.DUMMYFUNCTION("""COMPUTED_VALUE"""),"FRANQUIA_D&amp;G_SP")</f>
        <v>FRANQUIA_D&amp;G_SP</v>
      </c>
      <c r="F28" s="7" t="str">
        <f>IFERROR(__xludf.DUMMYFUNCTION("""COMPUTED_VALUE"""),"MOTORCYCLE")</f>
        <v>MOTORCYCLE</v>
      </c>
      <c r="G28" s="7" t="str">
        <f>IFERROR(__xludf.DUMMYFUNCTION("""COMPUTED_VALUE"""),"SAO PAULO")</f>
        <v>SAO PAULO</v>
      </c>
    </row>
    <row r="29">
      <c r="A29" s="6">
        <f>IFERROR(__xludf.DUMMYFUNCTION("""COMPUTED_VALUE"""),45705.0)</f>
        <v>45705</v>
      </c>
      <c r="B29" s="7" t="str">
        <f>IFERROR(__xludf.DUMMYFUNCTION("""COMPUTED_VALUE"""),"5336b351-206d-42fb-ac12-a422f704785f")</f>
        <v>5336b351-206d-42fb-ac12-a422f704785f</v>
      </c>
      <c r="C29" s="7">
        <f>IFERROR(__xludf.DUMMYFUNCTION("""COMPUTED_VALUE"""),1.0)</f>
        <v>1</v>
      </c>
      <c r="D29" s="6">
        <f>IFERROR(__xludf.DUMMYFUNCTION("""COMPUTED_VALUE"""),45704.0)</f>
        <v>45704</v>
      </c>
      <c r="E29" s="7" t="str">
        <f>IFERROR(__xludf.DUMMYFUNCTION("""COMPUTED_VALUE"""),"FRANQUIA_D&amp;G_SP")</f>
        <v>FRANQUIA_D&amp;G_SP</v>
      </c>
      <c r="F29" s="7" t="str">
        <f>IFERROR(__xludf.DUMMYFUNCTION("""COMPUTED_VALUE"""),"MOTORCYCLE")</f>
        <v>MOTORCYCLE</v>
      </c>
      <c r="G29" s="7" t="str">
        <f>IFERROR(__xludf.DUMMYFUNCTION("""COMPUTED_VALUE"""),"SAO PAULO")</f>
        <v>SAO PAULO</v>
      </c>
    </row>
    <row r="30">
      <c r="A30" s="6">
        <f>IFERROR(__xludf.DUMMYFUNCTION("""COMPUTED_VALUE"""),45705.0)</f>
        <v>45705</v>
      </c>
      <c r="B30" s="7" t="str">
        <f>IFERROR(__xludf.DUMMYFUNCTION("""COMPUTED_VALUE"""),"ab4d2494-8ef6-48d8-9ef3-8d5820a69f45")</f>
        <v>ab4d2494-8ef6-48d8-9ef3-8d5820a69f45</v>
      </c>
      <c r="C30" s="7">
        <f>IFERROR(__xludf.DUMMYFUNCTION("""COMPUTED_VALUE"""),0.0)</f>
        <v>0</v>
      </c>
      <c r="D30" s="6">
        <f>IFERROR(__xludf.DUMMYFUNCTION("""COMPUTED_VALUE"""),45705.0)</f>
        <v>45705</v>
      </c>
      <c r="E30" s="7" t="str">
        <f>IFERROR(__xludf.DUMMYFUNCTION("""COMPUTED_VALUE"""),"FRANQUIA_D&amp;G_SP")</f>
        <v>FRANQUIA_D&amp;G_SP</v>
      </c>
      <c r="F30" s="7" t="str">
        <f>IFERROR(__xludf.DUMMYFUNCTION("""COMPUTED_VALUE"""),"MOTORCYCLE")</f>
        <v>MOTORCYCLE</v>
      </c>
      <c r="G30" s="7" t="str">
        <f>IFERROR(__xludf.DUMMYFUNCTION("""COMPUTED_VALUE"""),"SAO PAULO")</f>
        <v>SAO PAULO</v>
      </c>
    </row>
    <row r="31">
      <c r="A31" s="6">
        <f>IFERROR(__xludf.DUMMYFUNCTION("""COMPUTED_VALUE"""),45705.0)</f>
        <v>45705</v>
      </c>
      <c r="B31" s="7" t="str">
        <f>IFERROR(__xludf.DUMMYFUNCTION("""COMPUTED_VALUE"""),"4023a541-e352-4499-882e-17530b2ece03")</f>
        <v>4023a541-e352-4499-882e-17530b2ece03</v>
      </c>
      <c r="C31" s="7">
        <f>IFERROR(__xludf.DUMMYFUNCTION("""COMPUTED_VALUE"""),6.0)</f>
        <v>6</v>
      </c>
      <c r="D31" s="6">
        <f>IFERROR(__xludf.DUMMYFUNCTION("""COMPUTED_VALUE"""),45699.0)</f>
        <v>45699</v>
      </c>
      <c r="E31" s="7" t="str">
        <f>IFERROR(__xludf.DUMMYFUNCTION("""COMPUTED_VALUE"""),"FRANQUIA_D&amp;G_SP")</f>
        <v>FRANQUIA_D&amp;G_SP</v>
      </c>
      <c r="F31" s="7" t="str">
        <f>IFERROR(__xludf.DUMMYFUNCTION("""COMPUTED_VALUE"""),"MOTORCYCLE")</f>
        <v>MOTORCYCLE</v>
      </c>
      <c r="G31" s="7" t="str">
        <f>IFERROR(__xludf.DUMMYFUNCTION("""COMPUTED_VALUE"""),"RIO CLARO")</f>
        <v>RIO CLARO</v>
      </c>
    </row>
    <row r="32">
      <c r="A32" s="6">
        <f>IFERROR(__xludf.DUMMYFUNCTION("""COMPUTED_VALUE"""),45705.0)</f>
        <v>45705</v>
      </c>
      <c r="B32" s="7" t="str">
        <f>IFERROR(__xludf.DUMMYFUNCTION("""COMPUTED_VALUE"""),"05029be7-7bdb-496a-bf05-8e6aea500f3f")</f>
        <v>05029be7-7bdb-496a-bf05-8e6aea500f3f</v>
      </c>
      <c r="C32" s="7">
        <f>IFERROR(__xludf.DUMMYFUNCTION("""COMPUTED_VALUE"""),0.0)</f>
        <v>0</v>
      </c>
      <c r="D32" s="6">
        <f>IFERROR(__xludf.DUMMYFUNCTION("""COMPUTED_VALUE"""),45705.0)</f>
        <v>45705</v>
      </c>
      <c r="E32" s="7" t="str">
        <f>IFERROR(__xludf.DUMMYFUNCTION("""COMPUTED_VALUE"""),"FRANQUIA_D&amp;G_SP")</f>
        <v>FRANQUIA_D&amp;G_SP</v>
      </c>
      <c r="F32" s="7" t="str">
        <f>IFERROR(__xludf.DUMMYFUNCTION("""COMPUTED_VALUE"""),"BICYCLE")</f>
        <v>BICYCLE</v>
      </c>
      <c r="G32" s="7" t="str">
        <f>IFERROR(__xludf.DUMMYFUNCTION("""COMPUTED_VALUE"""),"SAO PAULO")</f>
        <v>SAO PAULO</v>
      </c>
    </row>
    <row r="33">
      <c r="A33" s="6">
        <f>IFERROR(__xludf.DUMMYFUNCTION("""COMPUTED_VALUE"""),45705.0)</f>
        <v>45705</v>
      </c>
      <c r="B33" s="7" t="str">
        <f>IFERROR(__xludf.DUMMYFUNCTION("""COMPUTED_VALUE"""),"155f2561-ebe5-458a-a805-11c3c41f5e73")</f>
        <v>155f2561-ebe5-458a-a805-11c3c41f5e73</v>
      </c>
      <c r="C33" s="7">
        <f>IFERROR(__xludf.DUMMYFUNCTION("""COMPUTED_VALUE"""),0.0)</f>
        <v>0</v>
      </c>
      <c r="D33" s="6">
        <f>IFERROR(__xludf.DUMMYFUNCTION("""COMPUTED_VALUE"""),45705.0)</f>
        <v>45705</v>
      </c>
      <c r="E33" s="7" t="str">
        <f>IFERROR(__xludf.DUMMYFUNCTION("""COMPUTED_VALUE"""),"FRANQUIA_D&amp;G_SP")</f>
        <v>FRANQUIA_D&amp;G_SP</v>
      </c>
      <c r="F33" s="7" t="str">
        <f>IFERROR(__xludf.DUMMYFUNCTION("""COMPUTED_VALUE"""),"MOTORCYCLE")</f>
        <v>MOTORCYCLE</v>
      </c>
      <c r="G33" s="7" t="str">
        <f>IFERROR(__xludf.DUMMYFUNCTION("""COMPUTED_VALUE"""),"SAO PAULO")</f>
        <v>SAO PAULO</v>
      </c>
    </row>
    <row r="34">
      <c r="A34" s="6">
        <f>IFERROR(__xludf.DUMMYFUNCTION("""COMPUTED_VALUE"""),45705.0)</f>
        <v>45705</v>
      </c>
      <c r="B34" s="7" t="str">
        <f>IFERROR(__xludf.DUMMYFUNCTION("""COMPUTED_VALUE"""),"efe3b376-22b8-42eb-ae05-b5ab9841fb79")</f>
        <v>efe3b376-22b8-42eb-ae05-b5ab9841fb79</v>
      </c>
      <c r="C34" s="7">
        <f>IFERROR(__xludf.DUMMYFUNCTION("""COMPUTED_VALUE"""),1145.0)</f>
        <v>1145</v>
      </c>
      <c r="D34" s="6">
        <f>IFERROR(__xludf.DUMMYFUNCTION("""COMPUTED_VALUE"""),44560.0)</f>
        <v>44560</v>
      </c>
      <c r="E34" s="7" t="str">
        <f>IFERROR(__xludf.DUMMYFUNCTION("""COMPUTED_VALUE"""),"FRANQUIA_D&amp;G_SP")</f>
        <v>FRANQUIA_D&amp;G_SP</v>
      </c>
      <c r="F34" s="7" t="str">
        <f>IFERROR(__xludf.DUMMYFUNCTION("""COMPUTED_VALUE"""),"BICYCLE")</f>
        <v>BICYCLE</v>
      </c>
      <c r="G34" s="7" t="str">
        <f>IFERROR(__xludf.DUMMYFUNCTION("""COMPUTED_VALUE"""),"SAO PAULO")</f>
        <v>SAO PAULO</v>
      </c>
    </row>
    <row r="35">
      <c r="A35" s="6">
        <f>IFERROR(__xludf.DUMMYFUNCTION("""COMPUTED_VALUE"""),45705.0)</f>
        <v>45705</v>
      </c>
      <c r="B35" s="7" t="str">
        <f>IFERROR(__xludf.DUMMYFUNCTION("""COMPUTED_VALUE"""),"59526bbc-f03e-4967-ba40-5be54469b489")</f>
        <v>59526bbc-f03e-4967-ba40-5be54469b489</v>
      </c>
      <c r="C35" s="7">
        <f>IFERROR(__xludf.DUMMYFUNCTION("""COMPUTED_VALUE"""),429.0)</f>
        <v>429</v>
      </c>
      <c r="D35" s="6">
        <f>IFERROR(__xludf.DUMMYFUNCTION("""COMPUTED_VALUE"""),45276.0)</f>
        <v>45276</v>
      </c>
      <c r="E35" s="7" t="str">
        <f>IFERROR(__xludf.DUMMYFUNCTION("""COMPUTED_VALUE"""),"FRANQUIA_D&amp;G_SP")</f>
        <v>FRANQUIA_D&amp;G_SP</v>
      </c>
      <c r="F35" s="7" t="str">
        <f>IFERROR(__xludf.DUMMYFUNCTION("""COMPUTED_VALUE"""),"MOTORCYCLE")</f>
        <v>MOTORCYCLE</v>
      </c>
      <c r="G35" s="7" t="str">
        <f>IFERROR(__xludf.DUMMYFUNCTION("""COMPUTED_VALUE"""),"SAO PAULO")</f>
        <v>SAO PAULO</v>
      </c>
    </row>
    <row r="36">
      <c r="A36" s="6">
        <f>IFERROR(__xludf.DUMMYFUNCTION("""COMPUTED_VALUE"""),45705.0)</f>
        <v>45705</v>
      </c>
      <c r="B36" s="7" t="str">
        <f>IFERROR(__xludf.DUMMYFUNCTION("""COMPUTED_VALUE"""),"1faaa5d8-08f7-489e-b8b5-e52c66136a5c")</f>
        <v>1faaa5d8-08f7-489e-b8b5-e52c66136a5c</v>
      </c>
      <c r="C36" s="7">
        <f>IFERROR(__xludf.DUMMYFUNCTION("""COMPUTED_VALUE"""),0.0)</f>
        <v>0</v>
      </c>
      <c r="D36" s="6">
        <f>IFERROR(__xludf.DUMMYFUNCTION("""COMPUTED_VALUE"""),45705.0)</f>
        <v>45705</v>
      </c>
      <c r="E36" s="7" t="str">
        <f>IFERROR(__xludf.DUMMYFUNCTION("""COMPUTED_VALUE"""),"FRANQUIA_D&amp;G_SP")</f>
        <v>FRANQUIA_D&amp;G_SP</v>
      </c>
      <c r="F36" s="7" t="str">
        <f>IFERROR(__xludf.DUMMYFUNCTION("""COMPUTED_VALUE"""),"MOTORCYCLE")</f>
        <v>MOTORCYCLE</v>
      </c>
      <c r="G36" s="7" t="str">
        <f>IFERROR(__xludf.DUMMYFUNCTION("""COMPUTED_VALUE"""),"SAO PAULO")</f>
        <v>SAO PAULO</v>
      </c>
    </row>
    <row r="37">
      <c r="A37" s="6">
        <f>IFERROR(__xludf.DUMMYFUNCTION("""COMPUTED_VALUE"""),45705.0)</f>
        <v>45705</v>
      </c>
      <c r="B37" s="7" t="str">
        <f>IFERROR(__xludf.DUMMYFUNCTION("""COMPUTED_VALUE"""),"45a35fd5-93af-4567-b4f4-16b5587c3148")</f>
        <v>45a35fd5-93af-4567-b4f4-16b5587c3148</v>
      </c>
      <c r="C37" s="7">
        <f>IFERROR(__xludf.DUMMYFUNCTION("""COMPUTED_VALUE"""),385.0)</f>
        <v>385</v>
      </c>
      <c r="D37" s="6">
        <f>IFERROR(__xludf.DUMMYFUNCTION("""COMPUTED_VALUE"""),45320.0)</f>
        <v>45320</v>
      </c>
      <c r="E37" s="7" t="str">
        <f>IFERROR(__xludf.DUMMYFUNCTION("""COMPUTED_VALUE"""),"FRANQUIA_D&amp;G_SP")</f>
        <v>FRANQUIA_D&amp;G_SP</v>
      </c>
      <c r="F37" s="7" t="str">
        <f>IFERROR(__xludf.DUMMYFUNCTION("""COMPUTED_VALUE"""),"BICYCLE")</f>
        <v>BICYCLE</v>
      </c>
      <c r="G37" s="7" t="str">
        <f>IFERROR(__xludf.DUMMYFUNCTION("""COMPUTED_VALUE"""),"SAO PAULO")</f>
        <v>SAO PAULO</v>
      </c>
    </row>
    <row r="38">
      <c r="A38" s="6">
        <f>IFERROR(__xludf.DUMMYFUNCTION("""COMPUTED_VALUE"""),45705.0)</f>
        <v>45705</v>
      </c>
      <c r="B38" s="7" t="str">
        <f>IFERROR(__xludf.DUMMYFUNCTION("""COMPUTED_VALUE"""),"a654e35d-ed7c-41b3-a66e-c91de805d4a3")</f>
        <v>a654e35d-ed7c-41b3-a66e-c91de805d4a3</v>
      </c>
      <c r="C38" s="7">
        <f>IFERROR(__xludf.DUMMYFUNCTION("""COMPUTED_VALUE"""),100.0)</f>
        <v>100</v>
      </c>
      <c r="D38" s="6">
        <f>IFERROR(__xludf.DUMMYFUNCTION("""COMPUTED_VALUE"""),45605.0)</f>
        <v>45605</v>
      </c>
      <c r="E38" s="7" t="str">
        <f>IFERROR(__xludf.DUMMYFUNCTION("""COMPUTED_VALUE"""),"FRANQUIA_D&amp;G_SP")</f>
        <v>FRANQUIA_D&amp;G_SP</v>
      </c>
      <c r="F38" s="7" t="str">
        <f>IFERROR(__xludf.DUMMYFUNCTION("""COMPUTED_VALUE"""),"MOTORCYCLE")</f>
        <v>MOTORCYCLE</v>
      </c>
      <c r="G38" s="7" t="str">
        <f>IFERROR(__xludf.DUMMYFUNCTION("""COMPUTED_VALUE"""),"SAO PAULO")</f>
        <v>SAO PAULO</v>
      </c>
    </row>
    <row r="39">
      <c r="A39" s="6">
        <f>IFERROR(__xludf.DUMMYFUNCTION("""COMPUTED_VALUE"""),45705.0)</f>
        <v>45705</v>
      </c>
      <c r="B39" s="7" t="str">
        <f>IFERROR(__xludf.DUMMYFUNCTION("""COMPUTED_VALUE"""),"62f303a1-9301-4dc4-872e-76cb606318ae")</f>
        <v>62f303a1-9301-4dc4-872e-76cb606318ae</v>
      </c>
      <c r="C39" s="7">
        <f>IFERROR(__xludf.DUMMYFUNCTION("""COMPUTED_VALUE"""),901.0)</f>
        <v>901</v>
      </c>
      <c r="D39" s="6">
        <f>IFERROR(__xludf.DUMMYFUNCTION("""COMPUTED_VALUE"""),44804.0)</f>
        <v>44804</v>
      </c>
      <c r="E39" s="7" t="str">
        <f>IFERROR(__xludf.DUMMYFUNCTION("""COMPUTED_VALUE"""),"FRANQUIA_D&amp;G_SP")</f>
        <v>FRANQUIA_D&amp;G_SP</v>
      </c>
      <c r="F39" s="7" t="str">
        <f>IFERROR(__xludf.DUMMYFUNCTION("""COMPUTED_VALUE"""),"MOTORCYCLE")</f>
        <v>MOTORCYCLE</v>
      </c>
      <c r="G39" s="7" t="str">
        <f>IFERROR(__xludf.DUMMYFUNCTION("""COMPUTED_VALUE"""),"SAO PAULO")</f>
        <v>SAO PAULO</v>
      </c>
    </row>
    <row r="40">
      <c r="A40" s="6">
        <f>IFERROR(__xludf.DUMMYFUNCTION("""COMPUTED_VALUE"""),45705.0)</f>
        <v>45705</v>
      </c>
      <c r="B40" s="7" t="str">
        <f>IFERROR(__xludf.DUMMYFUNCTION("""COMPUTED_VALUE"""),"f464192e-06b2-4813-aae8-435a27f3d11e")</f>
        <v>f464192e-06b2-4813-aae8-435a27f3d11e</v>
      </c>
      <c r="C40" s="7">
        <f>IFERROR(__xludf.DUMMYFUNCTION("""COMPUTED_VALUE"""),106.0)</f>
        <v>106</v>
      </c>
      <c r="D40" s="6">
        <f>IFERROR(__xludf.DUMMYFUNCTION("""COMPUTED_VALUE"""),45599.0)</f>
        <v>45599</v>
      </c>
      <c r="E40" s="7" t="str">
        <f>IFERROR(__xludf.DUMMYFUNCTION("""COMPUTED_VALUE"""),"FRANQUIA_D&amp;G_SP")</f>
        <v>FRANQUIA_D&amp;G_SP</v>
      </c>
      <c r="F40" s="7" t="str">
        <f>IFERROR(__xludf.DUMMYFUNCTION("""COMPUTED_VALUE"""),"MOTORCYCLE")</f>
        <v>MOTORCYCLE</v>
      </c>
      <c r="G40" s="7" t="str">
        <f>IFERROR(__xludf.DUMMYFUNCTION("""COMPUTED_VALUE"""),"SAO PAULO")</f>
        <v>SAO PAULO</v>
      </c>
    </row>
    <row r="41">
      <c r="A41" s="6">
        <f>IFERROR(__xludf.DUMMYFUNCTION("""COMPUTED_VALUE"""),45705.0)</f>
        <v>45705</v>
      </c>
      <c r="B41" s="7" t="str">
        <f>IFERROR(__xludf.DUMMYFUNCTION("""COMPUTED_VALUE"""),"cd76b0d0-2628-4757-ad92-b4c4a315a002")</f>
        <v>cd76b0d0-2628-4757-ad92-b4c4a315a002</v>
      </c>
      <c r="C41" s="7">
        <f>IFERROR(__xludf.DUMMYFUNCTION("""COMPUTED_VALUE"""),0.0)</f>
        <v>0</v>
      </c>
      <c r="D41" s="6">
        <f>IFERROR(__xludf.DUMMYFUNCTION("""COMPUTED_VALUE"""),45705.0)</f>
        <v>45705</v>
      </c>
      <c r="E41" s="7" t="str">
        <f>IFERROR(__xludf.DUMMYFUNCTION("""COMPUTED_VALUE"""),"FRANQUIA_D&amp;G_SP")</f>
        <v>FRANQUIA_D&amp;G_SP</v>
      </c>
      <c r="F41" s="7" t="str">
        <f>IFERROR(__xludf.DUMMYFUNCTION("""COMPUTED_VALUE"""),"MOTORCYCLE")</f>
        <v>MOTORCYCLE</v>
      </c>
      <c r="G41" s="7" t="str">
        <f>IFERROR(__xludf.DUMMYFUNCTION("""COMPUTED_VALUE"""),"SAO PAULO")</f>
        <v>SAO PAULO</v>
      </c>
    </row>
    <row r="42">
      <c r="A42" s="6">
        <f>IFERROR(__xludf.DUMMYFUNCTION("""COMPUTED_VALUE"""),45705.0)</f>
        <v>45705</v>
      </c>
      <c r="B42" s="7" t="str">
        <f>IFERROR(__xludf.DUMMYFUNCTION("""COMPUTED_VALUE"""),"110b2fab-1605-4d00-8d18-f57aa0b895e9")</f>
        <v>110b2fab-1605-4d00-8d18-f57aa0b895e9</v>
      </c>
      <c r="C42" s="7">
        <f>IFERROR(__xludf.DUMMYFUNCTION("""COMPUTED_VALUE"""),94.0)</f>
        <v>94</v>
      </c>
      <c r="D42" s="6">
        <f>IFERROR(__xludf.DUMMYFUNCTION("""COMPUTED_VALUE"""),45611.0)</f>
        <v>45611</v>
      </c>
      <c r="E42" s="7" t="str">
        <f>IFERROR(__xludf.DUMMYFUNCTION("""COMPUTED_VALUE"""),"FRANQUIA_D&amp;G_SP")</f>
        <v>FRANQUIA_D&amp;G_SP</v>
      </c>
      <c r="F42" s="7" t="str">
        <f>IFERROR(__xludf.DUMMYFUNCTION("""COMPUTED_VALUE"""),"BICYCLE")</f>
        <v>BICYCLE</v>
      </c>
      <c r="G42" s="7" t="str">
        <f>IFERROR(__xludf.DUMMYFUNCTION("""COMPUTED_VALUE"""),"SAO PAULO")</f>
        <v>SAO PAULO</v>
      </c>
    </row>
    <row r="43">
      <c r="A43" s="6">
        <f>IFERROR(__xludf.DUMMYFUNCTION("""COMPUTED_VALUE"""),45705.0)</f>
        <v>45705</v>
      </c>
      <c r="B43" s="7" t="str">
        <f>IFERROR(__xludf.DUMMYFUNCTION("""COMPUTED_VALUE"""),"15a67564-f0be-46b9-b617-e308c69ce03b")</f>
        <v>15a67564-f0be-46b9-b617-e308c69ce03b</v>
      </c>
      <c r="C43" s="7">
        <f>IFERROR(__xludf.DUMMYFUNCTION("""COMPUTED_VALUE"""),178.0)</f>
        <v>178</v>
      </c>
      <c r="D43" s="6">
        <f>IFERROR(__xludf.DUMMYFUNCTION("""COMPUTED_VALUE"""),45527.0)</f>
        <v>45527</v>
      </c>
      <c r="E43" s="7" t="str">
        <f>IFERROR(__xludf.DUMMYFUNCTION("""COMPUTED_VALUE"""),"FRANQUIA_D&amp;G_SP")</f>
        <v>FRANQUIA_D&amp;G_SP</v>
      </c>
      <c r="F43" s="7" t="str">
        <f>IFERROR(__xludf.DUMMYFUNCTION("""COMPUTED_VALUE"""),"BICYCLE")</f>
        <v>BICYCLE</v>
      </c>
      <c r="G43" s="7" t="str">
        <f>IFERROR(__xludf.DUMMYFUNCTION("""COMPUTED_VALUE"""),"SAO PAULO")</f>
        <v>SAO PAULO</v>
      </c>
    </row>
    <row r="44">
      <c r="A44" s="6">
        <f>IFERROR(__xludf.DUMMYFUNCTION("""COMPUTED_VALUE"""),45705.0)</f>
        <v>45705</v>
      </c>
      <c r="B44" s="7" t="str">
        <f>IFERROR(__xludf.DUMMYFUNCTION("""COMPUTED_VALUE"""),"77547a0f-f8ad-4043-bff5-f76f5e5158c3")</f>
        <v>77547a0f-f8ad-4043-bff5-f76f5e5158c3</v>
      </c>
      <c r="C44" s="7">
        <f>IFERROR(__xludf.DUMMYFUNCTION("""COMPUTED_VALUE"""),0.0)</f>
        <v>0</v>
      </c>
      <c r="D44" s="6">
        <f>IFERROR(__xludf.DUMMYFUNCTION("""COMPUTED_VALUE"""),0.0)</f>
        <v>0</v>
      </c>
      <c r="E44" s="7" t="str">
        <f>IFERROR(__xludf.DUMMYFUNCTION("""COMPUTED_VALUE"""),"FRANQUIA_D&amp;G_SP")</f>
        <v>FRANQUIA_D&amp;G_SP</v>
      </c>
      <c r="F44" s="7" t="str">
        <f>IFERROR(__xludf.DUMMYFUNCTION("""COMPUTED_VALUE"""),"MOTORCYCLE")</f>
        <v>MOTORCYCLE</v>
      </c>
      <c r="G44" s="7" t="str">
        <f>IFERROR(__xludf.DUMMYFUNCTION("""COMPUTED_VALUE"""),"0")</f>
        <v>0</v>
      </c>
    </row>
    <row r="45">
      <c r="A45" s="6">
        <f>IFERROR(__xludf.DUMMYFUNCTION("""COMPUTED_VALUE"""),45705.0)</f>
        <v>45705</v>
      </c>
      <c r="B45" s="7" t="str">
        <f>IFERROR(__xludf.DUMMYFUNCTION("""COMPUTED_VALUE"""),"6a2ee018-b074-44b6-abc7-85770bf973e6")</f>
        <v>6a2ee018-b074-44b6-abc7-85770bf973e6</v>
      </c>
      <c r="C45" s="7">
        <f>IFERROR(__xludf.DUMMYFUNCTION("""COMPUTED_VALUE"""),12.0)</f>
        <v>12</v>
      </c>
      <c r="D45" s="6">
        <f>IFERROR(__xludf.DUMMYFUNCTION("""COMPUTED_VALUE"""),45693.0)</f>
        <v>45693</v>
      </c>
      <c r="E45" s="7" t="str">
        <f>IFERROR(__xludf.DUMMYFUNCTION("""COMPUTED_VALUE"""),"FRANQUIA_D&amp;G_SP")</f>
        <v>FRANQUIA_D&amp;G_SP</v>
      </c>
      <c r="F45" s="7" t="str">
        <f>IFERROR(__xludf.DUMMYFUNCTION("""COMPUTED_VALUE"""),"BICYCLE")</f>
        <v>BICYCLE</v>
      </c>
      <c r="G45" s="7" t="str">
        <f>IFERROR(__xludf.DUMMYFUNCTION("""COMPUTED_VALUE"""),"SUZANO")</f>
        <v>SUZANO</v>
      </c>
    </row>
    <row r="46">
      <c r="A46" s="6">
        <f>IFERROR(__xludf.DUMMYFUNCTION("""COMPUTED_VALUE"""),45705.0)</f>
        <v>45705</v>
      </c>
      <c r="B46" s="7" t="str">
        <f>IFERROR(__xludf.DUMMYFUNCTION("""COMPUTED_VALUE"""),"8bb12ce8-0fca-4baa-8c59-ebcb2a289031")</f>
        <v>8bb12ce8-0fca-4baa-8c59-ebcb2a289031</v>
      </c>
      <c r="C46" s="7">
        <f>IFERROR(__xludf.DUMMYFUNCTION("""COMPUTED_VALUE"""),0.0)</f>
        <v>0</v>
      </c>
      <c r="D46" s="6">
        <f>IFERROR(__xludf.DUMMYFUNCTION("""COMPUTED_VALUE"""),45705.0)</f>
        <v>45705</v>
      </c>
      <c r="E46" s="7" t="str">
        <f>IFERROR(__xludf.DUMMYFUNCTION("""COMPUTED_VALUE"""),"FRANQUIA_D&amp;G_SP")</f>
        <v>FRANQUIA_D&amp;G_SP</v>
      </c>
      <c r="F46" s="7" t="str">
        <f>IFERROR(__xludf.DUMMYFUNCTION("""COMPUTED_VALUE"""),"MOTORCYCLE")</f>
        <v>MOTORCYCLE</v>
      </c>
      <c r="G46" s="7" t="str">
        <f>IFERROR(__xludf.DUMMYFUNCTION("""COMPUTED_VALUE"""),"ABC")</f>
        <v>ABC</v>
      </c>
    </row>
    <row r="47">
      <c r="A47" s="6">
        <f>IFERROR(__xludf.DUMMYFUNCTION("""COMPUTED_VALUE"""),45705.0)</f>
        <v>45705</v>
      </c>
      <c r="B47" s="7" t="str">
        <f>IFERROR(__xludf.DUMMYFUNCTION("""COMPUTED_VALUE"""),"cef59baa-bb3e-4f13-b870-278a2987ced9")</f>
        <v>cef59baa-bb3e-4f13-b870-278a2987ced9</v>
      </c>
      <c r="C47" s="7">
        <f>IFERROR(__xludf.DUMMYFUNCTION("""COMPUTED_VALUE"""),17.0)</f>
        <v>17</v>
      </c>
      <c r="D47" s="6">
        <f>IFERROR(__xludf.DUMMYFUNCTION("""COMPUTED_VALUE"""),45688.0)</f>
        <v>45688</v>
      </c>
      <c r="E47" s="7" t="str">
        <f>IFERROR(__xludf.DUMMYFUNCTION("""COMPUTED_VALUE"""),"FRANQUIA_D&amp;G_SP")</f>
        <v>FRANQUIA_D&amp;G_SP</v>
      </c>
      <c r="F47" s="7" t="str">
        <f>IFERROR(__xludf.DUMMYFUNCTION("""COMPUTED_VALUE"""),"BICYCLE")</f>
        <v>BICYCLE</v>
      </c>
      <c r="G47" s="7" t="str">
        <f>IFERROR(__xludf.DUMMYFUNCTION("""COMPUTED_VALUE"""),"SAO PAULO")</f>
        <v>SAO PAULO</v>
      </c>
    </row>
    <row r="48">
      <c r="A48" s="6">
        <f>IFERROR(__xludf.DUMMYFUNCTION("""COMPUTED_VALUE"""),45705.0)</f>
        <v>45705</v>
      </c>
      <c r="B48" s="7" t="str">
        <f>IFERROR(__xludf.DUMMYFUNCTION("""COMPUTED_VALUE"""),"3b3e0ab8-0eaa-450c-92cd-4c06b76541df")</f>
        <v>3b3e0ab8-0eaa-450c-92cd-4c06b76541df</v>
      </c>
      <c r="C48" s="7">
        <f>IFERROR(__xludf.DUMMYFUNCTION("""COMPUTED_VALUE"""),18.0)</f>
        <v>18</v>
      </c>
      <c r="D48" s="6">
        <f>IFERROR(__xludf.DUMMYFUNCTION("""COMPUTED_VALUE"""),45687.0)</f>
        <v>45687</v>
      </c>
      <c r="E48" s="7" t="str">
        <f>IFERROR(__xludf.DUMMYFUNCTION("""COMPUTED_VALUE"""),"FRANQUIA_D&amp;G_SP")</f>
        <v>FRANQUIA_D&amp;G_SP</v>
      </c>
      <c r="F48" s="7" t="str">
        <f>IFERROR(__xludf.DUMMYFUNCTION("""COMPUTED_VALUE"""),"BICYCLE")</f>
        <v>BICYCLE</v>
      </c>
      <c r="G48" s="7" t="str">
        <f>IFERROR(__xludf.DUMMYFUNCTION("""COMPUTED_VALUE"""),"SAO PAULO")</f>
        <v>SAO PAULO</v>
      </c>
    </row>
    <row r="49">
      <c r="A49" s="6">
        <f>IFERROR(__xludf.DUMMYFUNCTION("""COMPUTED_VALUE"""),45705.0)</f>
        <v>45705</v>
      </c>
      <c r="B49" s="7" t="str">
        <f>IFERROR(__xludf.DUMMYFUNCTION("""COMPUTED_VALUE"""),"448a1a4e-b59a-45b6-975b-a3d14980de51")</f>
        <v>448a1a4e-b59a-45b6-975b-a3d14980de51</v>
      </c>
      <c r="C49" s="7">
        <f>IFERROR(__xludf.DUMMYFUNCTION("""COMPUTED_VALUE"""),3.0)</f>
        <v>3</v>
      </c>
      <c r="D49" s="6">
        <f>IFERROR(__xludf.DUMMYFUNCTION("""COMPUTED_VALUE"""),45702.0)</f>
        <v>45702</v>
      </c>
      <c r="E49" s="7" t="str">
        <f>IFERROR(__xludf.DUMMYFUNCTION("""COMPUTED_VALUE"""),"FRANQUIA_D&amp;G_SP")</f>
        <v>FRANQUIA_D&amp;G_SP</v>
      </c>
      <c r="F49" s="7" t="str">
        <f>IFERROR(__xludf.DUMMYFUNCTION("""COMPUTED_VALUE"""),"MOTORCYCLE")</f>
        <v>MOTORCYCLE</v>
      </c>
      <c r="G49" s="7" t="str">
        <f>IFERROR(__xludf.DUMMYFUNCTION("""COMPUTED_VALUE"""),"SAO PAULO")</f>
        <v>SAO PAULO</v>
      </c>
    </row>
    <row r="50">
      <c r="A50" s="6">
        <f>IFERROR(__xludf.DUMMYFUNCTION("""COMPUTED_VALUE"""),45705.0)</f>
        <v>45705</v>
      </c>
      <c r="B50" s="7" t="str">
        <f>IFERROR(__xludf.DUMMYFUNCTION("""COMPUTED_VALUE"""),"d7090e32-171d-45e4-a793-9379ac1dcf13")</f>
        <v>d7090e32-171d-45e4-a793-9379ac1dcf13</v>
      </c>
      <c r="C50" s="7">
        <f>IFERROR(__xludf.DUMMYFUNCTION("""COMPUTED_VALUE"""),510.0)</f>
        <v>510</v>
      </c>
      <c r="D50" s="6">
        <f>IFERROR(__xludf.DUMMYFUNCTION("""COMPUTED_VALUE"""),45195.0)</f>
        <v>45195</v>
      </c>
      <c r="E50" s="7" t="str">
        <f>IFERROR(__xludf.DUMMYFUNCTION("""COMPUTED_VALUE"""),"FRANQUIA_D&amp;G_SP")</f>
        <v>FRANQUIA_D&amp;G_SP</v>
      </c>
      <c r="F50" s="7" t="str">
        <f>IFERROR(__xludf.DUMMYFUNCTION("""COMPUTED_VALUE"""),"BICYCLE")</f>
        <v>BICYCLE</v>
      </c>
      <c r="G50" s="7" t="str">
        <f>IFERROR(__xludf.DUMMYFUNCTION("""COMPUTED_VALUE"""),"ABC")</f>
        <v>ABC</v>
      </c>
    </row>
    <row r="51">
      <c r="A51" s="6">
        <f>IFERROR(__xludf.DUMMYFUNCTION("""COMPUTED_VALUE"""),45705.0)</f>
        <v>45705</v>
      </c>
      <c r="B51" s="7" t="str">
        <f>IFERROR(__xludf.DUMMYFUNCTION("""COMPUTED_VALUE"""),"1c785cfc-eeb1-4e8e-b8db-1f822f512eed")</f>
        <v>1c785cfc-eeb1-4e8e-b8db-1f822f512eed</v>
      </c>
      <c r="C51" s="7">
        <f>IFERROR(__xludf.DUMMYFUNCTION("""COMPUTED_VALUE"""),0.0)</f>
        <v>0</v>
      </c>
      <c r="D51" s="6">
        <f>IFERROR(__xludf.DUMMYFUNCTION("""COMPUTED_VALUE"""),0.0)</f>
        <v>0</v>
      </c>
      <c r="E51" s="7" t="str">
        <f>IFERROR(__xludf.DUMMYFUNCTION("""COMPUTED_VALUE"""),"FRANQUIA_D&amp;G_SP")</f>
        <v>FRANQUIA_D&amp;G_SP</v>
      </c>
      <c r="F51" s="7" t="str">
        <f>IFERROR(__xludf.DUMMYFUNCTION("""COMPUTED_VALUE"""),"BICYCLE")</f>
        <v>BICYCLE</v>
      </c>
      <c r="G51" s="7" t="str">
        <f>IFERROR(__xludf.DUMMYFUNCTION("""COMPUTED_VALUE"""),"0")</f>
        <v>0</v>
      </c>
    </row>
    <row r="52">
      <c r="A52" s="6">
        <f>IFERROR(__xludf.DUMMYFUNCTION("""COMPUTED_VALUE"""),45705.0)</f>
        <v>45705</v>
      </c>
      <c r="B52" s="7" t="str">
        <f>IFERROR(__xludf.DUMMYFUNCTION("""COMPUTED_VALUE"""),"0977ea8b-68a2-4658-94b3-0ab4ec1b2e01")</f>
        <v>0977ea8b-68a2-4658-94b3-0ab4ec1b2e01</v>
      </c>
      <c r="C52" s="7">
        <f>IFERROR(__xludf.DUMMYFUNCTION("""COMPUTED_VALUE"""),0.0)</f>
        <v>0</v>
      </c>
      <c r="D52" s="6">
        <f>IFERROR(__xludf.DUMMYFUNCTION("""COMPUTED_VALUE"""),45705.0)</f>
        <v>45705</v>
      </c>
      <c r="E52" s="7" t="str">
        <f>IFERROR(__xludf.DUMMYFUNCTION("""COMPUTED_VALUE"""),"FRANQUIA_D&amp;G_SP")</f>
        <v>FRANQUIA_D&amp;G_SP</v>
      </c>
      <c r="F52" s="7" t="str">
        <f>IFERROR(__xludf.DUMMYFUNCTION("""COMPUTED_VALUE"""),"BICYCLE")</f>
        <v>BICYCLE</v>
      </c>
      <c r="G52" s="7" t="str">
        <f>IFERROR(__xludf.DUMMYFUNCTION("""COMPUTED_VALUE"""),"SAO PAULO")</f>
        <v>SAO PAULO</v>
      </c>
    </row>
    <row r="53">
      <c r="A53" s="6">
        <f>IFERROR(__xludf.DUMMYFUNCTION("""COMPUTED_VALUE"""),45705.0)</f>
        <v>45705</v>
      </c>
      <c r="B53" s="7" t="str">
        <f>IFERROR(__xludf.DUMMYFUNCTION("""COMPUTED_VALUE"""),"11cf2117-65b9-43e7-8609-31ec2a6bb58e")</f>
        <v>11cf2117-65b9-43e7-8609-31ec2a6bb58e</v>
      </c>
      <c r="C53" s="7">
        <f>IFERROR(__xludf.DUMMYFUNCTION("""COMPUTED_VALUE"""),0.0)</f>
        <v>0</v>
      </c>
      <c r="D53" s="6">
        <f>IFERROR(__xludf.DUMMYFUNCTION("""COMPUTED_VALUE"""),45705.0)</f>
        <v>45705</v>
      </c>
      <c r="E53" s="7" t="str">
        <f>IFERROR(__xludf.DUMMYFUNCTION("""COMPUTED_VALUE"""),"FRANQUIA_D&amp;G_SP")</f>
        <v>FRANQUIA_D&amp;G_SP</v>
      </c>
      <c r="F53" s="7" t="str">
        <f>IFERROR(__xludf.DUMMYFUNCTION("""COMPUTED_VALUE"""),"MOTORCYCLE")</f>
        <v>MOTORCYCLE</v>
      </c>
      <c r="G53" s="7" t="str">
        <f>IFERROR(__xludf.DUMMYFUNCTION("""COMPUTED_VALUE"""),"SAO PAULO")</f>
        <v>SAO PAULO</v>
      </c>
    </row>
    <row r="54">
      <c r="A54" s="6">
        <f>IFERROR(__xludf.DUMMYFUNCTION("""COMPUTED_VALUE"""),45705.0)</f>
        <v>45705</v>
      </c>
      <c r="B54" s="7" t="str">
        <f>IFERROR(__xludf.DUMMYFUNCTION("""COMPUTED_VALUE"""),"4f6a6891-08d9-4f8a-a766-b866c2c239d8")</f>
        <v>4f6a6891-08d9-4f8a-a766-b866c2c239d8</v>
      </c>
      <c r="C54" s="7">
        <f>IFERROR(__xludf.DUMMYFUNCTION("""COMPUTED_VALUE"""),97.0)</f>
        <v>97</v>
      </c>
      <c r="D54" s="6">
        <f>IFERROR(__xludf.DUMMYFUNCTION("""COMPUTED_VALUE"""),45608.0)</f>
        <v>45608</v>
      </c>
      <c r="E54" s="7" t="str">
        <f>IFERROR(__xludf.DUMMYFUNCTION("""COMPUTED_VALUE"""),"FRANQUIA_D&amp;G_SP")</f>
        <v>FRANQUIA_D&amp;G_SP</v>
      </c>
      <c r="F54" s="7" t="str">
        <f>IFERROR(__xludf.DUMMYFUNCTION("""COMPUTED_VALUE"""),"BICYCLE")</f>
        <v>BICYCLE</v>
      </c>
      <c r="G54" s="7" t="str">
        <f>IFERROR(__xludf.DUMMYFUNCTION("""COMPUTED_VALUE"""),"SAO PAULO")</f>
        <v>SAO PAULO</v>
      </c>
    </row>
    <row r="55">
      <c r="A55" s="6">
        <f>IFERROR(__xludf.DUMMYFUNCTION("""COMPUTED_VALUE"""),45705.0)</f>
        <v>45705</v>
      </c>
      <c r="B55" s="7" t="str">
        <f>IFERROR(__xludf.DUMMYFUNCTION("""COMPUTED_VALUE"""),"32fd407e-4845-4488-be8b-92b34314c7d9")</f>
        <v>32fd407e-4845-4488-be8b-92b34314c7d9</v>
      </c>
      <c r="C55" s="7">
        <f>IFERROR(__xludf.DUMMYFUNCTION("""COMPUTED_VALUE"""),53.0)</f>
        <v>53</v>
      </c>
      <c r="D55" s="6">
        <f>IFERROR(__xludf.DUMMYFUNCTION("""COMPUTED_VALUE"""),45652.0)</f>
        <v>45652</v>
      </c>
      <c r="E55" s="7" t="str">
        <f>IFERROR(__xludf.DUMMYFUNCTION("""COMPUTED_VALUE"""),"FRANQUIA_D&amp;G_SP")</f>
        <v>FRANQUIA_D&amp;G_SP</v>
      </c>
      <c r="F55" s="7" t="str">
        <f>IFERROR(__xludf.DUMMYFUNCTION("""COMPUTED_VALUE"""),"MOTORCYCLE")</f>
        <v>MOTORCYCLE</v>
      </c>
      <c r="G55" s="7" t="str">
        <f>IFERROR(__xludf.DUMMYFUNCTION("""COMPUTED_VALUE"""),"ABC")</f>
        <v>ABC</v>
      </c>
    </row>
    <row r="56">
      <c r="A56" s="6">
        <f>IFERROR(__xludf.DUMMYFUNCTION("""COMPUTED_VALUE"""),45705.0)</f>
        <v>45705</v>
      </c>
      <c r="B56" s="7" t="str">
        <f>IFERROR(__xludf.DUMMYFUNCTION("""COMPUTED_VALUE"""),"d5652e6e-04de-4ec1-8f00-c35267fdaba2")</f>
        <v>d5652e6e-04de-4ec1-8f00-c35267fdaba2</v>
      </c>
      <c r="C56" s="7">
        <f>IFERROR(__xludf.DUMMYFUNCTION("""COMPUTED_VALUE"""),0.0)</f>
        <v>0</v>
      </c>
      <c r="D56" s="6">
        <f>IFERROR(__xludf.DUMMYFUNCTION("""COMPUTED_VALUE"""),45705.0)</f>
        <v>45705</v>
      </c>
      <c r="E56" s="7" t="str">
        <f>IFERROR(__xludf.DUMMYFUNCTION("""COMPUTED_VALUE"""),"FRANQUIA_D&amp;G_SP")</f>
        <v>FRANQUIA_D&amp;G_SP</v>
      </c>
      <c r="F56" s="7" t="str">
        <f>IFERROR(__xludf.DUMMYFUNCTION("""COMPUTED_VALUE"""),"MOTORCYCLE")</f>
        <v>MOTORCYCLE</v>
      </c>
      <c r="G56" s="7" t="str">
        <f>IFERROR(__xludf.DUMMYFUNCTION("""COMPUTED_VALUE"""),"SAO PAULO")</f>
        <v>SAO PAULO</v>
      </c>
    </row>
    <row r="57">
      <c r="A57" s="6">
        <f>IFERROR(__xludf.DUMMYFUNCTION("""COMPUTED_VALUE"""),45705.0)</f>
        <v>45705</v>
      </c>
      <c r="B57" s="7" t="str">
        <f>IFERROR(__xludf.DUMMYFUNCTION("""COMPUTED_VALUE"""),"5f26c1dc-2535-4e1c-8952-a4137dc3ee04")</f>
        <v>5f26c1dc-2535-4e1c-8952-a4137dc3ee04</v>
      </c>
      <c r="C57" s="7">
        <f>IFERROR(__xludf.DUMMYFUNCTION("""COMPUTED_VALUE"""),26.0)</f>
        <v>26</v>
      </c>
      <c r="D57" s="6">
        <f>IFERROR(__xludf.DUMMYFUNCTION("""COMPUTED_VALUE"""),45679.0)</f>
        <v>45679</v>
      </c>
      <c r="E57" s="7" t="str">
        <f>IFERROR(__xludf.DUMMYFUNCTION("""COMPUTED_VALUE"""),"FRANQUIA_D&amp;G_SP")</f>
        <v>FRANQUIA_D&amp;G_SP</v>
      </c>
      <c r="F57" s="7" t="str">
        <f>IFERROR(__xludf.DUMMYFUNCTION("""COMPUTED_VALUE"""),"BICYCLE")</f>
        <v>BICYCLE</v>
      </c>
      <c r="G57" s="7" t="str">
        <f>IFERROR(__xludf.DUMMYFUNCTION("""COMPUTED_VALUE"""),"SAO PAULO")</f>
        <v>SAO PAULO</v>
      </c>
    </row>
    <row r="58">
      <c r="A58" s="6">
        <f>IFERROR(__xludf.DUMMYFUNCTION("""COMPUTED_VALUE"""),45705.0)</f>
        <v>45705</v>
      </c>
      <c r="B58" s="7" t="str">
        <f>IFERROR(__xludf.DUMMYFUNCTION("""COMPUTED_VALUE"""),"6fbfac95-a289-4e99-bafb-d54a9f41a0d7")</f>
        <v>6fbfac95-a289-4e99-bafb-d54a9f41a0d7</v>
      </c>
      <c r="C58" s="7">
        <f>IFERROR(__xludf.DUMMYFUNCTION("""COMPUTED_VALUE"""),2.0)</f>
        <v>2</v>
      </c>
      <c r="D58" s="6">
        <f>IFERROR(__xludf.DUMMYFUNCTION("""COMPUTED_VALUE"""),45703.0)</f>
        <v>45703</v>
      </c>
      <c r="E58" s="7" t="str">
        <f>IFERROR(__xludf.DUMMYFUNCTION("""COMPUTED_VALUE"""),"FRANQUIA_D&amp;G_SP")</f>
        <v>FRANQUIA_D&amp;G_SP</v>
      </c>
      <c r="F58" s="7" t="str">
        <f>IFERROR(__xludf.DUMMYFUNCTION("""COMPUTED_VALUE"""),"MOTORCYCLE")</f>
        <v>MOTORCYCLE</v>
      </c>
      <c r="G58" s="7" t="str">
        <f>IFERROR(__xludf.DUMMYFUNCTION("""COMPUTED_VALUE"""),"ABC")</f>
        <v>ABC</v>
      </c>
    </row>
    <row r="59">
      <c r="A59" s="6">
        <f>IFERROR(__xludf.DUMMYFUNCTION("""COMPUTED_VALUE"""),45705.0)</f>
        <v>45705</v>
      </c>
      <c r="B59" s="7" t="str">
        <f>IFERROR(__xludf.DUMMYFUNCTION("""COMPUTED_VALUE"""),"667e38fa-0c63-410d-8fec-882fe655b5f4")</f>
        <v>667e38fa-0c63-410d-8fec-882fe655b5f4</v>
      </c>
      <c r="C59" s="7">
        <f>IFERROR(__xludf.DUMMYFUNCTION("""COMPUTED_VALUE"""),0.0)</f>
        <v>0</v>
      </c>
      <c r="D59" s="6">
        <f>IFERROR(__xludf.DUMMYFUNCTION("""COMPUTED_VALUE"""),45705.0)</f>
        <v>45705</v>
      </c>
      <c r="E59" s="7" t="str">
        <f>IFERROR(__xludf.DUMMYFUNCTION("""COMPUTED_VALUE"""),"FRANQUIA_D&amp;G_SP")</f>
        <v>FRANQUIA_D&amp;G_SP</v>
      </c>
      <c r="F59" s="7" t="str">
        <f>IFERROR(__xludf.DUMMYFUNCTION("""COMPUTED_VALUE"""),"BICYCLE")</f>
        <v>BICYCLE</v>
      </c>
      <c r="G59" s="7" t="str">
        <f>IFERROR(__xludf.DUMMYFUNCTION("""COMPUTED_VALUE"""),"SAO PAULO")</f>
        <v>SAO PAULO</v>
      </c>
    </row>
    <row r="60">
      <c r="A60" s="6">
        <f>IFERROR(__xludf.DUMMYFUNCTION("""COMPUTED_VALUE"""),45705.0)</f>
        <v>45705</v>
      </c>
      <c r="B60" s="7" t="str">
        <f>IFERROR(__xludf.DUMMYFUNCTION("""COMPUTED_VALUE"""),"cbcf819a-5e06-483a-8818-189bec9d0863")</f>
        <v>cbcf819a-5e06-483a-8818-189bec9d0863</v>
      </c>
      <c r="C60" s="7">
        <f>IFERROR(__xludf.DUMMYFUNCTION("""COMPUTED_VALUE"""),2.0)</f>
        <v>2</v>
      </c>
      <c r="D60" s="6">
        <f>IFERROR(__xludf.DUMMYFUNCTION("""COMPUTED_VALUE"""),45703.0)</f>
        <v>45703</v>
      </c>
      <c r="E60" s="7" t="str">
        <f>IFERROR(__xludf.DUMMYFUNCTION("""COMPUTED_VALUE"""),"FRANQUIA_D&amp;G_SP")</f>
        <v>FRANQUIA_D&amp;G_SP</v>
      </c>
      <c r="F60" s="7" t="str">
        <f>IFERROR(__xludf.DUMMYFUNCTION("""COMPUTED_VALUE"""),"MOTORCYCLE")</f>
        <v>MOTORCYCLE</v>
      </c>
      <c r="G60" s="7" t="str">
        <f>IFERROR(__xludf.DUMMYFUNCTION("""COMPUTED_VALUE"""),"SAO PAULO")</f>
        <v>SAO PAULO</v>
      </c>
    </row>
    <row r="61">
      <c r="A61" s="6">
        <f>IFERROR(__xludf.DUMMYFUNCTION("""COMPUTED_VALUE"""),45705.0)</f>
        <v>45705</v>
      </c>
      <c r="B61" s="7" t="str">
        <f>IFERROR(__xludf.DUMMYFUNCTION("""COMPUTED_VALUE"""),"9686dc86-a964-4729-bc91-b59c84d0d4a6")</f>
        <v>9686dc86-a964-4729-bc91-b59c84d0d4a6</v>
      </c>
      <c r="C61" s="7">
        <f>IFERROR(__xludf.DUMMYFUNCTION("""COMPUTED_VALUE"""),114.0)</f>
        <v>114</v>
      </c>
      <c r="D61" s="6">
        <f>IFERROR(__xludf.DUMMYFUNCTION("""COMPUTED_VALUE"""),45591.0)</f>
        <v>45591</v>
      </c>
      <c r="E61" s="7" t="str">
        <f>IFERROR(__xludf.DUMMYFUNCTION("""COMPUTED_VALUE"""),"FRANQUIA_D&amp;G_SP")</f>
        <v>FRANQUIA_D&amp;G_SP</v>
      </c>
      <c r="F61" s="7" t="str">
        <f>IFERROR(__xludf.DUMMYFUNCTION("""COMPUTED_VALUE"""),"BICYCLE")</f>
        <v>BICYCLE</v>
      </c>
      <c r="G61" s="7" t="str">
        <f>IFERROR(__xludf.DUMMYFUNCTION("""COMPUTED_VALUE"""),"GUARULHOS")</f>
        <v>GUARULHOS</v>
      </c>
    </row>
    <row r="62">
      <c r="A62" s="6">
        <f>IFERROR(__xludf.DUMMYFUNCTION("""COMPUTED_VALUE"""),45705.0)</f>
        <v>45705</v>
      </c>
      <c r="B62" s="7" t="str">
        <f>IFERROR(__xludf.DUMMYFUNCTION("""COMPUTED_VALUE"""),"3b8670c4-3d4c-4a18-9398-70b30bc257dc")</f>
        <v>3b8670c4-3d4c-4a18-9398-70b30bc257dc</v>
      </c>
      <c r="C62" s="7">
        <f>IFERROR(__xludf.DUMMYFUNCTION("""COMPUTED_VALUE"""),425.0)</f>
        <v>425</v>
      </c>
      <c r="D62" s="6">
        <f>IFERROR(__xludf.DUMMYFUNCTION("""COMPUTED_VALUE"""),45280.0)</f>
        <v>45280</v>
      </c>
      <c r="E62" s="7" t="str">
        <f>IFERROR(__xludf.DUMMYFUNCTION("""COMPUTED_VALUE"""),"FRANQUIA_D&amp;G_SP")</f>
        <v>FRANQUIA_D&amp;G_SP</v>
      </c>
      <c r="F62" s="7" t="str">
        <f>IFERROR(__xludf.DUMMYFUNCTION("""COMPUTED_VALUE"""),"BICYCLE")</f>
        <v>BICYCLE</v>
      </c>
      <c r="G62" s="7" t="str">
        <f>IFERROR(__xludf.DUMMYFUNCTION("""COMPUTED_VALUE"""),"SAO PAULO")</f>
        <v>SAO PAULO</v>
      </c>
    </row>
    <row r="63">
      <c r="A63" s="6">
        <f>IFERROR(__xludf.DUMMYFUNCTION("""COMPUTED_VALUE"""),45705.0)</f>
        <v>45705</v>
      </c>
      <c r="B63" s="7" t="str">
        <f>IFERROR(__xludf.DUMMYFUNCTION("""COMPUTED_VALUE"""),"d4e347f3-7d32-4486-8f66-aef0a70c056f")</f>
        <v>d4e347f3-7d32-4486-8f66-aef0a70c056f</v>
      </c>
      <c r="C63" s="7">
        <f>IFERROR(__xludf.DUMMYFUNCTION("""COMPUTED_VALUE"""),2.0)</f>
        <v>2</v>
      </c>
      <c r="D63" s="6">
        <f>IFERROR(__xludf.DUMMYFUNCTION("""COMPUTED_VALUE"""),45703.0)</f>
        <v>45703</v>
      </c>
      <c r="E63" s="7" t="str">
        <f>IFERROR(__xludf.DUMMYFUNCTION("""COMPUTED_VALUE"""),"FRANQUIA_D&amp;G_SP")</f>
        <v>FRANQUIA_D&amp;G_SP</v>
      </c>
      <c r="F63" s="7" t="str">
        <f>IFERROR(__xludf.DUMMYFUNCTION("""COMPUTED_VALUE"""),"BICYCLE")</f>
        <v>BICYCLE</v>
      </c>
      <c r="G63" s="7" t="str">
        <f>IFERROR(__xludf.DUMMYFUNCTION("""COMPUTED_VALUE"""),"SUZANO")</f>
        <v>SUZANO</v>
      </c>
    </row>
    <row r="64">
      <c r="A64" s="6">
        <f>IFERROR(__xludf.DUMMYFUNCTION("""COMPUTED_VALUE"""),45705.0)</f>
        <v>45705</v>
      </c>
      <c r="B64" s="7" t="str">
        <f>IFERROR(__xludf.DUMMYFUNCTION("""COMPUTED_VALUE"""),"b4b4ab5a-201b-46b5-b77b-fe6f25a013e0")</f>
        <v>b4b4ab5a-201b-46b5-b77b-fe6f25a013e0</v>
      </c>
      <c r="C64" s="7">
        <f>IFERROR(__xludf.DUMMYFUNCTION("""COMPUTED_VALUE"""),19.0)</f>
        <v>19</v>
      </c>
      <c r="D64" s="6">
        <f>IFERROR(__xludf.DUMMYFUNCTION("""COMPUTED_VALUE"""),45686.0)</f>
        <v>45686</v>
      </c>
      <c r="E64" s="7" t="str">
        <f>IFERROR(__xludf.DUMMYFUNCTION("""COMPUTED_VALUE"""),"FRANQUIA_D&amp;G_SP")</f>
        <v>FRANQUIA_D&amp;G_SP</v>
      </c>
      <c r="F64" s="7" t="str">
        <f>IFERROR(__xludf.DUMMYFUNCTION("""COMPUTED_VALUE"""),"MOTORCYCLE")</f>
        <v>MOTORCYCLE</v>
      </c>
      <c r="G64" s="7" t="str">
        <f>IFERROR(__xludf.DUMMYFUNCTION("""COMPUTED_VALUE"""),"SAO PAULO")</f>
        <v>SAO PAULO</v>
      </c>
    </row>
    <row r="65">
      <c r="A65" s="6">
        <f>IFERROR(__xludf.DUMMYFUNCTION("""COMPUTED_VALUE"""),45705.0)</f>
        <v>45705</v>
      </c>
      <c r="B65" s="7" t="str">
        <f>IFERROR(__xludf.DUMMYFUNCTION("""COMPUTED_VALUE"""),"01461150-6b14-475f-b190-c3cf720f0ae3")</f>
        <v>01461150-6b14-475f-b190-c3cf720f0ae3</v>
      </c>
      <c r="C65" s="7">
        <f>IFERROR(__xludf.DUMMYFUNCTION("""COMPUTED_VALUE"""),32.0)</f>
        <v>32</v>
      </c>
      <c r="D65" s="6">
        <f>IFERROR(__xludf.DUMMYFUNCTION("""COMPUTED_VALUE"""),45673.0)</f>
        <v>45673</v>
      </c>
      <c r="E65" s="7" t="str">
        <f>IFERROR(__xludf.DUMMYFUNCTION("""COMPUTED_VALUE"""),"FRANQUIA_D&amp;G_SP")</f>
        <v>FRANQUIA_D&amp;G_SP</v>
      </c>
      <c r="F65" s="7" t="str">
        <f>IFERROR(__xludf.DUMMYFUNCTION("""COMPUTED_VALUE"""),"BICYCLE")</f>
        <v>BICYCLE</v>
      </c>
      <c r="G65" s="7" t="str">
        <f>IFERROR(__xludf.DUMMYFUNCTION("""COMPUTED_VALUE"""),"SAO PAULO")</f>
        <v>SAO PAULO</v>
      </c>
    </row>
    <row r="66">
      <c r="A66" s="6">
        <f>IFERROR(__xludf.DUMMYFUNCTION("""COMPUTED_VALUE"""),45705.0)</f>
        <v>45705</v>
      </c>
      <c r="B66" s="7" t="str">
        <f>IFERROR(__xludf.DUMMYFUNCTION("""COMPUTED_VALUE"""),"73ae3f13-e9fd-4b29-a4df-1e3a2ce69703")</f>
        <v>73ae3f13-e9fd-4b29-a4df-1e3a2ce69703</v>
      </c>
      <c r="C66" s="7">
        <f>IFERROR(__xludf.DUMMYFUNCTION("""COMPUTED_VALUE"""),2.0)</f>
        <v>2</v>
      </c>
      <c r="D66" s="6">
        <f>IFERROR(__xludf.DUMMYFUNCTION("""COMPUTED_VALUE"""),45703.0)</f>
        <v>45703</v>
      </c>
      <c r="E66" s="7" t="str">
        <f>IFERROR(__xludf.DUMMYFUNCTION("""COMPUTED_VALUE"""),"FRANQUIA_D&amp;G_SP")</f>
        <v>FRANQUIA_D&amp;G_SP</v>
      </c>
      <c r="F66" s="7" t="str">
        <f>IFERROR(__xludf.DUMMYFUNCTION("""COMPUTED_VALUE"""),"MOTORCYCLE")</f>
        <v>MOTORCYCLE</v>
      </c>
      <c r="G66" s="7" t="str">
        <f>IFERROR(__xludf.DUMMYFUNCTION("""COMPUTED_VALUE"""),"SAO PAULO")</f>
        <v>SAO PAULO</v>
      </c>
    </row>
    <row r="67">
      <c r="A67" s="6">
        <f>IFERROR(__xludf.DUMMYFUNCTION("""COMPUTED_VALUE"""),45705.0)</f>
        <v>45705</v>
      </c>
      <c r="B67" s="7" t="str">
        <f>IFERROR(__xludf.DUMMYFUNCTION("""COMPUTED_VALUE"""),"3a8464b0-788c-4753-a935-08b10d3e86d3")</f>
        <v>3a8464b0-788c-4753-a935-08b10d3e86d3</v>
      </c>
      <c r="C67" s="7">
        <f>IFERROR(__xludf.DUMMYFUNCTION("""COMPUTED_VALUE"""),2.0)</f>
        <v>2</v>
      </c>
      <c r="D67" s="6">
        <f>IFERROR(__xludf.DUMMYFUNCTION("""COMPUTED_VALUE"""),45703.0)</f>
        <v>45703</v>
      </c>
      <c r="E67" s="7" t="str">
        <f>IFERROR(__xludf.DUMMYFUNCTION("""COMPUTED_VALUE"""),"FRANQUIA_D&amp;G_SP")</f>
        <v>FRANQUIA_D&amp;G_SP</v>
      </c>
      <c r="F67" s="7" t="str">
        <f>IFERROR(__xludf.DUMMYFUNCTION("""COMPUTED_VALUE"""),"MOTORCYCLE")</f>
        <v>MOTORCYCLE</v>
      </c>
      <c r="G67" s="7" t="str">
        <f>IFERROR(__xludf.DUMMYFUNCTION("""COMPUTED_VALUE"""),"ABC")</f>
        <v>ABC</v>
      </c>
    </row>
    <row r="68">
      <c r="A68" s="6">
        <f>IFERROR(__xludf.DUMMYFUNCTION("""COMPUTED_VALUE"""),45705.0)</f>
        <v>45705</v>
      </c>
      <c r="B68" s="7" t="str">
        <f>IFERROR(__xludf.DUMMYFUNCTION("""COMPUTED_VALUE"""),"967e1d9d-15fe-495f-8daa-18bdb78d46d7")</f>
        <v>967e1d9d-15fe-495f-8daa-18bdb78d46d7</v>
      </c>
      <c r="C68" s="7">
        <f>IFERROR(__xludf.DUMMYFUNCTION("""COMPUTED_VALUE"""),0.0)</f>
        <v>0</v>
      </c>
      <c r="D68" s="6">
        <f>IFERROR(__xludf.DUMMYFUNCTION("""COMPUTED_VALUE"""),45705.0)</f>
        <v>45705</v>
      </c>
      <c r="E68" s="7" t="str">
        <f>IFERROR(__xludf.DUMMYFUNCTION("""COMPUTED_VALUE"""),"FRANQUIA_D&amp;G_SP")</f>
        <v>FRANQUIA_D&amp;G_SP</v>
      </c>
      <c r="F68" s="7" t="str">
        <f>IFERROR(__xludf.DUMMYFUNCTION("""COMPUTED_VALUE"""),"MOTORCYCLE")</f>
        <v>MOTORCYCLE</v>
      </c>
      <c r="G68" s="7" t="str">
        <f>IFERROR(__xludf.DUMMYFUNCTION("""COMPUTED_VALUE"""),"SAO PAULO")</f>
        <v>SAO PAULO</v>
      </c>
    </row>
    <row r="69">
      <c r="A69" s="6">
        <f>IFERROR(__xludf.DUMMYFUNCTION("""COMPUTED_VALUE"""),45705.0)</f>
        <v>45705</v>
      </c>
      <c r="B69" s="7" t="str">
        <f>IFERROR(__xludf.DUMMYFUNCTION("""COMPUTED_VALUE"""),"b22fb05c-8d3f-4372-ac04-5f0d399a1e66")</f>
        <v>b22fb05c-8d3f-4372-ac04-5f0d399a1e66</v>
      </c>
      <c r="C69" s="7">
        <f>IFERROR(__xludf.DUMMYFUNCTION("""COMPUTED_VALUE"""),0.0)</f>
        <v>0</v>
      </c>
      <c r="D69" s="6">
        <f>IFERROR(__xludf.DUMMYFUNCTION("""COMPUTED_VALUE"""),45705.0)</f>
        <v>45705</v>
      </c>
      <c r="E69" s="7" t="str">
        <f>IFERROR(__xludf.DUMMYFUNCTION("""COMPUTED_VALUE"""),"FRANQUIA_D&amp;G_SP")</f>
        <v>FRANQUIA_D&amp;G_SP</v>
      </c>
      <c r="F69" s="7" t="str">
        <f>IFERROR(__xludf.DUMMYFUNCTION("""COMPUTED_VALUE"""),"MOTORCYCLE")</f>
        <v>MOTORCYCLE</v>
      </c>
      <c r="G69" s="7" t="str">
        <f>IFERROR(__xludf.DUMMYFUNCTION("""COMPUTED_VALUE"""),"SAO PAULO")</f>
        <v>SAO PAULO</v>
      </c>
    </row>
    <row r="70">
      <c r="A70" s="6">
        <f>IFERROR(__xludf.DUMMYFUNCTION("""COMPUTED_VALUE"""),45705.0)</f>
        <v>45705</v>
      </c>
      <c r="B70" s="7" t="str">
        <f>IFERROR(__xludf.DUMMYFUNCTION("""COMPUTED_VALUE"""),"fe9c9c8e-5be0-4b8c-a161-fc9782f8e819")</f>
        <v>fe9c9c8e-5be0-4b8c-a161-fc9782f8e819</v>
      </c>
      <c r="C70" s="7">
        <f>IFERROR(__xludf.DUMMYFUNCTION("""COMPUTED_VALUE"""),86.0)</f>
        <v>86</v>
      </c>
      <c r="D70" s="6">
        <f>IFERROR(__xludf.DUMMYFUNCTION("""COMPUTED_VALUE"""),45619.0)</f>
        <v>45619</v>
      </c>
      <c r="E70" s="7" t="str">
        <f>IFERROR(__xludf.DUMMYFUNCTION("""COMPUTED_VALUE"""),"FRANQUIA_D&amp;G_SP")</f>
        <v>FRANQUIA_D&amp;G_SP</v>
      </c>
      <c r="F70" s="7" t="str">
        <f>IFERROR(__xludf.DUMMYFUNCTION("""COMPUTED_VALUE"""),"MOTORCYCLE")</f>
        <v>MOTORCYCLE</v>
      </c>
      <c r="G70" s="7" t="str">
        <f>IFERROR(__xludf.DUMMYFUNCTION("""COMPUTED_VALUE"""),"SAO PAULO")</f>
        <v>SAO PAULO</v>
      </c>
    </row>
    <row r="71">
      <c r="A71" s="6">
        <f>IFERROR(__xludf.DUMMYFUNCTION("""COMPUTED_VALUE"""),45705.0)</f>
        <v>45705</v>
      </c>
      <c r="B71" s="7" t="str">
        <f>IFERROR(__xludf.DUMMYFUNCTION("""COMPUTED_VALUE"""),"56c25a2e-47ba-4005-9a73-27e98afd3fa3")</f>
        <v>56c25a2e-47ba-4005-9a73-27e98afd3fa3</v>
      </c>
      <c r="C71" s="7">
        <f>IFERROR(__xludf.DUMMYFUNCTION("""COMPUTED_VALUE"""),2.0)</f>
        <v>2</v>
      </c>
      <c r="D71" s="6">
        <f>IFERROR(__xludf.DUMMYFUNCTION("""COMPUTED_VALUE"""),45703.0)</f>
        <v>45703</v>
      </c>
      <c r="E71" s="7" t="str">
        <f>IFERROR(__xludf.DUMMYFUNCTION("""COMPUTED_VALUE"""),"FRANQUIA_D&amp;G_SP")</f>
        <v>FRANQUIA_D&amp;G_SP</v>
      </c>
      <c r="F71" s="7" t="str">
        <f>IFERROR(__xludf.DUMMYFUNCTION("""COMPUTED_VALUE"""),"BICYCLE")</f>
        <v>BICYCLE</v>
      </c>
      <c r="G71" s="7" t="str">
        <f>IFERROR(__xludf.DUMMYFUNCTION("""COMPUTED_VALUE"""),"SAO PAULO")</f>
        <v>SAO PAULO</v>
      </c>
    </row>
    <row r="72">
      <c r="A72" s="6">
        <f>IFERROR(__xludf.DUMMYFUNCTION("""COMPUTED_VALUE"""),45705.0)</f>
        <v>45705</v>
      </c>
      <c r="B72" s="7" t="str">
        <f>IFERROR(__xludf.DUMMYFUNCTION("""COMPUTED_VALUE"""),"6cb40f50-696e-4a92-b6c6-bd5f9568a2c0")</f>
        <v>6cb40f50-696e-4a92-b6c6-bd5f9568a2c0</v>
      </c>
      <c r="C72" s="7">
        <f>IFERROR(__xludf.DUMMYFUNCTION("""COMPUTED_VALUE"""),99.0)</f>
        <v>99</v>
      </c>
      <c r="D72" s="6">
        <f>IFERROR(__xludf.DUMMYFUNCTION("""COMPUTED_VALUE"""),45606.0)</f>
        <v>45606</v>
      </c>
      <c r="E72" s="7" t="str">
        <f>IFERROR(__xludf.DUMMYFUNCTION("""COMPUTED_VALUE"""),"FRANQUIA_D&amp;G_SP")</f>
        <v>FRANQUIA_D&amp;G_SP</v>
      </c>
      <c r="F72" s="7" t="str">
        <f>IFERROR(__xludf.DUMMYFUNCTION("""COMPUTED_VALUE"""),"MOTORCYCLE")</f>
        <v>MOTORCYCLE</v>
      </c>
      <c r="G72" s="7" t="str">
        <f>IFERROR(__xludf.DUMMYFUNCTION("""COMPUTED_VALUE"""),"SAO PAULO")</f>
        <v>SAO PAULO</v>
      </c>
    </row>
    <row r="73">
      <c r="A73" s="6">
        <f>IFERROR(__xludf.DUMMYFUNCTION("""COMPUTED_VALUE"""),45705.0)</f>
        <v>45705</v>
      </c>
      <c r="B73" s="7" t="str">
        <f>IFERROR(__xludf.DUMMYFUNCTION("""COMPUTED_VALUE"""),"b89533e3-3ce4-4fea-b2cf-24b040e4db3e")</f>
        <v>b89533e3-3ce4-4fea-b2cf-24b040e4db3e</v>
      </c>
      <c r="C73" s="7">
        <f>IFERROR(__xludf.DUMMYFUNCTION("""COMPUTED_VALUE"""),0.0)</f>
        <v>0</v>
      </c>
      <c r="D73" s="6">
        <f>IFERROR(__xludf.DUMMYFUNCTION("""COMPUTED_VALUE"""),45705.0)</f>
        <v>45705</v>
      </c>
      <c r="E73" s="7" t="str">
        <f>IFERROR(__xludf.DUMMYFUNCTION("""COMPUTED_VALUE"""),"FRANQUIA_D&amp;G_SP")</f>
        <v>FRANQUIA_D&amp;G_SP</v>
      </c>
      <c r="F73" s="7" t="str">
        <f>IFERROR(__xludf.DUMMYFUNCTION("""COMPUTED_VALUE"""),"BICYCLE")</f>
        <v>BICYCLE</v>
      </c>
      <c r="G73" s="7" t="str">
        <f>IFERROR(__xludf.DUMMYFUNCTION("""COMPUTED_VALUE"""),"TABOAO DA SERRA")</f>
        <v>TABOAO DA SERRA</v>
      </c>
    </row>
    <row r="74">
      <c r="A74" s="6">
        <f>IFERROR(__xludf.DUMMYFUNCTION("""COMPUTED_VALUE"""),45705.0)</f>
        <v>45705</v>
      </c>
      <c r="B74" s="7" t="str">
        <f>IFERROR(__xludf.DUMMYFUNCTION("""COMPUTED_VALUE"""),"e8c5c2b6-0bc2-48ad-aec9-2405b7b3f206")</f>
        <v>e8c5c2b6-0bc2-48ad-aec9-2405b7b3f206</v>
      </c>
      <c r="C74" s="7">
        <f>IFERROR(__xludf.DUMMYFUNCTION("""COMPUTED_VALUE"""),0.0)</f>
        <v>0</v>
      </c>
      <c r="D74" s="6">
        <f>IFERROR(__xludf.DUMMYFUNCTION("""COMPUTED_VALUE"""),45705.0)</f>
        <v>45705</v>
      </c>
      <c r="E74" s="7" t="str">
        <f>IFERROR(__xludf.DUMMYFUNCTION("""COMPUTED_VALUE"""),"FRANQUIA_D&amp;G_SP")</f>
        <v>FRANQUIA_D&amp;G_SP</v>
      </c>
      <c r="F74" s="7" t="str">
        <f>IFERROR(__xludf.DUMMYFUNCTION("""COMPUTED_VALUE"""),"MOTORCYCLE")</f>
        <v>MOTORCYCLE</v>
      </c>
      <c r="G74" s="7" t="str">
        <f>IFERROR(__xludf.DUMMYFUNCTION("""COMPUTED_VALUE"""),"SAO PAULO")</f>
        <v>SAO PAULO</v>
      </c>
    </row>
    <row r="75">
      <c r="A75" s="6">
        <f>IFERROR(__xludf.DUMMYFUNCTION("""COMPUTED_VALUE"""),45705.0)</f>
        <v>45705</v>
      </c>
      <c r="B75" s="7" t="str">
        <f>IFERROR(__xludf.DUMMYFUNCTION("""COMPUTED_VALUE"""),"b20c4ff3-4046-4c8c-8b41-4691326007d0")</f>
        <v>b20c4ff3-4046-4c8c-8b41-4691326007d0</v>
      </c>
      <c r="C75" s="7">
        <f>IFERROR(__xludf.DUMMYFUNCTION("""COMPUTED_VALUE"""),70.0)</f>
        <v>70</v>
      </c>
      <c r="D75" s="6">
        <f>IFERROR(__xludf.DUMMYFUNCTION("""COMPUTED_VALUE"""),45635.0)</f>
        <v>45635</v>
      </c>
      <c r="E75" s="7" t="str">
        <f>IFERROR(__xludf.DUMMYFUNCTION("""COMPUTED_VALUE"""),"FRANQUIA_D&amp;G_SP")</f>
        <v>FRANQUIA_D&amp;G_SP</v>
      </c>
      <c r="F75" s="7" t="str">
        <f>IFERROR(__xludf.DUMMYFUNCTION("""COMPUTED_VALUE"""),"MOTORCYCLE")</f>
        <v>MOTORCYCLE</v>
      </c>
      <c r="G75" s="7" t="str">
        <f>IFERROR(__xludf.DUMMYFUNCTION("""COMPUTED_VALUE"""),"SAO PAULO")</f>
        <v>SAO PAULO</v>
      </c>
    </row>
    <row r="76">
      <c r="A76" s="6">
        <f>IFERROR(__xludf.DUMMYFUNCTION("""COMPUTED_VALUE"""),45705.0)</f>
        <v>45705</v>
      </c>
      <c r="B76" s="7" t="str">
        <f>IFERROR(__xludf.DUMMYFUNCTION("""COMPUTED_VALUE"""),"18a5c858-7fb6-42ab-93a9-46cd2f33cd07")</f>
        <v>18a5c858-7fb6-42ab-93a9-46cd2f33cd07</v>
      </c>
      <c r="C76" s="7">
        <f>IFERROR(__xludf.DUMMYFUNCTION("""COMPUTED_VALUE"""),0.0)</f>
        <v>0</v>
      </c>
      <c r="D76" s="6">
        <f>IFERROR(__xludf.DUMMYFUNCTION("""COMPUTED_VALUE"""),45705.0)</f>
        <v>45705</v>
      </c>
      <c r="E76" s="7" t="str">
        <f>IFERROR(__xludf.DUMMYFUNCTION("""COMPUTED_VALUE"""),"FRANQUIA_D&amp;G_SP")</f>
        <v>FRANQUIA_D&amp;G_SP</v>
      </c>
      <c r="F76" s="7" t="str">
        <f>IFERROR(__xludf.DUMMYFUNCTION("""COMPUTED_VALUE"""),"EMOTORCYCLE")</f>
        <v>EMOTORCYCLE</v>
      </c>
      <c r="G76" s="7" t="str">
        <f>IFERROR(__xludf.DUMMYFUNCTION("""COMPUTED_VALUE"""),"SAO PAULO")</f>
        <v>SAO PAULO</v>
      </c>
    </row>
    <row r="77">
      <c r="A77" s="6">
        <f>IFERROR(__xludf.DUMMYFUNCTION("""COMPUTED_VALUE"""),45705.0)</f>
        <v>45705</v>
      </c>
      <c r="B77" s="7" t="str">
        <f>IFERROR(__xludf.DUMMYFUNCTION("""COMPUTED_VALUE"""),"568c19b8-6dc4-4156-a717-43dd469d7a1f")</f>
        <v>568c19b8-6dc4-4156-a717-43dd469d7a1f</v>
      </c>
      <c r="C77" s="7">
        <f>IFERROR(__xludf.DUMMYFUNCTION("""COMPUTED_VALUE"""),0.0)</f>
        <v>0</v>
      </c>
      <c r="D77" s="6">
        <f>IFERROR(__xludf.DUMMYFUNCTION("""COMPUTED_VALUE"""),45705.0)</f>
        <v>45705</v>
      </c>
      <c r="E77" s="7" t="str">
        <f>IFERROR(__xludf.DUMMYFUNCTION("""COMPUTED_VALUE"""),"FRANQUIA_D&amp;G_SP")</f>
        <v>FRANQUIA_D&amp;G_SP</v>
      </c>
      <c r="F77" s="7" t="str">
        <f>IFERROR(__xludf.DUMMYFUNCTION("""COMPUTED_VALUE"""),"MOTORCYCLE")</f>
        <v>MOTORCYCLE</v>
      </c>
      <c r="G77" s="7" t="str">
        <f>IFERROR(__xludf.DUMMYFUNCTION("""COMPUTED_VALUE"""),"SAO PAULO")</f>
        <v>SAO PAULO</v>
      </c>
    </row>
    <row r="78">
      <c r="A78" s="6">
        <f>IFERROR(__xludf.DUMMYFUNCTION("""COMPUTED_VALUE"""),45705.0)</f>
        <v>45705</v>
      </c>
      <c r="B78" s="7" t="str">
        <f>IFERROR(__xludf.DUMMYFUNCTION("""COMPUTED_VALUE"""),"388705ba-bec1-46b3-9f2e-1114d394a605")</f>
        <v>388705ba-bec1-46b3-9f2e-1114d394a605</v>
      </c>
      <c r="C78" s="7">
        <f>IFERROR(__xludf.DUMMYFUNCTION("""COMPUTED_VALUE"""),0.0)</f>
        <v>0</v>
      </c>
      <c r="D78" s="6">
        <f>IFERROR(__xludf.DUMMYFUNCTION("""COMPUTED_VALUE"""),45705.0)</f>
        <v>45705</v>
      </c>
      <c r="E78" s="7" t="str">
        <f>IFERROR(__xludf.DUMMYFUNCTION("""COMPUTED_VALUE"""),"FRANQUIA_D&amp;G_SP")</f>
        <v>FRANQUIA_D&amp;G_SP</v>
      </c>
      <c r="F78" s="7" t="str">
        <f>IFERROR(__xludf.DUMMYFUNCTION("""COMPUTED_VALUE"""),"MOTORCYCLE")</f>
        <v>MOTORCYCLE</v>
      </c>
      <c r="G78" s="7" t="str">
        <f>IFERROR(__xludf.DUMMYFUNCTION("""COMPUTED_VALUE"""),"SAO PAULO")</f>
        <v>SAO PAULO</v>
      </c>
    </row>
    <row r="79">
      <c r="A79" s="6">
        <f>IFERROR(__xludf.DUMMYFUNCTION("""COMPUTED_VALUE"""),45705.0)</f>
        <v>45705</v>
      </c>
      <c r="B79" s="7" t="str">
        <f>IFERROR(__xludf.DUMMYFUNCTION("""COMPUTED_VALUE"""),"cd035d5d-72f5-4ebb-b11f-b8ae194eed93")</f>
        <v>cd035d5d-72f5-4ebb-b11f-b8ae194eed93</v>
      </c>
      <c r="C79" s="7">
        <f>IFERROR(__xludf.DUMMYFUNCTION("""COMPUTED_VALUE"""),5.0)</f>
        <v>5</v>
      </c>
      <c r="D79" s="6">
        <f>IFERROR(__xludf.DUMMYFUNCTION("""COMPUTED_VALUE"""),45700.0)</f>
        <v>45700</v>
      </c>
      <c r="E79" s="7" t="str">
        <f>IFERROR(__xludf.DUMMYFUNCTION("""COMPUTED_VALUE"""),"FRANQUIA_D&amp;G_SP")</f>
        <v>FRANQUIA_D&amp;G_SP</v>
      </c>
      <c r="F79" s="7" t="str">
        <f>IFERROR(__xludf.DUMMYFUNCTION("""COMPUTED_VALUE"""),"BICYCLE")</f>
        <v>BICYCLE</v>
      </c>
      <c r="G79" s="7" t="str">
        <f>IFERROR(__xludf.DUMMYFUNCTION("""COMPUTED_VALUE"""),"SAO PAULO")</f>
        <v>SAO PAULO</v>
      </c>
    </row>
    <row r="80">
      <c r="A80" s="6">
        <f>IFERROR(__xludf.DUMMYFUNCTION("""COMPUTED_VALUE"""),45705.0)</f>
        <v>45705</v>
      </c>
      <c r="B80" s="7" t="str">
        <f>IFERROR(__xludf.DUMMYFUNCTION("""COMPUTED_VALUE"""),"e35076ec-95c2-4cad-ab5a-1cd3e606d601")</f>
        <v>e35076ec-95c2-4cad-ab5a-1cd3e606d601</v>
      </c>
      <c r="C80" s="7">
        <f>IFERROR(__xludf.DUMMYFUNCTION("""COMPUTED_VALUE"""),322.0)</f>
        <v>322</v>
      </c>
      <c r="D80" s="6">
        <f>IFERROR(__xludf.DUMMYFUNCTION("""COMPUTED_VALUE"""),45383.0)</f>
        <v>45383</v>
      </c>
      <c r="E80" s="7" t="str">
        <f>IFERROR(__xludf.DUMMYFUNCTION("""COMPUTED_VALUE"""),"FRANQUIA_D&amp;G_SP")</f>
        <v>FRANQUIA_D&amp;G_SP</v>
      </c>
      <c r="F80" s="7" t="str">
        <f>IFERROR(__xludf.DUMMYFUNCTION("""COMPUTED_VALUE"""),"BICYCLE")</f>
        <v>BICYCLE</v>
      </c>
      <c r="G80" s="7" t="str">
        <f>IFERROR(__xludf.DUMMYFUNCTION("""COMPUTED_VALUE"""),"SAO PAULO")</f>
        <v>SAO PAULO</v>
      </c>
    </row>
    <row r="81">
      <c r="A81" s="6">
        <f>IFERROR(__xludf.DUMMYFUNCTION("""COMPUTED_VALUE"""),45705.0)</f>
        <v>45705</v>
      </c>
      <c r="B81" s="7" t="str">
        <f>IFERROR(__xludf.DUMMYFUNCTION("""COMPUTED_VALUE"""),"e7c67e1b-c959-43ed-9a71-68e8f99908f7")</f>
        <v>e7c67e1b-c959-43ed-9a71-68e8f99908f7</v>
      </c>
      <c r="C81" s="7">
        <f>IFERROR(__xludf.DUMMYFUNCTION("""COMPUTED_VALUE"""),62.0)</f>
        <v>62</v>
      </c>
      <c r="D81" s="6">
        <f>IFERROR(__xludf.DUMMYFUNCTION("""COMPUTED_VALUE"""),45643.0)</f>
        <v>45643</v>
      </c>
      <c r="E81" s="7" t="str">
        <f>IFERROR(__xludf.DUMMYFUNCTION("""COMPUTED_VALUE"""),"FRANQUIA_D&amp;G_SP")</f>
        <v>FRANQUIA_D&amp;G_SP</v>
      </c>
      <c r="F81" s="7" t="str">
        <f>IFERROR(__xludf.DUMMYFUNCTION("""COMPUTED_VALUE"""),"BICYCLE")</f>
        <v>BICYCLE</v>
      </c>
      <c r="G81" s="7" t="str">
        <f>IFERROR(__xludf.DUMMYFUNCTION("""COMPUTED_VALUE"""),"SAO PAULO")</f>
        <v>SAO PAULO</v>
      </c>
    </row>
    <row r="82">
      <c r="A82" s="6">
        <f>IFERROR(__xludf.DUMMYFUNCTION("""COMPUTED_VALUE"""),45705.0)</f>
        <v>45705</v>
      </c>
      <c r="B82" s="7" t="str">
        <f>IFERROR(__xludf.DUMMYFUNCTION("""COMPUTED_VALUE"""),"6be0823d-f55b-43ce-a1f4-fcfd7ad134ad")</f>
        <v>6be0823d-f55b-43ce-a1f4-fcfd7ad134ad</v>
      </c>
      <c r="C82" s="7">
        <f>IFERROR(__xludf.DUMMYFUNCTION("""COMPUTED_VALUE"""),0.0)</f>
        <v>0</v>
      </c>
      <c r="D82" s="6">
        <f>IFERROR(__xludf.DUMMYFUNCTION("""COMPUTED_VALUE"""),45705.0)</f>
        <v>45705</v>
      </c>
      <c r="E82" s="7" t="str">
        <f>IFERROR(__xludf.DUMMYFUNCTION("""COMPUTED_VALUE"""),"FRANQUIA_D&amp;G_SP")</f>
        <v>FRANQUIA_D&amp;G_SP</v>
      </c>
      <c r="F82" s="7" t="str">
        <f>IFERROR(__xludf.DUMMYFUNCTION("""COMPUTED_VALUE"""),"MOTORCYCLE")</f>
        <v>MOTORCYCLE</v>
      </c>
      <c r="G82" s="7" t="str">
        <f>IFERROR(__xludf.DUMMYFUNCTION("""COMPUTED_VALUE"""),"SAO PAULO")</f>
        <v>SAO PAULO</v>
      </c>
    </row>
    <row r="83">
      <c r="A83" s="6">
        <f>IFERROR(__xludf.DUMMYFUNCTION("""COMPUTED_VALUE"""),45705.0)</f>
        <v>45705</v>
      </c>
      <c r="B83" s="7" t="str">
        <f>IFERROR(__xludf.DUMMYFUNCTION("""COMPUTED_VALUE"""),"5d862525-c8c5-4d69-8997-5066015c0e59")</f>
        <v>5d862525-c8c5-4d69-8997-5066015c0e59</v>
      </c>
      <c r="C83" s="7">
        <f>IFERROR(__xludf.DUMMYFUNCTION("""COMPUTED_VALUE"""),378.0)</f>
        <v>378</v>
      </c>
      <c r="D83" s="6">
        <f>IFERROR(__xludf.DUMMYFUNCTION("""COMPUTED_VALUE"""),45327.0)</f>
        <v>45327</v>
      </c>
      <c r="E83" s="7" t="str">
        <f>IFERROR(__xludf.DUMMYFUNCTION("""COMPUTED_VALUE"""),"FRANQUIA_D&amp;G_SP")</f>
        <v>FRANQUIA_D&amp;G_SP</v>
      </c>
      <c r="F83" s="7" t="str">
        <f>IFERROR(__xludf.DUMMYFUNCTION("""COMPUTED_VALUE"""),"BICYCLE")</f>
        <v>BICYCLE</v>
      </c>
      <c r="G83" s="7" t="str">
        <f>IFERROR(__xludf.DUMMYFUNCTION("""COMPUTED_VALUE"""),"SAO PAULO")</f>
        <v>SAO PAULO</v>
      </c>
    </row>
    <row r="84">
      <c r="A84" s="6">
        <f>IFERROR(__xludf.DUMMYFUNCTION("""COMPUTED_VALUE"""),45705.0)</f>
        <v>45705</v>
      </c>
      <c r="B84" s="7" t="str">
        <f>IFERROR(__xludf.DUMMYFUNCTION("""COMPUTED_VALUE"""),"c9ef18f1-7a33-4eb4-94ca-c128056310a7")</f>
        <v>c9ef18f1-7a33-4eb4-94ca-c128056310a7</v>
      </c>
      <c r="C84" s="7">
        <f>IFERROR(__xludf.DUMMYFUNCTION("""COMPUTED_VALUE"""),1.0)</f>
        <v>1</v>
      </c>
      <c r="D84" s="6">
        <f>IFERROR(__xludf.DUMMYFUNCTION("""COMPUTED_VALUE"""),45704.0)</f>
        <v>45704</v>
      </c>
      <c r="E84" s="7" t="str">
        <f>IFERROR(__xludf.DUMMYFUNCTION("""COMPUTED_VALUE"""),"FRANQUIA_D&amp;G_SP")</f>
        <v>FRANQUIA_D&amp;G_SP</v>
      </c>
      <c r="F84" s="7" t="str">
        <f>IFERROR(__xludf.DUMMYFUNCTION("""COMPUTED_VALUE"""),"EMOTORCYCLE")</f>
        <v>EMOTORCYCLE</v>
      </c>
      <c r="G84" s="7" t="str">
        <f>IFERROR(__xludf.DUMMYFUNCTION("""COMPUTED_VALUE"""),"SAO PAULO")</f>
        <v>SAO PAULO</v>
      </c>
    </row>
    <row r="85">
      <c r="A85" s="6">
        <f>IFERROR(__xludf.DUMMYFUNCTION("""COMPUTED_VALUE"""),45705.0)</f>
        <v>45705</v>
      </c>
      <c r="B85" s="7" t="str">
        <f>IFERROR(__xludf.DUMMYFUNCTION("""COMPUTED_VALUE"""),"f3f495ed-a7cd-4c42-a6d6-0ea21775bb78")</f>
        <v>f3f495ed-a7cd-4c42-a6d6-0ea21775bb78</v>
      </c>
      <c r="C85" s="7">
        <f>IFERROR(__xludf.DUMMYFUNCTION("""COMPUTED_VALUE"""),0.0)</f>
        <v>0</v>
      </c>
      <c r="D85" s="6">
        <f>IFERROR(__xludf.DUMMYFUNCTION("""COMPUTED_VALUE"""),0.0)</f>
        <v>0</v>
      </c>
      <c r="E85" s="7" t="str">
        <f>IFERROR(__xludf.DUMMYFUNCTION("""COMPUTED_VALUE"""),"FRANQUIA_D&amp;G_SP")</f>
        <v>FRANQUIA_D&amp;G_SP</v>
      </c>
      <c r="F85" s="7" t="str">
        <f>IFERROR(__xludf.DUMMYFUNCTION("""COMPUTED_VALUE"""),"Bike")</f>
        <v>Bike</v>
      </c>
      <c r="G85" s="7" t="str">
        <f>IFERROR(__xludf.DUMMYFUNCTION("""COMPUTED_VALUE"""),"0")</f>
        <v>0</v>
      </c>
    </row>
    <row r="86">
      <c r="A86" s="6">
        <f>IFERROR(__xludf.DUMMYFUNCTION("""COMPUTED_VALUE"""),45705.0)</f>
        <v>45705</v>
      </c>
      <c r="B86" s="7" t="str">
        <f>IFERROR(__xludf.DUMMYFUNCTION("""COMPUTED_VALUE"""),"dc1a8104-22b1-4f7c-ad44-6ff0c4995705")</f>
        <v>dc1a8104-22b1-4f7c-ad44-6ff0c4995705</v>
      </c>
      <c r="C86" s="7">
        <f>IFERROR(__xludf.DUMMYFUNCTION("""COMPUTED_VALUE"""),1.0)</f>
        <v>1</v>
      </c>
      <c r="D86" s="6">
        <f>IFERROR(__xludf.DUMMYFUNCTION("""COMPUTED_VALUE"""),45704.0)</f>
        <v>45704</v>
      </c>
      <c r="E86" s="7" t="str">
        <f>IFERROR(__xludf.DUMMYFUNCTION("""COMPUTED_VALUE"""),"FRANQUIA_D&amp;G_SP")</f>
        <v>FRANQUIA_D&amp;G_SP</v>
      </c>
      <c r="F86" s="7" t="str">
        <f>IFERROR(__xludf.DUMMYFUNCTION("""COMPUTED_VALUE"""),"BICYCLE")</f>
        <v>BICYCLE</v>
      </c>
      <c r="G86" s="7" t="str">
        <f>IFERROR(__xludf.DUMMYFUNCTION("""COMPUTED_VALUE"""),"SAO PAULO")</f>
        <v>SAO PAULO</v>
      </c>
    </row>
    <row r="87">
      <c r="A87" s="6">
        <f>IFERROR(__xludf.DUMMYFUNCTION("""COMPUTED_VALUE"""),45705.0)</f>
        <v>45705</v>
      </c>
      <c r="B87" s="7" t="str">
        <f>IFERROR(__xludf.DUMMYFUNCTION("""COMPUTED_VALUE"""),"28ac4d18-5d41-47b8-bf87-a7921d193074")</f>
        <v>28ac4d18-5d41-47b8-bf87-a7921d193074</v>
      </c>
      <c r="C87" s="7">
        <f>IFERROR(__xludf.DUMMYFUNCTION("""COMPUTED_VALUE"""),7.0)</f>
        <v>7</v>
      </c>
      <c r="D87" s="6">
        <f>IFERROR(__xludf.DUMMYFUNCTION("""COMPUTED_VALUE"""),45698.0)</f>
        <v>45698</v>
      </c>
      <c r="E87" s="7" t="str">
        <f>IFERROR(__xludf.DUMMYFUNCTION("""COMPUTED_VALUE"""),"FRANQUIA_D&amp;G_SP")</f>
        <v>FRANQUIA_D&amp;G_SP</v>
      </c>
      <c r="F87" s="7" t="str">
        <f>IFERROR(__xludf.DUMMYFUNCTION("""COMPUTED_VALUE"""),"MOTORCYCLE")</f>
        <v>MOTORCYCLE</v>
      </c>
      <c r="G87" s="7" t="str">
        <f>IFERROR(__xludf.DUMMYFUNCTION("""COMPUTED_VALUE"""),"SAO PAULO")</f>
        <v>SAO PAULO</v>
      </c>
    </row>
    <row r="88">
      <c r="A88" s="6">
        <f>IFERROR(__xludf.DUMMYFUNCTION("""COMPUTED_VALUE"""),45705.0)</f>
        <v>45705</v>
      </c>
      <c r="B88" s="7" t="str">
        <f>IFERROR(__xludf.DUMMYFUNCTION("""COMPUTED_VALUE"""),"d97ee778-664e-4431-942d-70908b79404d")</f>
        <v>d97ee778-664e-4431-942d-70908b79404d</v>
      </c>
      <c r="C88" s="7">
        <f>IFERROR(__xludf.DUMMYFUNCTION("""COMPUTED_VALUE"""),38.0)</f>
        <v>38</v>
      </c>
      <c r="D88" s="6">
        <f>IFERROR(__xludf.DUMMYFUNCTION("""COMPUTED_VALUE"""),45667.0)</f>
        <v>45667</v>
      </c>
      <c r="E88" s="7" t="str">
        <f>IFERROR(__xludf.DUMMYFUNCTION("""COMPUTED_VALUE"""),"FRANQUIA_D&amp;G_SP")</f>
        <v>FRANQUIA_D&amp;G_SP</v>
      </c>
      <c r="F88" s="7" t="str">
        <f>IFERROR(__xludf.DUMMYFUNCTION("""COMPUTED_VALUE"""),"BICYCLE")</f>
        <v>BICYCLE</v>
      </c>
      <c r="G88" s="7" t="str">
        <f>IFERROR(__xludf.DUMMYFUNCTION("""COMPUTED_VALUE"""),"SAO PAULO")</f>
        <v>SAO PAULO</v>
      </c>
    </row>
    <row r="89">
      <c r="A89" s="6">
        <f>IFERROR(__xludf.DUMMYFUNCTION("""COMPUTED_VALUE"""),45705.0)</f>
        <v>45705</v>
      </c>
      <c r="B89" s="7" t="str">
        <f>IFERROR(__xludf.DUMMYFUNCTION("""COMPUTED_VALUE"""),"d619e894-853c-49d0-a815-6a57a066d72c")</f>
        <v>d619e894-853c-49d0-a815-6a57a066d72c</v>
      </c>
      <c r="C89" s="7">
        <f>IFERROR(__xludf.DUMMYFUNCTION("""COMPUTED_VALUE"""),0.0)</f>
        <v>0</v>
      </c>
      <c r="D89" s="6">
        <f>IFERROR(__xludf.DUMMYFUNCTION("""COMPUTED_VALUE"""),45705.0)</f>
        <v>45705</v>
      </c>
      <c r="E89" s="7" t="str">
        <f>IFERROR(__xludf.DUMMYFUNCTION("""COMPUTED_VALUE"""),"FRANQUIA_D&amp;G_SP")</f>
        <v>FRANQUIA_D&amp;G_SP</v>
      </c>
      <c r="F89" s="7" t="str">
        <f>IFERROR(__xludf.DUMMYFUNCTION("""COMPUTED_VALUE"""),"MOTORCYCLE")</f>
        <v>MOTORCYCLE</v>
      </c>
      <c r="G89" s="7" t="str">
        <f>IFERROR(__xludf.DUMMYFUNCTION("""COMPUTED_VALUE"""),"SAO PAULO")</f>
        <v>SAO PAULO</v>
      </c>
    </row>
    <row r="90">
      <c r="A90" s="6">
        <f>IFERROR(__xludf.DUMMYFUNCTION("""COMPUTED_VALUE"""),45705.0)</f>
        <v>45705</v>
      </c>
      <c r="B90" s="7" t="str">
        <f>IFERROR(__xludf.DUMMYFUNCTION("""COMPUTED_VALUE"""),"3ddf2813-6f03-4bba-9905-c5853da245d2")</f>
        <v>3ddf2813-6f03-4bba-9905-c5853da245d2</v>
      </c>
      <c r="C90" s="7">
        <f>IFERROR(__xludf.DUMMYFUNCTION("""COMPUTED_VALUE"""),12.0)</f>
        <v>12</v>
      </c>
      <c r="D90" s="6">
        <f>IFERROR(__xludf.DUMMYFUNCTION("""COMPUTED_VALUE"""),45693.0)</f>
        <v>45693</v>
      </c>
      <c r="E90" s="7" t="str">
        <f>IFERROR(__xludf.DUMMYFUNCTION("""COMPUTED_VALUE"""),"FRANQUIA_D&amp;G_SP")</f>
        <v>FRANQUIA_D&amp;G_SP</v>
      </c>
      <c r="F90" s="7" t="str">
        <f>IFERROR(__xludf.DUMMYFUNCTION("""COMPUTED_VALUE"""),"MOTORCYCLE")</f>
        <v>MOTORCYCLE</v>
      </c>
      <c r="G90" s="7" t="str">
        <f>IFERROR(__xludf.DUMMYFUNCTION("""COMPUTED_VALUE"""),"SAO PAULO")</f>
        <v>SAO PAULO</v>
      </c>
    </row>
    <row r="91">
      <c r="A91" s="6">
        <f>IFERROR(__xludf.DUMMYFUNCTION("""COMPUTED_VALUE"""),45705.0)</f>
        <v>45705</v>
      </c>
      <c r="B91" s="7" t="str">
        <f>IFERROR(__xludf.DUMMYFUNCTION("""COMPUTED_VALUE"""),"4c04ee47-c5a6-46a1-94e8-af489d019546")</f>
        <v>4c04ee47-c5a6-46a1-94e8-af489d019546</v>
      </c>
      <c r="C91" s="7">
        <f>IFERROR(__xludf.DUMMYFUNCTION("""COMPUTED_VALUE"""),0.0)</f>
        <v>0</v>
      </c>
      <c r="D91" s="6">
        <f>IFERROR(__xludf.DUMMYFUNCTION("""COMPUTED_VALUE"""),45705.0)</f>
        <v>45705</v>
      </c>
      <c r="E91" s="7" t="str">
        <f>IFERROR(__xludf.DUMMYFUNCTION("""COMPUTED_VALUE"""),"FRANQUIA_D&amp;G_SP")</f>
        <v>FRANQUIA_D&amp;G_SP</v>
      </c>
      <c r="F91" s="7" t="str">
        <f>IFERROR(__xludf.DUMMYFUNCTION("""COMPUTED_VALUE"""),"MOTORCYCLE")</f>
        <v>MOTORCYCLE</v>
      </c>
      <c r="G91" s="7" t="str">
        <f>IFERROR(__xludf.DUMMYFUNCTION("""COMPUTED_VALUE"""),"SAO PAULO")</f>
        <v>SAO PAULO</v>
      </c>
    </row>
    <row r="92">
      <c r="A92" s="6">
        <f>IFERROR(__xludf.DUMMYFUNCTION("""COMPUTED_VALUE"""),45705.0)</f>
        <v>45705</v>
      </c>
      <c r="B92" s="7" t="str">
        <f>IFERROR(__xludf.DUMMYFUNCTION("""COMPUTED_VALUE"""),"398e3365-567a-4f22-bd42-e8dac211b5e0")</f>
        <v>398e3365-567a-4f22-bd42-e8dac211b5e0</v>
      </c>
      <c r="C92" s="7">
        <f>IFERROR(__xludf.DUMMYFUNCTION("""COMPUTED_VALUE"""),0.0)</f>
        <v>0</v>
      </c>
      <c r="D92" s="6">
        <f>IFERROR(__xludf.DUMMYFUNCTION("""COMPUTED_VALUE"""),45705.0)</f>
        <v>45705</v>
      </c>
      <c r="E92" s="7" t="str">
        <f>IFERROR(__xludf.DUMMYFUNCTION("""COMPUTED_VALUE"""),"FRANQUIA_D&amp;G_SP")</f>
        <v>FRANQUIA_D&amp;G_SP</v>
      </c>
      <c r="F92" s="7" t="str">
        <f>IFERROR(__xludf.DUMMYFUNCTION("""COMPUTED_VALUE"""),"MOTORCYCLE")</f>
        <v>MOTORCYCLE</v>
      </c>
      <c r="G92" s="7" t="str">
        <f>IFERROR(__xludf.DUMMYFUNCTION("""COMPUTED_VALUE"""),"SAO PAULO")</f>
        <v>SAO PAULO</v>
      </c>
    </row>
    <row r="93">
      <c r="A93" s="6">
        <f>IFERROR(__xludf.DUMMYFUNCTION("""COMPUTED_VALUE"""),45705.0)</f>
        <v>45705</v>
      </c>
      <c r="B93" s="7" t="str">
        <f>IFERROR(__xludf.DUMMYFUNCTION("""COMPUTED_VALUE"""),"b7803287-32a7-40c8-81ed-9c838c7b7688")</f>
        <v>b7803287-32a7-40c8-81ed-9c838c7b7688</v>
      </c>
      <c r="C93" s="7">
        <f>IFERROR(__xludf.DUMMYFUNCTION("""COMPUTED_VALUE"""),1.0)</f>
        <v>1</v>
      </c>
      <c r="D93" s="6">
        <f>IFERROR(__xludf.DUMMYFUNCTION("""COMPUTED_VALUE"""),45704.0)</f>
        <v>45704</v>
      </c>
      <c r="E93" s="7" t="str">
        <f>IFERROR(__xludf.DUMMYFUNCTION("""COMPUTED_VALUE"""),"FRANQUIA_D&amp;G_SP")</f>
        <v>FRANQUIA_D&amp;G_SP</v>
      </c>
      <c r="F93" s="7" t="str">
        <f>IFERROR(__xludf.DUMMYFUNCTION("""COMPUTED_VALUE"""),"MOTORCYCLE")</f>
        <v>MOTORCYCLE</v>
      </c>
      <c r="G93" s="7" t="str">
        <f>IFERROR(__xludf.DUMMYFUNCTION("""COMPUTED_VALUE"""),"SAO PAULO")</f>
        <v>SAO PAULO</v>
      </c>
    </row>
    <row r="94">
      <c r="A94" s="6">
        <f>IFERROR(__xludf.DUMMYFUNCTION("""COMPUTED_VALUE"""),45705.0)</f>
        <v>45705</v>
      </c>
      <c r="B94" s="7" t="str">
        <f>IFERROR(__xludf.DUMMYFUNCTION("""COMPUTED_VALUE"""),"d6469d94-5b88-44b2-89b1-15c5474c0491")</f>
        <v>d6469d94-5b88-44b2-89b1-15c5474c0491</v>
      </c>
      <c r="C94" s="7">
        <f>IFERROR(__xludf.DUMMYFUNCTION("""COMPUTED_VALUE"""),4.0)</f>
        <v>4</v>
      </c>
      <c r="D94" s="6">
        <f>IFERROR(__xludf.DUMMYFUNCTION("""COMPUTED_VALUE"""),45701.0)</f>
        <v>45701</v>
      </c>
      <c r="E94" s="7" t="str">
        <f>IFERROR(__xludf.DUMMYFUNCTION("""COMPUTED_VALUE"""),"FRANQUIA_D&amp;G_SP")</f>
        <v>FRANQUIA_D&amp;G_SP</v>
      </c>
      <c r="F94" s="7" t="str">
        <f>IFERROR(__xludf.DUMMYFUNCTION("""COMPUTED_VALUE"""),"MOTORCYCLE")</f>
        <v>MOTORCYCLE</v>
      </c>
      <c r="G94" s="7" t="str">
        <f>IFERROR(__xludf.DUMMYFUNCTION("""COMPUTED_VALUE"""),"SAO PAULO")</f>
        <v>SAO PAULO</v>
      </c>
    </row>
    <row r="95">
      <c r="A95" s="6">
        <f>IFERROR(__xludf.DUMMYFUNCTION("""COMPUTED_VALUE"""),45705.0)</f>
        <v>45705</v>
      </c>
      <c r="B95" s="7" t="str">
        <f>IFERROR(__xludf.DUMMYFUNCTION("""COMPUTED_VALUE"""),"165d80c7-af17-479e-bbe3-ed71139b9f95")</f>
        <v>165d80c7-af17-479e-bbe3-ed71139b9f95</v>
      </c>
      <c r="C95" s="7">
        <f>IFERROR(__xludf.DUMMYFUNCTION("""COMPUTED_VALUE"""),0.0)</f>
        <v>0</v>
      </c>
      <c r="D95" s="6">
        <f>IFERROR(__xludf.DUMMYFUNCTION("""COMPUTED_VALUE"""),0.0)</f>
        <v>0</v>
      </c>
      <c r="E95" s="7" t="str">
        <f>IFERROR(__xludf.DUMMYFUNCTION("""COMPUTED_VALUE"""),"FRANQUIA_D&amp;G_SP")</f>
        <v>FRANQUIA_D&amp;G_SP</v>
      </c>
      <c r="F95" s="7" t="str">
        <f>IFERROR(__xludf.DUMMYFUNCTION("""COMPUTED_VALUE"""),"BICYCLE")</f>
        <v>BICYCLE</v>
      </c>
      <c r="G95" s="7" t="str">
        <f>IFERROR(__xludf.DUMMYFUNCTION("""COMPUTED_VALUE"""),"0")</f>
        <v>0</v>
      </c>
    </row>
    <row r="96">
      <c r="A96" s="6">
        <f>IFERROR(__xludf.DUMMYFUNCTION("""COMPUTED_VALUE"""),45705.0)</f>
        <v>45705</v>
      </c>
      <c r="B96" s="7" t="str">
        <f>IFERROR(__xludf.DUMMYFUNCTION("""COMPUTED_VALUE"""),"914c5434-03de-41c3-9d5f-a7d42ce9da98")</f>
        <v>914c5434-03de-41c3-9d5f-a7d42ce9da98</v>
      </c>
      <c r="C96" s="7">
        <f>IFERROR(__xludf.DUMMYFUNCTION("""COMPUTED_VALUE"""),0.0)</f>
        <v>0</v>
      </c>
      <c r="D96" s="6">
        <f>IFERROR(__xludf.DUMMYFUNCTION("""COMPUTED_VALUE"""),45705.0)</f>
        <v>45705</v>
      </c>
      <c r="E96" s="7" t="str">
        <f>IFERROR(__xludf.DUMMYFUNCTION("""COMPUTED_VALUE"""),"FRANQUIA_D&amp;G_SP")</f>
        <v>FRANQUIA_D&amp;G_SP</v>
      </c>
      <c r="F96" s="7" t="str">
        <f>IFERROR(__xludf.DUMMYFUNCTION("""COMPUTED_VALUE"""),"MOTORCYCLE")</f>
        <v>MOTORCYCLE</v>
      </c>
      <c r="G96" s="7" t="str">
        <f>IFERROR(__xludf.DUMMYFUNCTION("""COMPUTED_VALUE"""),"SAO PAULO")</f>
        <v>SAO PAULO</v>
      </c>
    </row>
    <row r="97">
      <c r="A97" s="6">
        <f>IFERROR(__xludf.DUMMYFUNCTION("""COMPUTED_VALUE"""),45705.0)</f>
        <v>45705</v>
      </c>
      <c r="B97" s="7" t="str">
        <f>IFERROR(__xludf.DUMMYFUNCTION("""COMPUTED_VALUE"""),"ae1d55d0-3311-442c-a1f2-4ca254a01fa5")</f>
        <v>ae1d55d0-3311-442c-a1f2-4ca254a01fa5</v>
      </c>
      <c r="C97" s="7">
        <f>IFERROR(__xludf.DUMMYFUNCTION("""COMPUTED_VALUE"""),76.0)</f>
        <v>76</v>
      </c>
      <c r="D97" s="6">
        <f>IFERROR(__xludf.DUMMYFUNCTION("""COMPUTED_VALUE"""),45629.0)</f>
        <v>45629</v>
      </c>
      <c r="E97" s="7" t="str">
        <f>IFERROR(__xludf.DUMMYFUNCTION("""COMPUTED_VALUE"""),"FRANQUIA_D&amp;G_SP")</f>
        <v>FRANQUIA_D&amp;G_SP</v>
      </c>
      <c r="F97" s="7" t="str">
        <f>IFERROR(__xludf.DUMMYFUNCTION("""COMPUTED_VALUE"""),"MOTORCYCLE")</f>
        <v>MOTORCYCLE</v>
      </c>
      <c r="G97" s="7" t="str">
        <f>IFERROR(__xludf.DUMMYFUNCTION("""COMPUTED_VALUE"""),"SAO PAULO")</f>
        <v>SAO PAULO</v>
      </c>
    </row>
    <row r="98">
      <c r="A98" s="6">
        <f>IFERROR(__xludf.DUMMYFUNCTION("""COMPUTED_VALUE"""),45705.0)</f>
        <v>45705</v>
      </c>
      <c r="B98" s="7" t="str">
        <f>IFERROR(__xludf.DUMMYFUNCTION("""COMPUTED_VALUE"""),"95510649-be2c-41b1-a6b0-f6c9dca102c4")</f>
        <v>95510649-be2c-41b1-a6b0-f6c9dca102c4</v>
      </c>
      <c r="C98" s="7">
        <f>IFERROR(__xludf.DUMMYFUNCTION("""COMPUTED_VALUE"""),31.0)</f>
        <v>31</v>
      </c>
      <c r="D98" s="6">
        <f>IFERROR(__xludf.DUMMYFUNCTION("""COMPUTED_VALUE"""),45674.0)</f>
        <v>45674</v>
      </c>
      <c r="E98" s="7" t="str">
        <f>IFERROR(__xludf.DUMMYFUNCTION("""COMPUTED_VALUE"""),"FRANQUIA_D&amp;G_SP")</f>
        <v>FRANQUIA_D&amp;G_SP</v>
      </c>
      <c r="F98" s="7" t="str">
        <f>IFERROR(__xludf.DUMMYFUNCTION("""COMPUTED_VALUE"""),"MOTORCYCLE")</f>
        <v>MOTORCYCLE</v>
      </c>
      <c r="G98" s="7" t="str">
        <f>IFERROR(__xludf.DUMMYFUNCTION("""COMPUTED_VALUE"""),"SAO PAULO")</f>
        <v>SAO PAULO</v>
      </c>
    </row>
    <row r="99">
      <c r="A99" s="6">
        <f>IFERROR(__xludf.DUMMYFUNCTION("""COMPUTED_VALUE"""),45705.0)</f>
        <v>45705</v>
      </c>
      <c r="B99" s="7" t="str">
        <f>IFERROR(__xludf.DUMMYFUNCTION("""COMPUTED_VALUE"""),"cc693948-9b6c-4eee-9c3c-5728ee8fe110")</f>
        <v>cc693948-9b6c-4eee-9c3c-5728ee8fe110</v>
      </c>
      <c r="C99" s="7">
        <f>IFERROR(__xludf.DUMMYFUNCTION("""COMPUTED_VALUE"""),0.0)</f>
        <v>0</v>
      </c>
      <c r="D99" s="6">
        <f>IFERROR(__xludf.DUMMYFUNCTION("""COMPUTED_VALUE"""),45705.0)</f>
        <v>45705</v>
      </c>
      <c r="E99" s="7" t="str">
        <f>IFERROR(__xludf.DUMMYFUNCTION("""COMPUTED_VALUE"""),"FRANQUIA_D&amp;G_SP")</f>
        <v>FRANQUIA_D&amp;G_SP</v>
      </c>
      <c r="F99" s="7" t="str">
        <f>IFERROR(__xludf.DUMMYFUNCTION("""COMPUTED_VALUE"""),"BICYCLE")</f>
        <v>BICYCLE</v>
      </c>
      <c r="G99" s="7" t="str">
        <f>IFERROR(__xludf.DUMMYFUNCTION("""COMPUTED_VALUE"""),"SAO PAULO")</f>
        <v>SAO PAULO</v>
      </c>
    </row>
    <row r="100">
      <c r="A100" s="6">
        <f>IFERROR(__xludf.DUMMYFUNCTION("""COMPUTED_VALUE"""),45705.0)</f>
        <v>45705</v>
      </c>
      <c r="B100" s="7" t="str">
        <f>IFERROR(__xludf.DUMMYFUNCTION("""COMPUTED_VALUE"""),"690e63d5-dca8-4d6c-b0c8-06cecad1c086")</f>
        <v>690e63d5-dca8-4d6c-b0c8-06cecad1c086</v>
      </c>
      <c r="C100" s="7">
        <f>IFERROR(__xludf.DUMMYFUNCTION("""COMPUTED_VALUE"""),737.0)</f>
        <v>737</v>
      </c>
      <c r="D100" s="6">
        <f>IFERROR(__xludf.DUMMYFUNCTION("""COMPUTED_VALUE"""),44968.0)</f>
        <v>44968</v>
      </c>
      <c r="E100" s="7" t="str">
        <f>IFERROR(__xludf.DUMMYFUNCTION("""COMPUTED_VALUE"""),"FRANQUIA_D&amp;G_SP")</f>
        <v>FRANQUIA_D&amp;G_SP</v>
      </c>
      <c r="F100" s="7" t="str">
        <f>IFERROR(__xludf.DUMMYFUNCTION("""COMPUTED_VALUE"""),"BICYCLE")</f>
        <v>BICYCLE</v>
      </c>
      <c r="G100" s="7" t="str">
        <f>IFERROR(__xludf.DUMMYFUNCTION("""COMPUTED_VALUE"""),"SAO PAULO")</f>
        <v>SAO PAULO</v>
      </c>
    </row>
    <row r="101">
      <c r="A101" s="6">
        <f>IFERROR(__xludf.DUMMYFUNCTION("""COMPUTED_VALUE"""),45705.0)</f>
        <v>45705</v>
      </c>
      <c r="B101" s="7" t="str">
        <f>IFERROR(__xludf.DUMMYFUNCTION("""COMPUTED_VALUE"""),"5483b14a-1d1b-4bbf-8f70-961bf4b81df6")</f>
        <v>5483b14a-1d1b-4bbf-8f70-961bf4b81df6</v>
      </c>
      <c r="C101" s="7">
        <f>IFERROR(__xludf.DUMMYFUNCTION("""COMPUTED_VALUE"""),1.0)</f>
        <v>1</v>
      </c>
      <c r="D101" s="6">
        <f>IFERROR(__xludf.DUMMYFUNCTION("""COMPUTED_VALUE"""),45704.0)</f>
        <v>45704</v>
      </c>
      <c r="E101" s="7" t="str">
        <f>IFERROR(__xludf.DUMMYFUNCTION("""COMPUTED_VALUE"""),"FRANQUIA_D&amp;G_SP")</f>
        <v>FRANQUIA_D&amp;G_SP</v>
      </c>
      <c r="F101" s="7" t="str">
        <f>IFERROR(__xludf.DUMMYFUNCTION("""COMPUTED_VALUE"""),"MOTORCYCLE")</f>
        <v>MOTORCYCLE</v>
      </c>
      <c r="G101" s="7" t="str">
        <f>IFERROR(__xludf.DUMMYFUNCTION("""COMPUTED_VALUE"""),"SAO PAULO")</f>
        <v>SAO PAULO</v>
      </c>
    </row>
    <row r="102">
      <c r="A102" s="6">
        <f>IFERROR(__xludf.DUMMYFUNCTION("""COMPUTED_VALUE"""),45705.0)</f>
        <v>45705</v>
      </c>
      <c r="B102" s="7" t="str">
        <f>IFERROR(__xludf.DUMMYFUNCTION("""COMPUTED_VALUE"""),"fd693552-5dbd-415a-8631-3046972cfd65")</f>
        <v>fd693552-5dbd-415a-8631-3046972cfd65</v>
      </c>
      <c r="C102" s="7">
        <f>IFERROR(__xludf.DUMMYFUNCTION("""COMPUTED_VALUE"""),15.0)</f>
        <v>15</v>
      </c>
      <c r="D102" s="6">
        <f>IFERROR(__xludf.DUMMYFUNCTION("""COMPUTED_VALUE"""),45690.0)</f>
        <v>45690</v>
      </c>
      <c r="E102" s="7" t="str">
        <f>IFERROR(__xludf.DUMMYFUNCTION("""COMPUTED_VALUE"""),"FRANQUIA_D&amp;G_SP")</f>
        <v>FRANQUIA_D&amp;G_SP</v>
      </c>
      <c r="F102" s="7" t="str">
        <f>IFERROR(__xludf.DUMMYFUNCTION("""COMPUTED_VALUE"""),"EMOTORCYCLE")</f>
        <v>EMOTORCYCLE</v>
      </c>
      <c r="G102" s="7" t="str">
        <f>IFERROR(__xludf.DUMMYFUNCTION("""COMPUTED_VALUE"""),"SAO PAULO")</f>
        <v>SAO PAULO</v>
      </c>
    </row>
    <row r="103">
      <c r="A103" s="6">
        <f>IFERROR(__xludf.DUMMYFUNCTION("""COMPUTED_VALUE"""),45705.0)</f>
        <v>45705</v>
      </c>
      <c r="B103" s="7" t="str">
        <f>IFERROR(__xludf.DUMMYFUNCTION("""COMPUTED_VALUE"""),"a1687316-3022-4d09-bdab-9414dab38f3b")</f>
        <v>a1687316-3022-4d09-bdab-9414dab38f3b</v>
      </c>
      <c r="C103" s="7">
        <f>IFERROR(__xludf.DUMMYFUNCTION("""COMPUTED_VALUE"""),5.0)</f>
        <v>5</v>
      </c>
      <c r="D103" s="6">
        <f>IFERROR(__xludf.DUMMYFUNCTION("""COMPUTED_VALUE"""),45700.0)</f>
        <v>45700</v>
      </c>
      <c r="E103" s="7" t="str">
        <f>IFERROR(__xludf.DUMMYFUNCTION("""COMPUTED_VALUE"""),"FRANQUIA_D&amp;G_SP")</f>
        <v>FRANQUIA_D&amp;G_SP</v>
      </c>
      <c r="F103" s="7" t="str">
        <f>IFERROR(__xludf.DUMMYFUNCTION("""COMPUTED_VALUE"""),"MOTORCYCLE")</f>
        <v>MOTORCYCLE</v>
      </c>
      <c r="G103" s="7" t="str">
        <f>IFERROR(__xludf.DUMMYFUNCTION("""COMPUTED_VALUE"""),"SAO PAULO")</f>
        <v>SAO PAULO</v>
      </c>
    </row>
    <row r="104">
      <c r="A104" s="6">
        <f>IFERROR(__xludf.DUMMYFUNCTION("""COMPUTED_VALUE"""),45705.0)</f>
        <v>45705</v>
      </c>
      <c r="B104" s="7" t="str">
        <f>IFERROR(__xludf.DUMMYFUNCTION("""COMPUTED_VALUE"""),"5dbc1d63-eef6-48cb-a4d6-e5c10b5dd46a")</f>
        <v>5dbc1d63-eef6-48cb-a4d6-e5c10b5dd46a</v>
      </c>
      <c r="C104" s="7">
        <f>IFERROR(__xludf.DUMMYFUNCTION("""COMPUTED_VALUE"""),0.0)</f>
        <v>0</v>
      </c>
      <c r="D104" s="6">
        <f>IFERROR(__xludf.DUMMYFUNCTION("""COMPUTED_VALUE"""),45705.0)</f>
        <v>45705</v>
      </c>
      <c r="E104" s="7" t="str">
        <f>IFERROR(__xludf.DUMMYFUNCTION("""COMPUTED_VALUE"""),"FRANQUIA_D&amp;G_SP")</f>
        <v>FRANQUIA_D&amp;G_SP</v>
      </c>
      <c r="F104" s="7" t="str">
        <f>IFERROR(__xludf.DUMMYFUNCTION("""COMPUTED_VALUE"""),"MOTORCYCLE")</f>
        <v>MOTORCYCLE</v>
      </c>
      <c r="G104" s="7" t="str">
        <f>IFERROR(__xludf.DUMMYFUNCTION("""COMPUTED_VALUE"""),"SAO PAULO")</f>
        <v>SAO PAULO</v>
      </c>
    </row>
    <row r="105">
      <c r="A105" s="6">
        <f>IFERROR(__xludf.DUMMYFUNCTION("""COMPUTED_VALUE"""),45705.0)</f>
        <v>45705</v>
      </c>
      <c r="B105" s="7" t="str">
        <f>IFERROR(__xludf.DUMMYFUNCTION("""COMPUTED_VALUE"""),"7ec3884b-2189-40ee-8322-3ec161ae8f95")</f>
        <v>7ec3884b-2189-40ee-8322-3ec161ae8f95</v>
      </c>
      <c r="C105" s="7">
        <f>IFERROR(__xludf.DUMMYFUNCTION("""COMPUTED_VALUE"""),0.0)</f>
        <v>0</v>
      </c>
      <c r="D105" s="6">
        <f>IFERROR(__xludf.DUMMYFUNCTION("""COMPUTED_VALUE"""),45705.0)</f>
        <v>45705</v>
      </c>
      <c r="E105" s="7" t="str">
        <f>IFERROR(__xludf.DUMMYFUNCTION("""COMPUTED_VALUE"""),"FRANQUIA_D&amp;G_SP")</f>
        <v>FRANQUIA_D&amp;G_SP</v>
      </c>
      <c r="F105" s="7" t="str">
        <f>IFERROR(__xludf.DUMMYFUNCTION("""COMPUTED_VALUE"""),"MOTORCYCLE")</f>
        <v>MOTORCYCLE</v>
      </c>
      <c r="G105" s="7" t="str">
        <f>IFERROR(__xludf.DUMMYFUNCTION("""COMPUTED_VALUE"""),"SAO PAULO")</f>
        <v>SAO PAULO</v>
      </c>
    </row>
    <row r="106">
      <c r="A106" s="6">
        <f>IFERROR(__xludf.DUMMYFUNCTION("""COMPUTED_VALUE"""),45705.0)</f>
        <v>45705</v>
      </c>
      <c r="B106" s="7" t="str">
        <f>IFERROR(__xludf.DUMMYFUNCTION("""COMPUTED_VALUE"""),"d8ebeb29-6863-412b-a67e-fb9adbd022ab")</f>
        <v>d8ebeb29-6863-412b-a67e-fb9adbd022ab</v>
      </c>
      <c r="C106" s="7">
        <f>IFERROR(__xludf.DUMMYFUNCTION("""COMPUTED_VALUE"""),0.0)</f>
        <v>0</v>
      </c>
      <c r="D106" s="6">
        <f>IFERROR(__xludf.DUMMYFUNCTION("""COMPUTED_VALUE"""),45705.0)</f>
        <v>45705</v>
      </c>
      <c r="E106" s="7" t="str">
        <f>IFERROR(__xludf.DUMMYFUNCTION("""COMPUTED_VALUE"""),"FRANQUIA_D&amp;G_SP")</f>
        <v>FRANQUIA_D&amp;G_SP</v>
      </c>
      <c r="F106" s="7" t="str">
        <f>IFERROR(__xludf.DUMMYFUNCTION("""COMPUTED_VALUE"""),"MOTORCYCLE")</f>
        <v>MOTORCYCLE</v>
      </c>
      <c r="G106" s="7" t="str">
        <f>IFERROR(__xludf.DUMMYFUNCTION("""COMPUTED_VALUE"""),"SAO PAULO")</f>
        <v>SAO PAULO</v>
      </c>
    </row>
    <row r="107">
      <c r="A107" s="6">
        <f>IFERROR(__xludf.DUMMYFUNCTION("""COMPUTED_VALUE"""),45705.0)</f>
        <v>45705</v>
      </c>
      <c r="B107" s="7" t="str">
        <f>IFERROR(__xludf.DUMMYFUNCTION("""COMPUTED_VALUE"""),"c7ef98fb-8ace-462b-b071-a3629b8d4743")</f>
        <v>c7ef98fb-8ace-462b-b071-a3629b8d4743</v>
      </c>
      <c r="C107" s="7">
        <f>IFERROR(__xludf.DUMMYFUNCTION("""COMPUTED_VALUE"""),0.0)</f>
        <v>0</v>
      </c>
      <c r="D107" s="6">
        <f>IFERROR(__xludf.DUMMYFUNCTION("""COMPUTED_VALUE"""),45705.0)</f>
        <v>45705</v>
      </c>
      <c r="E107" s="7" t="str">
        <f>IFERROR(__xludf.DUMMYFUNCTION("""COMPUTED_VALUE"""),"FRANQUIA_D&amp;G_SP")</f>
        <v>FRANQUIA_D&amp;G_SP</v>
      </c>
      <c r="F107" s="7" t="str">
        <f>IFERROR(__xludf.DUMMYFUNCTION("""COMPUTED_VALUE"""),"BICYCLE")</f>
        <v>BICYCLE</v>
      </c>
      <c r="G107" s="7" t="str">
        <f>IFERROR(__xludf.DUMMYFUNCTION("""COMPUTED_VALUE"""),"SAO PAULO")</f>
        <v>SAO PAULO</v>
      </c>
    </row>
    <row r="108">
      <c r="A108" s="6">
        <f>IFERROR(__xludf.DUMMYFUNCTION("""COMPUTED_VALUE"""),45705.0)</f>
        <v>45705</v>
      </c>
      <c r="B108" s="7" t="str">
        <f>IFERROR(__xludf.DUMMYFUNCTION("""COMPUTED_VALUE"""),"a2093577-df6a-4eff-9d0a-7d834f4cfdcf")</f>
        <v>a2093577-df6a-4eff-9d0a-7d834f4cfdcf</v>
      </c>
      <c r="C108" s="7">
        <f>IFERROR(__xludf.DUMMYFUNCTION("""COMPUTED_VALUE"""),0.0)</f>
        <v>0</v>
      </c>
      <c r="D108" s="6">
        <f>IFERROR(__xludf.DUMMYFUNCTION("""COMPUTED_VALUE"""),45705.0)</f>
        <v>45705</v>
      </c>
      <c r="E108" s="7" t="str">
        <f>IFERROR(__xludf.DUMMYFUNCTION("""COMPUTED_VALUE"""),"FRANQUIA_D&amp;G_SP")</f>
        <v>FRANQUIA_D&amp;G_SP</v>
      </c>
      <c r="F108" s="7" t="str">
        <f>IFERROR(__xludf.DUMMYFUNCTION("""COMPUTED_VALUE"""),"BICYCLE")</f>
        <v>BICYCLE</v>
      </c>
      <c r="G108" s="7" t="str">
        <f>IFERROR(__xludf.DUMMYFUNCTION("""COMPUTED_VALUE"""),"SAO PAULO")</f>
        <v>SAO PAULO</v>
      </c>
    </row>
    <row r="109">
      <c r="A109" s="6">
        <f>IFERROR(__xludf.DUMMYFUNCTION("""COMPUTED_VALUE"""),45705.0)</f>
        <v>45705</v>
      </c>
      <c r="B109" s="7" t="str">
        <f>IFERROR(__xludf.DUMMYFUNCTION("""COMPUTED_VALUE"""),"174aaa77-3f1d-44f5-8a68-af2fb0ccb056")</f>
        <v>174aaa77-3f1d-44f5-8a68-af2fb0ccb056</v>
      </c>
      <c r="C109" s="7">
        <f>IFERROR(__xludf.DUMMYFUNCTION("""COMPUTED_VALUE"""),0.0)</f>
        <v>0</v>
      </c>
      <c r="D109" s="6">
        <f>IFERROR(__xludf.DUMMYFUNCTION("""COMPUTED_VALUE"""),45705.0)</f>
        <v>45705</v>
      </c>
      <c r="E109" s="7" t="str">
        <f>IFERROR(__xludf.DUMMYFUNCTION("""COMPUTED_VALUE"""),"FRANQUIA_D&amp;G_SP")</f>
        <v>FRANQUIA_D&amp;G_SP</v>
      </c>
      <c r="F109" s="7" t="str">
        <f>IFERROR(__xludf.DUMMYFUNCTION("""COMPUTED_VALUE"""),"MOTORCYCLE")</f>
        <v>MOTORCYCLE</v>
      </c>
      <c r="G109" s="7" t="str">
        <f>IFERROR(__xludf.DUMMYFUNCTION("""COMPUTED_VALUE"""),"SAO PAULO")</f>
        <v>SAO PAULO</v>
      </c>
    </row>
    <row r="110">
      <c r="A110" s="6">
        <f>IFERROR(__xludf.DUMMYFUNCTION("""COMPUTED_VALUE"""),45705.0)</f>
        <v>45705</v>
      </c>
      <c r="B110" s="7" t="str">
        <f>IFERROR(__xludf.DUMMYFUNCTION("""COMPUTED_VALUE"""),"f68ca770-2634-48be-b1aa-a52c1f4ec69b")</f>
        <v>f68ca770-2634-48be-b1aa-a52c1f4ec69b</v>
      </c>
      <c r="C110" s="7">
        <f>IFERROR(__xludf.DUMMYFUNCTION("""COMPUTED_VALUE"""),1.0)</f>
        <v>1</v>
      </c>
      <c r="D110" s="6">
        <f>IFERROR(__xludf.DUMMYFUNCTION("""COMPUTED_VALUE"""),45704.0)</f>
        <v>45704</v>
      </c>
      <c r="E110" s="7" t="str">
        <f>IFERROR(__xludf.DUMMYFUNCTION("""COMPUTED_VALUE"""),"FRANQUIA_D&amp;G_SP")</f>
        <v>FRANQUIA_D&amp;G_SP</v>
      </c>
      <c r="F110" s="7" t="str">
        <f>IFERROR(__xludf.DUMMYFUNCTION("""COMPUTED_VALUE"""),"MOTORCYCLE")</f>
        <v>MOTORCYCLE</v>
      </c>
      <c r="G110" s="7" t="str">
        <f>IFERROR(__xludf.DUMMYFUNCTION("""COMPUTED_VALUE"""),"SAO PAULO")</f>
        <v>SAO PAULO</v>
      </c>
    </row>
    <row r="111">
      <c r="A111" s="6">
        <f>IFERROR(__xludf.DUMMYFUNCTION("""COMPUTED_VALUE"""),45705.0)</f>
        <v>45705</v>
      </c>
      <c r="B111" s="7" t="str">
        <f>IFERROR(__xludf.DUMMYFUNCTION("""COMPUTED_VALUE"""),"ca69f3c2-4315-4e9c-ba8b-1b63a28df642")</f>
        <v>ca69f3c2-4315-4e9c-ba8b-1b63a28df642</v>
      </c>
      <c r="C111" s="7">
        <f>IFERROR(__xludf.DUMMYFUNCTION("""COMPUTED_VALUE"""),446.0)</f>
        <v>446</v>
      </c>
      <c r="D111" s="6">
        <f>IFERROR(__xludf.DUMMYFUNCTION("""COMPUTED_VALUE"""),45259.0)</f>
        <v>45259</v>
      </c>
      <c r="E111" s="7" t="str">
        <f>IFERROR(__xludf.DUMMYFUNCTION("""COMPUTED_VALUE"""),"FRANQUIA_D&amp;G_SP")</f>
        <v>FRANQUIA_D&amp;G_SP</v>
      </c>
      <c r="F111" s="7" t="str">
        <f>IFERROR(__xludf.DUMMYFUNCTION("""COMPUTED_VALUE"""),"MOTORCYCLE")</f>
        <v>MOTORCYCLE</v>
      </c>
      <c r="G111" s="7" t="str">
        <f>IFERROR(__xludf.DUMMYFUNCTION("""COMPUTED_VALUE"""),"SAO PAULO")</f>
        <v>SAO PAULO</v>
      </c>
    </row>
    <row r="112">
      <c r="A112" s="6">
        <f>IFERROR(__xludf.DUMMYFUNCTION("""COMPUTED_VALUE"""),45705.0)</f>
        <v>45705</v>
      </c>
      <c r="B112" s="7" t="str">
        <f>IFERROR(__xludf.DUMMYFUNCTION("""COMPUTED_VALUE"""),"351d7ae1-ff4e-4760-83fb-8b67680cc8c0")</f>
        <v>351d7ae1-ff4e-4760-83fb-8b67680cc8c0</v>
      </c>
      <c r="C112" s="7">
        <f>IFERROR(__xludf.DUMMYFUNCTION("""COMPUTED_VALUE"""),0.0)</f>
        <v>0</v>
      </c>
      <c r="D112" s="6">
        <f>IFERROR(__xludf.DUMMYFUNCTION("""COMPUTED_VALUE"""),45705.0)</f>
        <v>45705</v>
      </c>
      <c r="E112" s="7" t="str">
        <f>IFERROR(__xludf.DUMMYFUNCTION("""COMPUTED_VALUE"""),"FRANQUIA_D&amp;G_SP")</f>
        <v>FRANQUIA_D&amp;G_SP</v>
      </c>
      <c r="F112" s="7" t="str">
        <f>IFERROR(__xludf.DUMMYFUNCTION("""COMPUTED_VALUE"""),"MOTORCYCLE")</f>
        <v>MOTORCYCLE</v>
      </c>
      <c r="G112" s="7" t="str">
        <f>IFERROR(__xludf.DUMMYFUNCTION("""COMPUTED_VALUE"""),"SAO PAULO")</f>
        <v>SAO PAULO</v>
      </c>
    </row>
    <row r="113">
      <c r="A113" s="6">
        <f>IFERROR(__xludf.DUMMYFUNCTION("""COMPUTED_VALUE"""),45705.0)</f>
        <v>45705</v>
      </c>
      <c r="B113" s="7" t="str">
        <f>IFERROR(__xludf.DUMMYFUNCTION("""COMPUTED_VALUE"""),"f839a3ff-aa98-4581-b3e3-748b2c31af9f")</f>
        <v>f839a3ff-aa98-4581-b3e3-748b2c31af9f</v>
      </c>
      <c r="C113" s="7">
        <f>IFERROR(__xludf.DUMMYFUNCTION("""COMPUTED_VALUE"""),0.0)</f>
        <v>0</v>
      </c>
      <c r="D113" s="6">
        <f>IFERROR(__xludf.DUMMYFUNCTION("""COMPUTED_VALUE"""),45705.0)</f>
        <v>45705</v>
      </c>
      <c r="E113" s="7" t="str">
        <f>IFERROR(__xludf.DUMMYFUNCTION("""COMPUTED_VALUE"""),"FRANQUIA_D&amp;G_SP")</f>
        <v>FRANQUIA_D&amp;G_SP</v>
      </c>
      <c r="F113" s="7" t="str">
        <f>IFERROR(__xludf.DUMMYFUNCTION("""COMPUTED_VALUE"""),"MOTORCYCLE")</f>
        <v>MOTORCYCLE</v>
      </c>
      <c r="G113" s="7" t="str">
        <f>IFERROR(__xludf.DUMMYFUNCTION("""COMPUTED_VALUE"""),"SAO PAULO")</f>
        <v>SAO PAULO</v>
      </c>
    </row>
    <row r="114">
      <c r="A114" s="6">
        <f>IFERROR(__xludf.DUMMYFUNCTION("""COMPUTED_VALUE"""),45705.0)</f>
        <v>45705</v>
      </c>
      <c r="B114" s="7" t="str">
        <f>IFERROR(__xludf.DUMMYFUNCTION("""COMPUTED_VALUE"""),"ea0a4567-d881-4905-b1ae-41b212f55513")</f>
        <v>ea0a4567-d881-4905-b1ae-41b212f55513</v>
      </c>
      <c r="C114" s="7">
        <f>IFERROR(__xludf.DUMMYFUNCTION("""COMPUTED_VALUE"""),0.0)</f>
        <v>0</v>
      </c>
      <c r="D114" s="6">
        <f>IFERROR(__xludf.DUMMYFUNCTION("""COMPUTED_VALUE"""),45705.0)</f>
        <v>45705</v>
      </c>
      <c r="E114" s="7" t="str">
        <f>IFERROR(__xludf.DUMMYFUNCTION("""COMPUTED_VALUE"""),"FRANQUIA_D&amp;G_SP")</f>
        <v>FRANQUIA_D&amp;G_SP</v>
      </c>
      <c r="F114" s="7" t="str">
        <f>IFERROR(__xludf.DUMMYFUNCTION("""COMPUTED_VALUE"""),"MOTORCYCLE")</f>
        <v>MOTORCYCLE</v>
      </c>
      <c r="G114" s="7" t="str">
        <f>IFERROR(__xludf.DUMMYFUNCTION("""COMPUTED_VALUE"""),"SAO PAULO")</f>
        <v>SAO PAULO</v>
      </c>
    </row>
    <row r="115">
      <c r="A115" s="6">
        <f>IFERROR(__xludf.DUMMYFUNCTION("""COMPUTED_VALUE"""),45705.0)</f>
        <v>45705</v>
      </c>
      <c r="B115" s="7" t="str">
        <f>IFERROR(__xludf.DUMMYFUNCTION("""COMPUTED_VALUE"""),"f01a99c7-1706-407c-a263-be73566b6488")</f>
        <v>f01a99c7-1706-407c-a263-be73566b6488</v>
      </c>
      <c r="C115" s="7">
        <f>IFERROR(__xludf.DUMMYFUNCTION("""COMPUTED_VALUE"""),0.0)</f>
        <v>0</v>
      </c>
      <c r="D115" s="6">
        <f>IFERROR(__xludf.DUMMYFUNCTION("""COMPUTED_VALUE"""),45705.0)</f>
        <v>45705</v>
      </c>
      <c r="E115" s="7" t="str">
        <f>IFERROR(__xludf.DUMMYFUNCTION("""COMPUTED_VALUE"""),"FRANQUIA_D&amp;G_SP")</f>
        <v>FRANQUIA_D&amp;G_SP</v>
      </c>
      <c r="F115" s="7" t="str">
        <f>IFERROR(__xludf.DUMMYFUNCTION("""COMPUTED_VALUE"""),"MOTORCYCLE")</f>
        <v>MOTORCYCLE</v>
      </c>
      <c r="G115" s="7" t="str">
        <f>IFERROR(__xludf.DUMMYFUNCTION("""COMPUTED_VALUE"""),"SAO PAULO")</f>
        <v>SAO PAULO</v>
      </c>
    </row>
    <row r="116">
      <c r="A116" s="6">
        <f>IFERROR(__xludf.DUMMYFUNCTION("""COMPUTED_VALUE"""),45705.0)</f>
        <v>45705</v>
      </c>
      <c r="B116" s="7" t="str">
        <f>IFERROR(__xludf.DUMMYFUNCTION("""COMPUTED_VALUE"""),"eadc8525-7d1b-40da-942e-414194130633")</f>
        <v>eadc8525-7d1b-40da-942e-414194130633</v>
      </c>
      <c r="C116" s="7">
        <f>IFERROR(__xludf.DUMMYFUNCTION("""COMPUTED_VALUE"""),0.0)</f>
        <v>0</v>
      </c>
      <c r="D116" s="6">
        <f>IFERROR(__xludf.DUMMYFUNCTION("""COMPUTED_VALUE"""),45705.0)</f>
        <v>45705</v>
      </c>
      <c r="E116" s="7" t="str">
        <f>IFERROR(__xludf.DUMMYFUNCTION("""COMPUTED_VALUE"""),"FRANQUIA_D&amp;G_SP")</f>
        <v>FRANQUIA_D&amp;G_SP</v>
      </c>
      <c r="F116" s="7" t="str">
        <f>IFERROR(__xludf.DUMMYFUNCTION("""COMPUTED_VALUE"""),"MOTORCYCLE")</f>
        <v>MOTORCYCLE</v>
      </c>
      <c r="G116" s="7" t="str">
        <f>IFERROR(__xludf.DUMMYFUNCTION("""COMPUTED_VALUE"""),"SAO PAULO")</f>
        <v>SAO PAULO</v>
      </c>
    </row>
    <row r="117">
      <c r="A117" s="6">
        <f>IFERROR(__xludf.DUMMYFUNCTION("""COMPUTED_VALUE"""),45705.0)</f>
        <v>45705</v>
      </c>
      <c r="B117" s="7" t="str">
        <f>IFERROR(__xludf.DUMMYFUNCTION("""COMPUTED_VALUE"""),"6eb4181d-c05e-44ad-9342-bd975889e57b")</f>
        <v>6eb4181d-c05e-44ad-9342-bd975889e57b</v>
      </c>
      <c r="C117" s="7">
        <f>IFERROR(__xludf.DUMMYFUNCTION("""COMPUTED_VALUE"""),0.0)</f>
        <v>0</v>
      </c>
      <c r="D117" s="6">
        <f>IFERROR(__xludf.DUMMYFUNCTION("""COMPUTED_VALUE"""),45705.0)</f>
        <v>45705</v>
      </c>
      <c r="E117" s="7" t="str">
        <f>IFERROR(__xludf.DUMMYFUNCTION("""COMPUTED_VALUE"""),"FRANQUIA_D&amp;G_SP")</f>
        <v>FRANQUIA_D&amp;G_SP</v>
      </c>
      <c r="F117" s="7" t="str">
        <f>IFERROR(__xludf.DUMMYFUNCTION("""COMPUTED_VALUE"""),"BICYCLE")</f>
        <v>BICYCLE</v>
      </c>
      <c r="G117" s="7" t="str">
        <f>IFERROR(__xludf.DUMMYFUNCTION("""COMPUTED_VALUE"""),"SAO PAULO")</f>
        <v>SAO PAULO</v>
      </c>
    </row>
    <row r="118">
      <c r="A118" s="6">
        <f>IFERROR(__xludf.DUMMYFUNCTION("""COMPUTED_VALUE"""),45705.0)</f>
        <v>45705</v>
      </c>
      <c r="B118" s="7" t="str">
        <f>IFERROR(__xludf.DUMMYFUNCTION("""COMPUTED_VALUE"""),"900018ca-d5ec-4ebb-8e4f-ee411df90880")</f>
        <v>900018ca-d5ec-4ebb-8e4f-ee411df90880</v>
      </c>
      <c r="C118" s="7">
        <f>IFERROR(__xludf.DUMMYFUNCTION("""COMPUTED_VALUE"""),0.0)</f>
        <v>0</v>
      </c>
      <c r="D118" s="6">
        <f>IFERROR(__xludf.DUMMYFUNCTION("""COMPUTED_VALUE"""),45705.0)</f>
        <v>45705</v>
      </c>
      <c r="E118" s="7" t="str">
        <f>IFERROR(__xludf.DUMMYFUNCTION("""COMPUTED_VALUE"""),"FRANQUIA_D&amp;G_SP")</f>
        <v>FRANQUIA_D&amp;G_SP</v>
      </c>
      <c r="F118" s="7" t="str">
        <f>IFERROR(__xludf.DUMMYFUNCTION("""COMPUTED_VALUE"""),"MOTORCYCLE")</f>
        <v>MOTORCYCLE</v>
      </c>
      <c r="G118" s="7" t="str">
        <f>IFERROR(__xludf.DUMMYFUNCTION("""COMPUTED_VALUE"""),"SAO PAULO")</f>
        <v>SAO PAULO</v>
      </c>
    </row>
    <row r="119">
      <c r="A119" s="6">
        <f>IFERROR(__xludf.DUMMYFUNCTION("""COMPUTED_VALUE"""),45705.0)</f>
        <v>45705</v>
      </c>
      <c r="B119" s="7" t="str">
        <f>IFERROR(__xludf.DUMMYFUNCTION("""COMPUTED_VALUE"""),"dc335971-e4dd-4135-9db6-18219f30e602")</f>
        <v>dc335971-e4dd-4135-9db6-18219f30e602</v>
      </c>
      <c r="C119" s="7">
        <f>IFERROR(__xludf.DUMMYFUNCTION("""COMPUTED_VALUE"""),0.0)</f>
        <v>0</v>
      </c>
      <c r="D119" s="6">
        <f>IFERROR(__xludf.DUMMYFUNCTION("""COMPUTED_VALUE"""),45705.0)</f>
        <v>45705</v>
      </c>
      <c r="E119" s="7" t="str">
        <f>IFERROR(__xludf.DUMMYFUNCTION("""COMPUTED_VALUE"""),"FRANQUIA_D&amp;G_SP")</f>
        <v>FRANQUIA_D&amp;G_SP</v>
      </c>
      <c r="F119" s="7" t="str">
        <f>IFERROR(__xludf.DUMMYFUNCTION("""COMPUTED_VALUE"""),"MOTORCYCLE")</f>
        <v>MOTORCYCLE</v>
      </c>
      <c r="G119" s="7" t="str">
        <f>IFERROR(__xludf.DUMMYFUNCTION("""COMPUTED_VALUE"""),"SAO PAULO")</f>
        <v>SAO PAULO</v>
      </c>
    </row>
    <row r="120">
      <c r="A120" s="6">
        <f>IFERROR(__xludf.DUMMYFUNCTION("""COMPUTED_VALUE"""),45705.0)</f>
        <v>45705</v>
      </c>
      <c r="B120" s="7" t="str">
        <f>IFERROR(__xludf.DUMMYFUNCTION("""COMPUTED_VALUE"""),"5bd3eb6f-6ce5-4d9f-8060-186025636efe")</f>
        <v>5bd3eb6f-6ce5-4d9f-8060-186025636efe</v>
      </c>
      <c r="C120" s="7">
        <f>IFERROR(__xludf.DUMMYFUNCTION("""COMPUTED_VALUE"""),7.0)</f>
        <v>7</v>
      </c>
      <c r="D120" s="6">
        <f>IFERROR(__xludf.DUMMYFUNCTION("""COMPUTED_VALUE"""),45698.0)</f>
        <v>45698</v>
      </c>
      <c r="E120" s="7" t="str">
        <f>IFERROR(__xludf.DUMMYFUNCTION("""COMPUTED_VALUE"""),"FRANQUIA_D&amp;G_SP")</f>
        <v>FRANQUIA_D&amp;G_SP</v>
      </c>
      <c r="F120" s="7" t="str">
        <f>IFERROR(__xludf.DUMMYFUNCTION("""COMPUTED_VALUE"""),"BICYCLE")</f>
        <v>BICYCLE</v>
      </c>
      <c r="G120" s="7" t="str">
        <f>IFERROR(__xludf.DUMMYFUNCTION("""COMPUTED_VALUE"""),"SAO PAULO")</f>
        <v>SAO PAULO</v>
      </c>
    </row>
    <row r="121">
      <c r="A121" s="6">
        <f>IFERROR(__xludf.DUMMYFUNCTION("""COMPUTED_VALUE"""),45705.0)</f>
        <v>45705</v>
      </c>
      <c r="B121" s="7" t="str">
        <f>IFERROR(__xludf.DUMMYFUNCTION("""COMPUTED_VALUE"""),"b10dc9e4-752d-4122-9835-0a8c99ff1046")</f>
        <v>b10dc9e4-752d-4122-9835-0a8c99ff1046</v>
      </c>
      <c r="C121" s="7">
        <f>IFERROR(__xludf.DUMMYFUNCTION("""COMPUTED_VALUE"""),38.0)</f>
        <v>38</v>
      </c>
      <c r="D121" s="6">
        <f>IFERROR(__xludf.DUMMYFUNCTION("""COMPUTED_VALUE"""),45667.0)</f>
        <v>45667</v>
      </c>
      <c r="E121" s="7" t="str">
        <f>IFERROR(__xludf.DUMMYFUNCTION("""COMPUTED_VALUE"""),"FRANQUIA_D&amp;G_SP")</f>
        <v>FRANQUIA_D&amp;G_SP</v>
      </c>
      <c r="F121" s="7" t="str">
        <f>IFERROR(__xludf.DUMMYFUNCTION("""COMPUTED_VALUE"""),"MOTORCYCLE")</f>
        <v>MOTORCYCLE</v>
      </c>
      <c r="G121" s="7" t="str">
        <f>IFERROR(__xludf.DUMMYFUNCTION("""COMPUTED_VALUE"""),"SAO PAULO")</f>
        <v>SAO PAULO</v>
      </c>
    </row>
    <row r="122">
      <c r="A122" s="6">
        <f>IFERROR(__xludf.DUMMYFUNCTION("""COMPUTED_VALUE"""),45705.0)</f>
        <v>45705</v>
      </c>
      <c r="B122" s="7" t="str">
        <f>IFERROR(__xludf.DUMMYFUNCTION("""COMPUTED_VALUE"""),"51437770-c773-423f-aab1-895cba088072")</f>
        <v>51437770-c773-423f-aab1-895cba088072</v>
      </c>
      <c r="C122" s="7">
        <f>IFERROR(__xludf.DUMMYFUNCTION("""COMPUTED_VALUE"""),78.0)</f>
        <v>78</v>
      </c>
      <c r="D122" s="6">
        <f>IFERROR(__xludf.DUMMYFUNCTION("""COMPUTED_VALUE"""),45627.0)</f>
        <v>45627</v>
      </c>
      <c r="E122" s="7" t="str">
        <f>IFERROR(__xludf.DUMMYFUNCTION("""COMPUTED_VALUE"""),"FRANQUIA_D&amp;G_SP")</f>
        <v>FRANQUIA_D&amp;G_SP</v>
      </c>
      <c r="F122" s="7" t="str">
        <f>IFERROR(__xludf.DUMMYFUNCTION("""COMPUTED_VALUE"""),"MOTORCYCLE")</f>
        <v>MOTORCYCLE</v>
      </c>
      <c r="G122" s="7" t="str">
        <f>IFERROR(__xludf.DUMMYFUNCTION("""COMPUTED_VALUE"""),"SAO PAULO")</f>
        <v>SAO PAULO</v>
      </c>
    </row>
    <row r="123">
      <c r="A123" s="6">
        <f>IFERROR(__xludf.DUMMYFUNCTION("""COMPUTED_VALUE"""),45705.0)</f>
        <v>45705</v>
      </c>
      <c r="B123" s="7" t="str">
        <f>IFERROR(__xludf.DUMMYFUNCTION("""COMPUTED_VALUE"""),"e1058157-fcc0-4114-b63c-c30bef4a0452")</f>
        <v>e1058157-fcc0-4114-b63c-c30bef4a0452</v>
      </c>
      <c r="C123" s="7">
        <f>IFERROR(__xludf.DUMMYFUNCTION("""COMPUTED_VALUE"""),0.0)</f>
        <v>0</v>
      </c>
      <c r="D123" s="6">
        <f>IFERROR(__xludf.DUMMYFUNCTION("""COMPUTED_VALUE"""),45705.0)</f>
        <v>45705</v>
      </c>
      <c r="E123" s="7" t="str">
        <f>IFERROR(__xludf.DUMMYFUNCTION("""COMPUTED_VALUE"""),"FRANQUIA_D&amp;G_SP")</f>
        <v>FRANQUIA_D&amp;G_SP</v>
      </c>
      <c r="F123" s="7" t="str">
        <f>IFERROR(__xludf.DUMMYFUNCTION("""COMPUTED_VALUE"""),"MOTORCYCLE")</f>
        <v>MOTORCYCLE</v>
      </c>
      <c r="G123" s="7" t="str">
        <f>IFERROR(__xludf.DUMMYFUNCTION("""COMPUTED_VALUE"""),"SAO PAULO")</f>
        <v>SAO PAULO</v>
      </c>
    </row>
    <row r="124">
      <c r="A124" s="6">
        <f>IFERROR(__xludf.DUMMYFUNCTION("""COMPUTED_VALUE"""),45705.0)</f>
        <v>45705</v>
      </c>
      <c r="B124" s="7" t="str">
        <f>IFERROR(__xludf.DUMMYFUNCTION("""COMPUTED_VALUE"""),"68b9b00f-7b83-4e85-bfdc-66d26dcb3812")</f>
        <v>68b9b00f-7b83-4e85-bfdc-66d26dcb3812</v>
      </c>
      <c r="C124" s="7">
        <f>IFERROR(__xludf.DUMMYFUNCTION("""COMPUTED_VALUE"""),2.0)</f>
        <v>2</v>
      </c>
      <c r="D124" s="6">
        <f>IFERROR(__xludf.DUMMYFUNCTION("""COMPUTED_VALUE"""),45703.0)</f>
        <v>45703</v>
      </c>
      <c r="E124" s="7" t="str">
        <f>IFERROR(__xludf.DUMMYFUNCTION("""COMPUTED_VALUE"""),"FRANQUIA_D&amp;G_SP")</f>
        <v>FRANQUIA_D&amp;G_SP</v>
      </c>
      <c r="F124" s="7" t="str">
        <f>IFERROR(__xludf.DUMMYFUNCTION("""COMPUTED_VALUE"""),"BICYCLE")</f>
        <v>BICYCLE</v>
      </c>
      <c r="G124" s="7" t="str">
        <f>IFERROR(__xludf.DUMMYFUNCTION("""COMPUTED_VALUE"""),"SAO PAULO")</f>
        <v>SAO PAULO</v>
      </c>
    </row>
    <row r="125">
      <c r="A125" s="6">
        <f>IFERROR(__xludf.DUMMYFUNCTION("""COMPUTED_VALUE"""),45705.0)</f>
        <v>45705</v>
      </c>
      <c r="B125" s="7" t="str">
        <f>IFERROR(__xludf.DUMMYFUNCTION("""COMPUTED_VALUE"""),"9cbc94bb-6633-4213-98e4-cdeaaea5520b")</f>
        <v>9cbc94bb-6633-4213-98e4-cdeaaea5520b</v>
      </c>
      <c r="C125" s="7">
        <f>IFERROR(__xludf.DUMMYFUNCTION("""COMPUTED_VALUE"""),0.0)</f>
        <v>0</v>
      </c>
      <c r="D125" s="6">
        <f>IFERROR(__xludf.DUMMYFUNCTION("""COMPUTED_VALUE"""),45705.0)</f>
        <v>45705</v>
      </c>
      <c r="E125" s="7" t="str">
        <f>IFERROR(__xludf.DUMMYFUNCTION("""COMPUTED_VALUE"""),"FRANQUIA_D&amp;G_SP")</f>
        <v>FRANQUIA_D&amp;G_SP</v>
      </c>
      <c r="F125" s="7" t="str">
        <f>IFERROR(__xludf.DUMMYFUNCTION("""COMPUTED_VALUE"""),"BICYCLE")</f>
        <v>BICYCLE</v>
      </c>
      <c r="G125" s="7" t="str">
        <f>IFERROR(__xludf.DUMMYFUNCTION("""COMPUTED_VALUE"""),"SAO PAULO")</f>
        <v>SAO PAULO</v>
      </c>
    </row>
    <row r="126">
      <c r="A126" s="6">
        <f>IFERROR(__xludf.DUMMYFUNCTION("""COMPUTED_VALUE"""),45705.0)</f>
        <v>45705</v>
      </c>
      <c r="B126" s="7" t="str">
        <f>IFERROR(__xludf.DUMMYFUNCTION("""COMPUTED_VALUE"""),"2a3289e7-c7f8-4fa4-a24c-f8b3cf0a8874")</f>
        <v>2a3289e7-c7f8-4fa4-a24c-f8b3cf0a8874</v>
      </c>
      <c r="C126" s="7">
        <f>IFERROR(__xludf.DUMMYFUNCTION("""COMPUTED_VALUE"""),2.0)</f>
        <v>2</v>
      </c>
      <c r="D126" s="6">
        <f>IFERROR(__xludf.DUMMYFUNCTION("""COMPUTED_VALUE"""),45703.0)</f>
        <v>45703</v>
      </c>
      <c r="E126" s="7" t="str">
        <f>IFERROR(__xludf.DUMMYFUNCTION("""COMPUTED_VALUE"""),"FRANQUIA_D&amp;G_SP")</f>
        <v>FRANQUIA_D&amp;G_SP</v>
      </c>
      <c r="F126" s="7" t="str">
        <f>IFERROR(__xludf.DUMMYFUNCTION("""COMPUTED_VALUE"""),"BICYCLE")</f>
        <v>BICYCLE</v>
      </c>
      <c r="G126" s="7" t="str">
        <f>IFERROR(__xludf.DUMMYFUNCTION("""COMPUTED_VALUE"""),"SAO PAULO")</f>
        <v>SAO PAULO</v>
      </c>
    </row>
    <row r="127">
      <c r="A127" s="6">
        <f>IFERROR(__xludf.DUMMYFUNCTION("""COMPUTED_VALUE"""),45705.0)</f>
        <v>45705</v>
      </c>
      <c r="B127" s="7" t="str">
        <f>IFERROR(__xludf.DUMMYFUNCTION("""COMPUTED_VALUE"""),"708a93e9-a36b-4971-9d5f-ca6d8e20a149")</f>
        <v>708a93e9-a36b-4971-9d5f-ca6d8e20a149</v>
      </c>
      <c r="C127" s="7">
        <f>IFERROR(__xludf.DUMMYFUNCTION("""COMPUTED_VALUE"""),1.0)</f>
        <v>1</v>
      </c>
      <c r="D127" s="6">
        <f>IFERROR(__xludf.DUMMYFUNCTION("""COMPUTED_VALUE"""),45704.0)</f>
        <v>45704</v>
      </c>
      <c r="E127" s="7" t="str">
        <f>IFERROR(__xludf.DUMMYFUNCTION("""COMPUTED_VALUE"""),"FRANQUIA_D&amp;G_SP")</f>
        <v>FRANQUIA_D&amp;G_SP</v>
      </c>
      <c r="F127" s="7" t="str">
        <f>IFERROR(__xludf.DUMMYFUNCTION("""COMPUTED_VALUE"""),"MOTORCYCLE")</f>
        <v>MOTORCYCLE</v>
      </c>
      <c r="G127" s="7" t="str">
        <f>IFERROR(__xludf.DUMMYFUNCTION("""COMPUTED_VALUE"""),"SAO PAULO")</f>
        <v>SAO PAULO</v>
      </c>
    </row>
    <row r="128">
      <c r="A128" s="6">
        <f>IFERROR(__xludf.DUMMYFUNCTION("""COMPUTED_VALUE"""),45705.0)</f>
        <v>45705</v>
      </c>
      <c r="B128" s="7" t="str">
        <f>IFERROR(__xludf.DUMMYFUNCTION("""COMPUTED_VALUE"""),"b5d2f20c-9278-4600-9bf8-112f206a5ecf")</f>
        <v>b5d2f20c-9278-4600-9bf8-112f206a5ecf</v>
      </c>
      <c r="C128" s="7">
        <f>IFERROR(__xludf.DUMMYFUNCTION("""COMPUTED_VALUE"""),17.0)</f>
        <v>17</v>
      </c>
      <c r="D128" s="6">
        <f>IFERROR(__xludf.DUMMYFUNCTION("""COMPUTED_VALUE"""),45688.0)</f>
        <v>45688</v>
      </c>
      <c r="E128" s="7" t="str">
        <f>IFERROR(__xludf.DUMMYFUNCTION("""COMPUTED_VALUE"""),"FRANQUIA_D&amp;G_SP")</f>
        <v>FRANQUIA_D&amp;G_SP</v>
      </c>
      <c r="F128" s="7" t="str">
        <f>IFERROR(__xludf.DUMMYFUNCTION("""COMPUTED_VALUE"""),"BICYCLE")</f>
        <v>BICYCLE</v>
      </c>
      <c r="G128" s="7" t="str">
        <f>IFERROR(__xludf.DUMMYFUNCTION("""COMPUTED_VALUE"""),"SAO PAULO")</f>
        <v>SAO PAULO</v>
      </c>
    </row>
    <row r="129">
      <c r="A129" s="6">
        <f>IFERROR(__xludf.DUMMYFUNCTION("""COMPUTED_VALUE"""),45705.0)</f>
        <v>45705</v>
      </c>
      <c r="B129" s="7" t="str">
        <f>IFERROR(__xludf.DUMMYFUNCTION("""COMPUTED_VALUE"""),"b0e63ab4-8c83-4fb1-94b6-4fcc75b18a44")</f>
        <v>b0e63ab4-8c83-4fb1-94b6-4fcc75b18a44</v>
      </c>
      <c r="C129" s="7">
        <f>IFERROR(__xludf.DUMMYFUNCTION("""COMPUTED_VALUE"""),3.0)</f>
        <v>3</v>
      </c>
      <c r="D129" s="6">
        <f>IFERROR(__xludf.DUMMYFUNCTION("""COMPUTED_VALUE"""),45702.0)</f>
        <v>45702</v>
      </c>
      <c r="E129" s="7" t="str">
        <f>IFERROR(__xludf.DUMMYFUNCTION("""COMPUTED_VALUE"""),"FRANQUIA_D&amp;G_SP")</f>
        <v>FRANQUIA_D&amp;G_SP</v>
      </c>
      <c r="F129" s="7" t="str">
        <f>IFERROR(__xludf.DUMMYFUNCTION("""COMPUTED_VALUE"""),"BICYCLE")</f>
        <v>BICYCLE</v>
      </c>
      <c r="G129" s="7" t="str">
        <f>IFERROR(__xludf.DUMMYFUNCTION("""COMPUTED_VALUE"""),"SAO PAULO")</f>
        <v>SAO PAULO</v>
      </c>
    </row>
    <row r="130">
      <c r="A130" s="6">
        <f>IFERROR(__xludf.DUMMYFUNCTION("""COMPUTED_VALUE"""),45705.0)</f>
        <v>45705</v>
      </c>
      <c r="B130" s="7" t="str">
        <f>IFERROR(__xludf.DUMMYFUNCTION("""COMPUTED_VALUE"""),"f08ddb0c-1dcc-4fe9-8d20-bb71c9c4f13c")</f>
        <v>f08ddb0c-1dcc-4fe9-8d20-bb71c9c4f13c</v>
      </c>
      <c r="C130" s="7">
        <f>IFERROR(__xludf.DUMMYFUNCTION("""COMPUTED_VALUE"""),79.0)</f>
        <v>79</v>
      </c>
      <c r="D130" s="6">
        <f>IFERROR(__xludf.DUMMYFUNCTION("""COMPUTED_VALUE"""),45626.0)</f>
        <v>45626</v>
      </c>
      <c r="E130" s="7" t="str">
        <f>IFERROR(__xludf.DUMMYFUNCTION("""COMPUTED_VALUE"""),"FRANQUIA_D&amp;G_SP")</f>
        <v>FRANQUIA_D&amp;G_SP</v>
      </c>
      <c r="F130" s="7" t="str">
        <f>IFERROR(__xludf.DUMMYFUNCTION("""COMPUTED_VALUE"""),"BICYCLE")</f>
        <v>BICYCLE</v>
      </c>
      <c r="G130" s="7" t="str">
        <f>IFERROR(__xludf.DUMMYFUNCTION("""COMPUTED_VALUE"""),"SUZANO")</f>
        <v>SUZANO</v>
      </c>
    </row>
    <row r="131">
      <c r="A131" s="6">
        <f>IFERROR(__xludf.DUMMYFUNCTION("""COMPUTED_VALUE"""),45705.0)</f>
        <v>45705</v>
      </c>
      <c r="B131" s="7" t="str">
        <f>IFERROR(__xludf.DUMMYFUNCTION("""COMPUTED_VALUE"""),"cb244748-beb8-41ae-95a4-2f54cab9bb15")</f>
        <v>cb244748-beb8-41ae-95a4-2f54cab9bb15</v>
      </c>
      <c r="C131" s="7">
        <f>IFERROR(__xludf.DUMMYFUNCTION("""COMPUTED_VALUE"""),42.0)</f>
        <v>42</v>
      </c>
      <c r="D131" s="6">
        <f>IFERROR(__xludf.DUMMYFUNCTION("""COMPUTED_VALUE"""),45663.0)</f>
        <v>45663</v>
      </c>
      <c r="E131" s="7" t="str">
        <f>IFERROR(__xludf.DUMMYFUNCTION("""COMPUTED_VALUE"""),"FRANQUIA_D&amp;G_SP")</f>
        <v>FRANQUIA_D&amp;G_SP</v>
      </c>
      <c r="F131" s="7" t="str">
        <f>IFERROR(__xludf.DUMMYFUNCTION("""COMPUTED_VALUE"""),"MOTORCYCLE")</f>
        <v>MOTORCYCLE</v>
      </c>
      <c r="G131" s="7" t="str">
        <f>IFERROR(__xludf.DUMMYFUNCTION("""COMPUTED_VALUE"""),"SAO PAULO")</f>
        <v>SAO PAULO</v>
      </c>
    </row>
    <row r="132">
      <c r="A132" s="6">
        <f>IFERROR(__xludf.DUMMYFUNCTION("""COMPUTED_VALUE"""),45705.0)</f>
        <v>45705</v>
      </c>
      <c r="B132" s="7" t="str">
        <f>IFERROR(__xludf.DUMMYFUNCTION("""COMPUTED_VALUE"""),"a5f95b98-5720-4aad-9dfa-5b30efaba58e")</f>
        <v>a5f95b98-5720-4aad-9dfa-5b30efaba58e</v>
      </c>
      <c r="C132" s="7">
        <f>IFERROR(__xludf.DUMMYFUNCTION("""COMPUTED_VALUE"""),8.0)</f>
        <v>8</v>
      </c>
      <c r="D132" s="6">
        <f>IFERROR(__xludf.DUMMYFUNCTION("""COMPUTED_VALUE"""),45697.0)</f>
        <v>45697</v>
      </c>
      <c r="E132" s="7" t="str">
        <f>IFERROR(__xludf.DUMMYFUNCTION("""COMPUTED_VALUE"""),"FRANQUIA_D&amp;G_SP")</f>
        <v>FRANQUIA_D&amp;G_SP</v>
      </c>
      <c r="F132" s="7" t="str">
        <f>IFERROR(__xludf.DUMMYFUNCTION("""COMPUTED_VALUE"""),"MOTORCYCLE")</f>
        <v>MOTORCYCLE</v>
      </c>
      <c r="G132" s="7" t="str">
        <f>IFERROR(__xludf.DUMMYFUNCTION("""COMPUTED_VALUE"""),"SAO PAULO")</f>
        <v>SAO PAULO</v>
      </c>
    </row>
    <row r="133">
      <c r="A133" s="6">
        <f>IFERROR(__xludf.DUMMYFUNCTION("""COMPUTED_VALUE"""),45705.0)</f>
        <v>45705</v>
      </c>
      <c r="B133" s="7" t="str">
        <f>IFERROR(__xludf.DUMMYFUNCTION("""COMPUTED_VALUE"""),"a3250392-a6ba-48a6-afe6-0aa68bd55711")</f>
        <v>a3250392-a6ba-48a6-afe6-0aa68bd55711</v>
      </c>
      <c r="C133" s="7">
        <f>IFERROR(__xludf.DUMMYFUNCTION("""COMPUTED_VALUE"""),521.0)</f>
        <v>521</v>
      </c>
      <c r="D133" s="6">
        <f>IFERROR(__xludf.DUMMYFUNCTION("""COMPUTED_VALUE"""),45184.0)</f>
        <v>45184</v>
      </c>
      <c r="E133" s="7" t="str">
        <f>IFERROR(__xludf.DUMMYFUNCTION("""COMPUTED_VALUE"""),"FRANQUIA_D&amp;G_SP")</f>
        <v>FRANQUIA_D&amp;G_SP</v>
      </c>
      <c r="F133" s="7" t="str">
        <f>IFERROR(__xludf.DUMMYFUNCTION("""COMPUTED_VALUE"""),"MOTORCYCLE")</f>
        <v>MOTORCYCLE</v>
      </c>
      <c r="G133" s="7" t="str">
        <f>IFERROR(__xludf.DUMMYFUNCTION("""COMPUTED_VALUE"""),"SAO PAULO")</f>
        <v>SAO PAULO</v>
      </c>
    </row>
    <row r="134">
      <c r="A134" s="6">
        <f>IFERROR(__xludf.DUMMYFUNCTION("""COMPUTED_VALUE"""),45705.0)</f>
        <v>45705</v>
      </c>
      <c r="B134" s="7" t="str">
        <f>IFERROR(__xludf.DUMMYFUNCTION("""COMPUTED_VALUE"""),"1837201c-25ff-41fe-9b1a-daffe6b72e59")</f>
        <v>1837201c-25ff-41fe-9b1a-daffe6b72e59</v>
      </c>
      <c r="C134" s="7">
        <f>IFERROR(__xludf.DUMMYFUNCTION("""COMPUTED_VALUE"""),1336.0)</f>
        <v>1336</v>
      </c>
      <c r="D134" s="6">
        <f>IFERROR(__xludf.DUMMYFUNCTION("""COMPUTED_VALUE"""),44369.0)</f>
        <v>44369</v>
      </c>
      <c r="E134" s="7" t="str">
        <f>IFERROR(__xludf.DUMMYFUNCTION("""COMPUTED_VALUE"""),"FRANQUIA_D&amp;G_SP")</f>
        <v>FRANQUIA_D&amp;G_SP</v>
      </c>
      <c r="F134" s="7" t="str">
        <f>IFERROR(__xludf.DUMMYFUNCTION("""COMPUTED_VALUE"""),"MOTORCYCLE")</f>
        <v>MOTORCYCLE</v>
      </c>
      <c r="G134" s="7" t="str">
        <f>IFERROR(__xludf.DUMMYFUNCTION("""COMPUTED_VALUE"""),"SAO PAULO")</f>
        <v>SAO PAULO</v>
      </c>
    </row>
    <row r="135">
      <c r="A135" s="6">
        <f>IFERROR(__xludf.DUMMYFUNCTION("""COMPUTED_VALUE"""),45705.0)</f>
        <v>45705</v>
      </c>
      <c r="B135" s="7" t="str">
        <f>IFERROR(__xludf.DUMMYFUNCTION("""COMPUTED_VALUE"""),"6acb3b67-ae44-45ea-8553-993aa9006fb6")</f>
        <v>6acb3b67-ae44-45ea-8553-993aa9006fb6</v>
      </c>
      <c r="C135" s="7">
        <f>IFERROR(__xludf.DUMMYFUNCTION("""COMPUTED_VALUE"""),91.0)</f>
        <v>91</v>
      </c>
      <c r="D135" s="6">
        <f>IFERROR(__xludf.DUMMYFUNCTION("""COMPUTED_VALUE"""),45614.0)</f>
        <v>45614</v>
      </c>
      <c r="E135" s="7" t="str">
        <f>IFERROR(__xludf.DUMMYFUNCTION("""COMPUTED_VALUE"""),"FRANQUIA_D&amp;G_SP")</f>
        <v>FRANQUIA_D&amp;G_SP</v>
      </c>
      <c r="F135" s="7" t="str">
        <f>IFERROR(__xludf.DUMMYFUNCTION("""COMPUTED_VALUE"""),"BICYCLE")</f>
        <v>BICYCLE</v>
      </c>
      <c r="G135" s="7" t="str">
        <f>IFERROR(__xludf.DUMMYFUNCTION("""COMPUTED_VALUE"""),"SAO PAULO")</f>
        <v>SAO PAULO</v>
      </c>
    </row>
    <row r="136">
      <c r="A136" s="6">
        <f>IFERROR(__xludf.DUMMYFUNCTION("""COMPUTED_VALUE"""),45705.0)</f>
        <v>45705</v>
      </c>
      <c r="B136" s="7" t="str">
        <f>IFERROR(__xludf.DUMMYFUNCTION("""COMPUTED_VALUE"""),"ad2eba63-3949-4c86-adb9-462d20af523d")</f>
        <v>ad2eba63-3949-4c86-adb9-462d20af523d</v>
      </c>
      <c r="C136" s="7">
        <f>IFERROR(__xludf.DUMMYFUNCTION("""COMPUTED_VALUE"""),2.0)</f>
        <v>2</v>
      </c>
      <c r="D136" s="6">
        <f>IFERROR(__xludf.DUMMYFUNCTION("""COMPUTED_VALUE"""),45703.0)</f>
        <v>45703</v>
      </c>
      <c r="E136" s="7" t="str">
        <f>IFERROR(__xludf.DUMMYFUNCTION("""COMPUTED_VALUE"""),"FRANQUIA_D&amp;G_SP")</f>
        <v>FRANQUIA_D&amp;G_SP</v>
      </c>
      <c r="F136" s="7" t="str">
        <f>IFERROR(__xludf.DUMMYFUNCTION("""COMPUTED_VALUE"""),"MOTORCYCLE")</f>
        <v>MOTORCYCLE</v>
      </c>
      <c r="G136" s="7" t="str">
        <f>IFERROR(__xludf.DUMMYFUNCTION("""COMPUTED_VALUE"""),"SAO PAULO")</f>
        <v>SAO PAULO</v>
      </c>
    </row>
    <row r="137">
      <c r="A137" s="6">
        <f>IFERROR(__xludf.DUMMYFUNCTION("""COMPUTED_VALUE"""),45705.0)</f>
        <v>45705</v>
      </c>
      <c r="B137" s="7" t="str">
        <f>IFERROR(__xludf.DUMMYFUNCTION("""COMPUTED_VALUE"""),"4a67ea0e-e6df-48c7-bf5b-2c56ed00452d")</f>
        <v>4a67ea0e-e6df-48c7-bf5b-2c56ed00452d</v>
      </c>
      <c r="C137" s="7">
        <f>IFERROR(__xludf.DUMMYFUNCTION("""COMPUTED_VALUE"""),0.0)</f>
        <v>0</v>
      </c>
      <c r="D137" s="6">
        <f>IFERROR(__xludf.DUMMYFUNCTION("""COMPUTED_VALUE"""),45705.0)</f>
        <v>45705</v>
      </c>
      <c r="E137" s="7" t="str">
        <f>IFERROR(__xludf.DUMMYFUNCTION("""COMPUTED_VALUE"""),"FRANQUIA_D&amp;G_SP")</f>
        <v>FRANQUIA_D&amp;G_SP</v>
      </c>
      <c r="F137" s="7" t="str">
        <f>IFERROR(__xludf.DUMMYFUNCTION("""COMPUTED_VALUE"""),"MOTORCYCLE")</f>
        <v>MOTORCYCLE</v>
      </c>
      <c r="G137" s="7" t="str">
        <f>IFERROR(__xludf.DUMMYFUNCTION("""COMPUTED_VALUE"""),"SAO PAULO")</f>
        <v>SAO PAULO</v>
      </c>
    </row>
    <row r="138">
      <c r="A138" s="6">
        <f>IFERROR(__xludf.DUMMYFUNCTION("""COMPUTED_VALUE"""),45705.0)</f>
        <v>45705</v>
      </c>
      <c r="B138" s="7" t="str">
        <f>IFERROR(__xludf.DUMMYFUNCTION("""COMPUTED_VALUE"""),"7d80d4de-171e-4ae8-ac75-952a6f221965")</f>
        <v>7d80d4de-171e-4ae8-ac75-952a6f221965</v>
      </c>
      <c r="C138" s="7">
        <f>IFERROR(__xludf.DUMMYFUNCTION("""COMPUTED_VALUE"""),0.0)</f>
        <v>0</v>
      </c>
      <c r="D138" s="6">
        <f>IFERROR(__xludf.DUMMYFUNCTION("""COMPUTED_VALUE"""),45705.0)</f>
        <v>45705</v>
      </c>
      <c r="E138" s="7" t="str">
        <f>IFERROR(__xludf.DUMMYFUNCTION("""COMPUTED_VALUE"""),"FRANQUIA_D&amp;G_SP")</f>
        <v>FRANQUIA_D&amp;G_SP</v>
      </c>
      <c r="F138" s="7" t="str">
        <f>IFERROR(__xludf.DUMMYFUNCTION("""COMPUTED_VALUE"""),"BICYCLE")</f>
        <v>BICYCLE</v>
      </c>
      <c r="G138" s="7" t="str">
        <f>IFERROR(__xludf.DUMMYFUNCTION("""COMPUTED_VALUE"""),"SAO PAULO")</f>
        <v>SAO PAULO</v>
      </c>
    </row>
    <row r="139">
      <c r="A139" s="6">
        <f>IFERROR(__xludf.DUMMYFUNCTION("""COMPUTED_VALUE"""),45705.0)</f>
        <v>45705</v>
      </c>
      <c r="B139" s="7" t="str">
        <f>IFERROR(__xludf.DUMMYFUNCTION("""COMPUTED_VALUE"""),"0f79e97c-cfc9-48d1-bbd0-f85f7dffffc8")</f>
        <v>0f79e97c-cfc9-48d1-bbd0-f85f7dffffc8</v>
      </c>
      <c r="C139" s="7">
        <f>IFERROR(__xludf.DUMMYFUNCTION("""COMPUTED_VALUE"""),0.0)</f>
        <v>0</v>
      </c>
      <c r="D139" s="6">
        <f>IFERROR(__xludf.DUMMYFUNCTION("""COMPUTED_VALUE"""),0.0)</f>
        <v>0</v>
      </c>
      <c r="E139" s="7" t="str">
        <f>IFERROR(__xludf.DUMMYFUNCTION("""COMPUTED_VALUE"""),"FRANQUIA_D&amp;G_SP")</f>
        <v>FRANQUIA_D&amp;G_SP</v>
      </c>
      <c r="F139" s="7" t="str">
        <f>IFERROR(__xludf.DUMMYFUNCTION("""COMPUTED_VALUE"""),"BICYCLE")</f>
        <v>BICYCLE</v>
      </c>
      <c r="G139" s="7" t="str">
        <f>IFERROR(__xludf.DUMMYFUNCTION("""COMPUTED_VALUE"""),"0")</f>
        <v>0</v>
      </c>
    </row>
    <row r="140">
      <c r="A140" s="6">
        <f>IFERROR(__xludf.DUMMYFUNCTION("""COMPUTED_VALUE"""),45705.0)</f>
        <v>45705</v>
      </c>
      <c r="B140" s="7" t="str">
        <f>IFERROR(__xludf.DUMMYFUNCTION("""COMPUTED_VALUE"""),"94270501-4ee2-49d2-92ab-de36861cdb6e")</f>
        <v>94270501-4ee2-49d2-92ab-de36861cdb6e</v>
      </c>
      <c r="C140" s="7">
        <f>IFERROR(__xludf.DUMMYFUNCTION("""COMPUTED_VALUE"""),0.0)</f>
        <v>0</v>
      </c>
      <c r="D140" s="6">
        <f>IFERROR(__xludf.DUMMYFUNCTION("""COMPUTED_VALUE"""),45705.0)</f>
        <v>45705</v>
      </c>
      <c r="E140" s="7" t="str">
        <f>IFERROR(__xludf.DUMMYFUNCTION("""COMPUTED_VALUE"""),"FRANQUIA_D&amp;G_SP")</f>
        <v>FRANQUIA_D&amp;G_SP</v>
      </c>
      <c r="F140" s="7" t="str">
        <f>IFERROR(__xludf.DUMMYFUNCTION("""COMPUTED_VALUE"""),"MOTORCYCLE")</f>
        <v>MOTORCYCLE</v>
      </c>
      <c r="G140" s="7" t="str">
        <f>IFERROR(__xludf.DUMMYFUNCTION("""COMPUTED_VALUE"""),"SAO PAULO")</f>
        <v>SAO PAULO</v>
      </c>
    </row>
    <row r="141">
      <c r="A141" s="6">
        <f>IFERROR(__xludf.DUMMYFUNCTION("""COMPUTED_VALUE"""),45705.0)</f>
        <v>45705</v>
      </c>
      <c r="B141" s="7" t="str">
        <f>IFERROR(__xludf.DUMMYFUNCTION("""COMPUTED_VALUE"""),"81d99af4-ed66-491d-9bf2-c94463904854")</f>
        <v>81d99af4-ed66-491d-9bf2-c94463904854</v>
      </c>
      <c r="C141" s="7">
        <f>IFERROR(__xludf.DUMMYFUNCTION("""COMPUTED_VALUE"""),0.0)</f>
        <v>0</v>
      </c>
      <c r="D141" s="6">
        <f>IFERROR(__xludf.DUMMYFUNCTION("""COMPUTED_VALUE"""),45705.0)</f>
        <v>45705</v>
      </c>
      <c r="E141" s="7" t="str">
        <f>IFERROR(__xludf.DUMMYFUNCTION("""COMPUTED_VALUE"""),"FRANQUIA_D&amp;G_SP")</f>
        <v>FRANQUIA_D&amp;G_SP</v>
      </c>
      <c r="F141" s="7" t="str">
        <f>IFERROR(__xludf.DUMMYFUNCTION("""COMPUTED_VALUE"""),"MOTORCYCLE")</f>
        <v>MOTORCYCLE</v>
      </c>
      <c r="G141" s="7" t="str">
        <f>IFERROR(__xludf.DUMMYFUNCTION("""COMPUTED_VALUE"""),"SAO PAULO")</f>
        <v>SAO PAULO</v>
      </c>
    </row>
    <row r="142">
      <c r="A142" s="6">
        <f>IFERROR(__xludf.DUMMYFUNCTION("""COMPUTED_VALUE"""),45705.0)</f>
        <v>45705</v>
      </c>
      <c r="B142" s="7" t="str">
        <f>IFERROR(__xludf.DUMMYFUNCTION("""COMPUTED_VALUE"""),"852c06bb-64cd-4e00-880d-0ff54be9515d")</f>
        <v>852c06bb-64cd-4e00-880d-0ff54be9515d</v>
      </c>
      <c r="C142" s="7">
        <f>IFERROR(__xludf.DUMMYFUNCTION("""COMPUTED_VALUE"""),0.0)</f>
        <v>0</v>
      </c>
      <c r="D142" s="6">
        <f>IFERROR(__xludf.DUMMYFUNCTION("""COMPUTED_VALUE"""),45705.0)</f>
        <v>45705</v>
      </c>
      <c r="E142" s="7" t="str">
        <f>IFERROR(__xludf.DUMMYFUNCTION("""COMPUTED_VALUE"""),"FRANQUIA_D&amp;G_SP")</f>
        <v>FRANQUIA_D&amp;G_SP</v>
      </c>
      <c r="F142" s="7" t="str">
        <f>IFERROR(__xludf.DUMMYFUNCTION("""COMPUTED_VALUE"""),"MOTORCYCLE")</f>
        <v>MOTORCYCLE</v>
      </c>
      <c r="G142" s="7" t="str">
        <f>IFERROR(__xludf.DUMMYFUNCTION("""COMPUTED_VALUE"""),"SAO PAULO")</f>
        <v>SAO PAULO</v>
      </c>
    </row>
    <row r="143">
      <c r="A143" s="6">
        <f>IFERROR(__xludf.DUMMYFUNCTION("""COMPUTED_VALUE"""),45705.0)</f>
        <v>45705</v>
      </c>
      <c r="B143" s="7" t="str">
        <f>IFERROR(__xludf.DUMMYFUNCTION("""COMPUTED_VALUE"""),"9e5f143d-472c-4afa-9b25-57e2d139bd7a")</f>
        <v>9e5f143d-472c-4afa-9b25-57e2d139bd7a</v>
      </c>
      <c r="C143" s="7">
        <f>IFERROR(__xludf.DUMMYFUNCTION("""COMPUTED_VALUE"""),0.0)</f>
        <v>0</v>
      </c>
      <c r="D143" s="6">
        <f>IFERROR(__xludf.DUMMYFUNCTION("""COMPUTED_VALUE"""),45705.0)</f>
        <v>45705</v>
      </c>
      <c r="E143" s="7" t="str">
        <f>IFERROR(__xludf.DUMMYFUNCTION("""COMPUTED_VALUE"""),"FRANQUIA_D&amp;G_SP")</f>
        <v>FRANQUIA_D&amp;G_SP</v>
      </c>
      <c r="F143" s="7" t="str">
        <f>IFERROR(__xludf.DUMMYFUNCTION("""COMPUTED_VALUE"""),"BICYCLE")</f>
        <v>BICYCLE</v>
      </c>
      <c r="G143" s="7" t="str">
        <f>IFERROR(__xludf.DUMMYFUNCTION("""COMPUTED_VALUE"""),"SAO PAULO")</f>
        <v>SAO PAULO</v>
      </c>
    </row>
    <row r="144">
      <c r="A144" s="6">
        <f>IFERROR(__xludf.DUMMYFUNCTION("""COMPUTED_VALUE"""),45705.0)</f>
        <v>45705</v>
      </c>
      <c r="B144" s="7" t="str">
        <f>IFERROR(__xludf.DUMMYFUNCTION("""COMPUTED_VALUE"""),"0381f27d-4bde-40e8-8f20-9747aac34970")</f>
        <v>0381f27d-4bde-40e8-8f20-9747aac34970</v>
      </c>
      <c r="C144" s="7">
        <f>IFERROR(__xludf.DUMMYFUNCTION("""COMPUTED_VALUE"""),0.0)</f>
        <v>0</v>
      </c>
      <c r="D144" s="6">
        <f>IFERROR(__xludf.DUMMYFUNCTION("""COMPUTED_VALUE"""),45705.0)</f>
        <v>45705</v>
      </c>
      <c r="E144" s="7" t="str">
        <f>IFERROR(__xludf.DUMMYFUNCTION("""COMPUTED_VALUE"""),"FRANQUIA_D&amp;G_SP")</f>
        <v>FRANQUIA_D&amp;G_SP</v>
      </c>
      <c r="F144" s="7" t="str">
        <f>IFERROR(__xludf.DUMMYFUNCTION("""COMPUTED_VALUE"""),"MOTORCYCLE")</f>
        <v>MOTORCYCLE</v>
      </c>
      <c r="G144" s="7" t="str">
        <f>IFERROR(__xludf.DUMMYFUNCTION("""COMPUTED_VALUE"""),"SAO PAULO")</f>
        <v>SAO PAULO</v>
      </c>
    </row>
    <row r="145">
      <c r="A145" s="6">
        <f>IFERROR(__xludf.DUMMYFUNCTION("""COMPUTED_VALUE"""),45705.0)</f>
        <v>45705</v>
      </c>
      <c r="B145" s="7" t="str">
        <f>IFERROR(__xludf.DUMMYFUNCTION("""COMPUTED_VALUE"""),"2e3dfad8-9dfd-4b47-a551-c501a18c6979")</f>
        <v>2e3dfad8-9dfd-4b47-a551-c501a18c6979</v>
      </c>
      <c r="C145" s="7">
        <f>IFERROR(__xludf.DUMMYFUNCTION("""COMPUTED_VALUE"""),9.0)</f>
        <v>9</v>
      </c>
      <c r="D145" s="6">
        <f>IFERROR(__xludf.DUMMYFUNCTION("""COMPUTED_VALUE"""),45696.0)</f>
        <v>45696</v>
      </c>
      <c r="E145" s="7" t="str">
        <f>IFERROR(__xludf.DUMMYFUNCTION("""COMPUTED_VALUE"""),"FRANQUIA_D&amp;G_SP")</f>
        <v>FRANQUIA_D&amp;G_SP</v>
      </c>
      <c r="F145" s="7" t="str">
        <f>IFERROR(__xludf.DUMMYFUNCTION("""COMPUTED_VALUE"""),"BICYCLE")</f>
        <v>BICYCLE</v>
      </c>
      <c r="G145" s="7" t="str">
        <f>IFERROR(__xludf.DUMMYFUNCTION("""COMPUTED_VALUE"""),"SAO PAULO")</f>
        <v>SAO PAULO</v>
      </c>
    </row>
    <row r="146">
      <c r="A146" s="6">
        <f>IFERROR(__xludf.DUMMYFUNCTION("""COMPUTED_VALUE"""),45705.0)</f>
        <v>45705</v>
      </c>
      <c r="B146" s="7" t="str">
        <f>IFERROR(__xludf.DUMMYFUNCTION("""COMPUTED_VALUE"""),"3be4c1ce-eeb9-42a4-9a81-9095bcb160e1")</f>
        <v>3be4c1ce-eeb9-42a4-9a81-9095bcb160e1</v>
      </c>
      <c r="C146" s="7">
        <f>IFERROR(__xludf.DUMMYFUNCTION("""COMPUTED_VALUE"""),0.0)</f>
        <v>0</v>
      </c>
      <c r="D146" s="6">
        <f>IFERROR(__xludf.DUMMYFUNCTION("""COMPUTED_VALUE"""),45705.0)</f>
        <v>45705</v>
      </c>
      <c r="E146" s="7" t="str">
        <f>IFERROR(__xludf.DUMMYFUNCTION("""COMPUTED_VALUE"""),"FRANQUIA_D&amp;G_SP")</f>
        <v>FRANQUIA_D&amp;G_SP</v>
      </c>
      <c r="F146" s="7" t="str">
        <f>IFERROR(__xludf.DUMMYFUNCTION("""COMPUTED_VALUE"""),"MOTORCYCLE")</f>
        <v>MOTORCYCLE</v>
      </c>
      <c r="G146" s="7" t="str">
        <f>IFERROR(__xludf.DUMMYFUNCTION("""COMPUTED_VALUE"""),"SAO PAULO")</f>
        <v>SAO PAULO</v>
      </c>
    </row>
    <row r="147">
      <c r="A147" s="6">
        <f>IFERROR(__xludf.DUMMYFUNCTION("""COMPUTED_VALUE"""),45705.0)</f>
        <v>45705</v>
      </c>
      <c r="B147" s="7" t="str">
        <f>IFERROR(__xludf.DUMMYFUNCTION("""COMPUTED_VALUE"""),"b6acd6a2-da79-49f3-8514-c69357aa2c04")</f>
        <v>b6acd6a2-da79-49f3-8514-c69357aa2c04</v>
      </c>
      <c r="C147" s="7">
        <f>IFERROR(__xludf.DUMMYFUNCTION("""COMPUTED_VALUE"""),0.0)</f>
        <v>0</v>
      </c>
      <c r="D147" s="6">
        <f>IFERROR(__xludf.DUMMYFUNCTION("""COMPUTED_VALUE"""),45705.0)</f>
        <v>45705</v>
      </c>
      <c r="E147" s="7" t="str">
        <f>IFERROR(__xludf.DUMMYFUNCTION("""COMPUTED_VALUE"""),"FRANQUIA_D&amp;G_SP")</f>
        <v>FRANQUIA_D&amp;G_SP</v>
      </c>
      <c r="F147" s="7" t="str">
        <f>IFERROR(__xludf.DUMMYFUNCTION("""COMPUTED_VALUE"""),"MOTORCYCLE")</f>
        <v>MOTORCYCLE</v>
      </c>
      <c r="G147" s="7" t="str">
        <f>IFERROR(__xludf.DUMMYFUNCTION("""COMPUTED_VALUE"""),"RECIFE")</f>
        <v>RECIFE</v>
      </c>
    </row>
    <row r="148">
      <c r="A148" s="6">
        <f>IFERROR(__xludf.DUMMYFUNCTION("""COMPUTED_VALUE"""),45705.0)</f>
        <v>45705</v>
      </c>
      <c r="B148" s="7" t="str">
        <f>IFERROR(__xludf.DUMMYFUNCTION("""COMPUTED_VALUE"""),"58f35858-f7e2-4b20-bdf1-dd596b072635")</f>
        <v>58f35858-f7e2-4b20-bdf1-dd596b072635</v>
      </c>
      <c r="C148" s="7">
        <f>IFERROR(__xludf.DUMMYFUNCTION("""COMPUTED_VALUE"""),257.0)</f>
        <v>257</v>
      </c>
      <c r="D148" s="6">
        <f>IFERROR(__xludf.DUMMYFUNCTION("""COMPUTED_VALUE"""),45448.0)</f>
        <v>45448</v>
      </c>
      <c r="E148" s="7" t="str">
        <f>IFERROR(__xludf.DUMMYFUNCTION("""COMPUTED_VALUE"""),"FRANQUIA_D&amp;G_SP")</f>
        <v>FRANQUIA_D&amp;G_SP</v>
      </c>
      <c r="F148" s="7" t="str">
        <f>IFERROR(__xludf.DUMMYFUNCTION("""COMPUTED_VALUE"""),"MOTORCYCLE")</f>
        <v>MOTORCYCLE</v>
      </c>
      <c r="G148" s="7" t="str">
        <f>IFERROR(__xludf.DUMMYFUNCTION("""COMPUTED_VALUE"""),"FORTALEZA")</f>
        <v>FORTALEZA</v>
      </c>
    </row>
    <row r="149">
      <c r="A149" s="6">
        <f>IFERROR(__xludf.DUMMYFUNCTION("""COMPUTED_VALUE"""),45705.0)</f>
        <v>45705</v>
      </c>
      <c r="B149" s="7" t="str">
        <f>IFERROR(__xludf.DUMMYFUNCTION("""COMPUTED_VALUE"""),"6f8daa8e-68b3-4872-8b3f-78d959573991")</f>
        <v>6f8daa8e-68b3-4872-8b3f-78d959573991</v>
      </c>
      <c r="C149" s="7">
        <f>IFERROR(__xludf.DUMMYFUNCTION("""COMPUTED_VALUE"""),0.0)</f>
        <v>0</v>
      </c>
      <c r="D149" s="6">
        <f>IFERROR(__xludf.DUMMYFUNCTION("""COMPUTED_VALUE"""),45705.0)</f>
        <v>45705</v>
      </c>
      <c r="E149" s="7" t="str">
        <f>IFERROR(__xludf.DUMMYFUNCTION("""COMPUTED_VALUE"""),"FRANQUIA_D&amp;G_SP")</f>
        <v>FRANQUIA_D&amp;G_SP</v>
      </c>
      <c r="F149" s="7" t="str">
        <f>IFERROR(__xludf.DUMMYFUNCTION("""COMPUTED_VALUE"""),"EMOTORCYCLE")</f>
        <v>EMOTORCYCLE</v>
      </c>
      <c r="G149" s="7" t="str">
        <f>IFERROR(__xludf.DUMMYFUNCTION("""COMPUTED_VALUE"""),"SAO PAULO")</f>
        <v>SAO PAULO</v>
      </c>
    </row>
    <row r="150">
      <c r="A150" s="6">
        <f>IFERROR(__xludf.DUMMYFUNCTION("""COMPUTED_VALUE"""),45705.0)</f>
        <v>45705</v>
      </c>
      <c r="B150" s="7" t="str">
        <f>IFERROR(__xludf.DUMMYFUNCTION("""COMPUTED_VALUE"""),"a9e67459-719b-4892-a7d6-4e21111c357a")</f>
        <v>a9e67459-719b-4892-a7d6-4e21111c357a</v>
      </c>
      <c r="C150" s="7">
        <f>IFERROR(__xludf.DUMMYFUNCTION("""COMPUTED_VALUE"""),74.0)</f>
        <v>74</v>
      </c>
      <c r="D150" s="6">
        <f>IFERROR(__xludf.DUMMYFUNCTION("""COMPUTED_VALUE"""),45631.0)</f>
        <v>45631</v>
      </c>
      <c r="E150" s="7" t="str">
        <f>IFERROR(__xludf.DUMMYFUNCTION("""COMPUTED_VALUE"""),"FRANQUIA_D&amp;G_SP")</f>
        <v>FRANQUIA_D&amp;G_SP</v>
      </c>
      <c r="F150" s="7" t="str">
        <f>IFERROR(__xludf.DUMMYFUNCTION("""COMPUTED_VALUE"""),"BICYCLE")</f>
        <v>BICYCLE</v>
      </c>
      <c r="G150" s="7" t="str">
        <f>IFERROR(__xludf.DUMMYFUNCTION("""COMPUTED_VALUE"""),"SAO PAULO")</f>
        <v>SAO PAULO</v>
      </c>
    </row>
    <row r="151">
      <c r="A151" s="6">
        <f>IFERROR(__xludf.DUMMYFUNCTION("""COMPUTED_VALUE"""),45705.0)</f>
        <v>45705</v>
      </c>
      <c r="B151" s="7" t="str">
        <f>IFERROR(__xludf.DUMMYFUNCTION("""COMPUTED_VALUE"""),"4ea99797-d937-4ad2-abfd-7f8e08727503")</f>
        <v>4ea99797-d937-4ad2-abfd-7f8e08727503</v>
      </c>
      <c r="C151" s="7">
        <f>IFERROR(__xludf.DUMMYFUNCTION("""COMPUTED_VALUE"""),27.0)</f>
        <v>27</v>
      </c>
      <c r="D151" s="6">
        <f>IFERROR(__xludf.DUMMYFUNCTION("""COMPUTED_VALUE"""),45678.0)</f>
        <v>45678</v>
      </c>
      <c r="E151" s="7" t="str">
        <f>IFERROR(__xludf.DUMMYFUNCTION("""COMPUTED_VALUE"""),"FRANQUIA_D&amp;G_SP")</f>
        <v>FRANQUIA_D&amp;G_SP</v>
      </c>
      <c r="F151" s="7" t="str">
        <f>IFERROR(__xludf.DUMMYFUNCTION("""COMPUTED_VALUE"""),"BICYCLE")</f>
        <v>BICYCLE</v>
      </c>
      <c r="G151" s="7" t="str">
        <f>IFERROR(__xludf.DUMMYFUNCTION("""COMPUTED_VALUE"""),"PORTO VELHO")</f>
        <v>PORTO VELHO</v>
      </c>
    </row>
    <row r="152">
      <c r="A152" s="6">
        <f>IFERROR(__xludf.DUMMYFUNCTION("""COMPUTED_VALUE"""),45705.0)</f>
        <v>45705</v>
      </c>
      <c r="B152" s="7" t="str">
        <f>IFERROR(__xludf.DUMMYFUNCTION("""COMPUTED_VALUE"""),"fde1b262-be40-4bd2-a075-d250b1a342cb")</f>
        <v>fde1b262-be40-4bd2-a075-d250b1a342cb</v>
      </c>
      <c r="C152" s="7">
        <f>IFERROR(__xludf.DUMMYFUNCTION("""COMPUTED_VALUE"""),3.0)</f>
        <v>3</v>
      </c>
      <c r="D152" s="6">
        <f>IFERROR(__xludf.DUMMYFUNCTION("""COMPUTED_VALUE"""),45702.0)</f>
        <v>45702</v>
      </c>
      <c r="E152" s="7" t="str">
        <f>IFERROR(__xludf.DUMMYFUNCTION("""COMPUTED_VALUE"""),"FRANQUIA_D&amp;G_SP")</f>
        <v>FRANQUIA_D&amp;G_SP</v>
      </c>
      <c r="F152" s="7" t="str">
        <f>IFERROR(__xludf.DUMMYFUNCTION("""COMPUTED_VALUE"""),"MOTORCYCLE")</f>
        <v>MOTORCYCLE</v>
      </c>
      <c r="G152" s="7" t="str">
        <f>IFERROR(__xludf.DUMMYFUNCTION("""COMPUTED_VALUE"""),"SAO PAULO")</f>
        <v>SAO PAULO</v>
      </c>
    </row>
    <row r="153">
      <c r="A153" s="6">
        <f>IFERROR(__xludf.DUMMYFUNCTION("""COMPUTED_VALUE"""),45705.0)</f>
        <v>45705</v>
      </c>
      <c r="B153" s="7" t="str">
        <f>IFERROR(__xludf.DUMMYFUNCTION("""COMPUTED_VALUE"""),"4716b3c2-6fe4-4c07-a020-f83f920d4672")</f>
        <v>4716b3c2-6fe4-4c07-a020-f83f920d4672</v>
      </c>
      <c r="C153" s="7">
        <f>IFERROR(__xludf.DUMMYFUNCTION("""COMPUTED_VALUE"""),456.0)</f>
        <v>456</v>
      </c>
      <c r="D153" s="6">
        <f>IFERROR(__xludf.DUMMYFUNCTION("""COMPUTED_VALUE"""),45249.0)</f>
        <v>45249</v>
      </c>
      <c r="E153" s="7" t="str">
        <f>IFERROR(__xludf.DUMMYFUNCTION("""COMPUTED_VALUE"""),"FRANQUIA_D&amp;G_SP")</f>
        <v>FRANQUIA_D&amp;G_SP</v>
      </c>
      <c r="F153" s="7" t="str">
        <f>IFERROR(__xludf.DUMMYFUNCTION("""COMPUTED_VALUE"""),"MOTORCYCLE")</f>
        <v>MOTORCYCLE</v>
      </c>
      <c r="G153" s="7" t="str">
        <f>IFERROR(__xludf.DUMMYFUNCTION("""COMPUTED_VALUE"""),"SAO PAULO")</f>
        <v>SAO PAULO</v>
      </c>
    </row>
    <row r="154">
      <c r="A154" s="6">
        <f>IFERROR(__xludf.DUMMYFUNCTION("""COMPUTED_VALUE"""),45705.0)</f>
        <v>45705</v>
      </c>
      <c r="B154" s="7" t="str">
        <f>IFERROR(__xludf.DUMMYFUNCTION("""COMPUTED_VALUE"""),"25b96c9f-a226-46e7-a391-47fc6d941c51")</f>
        <v>25b96c9f-a226-46e7-a391-47fc6d941c51</v>
      </c>
      <c r="C154" s="7">
        <f>IFERROR(__xludf.DUMMYFUNCTION("""COMPUTED_VALUE"""),0.0)</f>
        <v>0</v>
      </c>
      <c r="D154" s="6">
        <f>IFERROR(__xludf.DUMMYFUNCTION("""COMPUTED_VALUE"""),45705.0)</f>
        <v>45705</v>
      </c>
      <c r="E154" s="7" t="str">
        <f>IFERROR(__xludf.DUMMYFUNCTION("""COMPUTED_VALUE"""),"FRANQUIA_D&amp;G_SP")</f>
        <v>FRANQUIA_D&amp;G_SP</v>
      </c>
      <c r="F154" s="7" t="str">
        <f>IFERROR(__xludf.DUMMYFUNCTION("""COMPUTED_VALUE"""),"MOTORCYCLE")</f>
        <v>MOTORCYCLE</v>
      </c>
      <c r="G154" s="7" t="str">
        <f>IFERROR(__xludf.DUMMYFUNCTION("""COMPUTED_VALUE"""),"SAO PAULO")</f>
        <v>SAO PAULO</v>
      </c>
    </row>
    <row r="155">
      <c r="A155" s="6">
        <f>IFERROR(__xludf.DUMMYFUNCTION("""COMPUTED_VALUE"""),45705.0)</f>
        <v>45705</v>
      </c>
      <c r="B155" s="7" t="str">
        <f>IFERROR(__xludf.DUMMYFUNCTION("""COMPUTED_VALUE"""),"77cfca44-a54c-44a5-85fd-8392b2b0c010")</f>
        <v>77cfca44-a54c-44a5-85fd-8392b2b0c010</v>
      </c>
      <c r="C155" s="7">
        <f>IFERROR(__xludf.DUMMYFUNCTION("""COMPUTED_VALUE"""),5.0)</f>
        <v>5</v>
      </c>
      <c r="D155" s="6">
        <f>IFERROR(__xludf.DUMMYFUNCTION("""COMPUTED_VALUE"""),45700.0)</f>
        <v>45700</v>
      </c>
      <c r="E155" s="7" t="str">
        <f>IFERROR(__xludf.DUMMYFUNCTION("""COMPUTED_VALUE"""),"FRANQUIA_D&amp;G_SP")</f>
        <v>FRANQUIA_D&amp;G_SP</v>
      </c>
      <c r="F155" s="7" t="str">
        <f>IFERROR(__xludf.DUMMYFUNCTION("""COMPUTED_VALUE"""),"MOTORCYCLE")</f>
        <v>MOTORCYCLE</v>
      </c>
      <c r="G155" s="7" t="str">
        <f>IFERROR(__xludf.DUMMYFUNCTION("""COMPUTED_VALUE"""),"SAO PAULO")</f>
        <v>SAO PAULO</v>
      </c>
    </row>
    <row r="156">
      <c r="A156" s="6">
        <f>IFERROR(__xludf.DUMMYFUNCTION("""COMPUTED_VALUE"""),45705.0)</f>
        <v>45705</v>
      </c>
      <c r="B156" s="7" t="str">
        <f>IFERROR(__xludf.DUMMYFUNCTION("""COMPUTED_VALUE"""),"b1ef2958-8779-49e1-93b0-53601ee65705")</f>
        <v>b1ef2958-8779-49e1-93b0-53601ee65705</v>
      </c>
      <c r="C156" s="7">
        <f>IFERROR(__xludf.DUMMYFUNCTION("""COMPUTED_VALUE"""),0.0)</f>
        <v>0</v>
      </c>
      <c r="D156" s="6">
        <f>IFERROR(__xludf.DUMMYFUNCTION("""COMPUTED_VALUE"""),45705.0)</f>
        <v>45705</v>
      </c>
      <c r="E156" s="7" t="str">
        <f>IFERROR(__xludf.DUMMYFUNCTION("""COMPUTED_VALUE"""),"FRANQUIA_D&amp;G_SP")</f>
        <v>FRANQUIA_D&amp;G_SP</v>
      </c>
      <c r="F156" s="7" t="str">
        <f>IFERROR(__xludf.DUMMYFUNCTION("""COMPUTED_VALUE"""),"MOTORCYCLE")</f>
        <v>MOTORCYCLE</v>
      </c>
      <c r="G156" s="7" t="str">
        <f>IFERROR(__xludf.DUMMYFUNCTION("""COMPUTED_VALUE"""),"SAO PAULO")</f>
        <v>SAO PAULO</v>
      </c>
    </row>
    <row r="157">
      <c r="A157" s="6">
        <f>IFERROR(__xludf.DUMMYFUNCTION("""COMPUTED_VALUE"""),45705.0)</f>
        <v>45705</v>
      </c>
      <c r="B157" s="7" t="str">
        <f>IFERROR(__xludf.DUMMYFUNCTION("""COMPUTED_VALUE"""),"b5669b1d-1c2b-42a1-ba85-96aff7c1c0c4")</f>
        <v>b5669b1d-1c2b-42a1-ba85-96aff7c1c0c4</v>
      </c>
      <c r="C157" s="7">
        <f>IFERROR(__xludf.DUMMYFUNCTION("""COMPUTED_VALUE"""),14.0)</f>
        <v>14</v>
      </c>
      <c r="D157" s="6">
        <f>IFERROR(__xludf.DUMMYFUNCTION("""COMPUTED_VALUE"""),45691.0)</f>
        <v>45691</v>
      </c>
      <c r="E157" s="7" t="str">
        <f>IFERROR(__xludf.DUMMYFUNCTION("""COMPUTED_VALUE"""),"FRANQUIA_D&amp;G_SP")</f>
        <v>FRANQUIA_D&amp;G_SP</v>
      </c>
      <c r="F157" s="7" t="str">
        <f>IFERROR(__xludf.DUMMYFUNCTION("""COMPUTED_VALUE"""),"MOTORCYCLE")</f>
        <v>MOTORCYCLE</v>
      </c>
      <c r="G157" s="7" t="str">
        <f>IFERROR(__xludf.DUMMYFUNCTION("""COMPUTED_VALUE"""),"SAO PAULO")</f>
        <v>SAO PAULO</v>
      </c>
    </row>
    <row r="158">
      <c r="A158" s="6">
        <f>IFERROR(__xludf.DUMMYFUNCTION("""COMPUTED_VALUE"""),45705.0)</f>
        <v>45705</v>
      </c>
      <c r="B158" s="7" t="str">
        <f>IFERROR(__xludf.DUMMYFUNCTION("""COMPUTED_VALUE"""),"ea88acff-f064-4679-b96e-f8568858a1ec")</f>
        <v>ea88acff-f064-4679-b96e-f8568858a1ec</v>
      </c>
      <c r="C158" s="7">
        <f>IFERROR(__xludf.DUMMYFUNCTION("""COMPUTED_VALUE"""),0.0)</f>
        <v>0</v>
      </c>
      <c r="D158" s="6">
        <f>IFERROR(__xludf.DUMMYFUNCTION("""COMPUTED_VALUE"""),45705.0)</f>
        <v>45705</v>
      </c>
      <c r="E158" s="7" t="str">
        <f>IFERROR(__xludf.DUMMYFUNCTION("""COMPUTED_VALUE"""),"FRANQUIA_D&amp;G_SP")</f>
        <v>FRANQUIA_D&amp;G_SP</v>
      </c>
      <c r="F158" s="7" t="str">
        <f>IFERROR(__xludf.DUMMYFUNCTION("""COMPUTED_VALUE"""),"MOTORCYCLE")</f>
        <v>MOTORCYCLE</v>
      </c>
      <c r="G158" s="7" t="str">
        <f>IFERROR(__xludf.DUMMYFUNCTION("""COMPUTED_VALUE"""),"SAO PAULO")</f>
        <v>SAO PAULO</v>
      </c>
    </row>
    <row r="159">
      <c r="A159" s="6">
        <f>IFERROR(__xludf.DUMMYFUNCTION("""COMPUTED_VALUE"""),45705.0)</f>
        <v>45705</v>
      </c>
      <c r="B159" s="7" t="str">
        <f>IFERROR(__xludf.DUMMYFUNCTION("""COMPUTED_VALUE"""),"89bb1cc0-c414-490f-8e07-32c037515979")</f>
        <v>89bb1cc0-c414-490f-8e07-32c037515979</v>
      </c>
      <c r="C159" s="7">
        <f>IFERROR(__xludf.DUMMYFUNCTION("""COMPUTED_VALUE"""),0.0)</f>
        <v>0</v>
      </c>
      <c r="D159" s="6">
        <f>IFERROR(__xludf.DUMMYFUNCTION("""COMPUTED_VALUE"""),45705.0)</f>
        <v>45705</v>
      </c>
      <c r="E159" s="7" t="str">
        <f>IFERROR(__xludf.DUMMYFUNCTION("""COMPUTED_VALUE"""),"FRANQUIA_D&amp;G_SP")</f>
        <v>FRANQUIA_D&amp;G_SP</v>
      </c>
      <c r="F159" s="7" t="str">
        <f>IFERROR(__xludf.DUMMYFUNCTION("""COMPUTED_VALUE"""),"MOTORCYCLE")</f>
        <v>MOTORCYCLE</v>
      </c>
      <c r="G159" s="7" t="str">
        <f>IFERROR(__xludf.DUMMYFUNCTION("""COMPUTED_VALUE"""),"SAO PAULO")</f>
        <v>SAO PAULO</v>
      </c>
    </row>
    <row r="160">
      <c r="A160" s="6">
        <f>IFERROR(__xludf.DUMMYFUNCTION("""COMPUTED_VALUE"""),45705.0)</f>
        <v>45705</v>
      </c>
      <c r="B160" s="7" t="str">
        <f>IFERROR(__xludf.DUMMYFUNCTION("""COMPUTED_VALUE"""),"2c1c083e-2ae6-41d1-9ef1-431fb1f5f3ca")</f>
        <v>2c1c083e-2ae6-41d1-9ef1-431fb1f5f3ca</v>
      </c>
      <c r="C160" s="7">
        <f>IFERROR(__xludf.DUMMYFUNCTION("""COMPUTED_VALUE"""),2.0)</f>
        <v>2</v>
      </c>
      <c r="D160" s="6">
        <f>IFERROR(__xludf.DUMMYFUNCTION("""COMPUTED_VALUE"""),45703.0)</f>
        <v>45703</v>
      </c>
      <c r="E160" s="7" t="str">
        <f>IFERROR(__xludf.DUMMYFUNCTION("""COMPUTED_VALUE"""),"FRANQUIA_D&amp;G_SP")</f>
        <v>FRANQUIA_D&amp;G_SP</v>
      </c>
      <c r="F160" s="7" t="str">
        <f>IFERROR(__xludf.DUMMYFUNCTION("""COMPUTED_VALUE"""),"EBIKE")</f>
        <v>EBIKE</v>
      </c>
      <c r="G160" s="7" t="str">
        <f>IFERROR(__xludf.DUMMYFUNCTION("""COMPUTED_VALUE"""),"SAO PAULO")</f>
        <v>SAO PAULO</v>
      </c>
    </row>
    <row r="161">
      <c r="A161" s="6">
        <f>IFERROR(__xludf.DUMMYFUNCTION("""COMPUTED_VALUE"""),45705.0)</f>
        <v>45705</v>
      </c>
      <c r="B161" s="7" t="str">
        <f>IFERROR(__xludf.DUMMYFUNCTION("""COMPUTED_VALUE"""),"3c3cc4b9-c150-4c83-b903-d61d83b240b5")</f>
        <v>3c3cc4b9-c150-4c83-b903-d61d83b240b5</v>
      </c>
      <c r="C161" s="7">
        <f>IFERROR(__xludf.DUMMYFUNCTION("""COMPUTED_VALUE"""),0.0)</f>
        <v>0</v>
      </c>
      <c r="D161" s="6">
        <f>IFERROR(__xludf.DUMMYFUNCTION("""COMPUTED_VALUE"""),45705.0)</f>
        <v>45705</v>
      </c>
      <c r="E161" s="7" t="str">
        <f>IFERROR(__xludf.DUMMYFUNCTION("""COMPUTED_VALUE"""),"FRANQUIA_D&amp;G_SP")</f>
        <v>FRANQUIA_D&amp;G_SP</v>
      </c>
      <c r="F161" s="7" t="str">
        <f>IFERROR(__xludf.DUMMYFUNCTION("""COMPUTED_VALUE"""),"MOTORCYCLE")</f>
        <v>MOTORCYCLE</v>
      </c>
      <c r="G161" s="7" t="str">
        <f>IFERROR(__xludf.DUMMYFUNCTION("""COMPUTED_VALUE"""),"SAO PAULO")</f>
        <v>SAO PAULO</v>
      </c>
    </row>
    <row r="162">
      <c r="A162" s="6">
        <f>IFERROR(__xludf.DUMMYFUNCTION("""COMPUTED_VALUE"""),45705.0)</f>
        <v>45705</v>
      </c>
      <c r="B162" s="7" t="str">
        <f>IFERROR(__xludf.DUMMYFUNCTION("""COMPUTED_VALUE"""),"5d2e48b7-8a44-4fe1-bd29-573236b08fc4")</f>
        <v>5d2e48b7-8a44-4fe1-bd29-573236b08fc4</v>
      </c>
      <c r="C162" s="7">
        <f>IFERROR(__xludf.DUMMYFUNCTION("""COMPUTED_VALUE"""),497.0)</f>
        <v>497</v>
      </c>
      <c r="D162" s="6">
        <f>IFERROR(__xludf.DUMMYFUNCTION("""COMPUTED_VALUE"""),45208.0)</f>
        <v>45208</v>
      </c>
      <c r="E162" s="7" t="str">
        <f>IFERROR(__xludf.DUMMYFUNCTION("""COMPUTED_VALUE"""),"FRANQUIA_D&amp;G_SP")</f>
        <v>FRANQUIA_D&amp;G_SP</v>
      </c>
      <c r="F162" s="7" t="str">
        <f>IFERROR(__xludf.DUMMYFUNCTION("""COMPUTED_VALUE"""),"MOTORCYCLE")</f>
        <v>MOTORCYCLE</v>
      </c>
      <c r="G162" s="7" t="str">
        <f>IFERROR(__xludf.DUMMYFUNCTION("""COMPUTED_VALUE"""),"TABOAO DA SERRA")</f>
        <v>TABOAO DA SERRA</v>
      </c>
    </row>
    <row r="163">
      <c r="A163" s="6">
        <f>IFERROR(__xludf.DUMMYFUNCTION("""COMPUTED_VALUE"""),45705.0)</f>
        <v>45705</v>
      </c>
      <c r="B163" s="7" t="str">
        <f>IFERROR(__xludf.DUMMYFUNCTION("""COMPUTED_VALUE"""),"51734420-3555-416b-a184-831c6d7919ac")</f>
        <v>51734420-3555-416b-a184-831c6d7919ac</v>
      </c>
      <c r="C163" s="7">
        <f>IFERROR(__xludf.DUMMYFUNCTION("""COMPUTED_VALUE"""),338.0)</f>
        <v>338</v>
      </c>
      <c r="D163" s="6">
        <f>IFERROR(__xludf.DUMMYFUNCTION("""COMPUTED_VALUE"""),45367.0)</f>
        <v>45367</v>
      </c>
      <c r="E163" s="7" t="str">
        <f>IFERROR(__xludf.DUMMYFUNCTION("""COMPUTED_VALUE"""),"FRANQUIA_D&amp;G_SP")</f>
        <v>FRANQUIA_D&amp;G_SP</v>
      </c>
      <c r="F163" s="7" t="str">
        <f>IFERROR(__xludf.DUMMYFUNCTION("""COMPUTED_VALUE"""),"BICYCLE")</f>
        <v>BICYCLE</v>
      </c>
      <c r="G163" s="7" t="str">
        <f>IFERROR(__xludf.DUMMYFUNCTION("""COMPUTED_VALUE"""),"SAO PAULO")</f>
        <v>SAO PAULO</v>
      </c>
    </row>
    <row r="164">
      <c r="A164" s="6">
        <f>IFERROR(__xludf.DUMMYFUNCTION("""COMPUTED_VALUE"""),45705.0)</f>
        <v>45705</v>
      </c>
      <c r="B164" s="7" t="str">
        <f>IFERROR(__xludf.DUMMYFUNCTION("""COMPUTED_VALUE"""),"63cdd12f-9c2f-4e94-8d41-5d4ede109838")</f>
        <v>63cdd12f-9c2f-4e94-8d41-5d4ede109838</v>
      </c>
      <c r="C164" s="7">
        <f>IFERROR(__xludf.DUMMYFUNCTION("""COMPUTED_VALUE"""),1.0)</f>
        <v>1</v>
      </c>
      <c r="D164" s="6">
        <f>IFERROR(__xludf.DUMMYFUNCTION("""COMPUTED_VALUE"""),45704.0)</f>
        <v>45704</v>
      </c>
      <c r="E164" s="7" t="str">
        <f>IFERROR(__xludf.DUMMYFUNCTION("""COMPUTED_VALUE"""),"FRANQUIA_D&amp;G_SP")</f>
        <v>FRANQUIA_D&amp;G_SP</v>
      </c>
      <c r="F164" s="7" t="str">
        <f>IFERROR(__xludf.DUMMYFUNCTION("""COMPUTED_VALUE"""),"BICYCLE")</f>
        <v>BICYCLE</v>
      </c>
      <c r="G164" s="7" t="str">
        <f>IFERROR(__xludf.DUMMYFUNCTION("""COMPUTED_VALUE"""),"SAO PAULO")</f>
        <v>SAO PAULO</v>
      </c>
    </row>
    <row r="165">
      <c r="A165" s="6">
        <f>IFERROR(__xludf.DUMMYFUNCTION("""COMPUTED_VALUE"""),45705.0)</f>
        <v>45705</v>
      </c>
      <c r="B165" s="7" t="str">
        <f>IFERROR(__xludf.DUMMYFUNCTION("""COMPUTED_VALUE"""),"6e364a6b-e7cb-4a79-82aa-4ee9f3650753")</f>
        <v>6e364a6b-e7cb-4a79-82aa-4ee9f3650753</v>
      </c>
      <c r="C165" s="7">
        <f>IFERROR(__xludf.DUMMYFUNCTION("""COMPUTED_VALUE"""),0.0)</f>
        <v>0</v>
      </c>
      <c r="D165" s="6">
        <f>IFERROR(__xludf.DUMMYFUNCTION("""COMPUTED_VALUE"""),45705.0)</f>
        <v>45705</v>
      </c>
      <c r="E165" s="7" t="str">
        <f>IFERROR(__xludf.DUMMYFUNCTION("""COMPUTED_VALUE"""),"FRANQUIA_D&amp;G_SP")</f>
        <v>FRANQUIA_D&amp;G_SP</v>
      </c>
      <c r="F165" s="7" t="str">
        <f>IFERROR(__xludf.DUMMYFUNCTION("""COMPUTED_VALUE"""),"EMOTORCYCLE")</f>
        <v>EMOTORCYCLE</v>
      </c>
      <c r="G165" s="7" t="str">
        <f>IFERROR(__xludf.DUMMYFUNCTION("""COMPUTED_VALUE"""),"SAO PAULO")</f>
        <v>SAO PAULO</v>
      </c>
    </row>
    <row r="166">
      <c r="A166" s="6">
        <f>IFERROR(__xludf.DUMMYFUNCTION("""COMPUTED_VALUE"""),45705.0)</f>
        <v>45705</v>
      </c>
      <c r="B166" s="7" t="str">
        <f>IFERROR(__xludf.DUMMYFUNCTION("""COMPUTED_VALUE"""),"aabc160a-c106-4341-8b99-06c1731dc85f")</f>
        <v>aabc160a-c106-4341-8b99-06c1731dc85f</v>
      </c>
      <c r="C166" s="7">
        <f>IFERROR(__xludf.DUMMYFUNCTION("""COMPUTED_VALUE"""),26.0)</f>
        <v>26</v>
      </c>
      <c r="D166" s="6">
        <f>IFERROR(__xludf.DUMMYFUNCTION("""COMPUTED_VALUE"""),45679.0)</f>
        <v>45679</v>
      </c>
      <c r="E166" s="7" t="str">
        <f>IFERROR(__xludf.DUMMYFUNCTION("""COMPUTED_VALUE"""),"FRANQUIA_D&amp;G_SP")</f>
        <v>FRANQUIA_D&amp;G_SP</v>
      </c>
      <c r="F166" s="7" t="str">
        <f>IFERROR(__xludf.DUMMYFUNCTION("""COMPUTED_VALUE"""),"BICYCLE")</f>
        <v>BICYCLE</v>
      </c>
      <c r="G166" s="7" t="str">
        <f>IFERROR(__xludf.DUMMYFUNCTION("""COMPUTED_VALUE"""),"SAO PAULO")</f>
        <v>SAO PAULO</v>
      </c>
    </row>
    <row r="167">
      <c r="A167" s="6">
        <f>IFERROR(__xludf.DUMMYFUNCTION("""COMPUTED_VALUE"""),45705.0)</f>
        <v>45705</v>
      </c>
      <c r="B167" s="7" t="str">
        <f>IFERROR(__xludf.DUMMYFUNCTION("""COMPUTED_VALUE"""),"62af3b1f-f060-406c-9ed3-f42c3c250372")</f>
        <v>62af3b1f-f060-406c-9ed3-f42c3c250372</v>
      </c>
      <c r="C167" s="7">
        <f>IFERROR(__xludf.DUMMYFUNCTION("""COMPUTED_VALUE"""),3.0)</f>
        <v>3</v>
      </c>
      <c r="D167" s="6">
        <f>IFERROR(__xludf.DUMMYFUNCTION("""COMPUTED_VALUE"""),45702.0)</f>
        <v>45702</v>
      </c>
      <c r="E167" s="7" t="str">
        <f>IFERROR(__xludf.DUMMYFUNCTION("""COMPUTED_VALUE"""),"FRANQUIA_D&amp;G_SP")</f>
        <v>FRANQUIA_D&amp;G_SP</v>
      </c>
      <c r="F167" s="7" t="str">
        <f>IFERROR(__xludf.DUMMYFUNCTION("""COMPUTED_VALUE"""),"BICYCLE")</f>
        <v>BICYCLE</v>
      </c>
      <c r="G167" s="7" t="str">
        <f>IFERROR(__xludf.DUMMYFUNCTION("""COMPUTED_VALUE"""),"SAO PAULO")</f>
        <v>SAO PAULO</v>
      </c>
    </row>
    <row r="168">
      <c r="A168" s="6">
        <f>IFERROR(__xludf.DUMMYFUNCTION("""COMPUTED_VALUE"""),45705.0)</f>
        <v>45705</v>
      </c>
      <c r="B168" s="7" t="str">
        <f>IFERROR(__xludf.DUMMYFUNCTION("""COMPUTED_VALUE"""),"fc75d732-3664-444d-8e21-3abe0d3609a9")</f>
        <v>fc75d732-3664-444d-8e21-3abe0d3609a9</v>
      </c>
      <c r="C168" s="7">
        <f>IFERROR(__xludf.DUMMYFUNCTION("""COMPUTED_VALUE"""),0.0)</f>
        <v>0</v>
      </c>
      <c r="D168" s="6">
        <f>IFERROR(__xludf.DUMMYFUNCTION("""COMPUTED_VALUE"""),45705.0)</f>
        <v>45705</v>
      </c>
      <c r="E168" s="7" t="str">
        <f>IFERROR(__xludf.DUMMYFUNCTION("""COMPUTED_VALUE"""),"FRANQUIA_D&amp;G_SP")</f>
        <v>FRANQUIA_D&amp;G_SP</v>
      </c>
      <c r="F168" s="7" t="str">
        <f>IFERROR(__xludf.DUMMYFUNCTION("""COMPUTED_VALUE"""),"MOTORCYCLE")</f>
        <v>MOTORCYCLE</v>
      </c>
      <c r="G168" s="7" t="str">
        <f>IFERROR(__xludf.DUMMYFUNCTION("""COMPUTED_VALUE"""),"SAO PAULO")</f>
        <v>SAO PAULO</v>
      </c>
    </row>
    <row r="169">
      <c r="A169" s="6">
        <f>IFERROR(__xludf.DUMMYFUNCTION("""COMPUTED_VALUE"""),45705.0)</f>
        <v>45705</v>
      </c>
      <c r="B169" s="7" t="str">
        <f>IFERROR(__xludf.DUMMYFUNCTION("""COMPUTED_VALUE"""),"868d78b2-3378-4580-8707-d3fb4f18cfe3")</f>
        <v>868d78b2-3378-4580-8707-d3fb4f18cfe3</v>
      </c>
      <c r="C169" s="7">
        <f>IFERROR(__xludf.DUMMYFUNCTION("""COMPUTED_VALUE"""),10.0)</f>
        <v>10</v>
      </c>
      <c r="D169" s="6">
        <f>IFERROR(__xludf.DUMMYFUNCTION("""COMPUTED_VALUE"""),45695.0)</f>
        <v>45695</v>
      </c>
      <c r="E169" s="7" t="str">
        <f>IFERROR(__xludf.DUMMYFUNCTION("""COMPUTED_VALUE"""),"FRANQUIA_D&amp;G_SP")</f>
        <v>FRANQUIA_D&amp;G_SP</v>
      </c>
      <c r="F169" s="7" t="str">
        <f>IFERROR(__xludf.DUMMYFUNCTION("""COMPUTED_VALUE"""),"MOTORCYCLE")</f>
        <v>MOTORCYCLE</v>
      </c>
      <c r="G169" s="7" t="str">
        <f>IFERROR(__xludf.DUMMYFUNCTION("""COMPUTED_VALUE"""),"SAO PAULO")</f>
        <v>SAO PAULO</v>
      </c>
    </row>
    <row r="170">
      <c r="A170" s="6">
        <f>IFERROR(__xludf.DUMMYFUNCTION("""COMPUTED_VALUE"""),45705.0)</f>
        <v>45705</v>
      </c>
      <c r="B170" s="7" t="str">
        <f>IFERROR(__xludf.DUMMYFUNCTION("""COMPUTED_VALUE"""),"aaebf659-264f-4969-af43-465dd9308e6f")</f>
        <v>aaebf659-264f-4969-af43-465dd9308e6f</v>
      </c>
      <c r="C170" s="7">
        <f>IFERROR(__xludf.DUMMYFUNCTION("""COMPUTED_VALUE"""),537.0)</f>
        <v>537</v>
      </c>
      <c r="D170" s="6">
        <f>IFERROR(__xludf.DUMMYFUNCTION("""COMPUTED_VALUE"""),45168.0)</f>
        <v>45168</v>
      </c>
      <c r="E170" s="7" t="str">
        <f>IFERROR(__xludf.DUMMYFUNCTION("""COMPUTED_VALUE"""),"FRANQUIA_D&amp;G_SP")</f>
        <v>FRANQUIA_D&amp;G_SP</v>
      </c>
      <c r="F170" s="7" t="str">
        <f>IFERROR(__xludf.DUMMYFUNCTION("""COMPUTED_VALUE"""),"MOTORCYCLE")</f>
        <v>MOTORCYCLE</v>
      </c>
      <c r="G170" s="7" t="str">
        <f>IFERROR(__xludf.DUMMYFUNCTION("""COMPUTED_VALUE"""),"SAO PAULO")</f>
        <v>SAO PAULO</v>
      </c>
    </row>
    <row r="171">
      <c r="A171" s="6">
        <f>IFERROR(__xludf.DUMMYFUNCTION("""COMPUTED_VALUE"""),45705.0)</f>
        <v>45705</v>
      </c>
      <c r="B171" s="7" t="str">
        <f>IFERROR(__xludf.DUMMYFUNCTION("""COMPUTED_VALUE"""),"87173094-18d2-4181-bf3e-6c3b22c2b651")</f>
        <v>87173094-18d2-4181-bf3e-6c3b22c2b651</v>
      </c>
      <c r="C171" s="7">
        <f>IFERROR(__xludf.DUMMYFUNCTION("""COMPUTED_VALUE"""),0.0)</f>
        <v>0</v>
      </c>
      <c r="D171" s="6">
        <f>IFERROR(__xludf.DUMMYFUNCTION("""COMPUTED_VALUE"""),45705.0)</f>
        <v>45705</v>
      </c>
      <c r="E171" s="7" t="str">
        <f>IFERROR(__xludf.DUMMYFUNCTION("""COMPUTED_VALUE"""),"FRANQUIA_D&amp;G_SP")</f>
        <v>FRANQUIA_D&amp;G_SP</v>
      </c>
      <c r="F171" s="7" t="str">
        <f>IFERROR(__xludf.DUMMYFUNCTION("""COMPUTED_VALUE"""),"MOTORCYCLE")</f>
        <v>MOTORCYCLE</v>
      </c>
      <c r="G171" s="7" t="str">
        <f>IFERROR(__xludf.DUMMYFUNCTION("""COMPUTED_VALUE"""),"SAO PAULO")</f>
        <v>SAO PAULO</v>
      </c>
    </row>
    <row r="172">
      <c r="A172" s="6">
        <f>IFERROR(__xludf.DUMMYFUNCTION("""COMPUTED_VALUE"""),45705.0)</f>
        <v>45705</v>
      </c>
      <c r="B172" s="7" t="str">
        <f>IFERROR(__xludf.DUMMYFUNCTION("""COMPUTED_VALUE"""),"e830d8d6-0aa0-42aa-84a4-5f74149888b2")</f>
        <v>e830d8d6-0aa0-42aa-84a4-5f74149888b2</v>
      </c>
      <c r="C172" s="7">
        <f>IFERROR(__xludf.DUMMYFUNCTION("""COMPUTED_VALUE"""),0.0)</f>
        <v>0</v>
      </c>
      <c r="D172" s="6">
        <f>IFERROR(__xludf.DUMMYFUNCTION("""COMPUTED_VALUE"""),45705.0)</f>
        <v>45705</v>
      </c>
      <c r="E172" s="7" t="str">
        <f>IFERROR(__xludf.DUMMYFUNCTION("""COMPUTED_VALUE"""),"FRANQUIA_D&amp;G_SP")</f>
        <v>FRANQUIA_D&amp;G_SP</v>
      </c>
      <c r="F172" s="7" t="str">
        <f>IFERROR(__xludf.DUMMYFUNCTION("""COMPUTED_VALUE"""),"MOTORCYCLE")</f>
        <v>MOTORCYCLE</v>
      </c>
      <c r="G172" s="7" t="str">
        <f>IFERROR(__xludf.DUMMYFUNCTION("""COMPUTED_VALUE"""),"SAO PAULO")</f>
        <v>SAO PAULO</v>
      </c>
    </row>
    <row r="173">
      <c r="A173" s="6">
        <f>IFERROR(__xludf.DUMMYFUNCTION("""COMPUTED_VALUE"""),45705.0)</f>
        <v>45705</v>
      </c>
      <c r="B173" s="7" t="str">
        <f>IFERROR(__xludf.DUMMYFUNCTION("""COMPUTED_VALUE"""),"82b64bac-03cb-407f-a262-b45de0925086")</f>
        <v>82b64bac-03cb-407f-a262-b45de0925086</v>
      </c>
      <c r="C173" s="7">
        <f>IFERROR(__xludf.DUMMYFUNCTION("""COMPUTED_VALUE"""),1.0)</f>
        <v>1</v>
      </c>
      <c r="D173" s="6">
        <f>IFERROR(__xludf.DUMMYFUNCTION("""COMPUTED_VALUE"""),45704.0)</f>
        <v>45704</v>
      </c>
      <c r="E173" s="7" t="str">
        <f>IFERROR(__xludf.DUMMYFUNCTION("""COMPUTED_VALUE"""),"FRANQUIA_D&amp;G_SP")</f>
        <v>FRANQUIA_D&amp;G_SP</v>
      </c>
      <c r="F173" s="7" t="str">
        <f>IFERROR(__xludf.DUMMYFUNCTION("""COMPUTED_VALUE"""),"MOTORCYCLE")</f>
        <v>MOTORCYCLE</v>
      </c>
      <c r="G173" s="7" t="str">
        <f>IFERROR(__xludf.DUMMYFUNCTION("""COMPUTED_VALUE"""),"SAO PAULO")</f>
        <v>SAO PAULO</v>
      </c>
    </row>
    <row r="174">
      <c r="A174" s="6">
        <f>IFERROR(__xludf.DUMMYFUNCTION("""COMPUTED_VALUE"""),45705.0)</f>
        <v>45705</v>
      </c>
      <c r="B174" s="7" t="str">
        <f>IFERROR(__xludf.DUMMYFUNCTION("""COMPUTED_VALUE"""),"416116ca-d93a-4a95-841e-e76fa1afcac8")</f>
        <v>416116ca-d93a-4a95-841e-e76fa1afcac8</v>
      </c>
      <c r="C174" s="7">
        <f>IFERROR(__xludf.DUMMYFUNCTION("""COMPUTED_VALUE"""),391.0)</f>
        <v>391</v>
      </c>
      <c r="D174" s="6">
        <f>IFERROR(__xludf.DUMMYFUNCTION("""COMPUTED_VALUE"""),45314.0)</f>
        <v>45314</v>
      </c>
      <c r="E174" s="7" t="str">
        <f>IFERROR(__xludf.DUMMYFUNCTION("""COMPUTED_VALUE"""),"FRANQUIA_D&amp;G_SP")</f>
        <v>FRANQUIA_D&amp;G_SP</v>
      </c>
      <c r="F174" s="7" t="str">
        <f>IFERROR(__xludf.DUMMYFUNCTION("""COMPUTED_VALUE"""),"Bike Express")</f>
        <v>Bike Express</v>
      </c>
      <c r="G174" s="7" t="str">
        <f>IFERROR(__xludf.DUMMYFUNCTION("""COMPUTED_VALUE"""),"SAO PAULO")</f>
        <v>SAO PAULO</v>
      </c>
    </row>
    <row r="175">
      <c r="A175" s="6">
        <f>IFERROR(__xludf.DUMMYFUNCTION("""COMPUTED_VALUE"""),45705.0)</f>
        <v>45705</v>
      </c>
      <c r="B175" s="7" t="str">
        <f>IFERROR(__xludf.DUMMYFUNCTION("""COMPUTED_VALUE"""),"d3c3f4d5-5c42-474e-803f-f6c81dec7e01")</f>
        <v>d3c3f4d5-5c42-474e-803f-f6c81dec7e01</v>
      </c>
      <c r="C175" s="7">
        <f>IFERROR(__xludf.DUMMYFUNCTION("""COMPUTED_VALUE"""),0.0)</f>
        <v>0</v>
      </c>
      <c r="D175" s="6">
        <f>IFERROR(__xludf.DUMMYFUNCTION("""COMPUTED_VALUE"""),0.0)</f>
        <v>0</v>
      </c>
      <c r="E175" s="7" t="str">
        <f>IFERROR(__xludf.DUMMYFUNCTION("""COMPUTED_VALUE"""),"FRANQUIA_D&amp;G_SP")</f>
        <v>FRANQUIA_D&amp;G_SP</v>
      </c>
      <c r="F175" s="7" t="str">
        <f>IFERROR(__xludf.DUMMYFUNCTION("""COMPUTED_VALUE"""),"MOTORCYCLE")</f>
        <v>MOTORCYCLE</v>
      </c>
      <c r="G175" s="7" t="str">
        <f>IFERROR(__xludf.DUMMYFUNCTION("""COMPUTED_VALUE"""),"0")</f>
        <v>0</v>
      </c>
    </row>
    <row r="176">
      <c r="A176" s="6">
        <f>IFERROR(__xludf.DUMMYFUNCTION("""COMPUTED_VALUE"""),45705.0)</f>
        <v>45705</v>
      </c>
      <c r="B176" s="7" t="str">
        <f>IFERROR(__xludf.DUMMYFUNCTION("""COMPUTED_VALUE"""),"1a9ba633-22e4-4218-9583-e0aef437fb36")</f>
        <v>1a9ba633-22e4-4218-9583-e0aef437fb36</v>
      </c>
      <c r="C176" s="7">
        <f>IFERROR(__xludf.DUMMYFUNCTION("""COMPUTED_VALUE"""),0.0)</f>
        <v>0</v>
      </c>
      <c r="D176" s="6">
        <f>IFERROR(__xludf.DUMMYFUNCTION("""COMPUTED_VALUE"""),45705.0)</f>
        <v>45705</v>
      </c>
      <c r="E176" s="7" t="str">
        <f>IFERROR(__xludf.DUMMYFUNCTION("""COMPUTED_VALUE"""),"FRANQUIA_D&amp;G_SP")</f>
        <v>FRANQUIA_D&amp;G_SP</v>
      </c>
      <c r="F176" s="7" t="str">
        <f>IFERROR(__xludf.DUMMYFUNCTION("""COMPUTED_VALUE"""),"MOTORCYCLE")</f>
        <v>MOTORCYCLE</v>
      </c>
      <c r="G176" s="7" t="str">
        <f>IFERROR(__xludf.DUMMYFUNCTION("""COMPUTED_VALUE"""),"SAO PAULO")</f>
        <v>SAO PAULO</v>
      </c>
    </row>
    <row r="177">
      <c r="A177" s="6">
        <f>IFERROR(__xludf.DUMMYFUNCTION("""COMPUTED_VALUE"""),45705.0)</f>
        <v>45705</v>
      </c>
      <c r="B177" s="7" t="str">
        <f>IFERROR(__xludf.DUMMYFUNCTION("""COMPUTED_VALUE"""),"4c59327d-e301-4e8a-b7d9-b4447a80f7d2")</f>
        <v>4c59327d-e301-4e8a-b7d9-b4447a80f7d2</v>
      </c>
      <c r="C177" s="7">
        <f>IFERROR(__xludf.DUMMYFUNCTION("""COMPUTED_VALUE"""),162.0)</f>
        <v>162</v>
      </c>
      <c r="D177" s="6">
        <f>IFERROR(__xludf.DUMMYFUNCTION("""COMPUTED_VALUE"""),45543.0)</f>
        <v>45543</v>
      </c>
      <c r="E177" s="7" t="str">
        <f>IFERROR(__xludf.DUMMYFUNCTION("""COMPUTED_VALUE"""),"FRANQUIA_D&amp;G_SP")</f>
        <v>FRANQUIA_D&amp;G_SP</v>
      </c>
      <c r="F177" s="7" t="str">
        <f>IFERROR(__xludf.DUMMYFUNCTION("""COMPUTED_VALUE"""),"BICYCLE")</f>
        <v>BICYCLE</v>
      </c>
      <c r="G177" s="7" t="str">
        <f>IFERROR(__xludf.DUMMYFUNCTION("""COMPUTED_VALUE"""),"SAO PAULO")</f>
        <v>SAO PAULO</v>
      </c>
    </row>
    <row r="178">
      <c r="A178" s="6">
        <f>IFERROR(__xludf.DUMMYFUNCTION("""COMPUTED_VALUE"""),45705.0)</f>
        <v>45705</v>
      </c>
      <c r="B178" s="7" t="str">
        <f>IFERROR(__xludf.DUMMYFUNCTION("""COMPUTED_VALUE"""),"8cf4a476-98ed-4645-9ec2-99f26ef1171b")</f>
        <v>8cf4a476-98ed-4645-9ec2-99f26ef1171b</v>
      </c>
      <c r="C178" s="7">
        <f>IFERROR(__xludf.DUMMYFUNCTION("""COMPUTED_VALUE"""),234.0)</f>
        <v>234</v>
      </c>
      <c r="D178" s="6">
        <f>IFERROR(__xludf.DUMMYFUNCTION("""COMPUTED_VALUE"""),45471.0)</f>
        <v>45471</v>
      </c>
      <c r="E178" s="7" t="str">
        <f>IFERROR(__xludf.DUMMYFUNCTION("""COMPUTED_VALUE"""),"FRANQUIA_D&amp;G_SP")</f>
        <v>FRANQUIA_D&amp;G_SP</v>
      </c>
      <c r="F178" s="7" t="str">
        <f>IFERROR(__xludf.DUMMYFUNCTION("""COMPUTED_VALUE"""),"MOTORCYCLE")</f>
        <v>MOTORCYCLE</v>
      </c>
      <c r="G178" s="7" t="str">
        <f>IFERROR(__xludf.DUMMYFUNCTION("""COMPUTED_VALUE"""),"SAO PAULO")</f>
        <v>SAO PAULO</v>
      </c>
    </row>
    <row r="179">
      <c r="A179" s="6">
        <f>IFERROR(__xludf.DUMMYFUNCTION("""COMPUTED_VALUE"""),45705.0)</f>
        <v>45705</v>
      </c>
      <c r="B179" s="7" t="str">
        <f>IFERROR(__xludf.DUMMYFUNCTION("""COMPUTED_VALUE"""),"c806bf42-dcce-4c94-a550-23f9a7dee72d")</f>
        <v>c806bf42-dcce-4c94-a550-23f9a7dee72d</v>
      </c>
      <c r="C179" s="7">
        <f>IFERROR(__xludf.DUMMYFUNCTION("""COMPUTED_VALUE"""),263.0)</f>
        <v>263</v>
      </c>
      <c r="D179" s="6">
        <f>IFERROR(__xludf.DUMMYFUNCTION("""COMPUTED_VALUE"""),45442.0)</f>
        <v>45442</v>
      </c>
      <c r="E179" s="7" t="str">
        <f>IFERROR(__xludf.DUMMYFUNCTION("""COMPUTED_VALUE"""),"FRANQUIA_D&amp;G_SP")</f>
        <v>FRANQUIA_D&amp;G_SP</v>
      </c>
      <c r="F179" s="7" t="str">
        <f>IFERROR(__xludf.DUMMYFUNCTION("""COMPUTED_VALUE"""),"BICYCLE")</f>
        <v>BICYCLE</v>
      </c>
      <c r="G179" s="7" t="str">
        <f>IFERROR(__xludf.DUMMYFUNCTION("""COMPUTED_VALUE"""),"SAO PAULO")</f>
        <v>SAO PAULO</v>
      </c>
    </row>
    <row r="180">
      <c r="A180" s="6">
        <f>IFERROR(__xludf.DUMMYFUNCTION("""COMPUTED_VALUE"""),45705.0)</f>
        <v>45705</v>
      </c>
      <c r="B180" s="7" t="str">
        <f>IFERROR(__xludf.DUMMYFUNCTION("""COMPUTED_VALUE"""),"0ddac120-f6dc-449c-ac27-da941a8ebfb7")</f>
        <v>0ddac120-f6dc-449c-ac27-da941a8ebfb7</v>
      </c>
      <c r="C180" s="7">
        <f>IFERROR(__xludf.DUMMYFUNCTION("""COMPUTED_VALUE"""),0.0)</f>
        <v>0</v>
      </c>
      <c r="D180" s="6">
        <f>IFERROR(__xludf.DUMMYFUNCTION("""COMPUTED_VALUE"""),45705.0)</f>
        <v>45705</v>
      </c>
      <c r="E180" s="7" t="str">
        <f>IFERROR(__xludf.DUMMYFUNCTION("""COMPUTED_VALUE"""),"FRANQUIA_D&amp;G_SP")</f>
        <v>FRANQUIA_D&amp;G_SP</v>
      </c>
      <c r="F180" s="7" t="str">
        <f>IFERROR(__xludf.DUMMYFUNCTION("""COMPUTED_VALUE"""),"MOTORCYCLE")</f>
        <v>MOTORCYCLE</v>
      </c>
      <c r="G180" s="7" t="str">
        <f>IFERROR(__xludf.DUMMYFUNCTION("""COMPUTED_VALUE"""),"SAO PAULO")</f>
        <v>SAO PAULO</v>
      </c>
    </row>
    <row r="181">
      <c r="A181" s="6">
        <f>IFERROR(__xludf.DUMMYFUNCTION("""COMPUTED_VALUE"""),45705.0)</f>
        <v>45705</v>
      </c>
      <c r="B181" s="7" t="str">
        <f>IFERROR(__xludf.DUMMYFUNCTION("""COMPUTED_VALUE"""),"e3a7bd44-bc3a-4477-ae0d-2281a57a8ce4")</f>
        <v>e3a7bd44-bc3a-4477-ae0d-2281a57a8ce4</v>
      </c>
      <c r="C181" s="7">
        <f>IFERROR(__xludf.DUMMYFUNCTION("""COMPUTED_VALUE"""),0.0)</f>
        <v>0</v>
      </c>
      <c r="D181" s="6">
        <f>IFERROR(__xludf.DUMMYFUNCTION("""COMPUTED_VALUE"""),45705.0)</f>
        <v>45705</v>
      </c>
      <c r="E181" s="7" t="str">
        <f>IFERROR(__xludf.DUMMYFUNCTION("""COMPUTED_VALUE"""),"FRANQUIA_D&amp;G_SP")</f>
        <v>FRANQUIA_D&amp;G_SP</v>
      </c>
      <c r="F181" s="7" t="str">
        <f>IFERROR(__xludf.DUMMYFUNCTION("""COMPUTED_VALUE"""),"BICYCLE")</f>
        <v>BICYCLE</v>
      </c>
      <c r="G181" s="7" t="str">
        <f>IFERROR(__xludf.DUMMYFUNCTION("""COMPUTED_VALUE"""),"SAO PAULO")</f>
        <v>SAO PAULO</v>
      </c>
    </row>
    <row r="182">
      <c r="A182" s="6">
        <f>IFERROR(__xludf.DUMMYFUNCTION("""COMPUTED_VALUE"""),45705.0)</f>
        <v>45705</v>
      </c>
      <c r="B182" s="7" t="str">
        <f>IFERROR(__xludf.DUMMYFUNCTION("""COMPUTED_VALUE"""),"dd82c5e3-6893-4124-a1fd-5d82080facc7")</f>
        <v>dd82c5e3-6893-4124-a1fd-5d82080facc7</v>
      </c>
      <c r="C182" s="7">
        <f>IFERROR(__xludf.DUMMYFUNCTION("""COMPUTED_VALUE"""),1.0)</f>
        <v>1</v>
      </c>
      <c r="D182" s="6">
        <f>IFERROR(__xludf.DUMMYFUNCTION("""COMPUTED_VALUE"""),45704.0)</f>
        <v>45704</v>
      </c>
      <c r="E182" s="7" t="str">
        <f>IFERROR(__xludf.DUMMYFUNCTION("""COMPUTED_VALUE"""),"FRANQUIA_D&amp;G_SP")</f>
        <v>FRANQUIA_D&amp;G_SP</v>
      </c>
      <c r="F182" s="7" t="str">
        <f>IFERROR(__xludf.DUMMYFUNCTION("""COMPUTED_VALUE"""),"MOTORCYCLE")</f>
        <v>MOTORCYCLE</v>
      </c>
      <c r="G182" s="7" t="str">
        <f>IFERROR(__xludf.DUMMYFUNCTION("""COMPUTED_VALUE"""),"SAO PAULO")</f>
        <v>SAO PAULO</v>
      </c>
    </row>
    <row r="183">
      <c r="A183" s="6">
        <f>IFERROR(__xludf.DUMMYFUNCTION("""COMPUTED_VALUE"""),45705.0)</f>
        <v>45705</v>
      </c>
      <c r="B183" s="7" t="str">
        <f>IFERROR(__xludf.DUMMYFUNCTION("""COMPUTED_VALUE"""),"7ab06ea6-ffc4-4244-9884-c6c2f48cb94d")</f>
        <v>7ab06ea6-ffc4-4244-9884-c6c2f48cb94d</v>
      </c>
      <c r="C183" s="7">
        <f>IFERROR(__xludf.DUMMYFUNCTION("""COMPUTED_VALUE"""),32.0)</f>
        <v>32</v>
      </c>
      <c r="D183" s="6">
        <f>IFERROR(__xludf.DUMMYFUNCTION("""COMPUTED_VALUE"""),45673.0)</f>
        <v>45673</v>
      </c>
      <c r="E183" s="7" t="str">
        <f>IFERROR(__xludf.DUMMYFUNCTION("""COMPUTED_VALUE"""),"FRANQUIA_D&amp;G_SP")</f>
        <v>FRANQUIA_D&amp;G_SP</v>
      </c>
      <c r="F183" s="7" t="str">
        <f>IFERROR(__xludf.DUMMYFUNCTION("""COMPUTED_VALUE"""),"MOTORCYCLE")</f>
        <v>MOTORCYCLE</v>
      </c>
      <c r="G183" s="7" t="str">
        <f>IFERROR(__xludf.DUMMYFUNCTION("""COMPUTED_VALUE"""),"SAO PAULO")</f>
        <v>SAO PAULO</v>
      </c>
    </row>
    <row r="184">
      <c r="A184" s="6">
        <f>IFERROR(__xludf.DUMMYFUNCTION("""COMPUTED_VALUE"""),45705.0)</f>
        <v>45705</v>
      </c>
      <c r="B184" s="7" t="str">
        <f>IFERROR(__xludf.DUMMYFUNCTION("""COMPUTED_VALUE"""),"06d1fd19-4501-46dc-9559-2557b726f82d")</f>
        <v>06d1fd19-4501-46dc-9559-2557b726f82d</v>
      </c>
      <c r="C184" s="7">
        <f>IFERROR(__xludf.DUMMYFUNCTION("""COMPUTED_VALUE"""),0.0)</f>
        <v>0</v>
      </c>
      <c r="D184" s="6">
        <f>IFERROR(__xludf.DUMMYFUNCTION("""COMPUTED_VALUE"""),0.0)</f>
        <v>0</v>
      </c>
      <c r="E184" s="7" t="str">
        <f>IFERROR(__xludf.DUMMYFUNCTION("""COMPUTED_VALUE"""),"FRANQUIA_D&amp;G_SP")</f>
        <v>FRANQUIA_D&amp;G_SP</v>
      </c>
      <c r="F184" s="7" t="str">
        <f>IFERROR(__xludf.DUMMYFUNCTION("""COMPUTED_VALUE"""),"BICYCLE")</f>
        <v>BICYCLE</v>
      </c>
      <c r="G184" s="7" t="str">
        <f>IFERROR(__xludf.DUMMYFUNCTION("""COMPUTED_VALUE"""),"0")</f>
        <v>0</v>
      </c>
    </row>
    <row r="185">
      <c r="A185" s="6">
        <f>IFERROR(__xludf.DUMMYFUNCTION("""COMPUTED_VALUE"""),45705.0)</f>
        <v>45705</v>
      </c>
      <c r="B185" s="7" t="str">
        <f>IFERROR(__xludf.DUMMYFUNCTION("""COMPUTED_VALUE"""),"ededbeed-8ca3-46e7-9cc7-8aefa7f800ed")</f>
        <v>ededbeed-8ca3-46e7-9cc7-8aefa7f800ed</v>
      </c>
      <c r="C185" s="7">
        <f>IFERROR(__xludf.DUMMYFUNCTION("""COMPUTED_VALUE"""),571.0)</f>
        <v>571</v>
      </c>
      <c r="D185" s="6">
        <f>IFERROR(__xludf.DUMMYFUNCTION("""COMPUTED_VALUE"""),45134.0)</f>
        <v>45134</v>
      </c>
      <c r="E185" s="7" t="str">
        <f>IFERROR(__xludf.DUMMYFUNCTION("""COMPUTED_VALUE"""),"FRANQUIA_D&amp;G_SP")</f>
        <v>FRANQUIA_D&amp;G_SP</v>
      </c>
      <c r="F185" s="7" t="str">
        <f>IFERROR(__xludf.DUMMYFUNCTION("""COMPUTED_VALUE"""),"MOTORCYCLE")</f>
        <v>MOTORCYCLE</v>
      </c>
      <c r="G185" s="7" t="str">
        <f>IFERROR(__xludf.DUMMYFUNCTION("""COMPUTED_VALUE"""),"SAO PAULO")</f>
        <v>SAO PAULO</v>
      </c>
    </row>
    <row r="186">
      <c r="A186" s="6">
        <f>IFERROR(__xludf.DUMMYFUNCTION("""COMPUTED_VALUE"""),45705.0)</f>
        <v>45705</v>
      </c>
      <c r="B186" s="7" t="str">
        <f>IFERROR(__xludf.DUMMYFUNCTION("""COMPUTED_VALUE"""),"3fff169f-8d49-4a0a-89f0-dce381c38147")</f>
        <v>3fff169f-8d49-4a0a-89f0-dce381c38147</v>
      </c>
      <c r="C186" s="7">
        <f>IFERROR(__xludf.DUMMYFUNCTION("""COMPUTED_VALUE"""),1.0)</f>
        <v>1</v>
      </c>
      <c r="D186" s="6">
        <f>IFERROR(__xludf.DUMMYFUNCTION("""COMPUTED_VALUE"""),45704.0)</f>
        <v>45704</v>
      </c>
      <c r="E186" s="7" t="str">
        <f>IFERROR(__xludf.DUMMYFUNCTION("""COMPUTED_VALUE"""),"FRANQUIA_D&amp;G_SP")</f>
        <v>FRANQUIA_D&amp;G_SP</v>
      </c>
      <c r="F186" s="7" t="str">
        <f>IFERROR(__xludf.DUMMYFUNCTION("""COMPUTED_VALUE"""),"MOTORCYCLE")</f>
        <v>MOTORCYCLE</v>
      </c>
      <c r="G186" s="7" t="str">
        <f>IFERROR(__xludf.DUMMYFUNCTION("""COMPUTED_VALUE"""),"SAO PAULO")</f>
        <v>SAO PAULO</v>
      </c>
    </row>
    <row r="187">
      <c r="A187" s="6">
        <f>IFERROR(__xludf.DUMMYFUNCTION("""COMPUTED_VALUE"""),45705.0)</f>
        <v>45705</v>
      </c>
      <c r="B187" s="7" t="str">
        <f>IFERROR(__xludf.DUMMYFUNCTION("""COMPUTED_VALUE"""),"6daf3bf1-3487-48ea-96fe-094d650337e4")</f>
        <v>6daf3bf1-3487-48ea-96fe-094d650337e4</v>
      </c>
      <c r="C187" s="7">
        <f>IFERROR(__xludf.DUMMYFUNCTION("""COMPUTED_VALUE"""),0.0)</f>
        <v>0</v>
      </c>
      <c r="D187" s="6">
        <f>IFERROR(__xludf.DUMMYFUNCTION("""COMPUTED_VALUE"""),45705.0)</f>
        <v>45705</v>
      </c>
      <c r="E187" s="7" t="str">
        <f>IFERROR(__xludf.DUMMYFUNCTION("""COMPUTED_VALUE"""),"FRANQUIA_D&amp;G_SP")</f>
        <v>FRANQUIA_D&amp;G_SP</v>
      </c>
      <c r="F187" s="7" t="str">
        <f>IFERROR(__xludf.DUMMYFUNCTION("""COMPUTED_VALUE"""),"MOTORCYCLE")</f>
        <v>MOTORCYCLE</v>
      </c>
      <c r="G187" s="7" t="str">
        <f>IFERROR(__xludf.DUMMYFUNCTION("""COMPUTED_VALUE"""),"SAO PAULO")</f>
        <v>SAO PAULO</v>
      </c>
    </row>
    <row r="188">
      <c r="A188" s="6">
        <f>IFERROR(__xludf.DUMMYFUNCTION("""COMPUTED_VALUE"""),45705.0)</f>
        <v>45705</v>
      </c>
      <c r="B188" s="7" t="str">
        <f>IFERROR(__xludf.DUMMYFUNCTION("""COMPUTED_VALUE"""),"b3958724-149c-46d2-8ca2-7e028a892265")</f>
        <v>b3958724-149c-46d2-8ca2-7e028a892265</v>
      </c>
      <c r="C188" s="7">
        <f>IFERROR(__xludf.DUMMYFUNCTION("""COMPUTED_VALUE"""),0.0)</f>
        <v>0</v>
      </c>
      <c r="D188" s="6">
        <f>IFERROR(__xludf.DUMMYFUNCTION("""COMPUTED_VALUE"""),45705.0)</f>
        <v>45705</v>
      </c>
      <c r="E188" s="7" t="str">
        <f>IFERROR(__xludf.DUMMYFUNCTION("""COMPUTED_VALUE"""),"FRANQUIA_D&amp;G_SP")</f>
        <v>FRANQUIA_D&amp;G_SP</v>
      </c>
      <c r="F188" s="7" t="str">
        <f>IFERROR(__xludf.DUMMYFUNCTION("""COMPUTED_VALUE"""),"MOTORCYCLE")</f>
        <v>MOTORCYCLE</v>
      </c>
      <c r="G188" s="7" t="str">
        <f>IFERROR(__xludf.DUMMYFUNCTION("""COMPUTED_VALUE"""),"SAO PAULO")</f>
        <v>SAO PAULO</v>
      </c>
    </row>
    <row r="189">
      <c r="A189" s="6">
        <f>IFERROR(__xludf.DUMMYFUNCTION("""COMPUTED_VALUE"""),45705.0)</f>
        <v>45705</v>
      </c>
      <c r="B189" s="7" t="str">
        <f>IFERROR(__xludf.DUMMYFUNCTION("""COMPUTED_VALUE"""),"4f3d09d2-000b-4ecd-9934-0c92efec54e9")</f>
        <v>4f3d09d2-000b-4ecd-9934-0c92efec54e9</v>
      </c>
      <c r="C189" s="7">
        <f>IFERROR(__xludf.DUMMYFUNCTION("""COMPUTED_VALUE"""),0.0)</f>
        <v>0</v>
      </c>
      <c r="D189" s="6">
        <f>IFERROR(__xludf.DUMMYFUNCTION("""COMPUTED_VALUE"""),45705.0)</f>
        <v>45705</v>
      </c>
      <c r="E189" s="7" t="str">
        <f>IFERROR(__xludf.DUMMYFUNCTION("""COMPUTED_VALUE"""),"FRANQUIA_D&amp;G_SP")</f>
        <v>FRANQUIA_D&amp;G_SP</v>
      </c>
      <c r="F189" s="7" t="str">
        <f>IFERROR(__xludf.DUMMYFUNCTION("""COMPUTED_VALUE"""),"BICYCLE")</f>
        <v>BICYCLE</v>
      </c>
      <c r="G189" s="7" t="str">
        <f>IFERROR(__xludf.DUMMYFUNCTION("""COMPUTED_VALUE"""),"SAO PAULO")</f>
        <v>SAO PAULO</v>
      </c>
    </row>
    <row r="190">
      <c r="A190" s="6">
        <f>IFERROR(__xludf.DUMMYFUNCTION("""COMPUTED_VALUE"""),45705.0)</f>
        <v>45705</v>
      </c>
      <c r="B190" s="7" t="str">
        <f>IFERROR(__xludf.DUMMYFUNCTION("""COMPUTED_VALUE"""),"9ab375d5-e9e8-4b10-b5b8-438d5c13ab01")</f>
        <v>9ab375d5-e9e8-4b10-b5b8-438d5c13ab01</v>
      </c>
      <c r="C190" s="7">
        <f>IFERROR(__xludf.DUMMYFUNCTION("""COMPUTED_VALUE"""),2.0)</f>
        <v>2</v>
      </c>
      <c r="D190" s="6">
        <f>IFERROR(__xludf.DUMMYFUNCTION("""COMPUTED_VALUE"""),45703.0)</f>
        <v>45703</v>
      </c>
      <c r="E190" s="7" t="str">
        <f>IFERROR(__xludf.DUMMYFUNCTION("""COMPUTED_VALUE"""),"FRANQUIA_D&amp;G_SP")</f>
        <v>FRANQUIA_D&amp;G_SP</v>
      </c>
      <c r="F190" s="7" t="str">
        <f>IFERROR(__xludf.DUMMYFUNCTION("""COMPUTED_VALUE"""),"BICYCLE")</f>
        <v>BICYCLE</v>
      </c>
      <c r="G190" s="7" t="str">
        <f>IFERROR(__xludf.DUMMYFUNCTION("""COMPUTED_VALUE"""),"SAO PAULO")</f>
        <v>SAO PAULO</v>
      </c>
    </row>
    <row r="191">
      <c r="A191" s="6">
        <f>IFERROR(__xludf.DUMMYFUNCTION("""COMPUTED_VALUE"""),45705.0)</f>
        <v>45705</v>
      </c>
      <c r="B191" s="7" t="str">
        <f>IFERROR(__xludf.DUMMYFUNCTION("""COMPUTED_VALUE"""),"413046ef-f7fc-4d1c-be41-0749ecaa4244")</f>
        <v>413046ef-f7fc-4d1c-be41-0749ecaa4244</v>
      </c>
      <c r="C191" s="7">
        <f>IFERROR(__xludf.DUMMYFUNCTION("""COMPUTED_VALUE"""),200.0)</f>
        <v>200</v>
      </c>
      <c r="D191" s="6">
        <f>IFERROR(__xludf.DUMMYFUNCTION("""COMPUTED_VALUE"""),45505.0)</f>
        <v>45505</v>
      </c>
      <c r="E191" s="7" t="str">
        <f>IFERROR(__xludf.DUMMYFUNCTION("""COMPUTED_VALUE"""),"FRANQUIA_D&amp;G_SP")</f>
        <v>FRANQUIA_D&amp;G_SP</v>
      </c>
      <c r="F191" s="7" t="str">
        <f>IFERROR(__xludf.DUMMYFUNCTION("""COMPUTED_VALUE"""),"BICYCLE")</f>
        <v>BICYCLE</v>
      </c>
      <c r="G191" s="7" t="str">
        <f>IFERROR(__xludf.DUMMYFUNCTION("""COMPUTED_VALUE"""),"SAO PAULO")</f>
        <v>SAO PAULO</v>
      </c>
    </row>
    <row r="192">
      <c r="A192" s="6">
        <f>IFERROR(__xludf.DUMMYFUNCTION("""COMPUTED_VALUE"""),45705.0)</f>
        <v>45705</v>
      </c>
      <c r="B192" s="7" t="str">
        <f>IFERROR(__xludf.DUMMYFUNCTION("""COMPUTED_VALUE"""),"62c7d62d-55ea-443f-85d7-6433b592553f")</f>
        <v>62c7d62d-55ea-443f-85d7-6433b592553f</v>
      </c>
      <c r="C192" s="7">
        <f>IFERROR(__xludf.DUMMYFUNCTION("""COMPUTED_VALUE"""),1.0)</f>
        <v>1</v>
      </c>
      <c r="D192" s="6">
        <f>IFERROR(__xludf.DUMMYFUNCTION("""COMPUTED_VALUE"""),45704.0)</f>
        <v>45704</v>
      </c>
      <c r="E192" s="7" t="str">
        <f>IFERROR(__xludf.DUMMYFUNCTION("""COMPUTED_VALUE"""),"FRANQUIA_D&amp;G_SP")</f>
        <v>FRANQUIA_D&amp;G_SP</v>
      </c>
      <c r="F192" s="7" t="str">
        <f>IFERROR(__xludf.DUMMYFUNCTION("""COMPUTED_VALUE"""),"BICYCLE")</f>
        <v>BICYCLE</v>
      </c>
      <c r="G192" s="7" t="str">
        <f>IFERROR(__xludf.DUMMYFUNCTION("""COMPUTED_VALUE"""),"SAO PAULO")</f>
        <v>SAO PAULO</v>
      </c>
    </row>
    <row r="193">
      <c r="A193" s="6">
        <f>IFERROR(__xludf.DUMMYFUNCTION("""COMPUTED_VALUE"""),45705.0)</f>
        <v>45705</v>
      </c>
      <c r="B193" s="7" t="str">
        <f>IFERROR(__xludf.DUMMYFUNCTION("""COMPUTED_VALUE"""),"6adef931-32d2-4bd3-b793-8d39452d6b82")</f>
        <v>6adef931-32d2-4bd3-b793-8d39452d6b82</v>
      </c>
      <c r="C193" s="7">
        <f>IFERROR(__xludf.DUMMYFUNCTION("""COMPUTED_VALUE"""),17.0)</f>
        <v>17</v>
      </c>
      <c r="D193" s="6">
        <f>IFERROR(__xludf.DUMMYFUNCTION("""COMPUTED_VALUE"""),45688.0)</f>
        <v>45688</v>
      </c>
      <c r="E193" s="7" t="str">
        <f>IFERROR(__xludf.DUMMYFUNCTION("""COMPUTED_VALUE"""),"FRANQUIA_D&amp;G_SP")</f>
        <v>FRANQUIA_D&amp;G_SP</v>
      </c>
      <c r="F193" s="7" t="str">
        <f>IFERROR(__xludf.DUMMYFUNCTION("""COMPUTED_VALUE"""),"BICYCLE")</f>
        <v>BICYCLE</v>
      </c>
      <c r="G193" s="7" t="str">
        <f>IFERROR(__xludf.DUMMYFUNCTION("""COMPUTED_VALUE"""),"SAO PAULO")</f>
        <v>SAO PAULO</v>
      </c>
    </row>
    <row r="194">
      <c r="A194" s="6">
        <f>IFERROR(__xludf.DUMMYFUNCTION("""COMPUTED_VALUE"""),45705.0)</f>
        <v>45705</v>
      </c>
      <c r="B194" s="7" t="str">
        <f>IFERROR(__xludf.DUMMYFUNCTION("""COMPUTED_VALUE"""),"017fff5d-63d5-4811-bfa9-a80a6b527107")</f>
        <v>017fff5d-63d5-4811-bfa9-a80a6b527107</v>
      </c>
      <c r="C194" s="7">
        <f>IFERROR(__xludf.DUMMYFUNCTION("""COMPUTED_VALUE"""),573.0)</f>
        <v>573</v>
      </c>
      <c r="D194" s="6">
        <f>IFERROR(__xludf.DUMMYFUNCTION("""COMPUTED_VALUE"""),45132.0)</f>
        <v>45132</v>
      </c>
      <c r="E194" s="7" t="str">
        <f>IFERROR(__xludf.DUMMYFUNCTION("""COMPUTED_VALUE"""),"FRANQUIA_D&amp;G_SP")</f>
        <v>FRANQUIA_D&amp;G_SP</v>
      </c>
      <c r="F194" s="7" t="str">
        <f>IFERROR(__xludf.DUMMYFUNCTION("""COMPUTED_VALUE"""),"MOTORCYCLE")</f>
        <v>MOTORCYCLE</v>
      </c>
      <c r="G194" s="7" t="str">
        <f>IFERROR(__xludf.DUMMYFUNCTION("""COMPUTED_VALUE"""),"SAO PAULO")</f>
        <v>SAO PAULO</v>
      </c>
    </row>
    <row r="195">
      <c r="A195" s="6">
        <f>IFERROR(__xludf.DUMMYFUNCTION("""COMPUTED_VALUE"""),45705.0)</f>
        <v>45705</v>
      </c>
      <c r="B195" s="7" t="str">
        <f>IFERROR(__xludf.DUMMYFUNCTION("""COMPUTED_VALUE"""),"7e2a1aae-e82e-4b7c-a46e-5cf0b446f09b")</f>
        <v>7e2a1aae-e82e-4b7c-a46e-5cf0b446f09b</v>
      </c>
      <c r="C195" s="7">
        <f>IFERROR(__xludf.DUMMYFUNCTION("""COMPUTED_VALUE"""),0.0)</f>
        <v>0</v>
      </c>
      <c r="D195" s="6">
        <f>IFERROR(__xludf.DUMMYFUNCTION("""COMPUTED_VALUE"""),45705.0)</f>
        <v>45705</v>
      </c>
      <c r="E195" s="7" t="str">
        <f>IFERROR(__xludf.DUMMYFUNCTION("""COMPUTED_VALUE"""),"FRANQUIA_D&amp;G_SP")</f>
        <v>FRANQUIA_D&amp;G_SP</v>
      </c>
      <c r="F195" s="7" t="str">
        <f>IFERROR(__xludf.DUMMYFUNCTION("""COMPUTED_VALUE"""),"MOTORCYCLE")</f>
        <v>MOTORCYCLE</v>
      </c>
      <c r="G195" s="7" t="str">
        <f>IFERROR(__xludf.DUMMYFUNCTION("""COMPUTED_VALUE"""),"SAO PAULO")</f>
        <v>SAO PAULO</v>
      </c>
    </row>
    <row r="196">
      <c r="A196" s="6">
        <f>IFERROR(__xludf.DUMMYFUNCTION("""COMPUTED_VALUE"""),45705.0)</f>
        <v>45705</v>
      </c>
      <c r="B196" s="7" t="str">
        <f>IFERROR(__xludf.DUMMYFUNCTION("""COMPUTED_VALUE"""),"ed780e94-7b74-45eb-9f72-079c556c46b7")</f>
        <v>ed780e94-7b74-45eb-9f72-079c556c46b7</v>
      </c>
      <c r="C196" s="7">
        <f>IFERROR(__xludf.DUMMYFUNCTION("""COMPUTED_VALUE"""),266.0)</f>
        <v>266</v>
      </c>
      <c r="D196" s="6">
        <f>IFERROR(__xludf.DUMMYFUNCTION("""COMPUTED_VALUE"""),45439.0)</f>
        <v>45439</v>
      </c>
      <c r="E196" s="7" t="str">
        <f>IFERROR(__xludf.DUMMYFUNCTION("""COMPUTED_VALUE"""),"FRANQUIA_D&amp;G_SP")</f>
        <v>FRANQUIA_D&amp;G_SP</v>
      </c>
      <c r="F196" s="7" t="str">
        <f>IFERROR(__xludf.DUMMYFUNCTION("""COMPUTED_VALUE"""),"BICYCLE")</f>
        <v>BICYCLE</v>
      </c>
      <c r="G196" s="7" t="str">
        <f>IFERROR(__xludf.DUMMYFUNCTION("""COMPUTED_VALUE"""),"SAO PAULO")</f>
        <v>SAO PAULO</v>
      </c>
    </row>
    <row r="197">
      <c r="A197" s="6">
        <f>IFERROR(__xludf.DUMMYFUNCTION("""COMPUTED_VALUE"""),45705.0)</f>
        <v>45705</v>
      </c>
      <c r="B197" s="7" t="str">
        <f>IFERROR(__xludf.DUMMYFUNCTION("""COMPUTED_VALUE"""),"a5038657-aef1-43c2-97b2-3edf43187c9c")</f>
        <v>a5038657-aef1-43c2-97b2-3edf43187c9c</v>
      </c>
      <c r="C197" s="7">
        <f>IFERROR(__xludf.DUMMYFUNCTION("""COMPUTED_VALUE"""),1389.0)</f>
        <v>1389</v>
      </c>
      <c r="D197" s="6">
        <f>IFERROR(__xludf.DUMMYFUNCTION("""COMPUTED_VALUE"""),44316.0)</f>
        <v>44316</v>
      </c>
      <c r="E197" s="7" t="str">
        <f>IFERROR(__xludf.DUMMYFUNCTION("""COMPUTED_VALUE"""),"FRANQUIA_D&amp;G_SP")</f>
        <v>FRANQUIA_D&amp;G_SP</v>
      </c>
      <c r="F197" s="7" t="str">
        <f>IFERROR(__xludf.DUMMYFUNCTION("""COMPUTED_VALUE"""),"MOTORCYCLE")</f>
        <v>MOTORCYCLE</v>
      </c>
      <c r="G197" s="7" t="str">
        <f>IFERROR(__xludf.DUMMYFUNCTION("""COMPUTED_VALUE"""),"SAO PAULO")</f>
        <v>SAO PAULO</v>
      </c>
    </row>
    <row r="198">
      <c r="A198" s="6">
        <f>IFERROR(__xludf.DUMMYFUNCTION("""COMPUTED_VALUE"""),45705.0)</f>
        <v>45705</v>
      </c>
      <c r="B198" s="7" t="str">
        <f>IFERROR(__xludf.DUMMYFUNCTION("""COMPUTED_VALUE"""),"c8ed37e8-5fdd-4d18-8fcb-6732ea2f4def")</f>
        <v>c8ed37e8-5fdd-4d18-8fcb-6732ea2f4def</v>
      </c>
      <c r="C198" s="7">
        <f>IFERROR(__xludf.DUMMYFUNCTION("""COMPUTED_VALUE"""),12.0)</f>
        <v>12</v>
      </c>
      <c r="D198" s="6">
        <f>IFERROR(__xludf.DUMMYFUNCTION("""COMPUTED_VALUE"""),45693.0)</f>
        <v>45693</v>
      </c>
      <c r="E198" s="7" t="str">
        <f>IFERROR(__xludf.DUMMYFUNCTION("""COMPUTED_VALUE"""),"FRANQUIA_D&amp;G_SP")</f>
        <v>FRANQUIA_D&amp;G_SP</v>
      </c>
      <c r="F198" s="7" t="str">
        <f>IFERROR(__xludf.DUMMYFUNCTION("""COMPUTED_VALUE"""),"MOTORCYCLE")</f>
        <v>MOTORCYCLE</v>
      </c>
      <c r="G198" s="7" t="str">
        <f>IFERROR(__xludf.DUMMYFUNCTION("""COMPUTED_VALUE"""),"SAO PAULO")</f>
        <v>SAO PAULO</v>
      </c>
    </row>
    <row r="199">
      <c r="A199" s="6">
        <f>IFERROR(__xludf.DUMMYFUNCTION("""COMPUTED_VALUE"""),45705.0)</f>
        <v>45705</v>
      </c>
      <c r="B199" s="7" t="str">
        <f>IFERROR(__xludf.DUMMYFUNCTION("""COMPUTED_VALUE"""),"16961b10-a829-461f-9955-02ce3a7d15a4")</f>
        <v>16961b10-a829-461f-9955-02ce3a7d15a4</v>
      </c>
      <c r="C199" s="7">
        <f>IFERROR(__xludf.DUMMYFUNCTION("""COMPUTED_VALUE"""),0.0)</f>
        <v>0</v>
      </c>
      <c r="D199" s="6">
        <f>IFERROR(__xludf.DUMMYFUNCTION("""COMPUTED_VALUE"""),45705.0)</f>
        <v>45705</v>
      </c>
      <c r="E199" s="7" t="str">
        <f>IFERROR(__xludf.DUMMYFUNCTION("""COMPUTED_VALUE"""),"FRANQUIA_D&amp;G_SP")</f>
        <v>FRANQUIA_D&amp;G_SP</v>
      </c>
      <c r="F199" s="7" t="str">
        <f>IFERROR(__xludf.DUMMYFUNCTION("""COMPUTED_VALUE"""),"MOTORCYCLE")</f>
        <v>MOTORCYCLE</v>
      </c>
      <c r="G199" s="7" t="str">
        <f>IFERROR(__xludf.DUMMYFUNCTION("""COMPUTED_VALUE"""),"SAO PAULO")</f>
        <v>SAO PAULO</v>
      </c>
    </row>
    <row r="200">
      <c r="A200" s="6">
        <f>IFERROR(__xludf.DUMMYFUNCTION("""COMPUTED_VALUE"""),45705.0)</f>
        <v>45705</v>
      </c>
      <c r="B200" s="7" t="str">
        <f>IFERROR(__xludf.DUMMYFUNCTION("""COMPUTED_VALUE"""),"96d6eb32-38de-4f01-b6bb-52cc64d95030")</f>
        <v>96d6eb32-38de-4f01-b6bb-52cc64d95030</v>
      </c>
      <c r="C200" s="7">
        <f>IFERROR(__xludf.DUMMYFUNCTION("""COMPUTED_VALUE"""),0.0)</f>
        <v>0</v>
      </c>
      <c r="D200" s="6">
        <f>IFERROR(__xludf.DUMMYFUNCTION("""COMPUTED_VALUE"""),45705.0)</f>
        <v>45705</v>
      </c>
      <c r="E200" s="7" t="str">
        <f>IFERROR(__xludf.DUMMYFUNCTION("""COMPUTED_VALUE"""),"FRANQUIA_D&amp;G_SP")</f>
        <v>FRANQUIA_D&amp;G_SP</v>
      </c>
      <c r="F200" s="7" t="str">
        <f>IFERROR(__xludf.DUMMYFUNCTION("""COMPUTED_VALUE"""),"BICYCLE")</f>
        <v>BICYCLE</v>
      </c>
      <c r="G200" s="7" t="str">
        <f>IFERROR(__xludf.DUMMYFUNCTION("""COMPUTED_VALUE"""),"SAO PAULO")</f>
        <v>SAO PAULO</v>
      </c>
    </row>
    <row r="201">
      <c r="A201" s="6">
        <f>IFERROR(__xludf.DUMMYFUNCTION("""COMPUTED_VALUE"""),45705.0)</f>
        <v>45705</v>
      </c>
      <c r="B201" s="7" t="str">
        <f>IFERROR(__xludf.DUMMYFUNCTION("""COMPUTED_VALUE"""),"f63db61a-7f25-4f7b-8660-cefe03cd7e81")</f>
        <v>f63db61a-7f25-4f7b-8660-cefe03cd7e81</v>
      </c>
      <c r="C201" s="7">
        <f>IFERROR(__xludf.DUMMYFUNCTION("""COMPUTED_VALUE"""),39.0)</f>
        <v>39</v>
      </c>
      <c r="D201" s="6">
        <f>IFERROR(__xludf.DUMMYFUNCTION("""COMPUTED_VALUE"""),45666.0)</f>
        <v>45666</v>
      </c>
      <c r="E201" s="7" t="str">
        <f>IFERROR(__xludf.DUMMYFUNCTION("""COMPUTED_VALUE"""),"FRANQUIA_D&amp;G_SP")</f>
        <v>FRANQUIA_D&amp;G_SP</v>
      </c>
      <c r="F201" s="7" t="str">
        <f>IFERROR(__xludf.DUMMYFUNCTION("""COMPUTED_VALUE"""),"BICYCLE")</f>
        <v>BICYCLE</v>
      </c>
      <c r="G201" s="7" t="str">
        <f>IFERROR(__xludf.DUMMYFUNCTION("""COMPUTED_VALUE"""),"SAO PAULO")</f>
        <v>SAO PAULO</v>
      </c>
    </row>
    <row r="202">
      <c r="A202" s="6">
        <f>IFERROR(__xludf.DUMMYFUNCTION("""COMPUTED_VALUE"""),45705.0)</f>
        <v>45705</v>
      </c>
      <c r="B202" s="7" t="str">
        <f>IFERROR(__xludf.DUMMYFUNCTION("""COMPUTED_VALUE"""),"cff5c6e8-54c3-4f3e-81b5-86c4b1fd671b")</f>
        <v>cff5c6e8-54c3-4f3e-81b5-86c4b1fd671b</v>
      </c>
      <c r="C202" s="7">
        <f>IFERROR(__xludf.DUMMYFUNCTION("""COMPUTED_VALUE"""),67.0)</f>
        <v>67</v>
      </c>
      <c r="D202" s="6">
        <f>IFERROR(__xludf.DUMMYFUNCTION("""COMPUTED_VALUE"""),45638.0)</f>
        <v>45638</v>
      </c>
      <c r="E202" s="7" t="str">
        <f>IFERROR(__xludf.DUMMYFUNCTION("""COMPUTED_VALUE"""),"FRANQUIA_D&amp;G_SP")</f>
        <v>FRANQUIA_D&amp;G_SP</v>
      </c>
      <c r="F202" s="7" t="str">
        <f>IFERROR(__xludf.DUMMYFUNCTION("""COMPUTED_VALUE"""),"MOTORCYCLE")</f>
        <v>MOTORCYCLE</v>
      </c>
      <c r="G202" s="7" t="str">
        <f>IFERROR(__xludf.DUMMYFUNCTION("""COMPUTED_VALUE"""),"SAO PAULO")</f>
        <v>SAO PAULO</v>
      </c>
    </row>
    <row r="203">
      <c r="A203" s="6">
        <f>IFERROR(__xludf.DUMMYFUNCTION("""COMPUTED_VALUE"""),45705.0)</f>
        <v>45705</v>
      </c>
      <c r="B203" s="7" t="str">
        <f>IFERROR(__xludf.DUMMYFUNCTION("""COMPUTED_VALUE"""),"b6dd331d-0c25-4fee-9f4d-8214a1cb1c3a")</f>
        <v>b6dd331d-0c25-4fee-9f4d-8214a1cb1c3a</v>
      </c>
      <c r="C203" s="7">
        <f>IFERROR(__xludf.DUMMYFUNCTION("""COMPUTED_VALUE"""),7.0)</f>
        <v>7</v>
      </c>
      <c r="D203" s="6">
        <f>IFERROR(__xludf.DUMMYFUNCTION("""COMPUTED_VALUE"""),45698.0)</f>
        <v>45698</v>
      </c>
      <c r="E203" s="7" t="str">
        <f>IFERROR(__xludf.DUMMYFUNCTION("""COMPUTED_VALUE"""),"FRANQUIA_D&amp;G_SP")</f>
        <v>FRANQUIA_D&amp;G_SP</v>
      </c>
      <c r="F203" s="7" t="str">
        <f>IFERROR(__xludf.DUMMYFUNCTION("""COMPUTED_VALUE"""),"BICYCLE")</f>
        <v>BICYCLE</v>
      </c>
      <c r="G203" s="7" t="str">
        <f>IFERROR(__xludf.DUMMYFUNCTION("""COMPUTED_VALUE"""),"SAO PAULO")</f>
        <v>SAO PAULO</v>
      </c>
    </row>
    <row r="204">
      <c r="A204" s="6">
        <f>IFERROR(__xludf.DUMMYFUNCTION("""COMPUTED_VALUE"""),45705.0)</f>
        <v>45705</v>
      </c>
      <c r="B204" s="7" t="str">
        <f>IFERROR(__xludf.DUMMYFUNCTION("""COMPUTED_VALUE"""),"80e94483-7ce7-40da-b7f8-79d485b953c3")</f>
        <v>80e94483-7ce7-40da-b7f8-79d485b953c3</v>
      </c>
      <c r="C204" s="7">
        <f>IFERROR(__xludf.DUMMYFUNCTION("""COMPUTED_VALUE"""),99.0)</f>
        <v>99</v>
      </c>
      <c r="D204" s="6">
        <f>IFERROR(__xludf.DUMMYFUNCTION("""COMPUTED_VALUE"""),45606.0)</f>
        <v>45606</v>
      </c>
      <c r="E204" s="7" t="str">
        <f>IFERROR(__xludf.DUMMYFUNCTION("""COMPUTED_VALUE"""),"FRANQUIA_D&amp;G_SP")</f>
        <v>FRANQUIA_D&amp;G_SP</v>
      </c>
      <c r="F204" s="7" t="str">
        <f>IFERROR(__xludf.DUMMYFUNCTION("""COMPUTED_VALUE"""),"BICYCLE")</f>
        <v>BICYCLE</v>
      </c>
      <c r="G204" s="7" t="str">
        <f>IFERROR(__xludf.DUMMYFUNCTION("""COMPUTED_VALUE"""),"SAO PAULO")</f>
        <v>SAO PAULO</v>
      </c>
    </row>
    <row r="205">
      <c r="A205" s="6">
        <f>IFERROR(__xludf.DUMMYFUNCTION("""COMPUTED_VALUE"""),45705.0)</f>
        <v>45705</v>
      </c>
      <c r="B205" s="7" t="str">
        <f>IFERROR(__xludf.DUMMYFUNCTION("""COMPUTED_VALUE"""),"460d45cd-bc8b-4e9c-b582-597ed1b8e38f")</f>
        <v>460d45cd-bc8b-4e9c-b582-597ed1b8e38f</v>
      </c>
      <c r="C205" s="7">
        <f>IFERROR(__xludf.DUMMYFUNCTION("""COMPUTED_VALUE"""),18.0)</f>
        <v>18</v>
      </c>
      <c r="D205" s="6">
        <f>IFERROR(__xludf.DUMMYFUNCTION("""COMPUTED_VALUE"""),45687.0)</f>
        <v>45687</v>
      </c>
      <c r="E205" s="7" t="str">
        <f>IFERROR(__xludf.DUMMYFUNCTION("""COMPUTED_VALUE"""),"FRANQUIA_D&amp;G_SP")</f>
        <v>FRANQUIA_D&amp;G_SP</v>
      </c>
      <c r="F205" s="7" t="str">
        <f>IFERROR(__xludf.DUMMYFUNCTION("""COMPUTED_VALUE"""),"MOTORCYCLE")</f>
        <v>MOTORCYCLE</v>
      </c>
      <c r="G205" s="7" t="str">
        <f>IFERROR(__xludf.DUMMYFUNCTION("""COMPUTED_VALUE"""),"SAO PAULO")</f>
        <v>SAO PAULO</v>
      </c>
    </row>
    <row r="206">
      <c r="A206" s="6">
        <f>IFERROR(__xludf.DUMMYFUNCTION("""COMPUTED_VALUE"""),45705.0)</f>
        <v>45705</v>
      </c>
      <c r="B206" s="7" t="str">
        <f>IFERROR(__xludf.DUMMYFUNCTION("""COMPUTED_VALUE"""),"1cc27395-a513-4d6f-b366-a53db51e24b3")</f>
        <v>1cc27395-a513-4d6f-b366-a53db51e24b3</v>
      </c>
      <c r="C206" s="7">
        <f>IFERROR(__xludf.DUMMYFUNCTION("""COMPUTED_VALUE"""),0.0)</f>
        <v>0</v>
      </c>
      <c r="D206" s="6">
        <f>IFERROR(__xludf.DUMMYFUNCTION("""COMPUTED_VALUE"""),45705.0)</f>
        <v>45705</v>
      </c>
      <c r="E206" s="7" t="str">
        <f>IFERROR(__xludf.DUMMYFUNCTION("""COMPUTED_VALUE"""),"FRANQUIA_D&amp;G_SP")</f>
        <v>FRANQUIA_D&amp;G_SP</v>
      </c>
      <c r="F206" s="7" t="str">
        <f>IFERROR(__xludf.DUMMYFUNCTION("""COMPUTED_VALUE"""),"BICYCLE")</f>
        <v>BICYCLE</v>
      </c>
      <c r="G206" s="7" t="str">
        <f>IFERROR(__xludf.DUMMYFUNCTION("""COMPUTED_VALUE"""),"SAO PAULO")</f>
        <v>SAO PAULO</v>
      </c>
    </row>
    <row r="207">
      <c r="A207" s="6">
        <f>IFERROR(__xludf.DUMMYFUNCTION("""COMPUTED_VALUE"""),45705.0)</f>
        <v>45705</v>
      </c>
      <c r="B207" s="7" t="str">
        <f>IFERROR(__xludf.DUMMYFUNCTION("""COMPUTED_VALUE"""),"8e9364ad-3051-4b3e-9fa6-38aff200304c")</f>
        <v>8e9364ad-3051-4b3e-9fa6-38aff200304c</v>
      </c>
      <c r="C207" s="7">
        <f>IFERROR(__xludf.DUMMYFUNCTION("""COMPUTED_VALUE"""),0.0)</f>
        <v>0</v>
      </c>
      <c r="D207" s="6">
        <f>IFERROR(__xludf.DUMMYFUNCTION("""COMPUTED_VALUE"""),45705.0)</f>
        <v>45705</v>
      </c>
      <c r="E207" s="7" t="str">
        <f>IFERROR(__xludf.DUMMYFUNCTION("""COMPUTED_VALUE"""),"FRANQUIA_D&amp;G_SP")</f>
        <v>FRANQUIA_D&amp;G_SP</v>
      </c>
      <c r="F207" s="7" t="str">
        <f>IFERROR(__xludf.DUMMYFUNCTION("""COMPUTED_VALUE"""),"MOTORCYCLE")</f>
        <v>MOTORCYCLE</v>
      </c>
      <c r="G207" s="7" t="str">
        <f>IFERROR(__xludf.DUMMYFUNCTION("""COMPUTED_VALUE"""),"SAO PAULO")</f>
        <v>SAO PAULO</v>
      </c>
    </row>
    <row r="208">
      <c r="A208" s="6">
        <f>IFERROR(__xludf.DUMMYFUNCTION("""COMPUTED_VALUE"""),45705.0)</f>
        <v>45705</v>
      </c>
      <c r="B208" s="7" t="str">
        <f>IFERROR(__xludf.DUMMYFUNCTION("""COMPUTED_VALUE"""),"1f6a9bca-a4cc-4776-8a65-9292b8e6bcc2")</f>
        <v>1f6a9bca-a4cc-4776-8a65-9292b8e6bcc2</v>
      </c>
      <c r="C208" s="7">
        <f>IFERROR(__xludf.DUMMYFUNCTION("""COMPUTED_VALUE"""),11.0)</f>
        <v>11</v>
      </c>
      <c r="D208" s="6">
        <f>IFERROR(__xludf.DUMMYFUNCTION("""COMPUTED_VALUE"""),45694.0)</f>
        <v>45694</v>
      </c>
      <c r="E208" s="7" t="str">
        <f>IFERROR(__xludf.DUMMYFUNCTION("""COMPUTED_VALUE"""),"FRANQUIA_D&amp;G_SP")</f>
        <v>FRANQUIA_D&amp;G_SP</v>
      </c>
      <c r="F208" s="7" t="str">
        <f>IFERROR(__xludf.DUMMYFUNCTION("""COMPUTED_VALUE"""),"MOTORCYCLE")</f>
        <v>MOTORCYCLE</v>
      </c>
      <c r="G208" s="7" t="str">
        <f>IFERROR(__xludf.DUMMYFUNCTION("""COMPUTED_VALUE"""),"SAO PAULO")</f>
        <v>SAO PAULO</v>
      </c>
    </row>
    <row r="209">
      <c r="A209" s="6">
        <f>IFERROR(__xludf.DUMMYFUNCTION("""COMPUTED_VALUE"""),45705.0)</f>
        <v>45705</v>
      </c>
      <c r="B209" s="7" t="str">
        <f>IFERROR(__xludf.DUMMYFUNCTION("""COMPUTED_VALUE"""),"96831ab5-b565-42a2-8081-79dded4e2a87")</f>
        <v>96831ab5-b565-42a2-8081-79dded4e2a87</v>
      </c>
      <c r="C209" s="7">
        <f>IFERROR(__xludf.DUMMYFUNCTION("""COMPUTED_VALUE"""),193.0)</f>
        <v>193</v>
      </c>
      <c r="D209" s="6">
        <f>IFERROR(__xludf.DUMMYFUNCTION("""COMPUTED_VALUE"""),45512.0)</f>
        <v>45512</v>
      </c>
      <c r="E209" s="7" t="str">
        <f>IFERROR(__xludf.DUMMYFUNCTION("""COMPUTED_VALUE"""),"FRANQUIA_D&amp;G_SP")</f>
        <v>FRANQUIA_D&amp;G_SP</v>
      </c>
      <c r="F209" s="7" t="str">
        <f>IFERROR(__xludf.DUMMYFUNCTION("""COMPUTED_VALUE"""),"MOTORCYCLE")</f>
        <v>MOTORCYCLE</v>
      </c>
      <c r="G209" s="7" t="str">
        <f>IFERROR(__xludf.DUMMYFUNCTION("""COMPUTED_VALUE"""),"SAO PAULO")</f>
        <v>SAO PAULO</v>
      </c>
    </row>
    <row r="210">
      <c r="A210" s="6">
        <f>IFERROR(__xludf.DUMMYFUNCTION("""COMPUTED_VALUE"""),45705.0)</f>
        <v>45705</v>
      </c>
      <c r="B210" s="7" t="str">
        <f>IFERROR(__xludf.DUMMYFUNCTION("""COMPUTED_VALUE"""),"23f67f88-fa55-4d09-b3fb-e9eaaa95b259")</f>
        <v>23f67f88-fa55-4d09-b3fb-e9eaaa95b259</v>
      </c>
      <c r="C210" s="7">
        <f>IFERROR(__xludf.DUMMYFUNCTION("""COMPUTED_VALUE"""),0.0)</f>
        <v>0</v>
      </c>
      <c r="D210" s="6">
        <f>IFERROR(__xludf.DUMMYFUNCTION("""COMPUTED_VALUE"""),45705.0)</f>
        <v>45705</v>
      </c>
      <c r="E210" s="7" t="str">
        <f>IFERROR(__xludf.DUMMYFUNCTION("""COMPUTED_VALUE"""),"FRANQUIA_D&amp;G_SP")</f>
        <v>FRANQUIA_D&amp;G_SP</v>
      </c>
      <c r="F210" s="7" t="str">
        <f>IFERROR(__xludf.DUMMYFUNCTION("""COMPUTED_VALUE"""),"EMOTORCYCLE")</f>
        <v>EMOTORCYCLE</v>
      </c>
      <c r="G210" s="7" t="str">
        <f>IFERROR(__xludf.DUMMYFUNCTION("""COMPUTED_VALUE"""),"SAO PAULO")</f>
        <v>SAO PAULO</v>
      </c>
    </row>
    <row r="211">
      <c r="A211" s="6">
        <f>IFERROR(__xludf.DUMMYFUNCTION("""COMPUTED_VALUE"""),45705.0)</f>
        <v>45705</v>
      </c>
      <c r="B211" s="7" t="str">
        <f>IFERROR(__xludf.DUMMYFUNCTION("""COMPUTED_VALUE"""),"a758b3ca-d6b7-4dd4-b840-fdaea296b9b4")</f>
        <v>a758b3ca-d6b7-4dd4-b840-fdaea296b9b4</v>
      </c>
      <c r="C211" s="7">
        <f>IFERROR(__xludf.DUMMYFUNCTION("""COMPUTED_VALUE"""),0.0)</f>
        <v>0</v>
      </c>
      <c r="D211" s="6">
        <f>IFERROR(__xludf.DUMMYFUNCTION("""COMPUTED_VALUE"""),45705.0)</f>
        <v>45705</v>
      </c>
      <c r="E211" s="7" t="str">
        <f>IFERROR(__xludf.DUMMYFUNCTION("""COMPUTED_VALUE"""),"FRANQUIA_D&amp;G_SP")</f>
        <v>FRANQUIA_D&amp;G_SP</v>
      </c>
      <c r="F211" s="7" t="str">
        <f>IFERROR(__xludf.DUMMYFUNCTION("""COMPUTED_VALUE"""),"MOTORCYCLE")</f>
        <v>MOTORCYCLE</v>
      </c>
      <c r="G211" s="7" t="str">
        <f>IFERROR(__xludf.DUMMYFUNCTION("""COMPUTED_VALUE"""),"SAO PAULO")</f>
        <v>SAO PAULO</v>
      </c>
    </row>
    <row r="212">
      <c r="A212" s="6">
        <f>IFERROR(__xludf.DUMMYFUNCTION("""COMPUTED_VALUE"""),45705.0)</f>
        <v>45705</v>
      </c>
      <c r="B212" s="7" t="str">
        <f>IFERROR(__xludf.DUMMYFUNCTION("""COMPUTED_VALUE"""),"eb79c634-d091-4f4c-a5ef-92197f518e6d")</f>
        <v>eb79c634-d091-4f4c-a5ef-92197f518e6d</v>
      </c>
      <c r="C212" s="7">
        <f>IFERROR(__xludf.DUMMYFUNCTION("""COMPUTED_VALUE"""),0.0)</f>
        <v>0</v>
      </c>
      <c r="D212" s="6">
        <f>IFERROR(__xludf.DUMMYFUNCTION("""COMPUTED_VALUE"""),45705.0)</f>
        <v>45705</v>
      </c>
      <c r="E212" s="7" t="str">
        <f>IFERROR(__xludf.DUMMYFUNCTION("""COMPUTED_VALUE"""),"FRANQUIA_D&amp;G_SP")</f>
        <v>FRANQUIA_D&amp;G_SP</v>
      </c>
      <c r="F212" s="7" t="str">
        <f>IFERROR(__xludf.DUMMYFUNCTION("""COMPUTED_VALUE"""),"BICYCLE")</f>
        <v>BICYCLE</v>
      </c>
      <c r="G212" s="7" t="str">
        <f>IFERROR(__xludf.DUMMYFUNCTION("""COMPUTED_VALUE"""),"SAO PAULO")</f>
        <v>SAO PAULO</v>
      </c>
    </row>
    <row r="213">
      <c r="A213" s="6">
        <f>IFERROR(__xludf.DUMMYFUNCTION("""COMPUTED_VALUE"""),45705.0)</f>
        <v>45705</v>
      </c>
      <c r="B213" s="7" t="str">
        <f>IFERROR(__xludf.DUMMYFUNCTION("""COMPUTED_VALUE"""),"47eb7c6e-0a19-41eb-bfb3-dccf66707591")</f>
        <v>47eb7c6e-0a19-41eb-bfb3-dccf66707591</v>
      </c>
      <c r="C213" s="7">
        <f>IFERROR(__xludf.DUMMYFUNCTION("""COMPUTED_VALUE"""),73.0)</f>
        <v>73</v>
      </c>
      <c r="D213" s="6">
        <f>IFERROR(__xludf.DUMMYFUNCTION("""COMPUTED_VALUE"""),45632.0)</f>
        <v>45632</v>
      </c>
      <c r="E213" s="7" t="str">
        <f>IFERROR(__xludf.DUMMYFUNCTION("""COMPUTED_VALUE"""),"FRANQUIA_D&amp;G_SP")</f>
        <v>FRANQUIA_D&amp;G_SP</v>
      </c>
      <c r="F213" s="7" t="str">
        <f>IFERROR(__xludf.DUMMYFUNCTION("""COMPUTED_VALUE"""),"BICYCLE")</f>
        <v>BICYCLE</v>
      </c>
      <c r="G213" s="7" t="str">
        <f>IFERROR(__xludf.DUMMYFUNCTION("""COMPUTED_VALUE"""),"SAO PAULO")</f>
        <v>SAO PAULO</v>
      </c>
    </row>
    <row r="214">
      <c r="A214" s="6">
        <f>IFERROR(__xludf.DUMMYFUNCTION("""COMPUTED_VALUE"""),45705.0)</f>
        <v>45705</v>
      </c>
      <c r="B214" s="7" t="str">
        <f>IFERROR(__xludf.DUMMYFUNCTION("""COMPUTED_VALUE"""),"f98d2706-e860-4bf2-94e0-8bc8b2879552")</f>
        <v>f98d2706-e860-4bf2-94e0-8bc8b2879552</v>
      </c>
      <c r="C214" s="7">
        <f>IFERROR(__xludf.DUMMYFUNCTION("""COMPUTED_VALUE"""),0.0)</f>
        <v>0</v>
      </c>
      <c r="D214" s="6">
        <f>IFERROR(__xludf.DUMMYFUNCTION("""COMPUTED_VALUE"""),45705.0)</f>
        <v>45705</v>
      </c>
      <c r="E214" s="7" t="str">
        <f>IFERROR(__xludf.DUMMYFUNCTION("""COMPUTED_VALUE"""),"FRANQUIA_D&amp;G_SP")</f>
        <v>FRANQUIA_D&amp;G_SP</v>
      </c>
      <c r="F214" s="7" t="str">
        <f>IFERROR(__xludf.DUMMYFUNCTION("""COMPUTED_VALUE"""),"MOTORCYCLE")</f>
        <v>MOTORCYCLE</v>
      </c>
      <c r="G214" s="7" t="str">
        <f>IFERROR(__xludf.DUMMYFUNCTION("""COMPUTED_VALUE"""),"SAO PAULO")</f>
        <v>SAO PAULO</v>
      </c>
    </row>
    <row r="215">
      <c r="A215" s="6">
        <f>IFERROR(__xludf.DUMMYFUNCTION("""COMPUTED_VALUE"""),45705.0)</f>
        <v>45705</v>
      </c>
      <c r="B215" s="7" t="str">
        <f>IFERROR(__xludf.DUMMYFUNCTION("""COMPUTED_VALUE"""),"3d791783-7aef-41d8-8715-f5a25589f963")</f>
        <v>3d791783-7aef-41d8-8715-f5a25589f963</v>
      </c>
      <c r="C215" s="7">
        <f>IFERROR(__xludf.DUMMYFUNCTION("""COMPUTED_VALUE"""),95.0)</f>
        <v>95</v>
      </c>
      <c r="D215" s="6">
        <f>IFERROR(__xludf.DUMMYFUNCTION("""COMPUTED_VALUE"""),45610.0)</f>
        <v>45610</v>
      </c>
      <c r="E215" s="7" t="str">
        <f>IFERROR(__xludf.DUMMYFUNCTION("""COMPUTED_VALUE"""),"FRANQUIA_D&amp;G_SP")</f>
        <v>FRANQUIA_D&amp;G_SP</v>
      </c>
      <c r="F215" s="7" t="str">
        <f>IFERROR(__xludf.DUMMYFUNCTION("""COMPUTED_VALUE"""),"BICYCLE")</f>
        <v>BICYCLE</v>
      </c>
      <c r="G215" s="7" t="str">
        <f>IFERROR(__xludf.DUMMYFUNCTION("""COMPUTED_VALUE"""),"SAO PAULO")</f>
        <v>SAO PAULO</v>
      </c>
    </row>
    <row r="216">
      <c r="A216" s="6">
        <f>IFERROR(__xludf.DUMMYFUNCTION("""COMPUTED_VALUE"""),45705.0)</f>
        <v>45705</v>
      </c>
      <c r="B216" s="7" t="str">
        <f>IFERROR(__xludf.DUMMYFUNCTION("""COMPUTED_VALUE"""),"6b05e990-9316-4ff2-a32e-e74a56a96158")</f>
        <v>6b05e990-9316-4ff2-a32e-e74a56a96158</v>
      </c>
      <c r="C216" s="7">
        <f>IFERROR(__xludf.DUMMYFUNCTION("""COMPUTED_VALUE"""),0.0)</f>
        <v>0</v>
      </c>
      <c r="D216" s="6">
        <f>IFERROR(__xludf.DUMMYFUNCTION("""COMPUTED_VALUE"""),45705.0)</f>
        <v>45705</v>
      </c>
      <c r="E216" s="7" t="str">
        <f>IFERROR(__xludf.DUMMYFUNCTION("""COMPUTED_VALUE"""),"FRANQUIA_D&amp;G_SP")</f>
        <v>FRANQUIA_D&amp;G_SP</v>
      </c>
      <c r="F216" s="7" t="str">
        <f>IFERROR(__xludf.DUMMYFUNCTION("""COMPUTED_VALUE"""),"EMOTORCYCLE")</f>
        <v>EMOTORCYCLE</v>
      </c>
      <c r="G216" s="7" t="str">
        <f>IFERROR(__xludf.DUMMYFUNCTION("""COMPUTED_VALUE"""),"SAO PAULO")</f>
        <v>SAO PAULO</v>
      </c>
    </row>
    <row r="217">
      <c r="A217" s="6">
        <f>IFERROR(__xludf.DUMMYFUNCTION("""COMPUTED_VALUE"""),45705.0)</f>
        <v>45705</v>
      </c>
      <c r="B217" s="7" t="str">
        <f>IFERROR(__xludf.DUMMYFUNCTION("""COMPUTED_VALUE"""),"369724ff-4e6f-4777-b1de-5703cf17a6e7")</f>
        <v>369724ff-4e6f-4777-b1de-5703cf17a6e7</v>
      </c>
      <c r="C217" s="7">
        <f>IFERROR(__xludf.DUMMYFUNCTION("""COMPUTED_VALUE"""),310.0)</f>
        <v>310</v>
      </c>
      <c r="D217" s="6">
        <f>IFERROR(__xludf.DUMMYFUNCTION("""COMPUTED_VALUE"""),45395.0)</f>
        <v>45395</v>
      </c>
      <c r="E217" s="7" t="str">
        <f>IFERROR(__xludf.DUMMYFUNCTION("""COMPUTED_VALUE"""),"FRANQUIA_D&amp;G_SP")</f>
        <v>FRANQUIA_D&amp;G_SP</v>
      </c>
      <c r="F217" s="7" t="str">
        <f>IFERROR(__xludf.DUMMYFUNCTION("""COMPUTED_VALUE"""),"MOTORCYCLE")</f>
        <v>MOTORCYCLE</v>
      </c>
      <c r="G217" s="7" t="str">
        <f>IFERROR(__xludf.DUMMYFUNCTION("""COMPUTED_VALUE"""),"SAO PAULO")</f>
        <v>SAO PAULO</v>
      </c>
    </row>
    <row r="218">
      <c r="A218" s="6">
        <f>IFERROR(__xludf.DUMMYFUNCTION("""COMPUTED_VALUE"""),45705.0)</f>
        <v>45705</v>
      </c>
      <c r="B218" s="7" t="str">
        <f>IFERROR(__xludf.DUMMYFUNCTION("""COMPUTED_VALUE"""),"2353d9d9-f9d2-44bf-8bb7-5ad8c08cfa7a")</f>
        <v>2353d9d9-f9d2-44bf-8bb7-5ad8c08cfa7a</v>
      </c>
      <c r="C218" s="7">
        <f>IFERROR(__xludf.DUMMYFUNCTION("""COMPUTED_VALUE"""),34.0)</f>
        <v>34</v>
      </c>
      <c r="D218" s="6">
        <f>IFERROR(__xludf.DUMMYFUNCTION("""COMPUTED_VALUE"""),45671.0)</f>
        <v>45671</v>
      </c>
      <c r="E218" s="7" t="str">
        <f>IFERROR(__xludf.DUMMYFUNCTION("""COMPUTED_VALUE"""),"FRANQUIA_D&amp;G_SP")</f>
        <v>FRANQUIA_D&amp;G_SP</v>
      </c>
      <c r="F218" s="7" t="str">
        <f>IFERROR(__xludf.DUMMYFUNCTION("""COMPUTED_VALUE"""),"MOTORCYCLE")</f>
        <v>MOTORCYCLE</v>
      </c>
      <c r="G218" s="7" t="str">
        <f>IFERROR(__xludf.DUMMYFUNCTION("""COMPUTED_VALUE"""),"SAO PAULO")</f>
        <v>SAO PAULO</v>
      </c>
    </row>
    <row r="219">
      <c r="A219" s="6">
        <f>IFERROR(__xludf.DUMMYFUNCTION("""COMPUTED_VALUE"""),45705.0)</f>
        <v>45705</v>
      </c>
      <c r="B219" s="7" t="str">
        <f>IFERROR(__xludf.DUMMYFUNCTION("""COMPUTED_VALUE"""),"2f2784f6-2084-4807-852d-3eb16813d1d1")</f>
        <v>2f2784f6-2084-4807-852d-3eb16813d1d1</v>
      </c>
      <c r="C219" s="7">
        <f>IFERROR(__xludf.DUMMYFUNCTION("""COMPUTED_VALUE"""),29.0)</f>
        <v>29</v>
      </c>
      <c r="D219" s="6">
        <f>IFERROR(__xludf.DUMMYFUNCTION("""COMPUTED_VALUE"""),45676.0)</f>
        <v>45676</v>
      </c>
      <c r="E219" s="7" t="str">
        <f>IFERROR(__xludf.DUMMYFUNCTION("""COMPUTED_VALUE"""),"FRANQUIA_D&amp;G_SP")</f>
        <v>FRANQUIA_D&amp;G_SP</v>
      </c>
      <c r="F219" s="7" t="str">
        <f>IFERROR(__xludf.DUMMYFUNCTION("""COMPUTED_VALUE"""),"BICYCLE")</f>
        <v>BICYCLE</v>
      </c>
      <c r="G219" s="7" t="str">
        <f>IFERROR(__xludf.DUMMYFUNCTION("""COMPUTED_VALUE"""),"SAO PAULO")</f>
        <v>SAO PAULO</v>
      </c>
    </row>
    <row r="220">
      <c r="A220" s="6">
        <f>IFERROR(__xludf.DUMMYFUNCTION("""COMPUTED_VALUE"""),45705.0)</f>
        <v>45705</v>
      </c>
      <c r="B220" s="7" t="str">
        <f>IFERROR(__xludf.DUMMYFUNCTION("""COMPUTED_VALUE"""),"637592e6-7d81-4b69-bdad-cec3bb02ba75")</f>
        <v>637592e6-7d81-4b69-bdad-cec3bb02ba75</v>
      </c>
      <c r="C220" s="7">
        <f>IFERROR(__xludf.DUMMYFUNCTION("""COMPUTED_VALUE"""),0.0)</f>
        <v>0</v>
      </c>
      <c r="D220" s="6">
        <f>IFERROR(__xludf.DUMMYFUNCTION("""COMPUTED_VALUE"""),0.0)</f>
        <v>0</v>
      </c>
      <c r="E220" s="7" t="str">
        <f>IFERROR(__xludf.DUMMYFUNCTION("""COMPUTED_VALUE"""),"FRANQUIA_D&amp;G_SP")</f>
        <v>FRANQUIA_D&amp;G_SP</v>
      </c>
      <c r="F220" s="7" t="str">
        <f>IFERROR(__xludf.DUMMYFUNCTION("""COMPUTED_VALUE"""),"BICYCLE")</f>
        <v>BICYCLE</v>
      </c>
      <c r="G220" s="7" t="str">
        <f>IFERROR(__xludf.DUMMYFUNCTION("""COMPUTED_VALUE"""),"0")</f>
        <v>0</v>
      </c>
    </row>
    <row r="221">
      <c r="A221" s="6">
        <f>IFERROR(__xludf.DUMMYFUNCTION("""COMPUTED_VALUE"""),45705.0)</f>
        <v>45705</v>
      </c>
      <c r="B221" s="7" t="str">
        <f>IFERROR(__xludf.DUMMYFUNCTION("""COMPUTED_VALUE"""),"2b2fe071-2048-4893-826d-57b49d1424fc")</f>
        <v>2b2fe071-2048-4893-826d-57b49d1424fc</v>
      </c>
      <c r="C221" s="7">
        <f>IFERROR(__xludf.DUMMYFUNCTION("""COMPUTED_VALUE"""),0.0)</f>
        <v>0</v>
      </c>
      <c r="D221" s="6">
        <f>IFERROR(__xludf.DUMMYFUNCTION("""COMPUTED_VALUE"""),45705.0)</f>
        <v>45705</v>
      </c>
      <c r="E221" s="7" t="str">
        <f>IFERROR(__xludf.DUMMYFUNCTION("""COMPUTED_VALUE"""),"FRANQUIA_D&amp;G_SP")</f>
        <v>FRANQUIA_D&amp;G_SP</v>
      </c>
      <c r="F221" s="7" t="str">
        <f>IFERROR(__xludf.DUMMYFUNCTION("""COMPUTED_VALUE"""),"MOTORCYCLE")</f>
        <v>MOTORCYCLE</v>
      </c>
      <c r="G221" s="7" t="str">
        <f>IFERROR(__xludf.DUMMYFUNCTION("""COMPUTED_VALUE"""),"ITAPECERICA DA SERRA")</f>
        <v>ITAPECERICA DA SERRA</v>
      </c>
    </row>
    <row r="222">
      <c r="A222" s="6">
        <f>IFERROR(__xludf.DUMMYFUNCTION("""COMPUTED_VALUE"""),45705.0)</f>
        <v>45705</v>
      </c>
      <c r="B222" s="7" t="str">
        <f>IFERROR(__xludf.DUMMYFUNCTION("""COMPUTED_VALUE"""),"e6666e05-be13-443e-9c7d-99c979606dba")</f>
        <v>e6666e05-be13-443e-9c7d-99c979606dba</v>
      </c>
      <c r="C222" s="7">
        <f>IFERROR(__xludf.DUMMYFUNCTION("""COMPUTED_VALUE"""),0.0)</f>
        <v>0</v>
      </c>
      <c r="D222" s="6">
        <f>IFERROR(__xludf.DUMMYFUNCTION("""COMPUTED_VALUE"""),45705.0)</f>
        <v>45705</v>
      </c>
      <c r="E222" s="7" t="str">
        <f>IFERROR(__xludf.DUMMYFUNCTION("""COMPUTED_VALUE"""),"FRANQUIA_D&amp;G_SP")</f>
        <v>FRANQUIA_D&amp;G_SP</v>
      </c>
      <c r="F222" s="7" t="str">
        <f>IFERROR(__xludf.DUMMYFUNCTION("""COMPUTED_VALUE"""),"MOTORCYCLE")</f>
        <v>MOTORCYCLE</v>
      </c>
      <c r="G222" s="7" t="str">
        <f>IFERROR(__xludf.DUMMYFUNCTION("""COMPUTED_VALUE"""),"SAO PAULO")</f>
        <v>SAO PAULO</v>
      </c>
    </row>
    <row r="223">
      <c r="A223" s="6">
        <f>IFERROR(__xludf.DUMMYFUNCTION("""COMPUTED_VALUE"""),45705.0)</f>
        <v>45705</v>
      </c>
      <c r="B223" s="7" t="str">
        <f>IFERROR(__xludf.DUMMYFUNCTION("""COMPUTED_VALUE"""),"e8a5dd5d-6a06-4074-9acf-40789caecb8a")</f>
        <v>e8a5dd5d-6a06-4074-9acf-40789caecb8a</v>
      </c>
      <c r="C223" s="7">
        <f>IFERROR(__xludf.DUMMYFUNCTION("""COMPUTED_VALUE"""),0.0)</f>
        <v>0</v>
      </c>
      <c r="D223" s="6">
        <f>IFERROR(__xludf.DUMMYFUNCTION("""COMPUTED_VALUE"""),45705.0)</f>
        <v>45705</v>
      </c>
      <c r="E223" s="7" t="str">
        <f>IFERROR(__xludf.DUMMYFUNCTION("""COMPUTED_VALUE"""),"FRANQUIA_D&amp;G_SP")</f>
        <v>FRANQUIA_D&amp;G_SP</v>
      </c>
      <c r="F223" s="7" t="str">
        <f>IFERROR(__xludf.DUMMYFUNCTION("""COMPUTED_VALUE"""),"EMOTORCYCLE")</f>
        <v>EMOTORCYCLE</v>
      </c>
      <c r="G223" s="7" t="str">
        <f>IFERROR(__xludf.DUMMYFUNCTION("""COMPUTED_VALUE"""),"SAO PAULO")</f>
        <v>SAO PAULO</v>
      </c>
    </row>
    <row r="224">
      <c r="A224" s="6">
        <f>IFERROR(__xludf.DUMMYFUNCTION("""COMPUTED_VALUE"""),45705.0)</f>
        <v>45705</v>
      </c>
      <c r="B224" s="7" t="str">
        <f>IFERROR(__xludf.DUMMYFUNCTION("""COMPUTED_VALUE"""),"00548414-a379-4493-a94b-d8042dc0be12")</f>
        <v>00548414-a379-4493-a94b-d8042dc0be12</v>
      </c>
      <c r="C224" s="7">
        <f>IFERROR(__xludf.DUMMYFUNCTION("""COMPUTED_VALUE"""),1.0)</f>
        <v>1</v>
      </c>
      <c r="D224" s="6">
        <f>IFERROR(__xludf.DUMMYFUNCTION("""COMPUTED_VALUE"""),45704.0)</f>
        <v>45704</v>
      </c>
      <c r="E224" s="7" t="str">
        <f>IFERROR(__xludf.DUMMYFUNCTION("""COMPUTED_VALUE"""),"FRANQUIA_D&amp;G_SP")</f>
        <v>FRANQUIA_D&amp;G_SP</v>
      </c>
      <c r="F224" s="7" t="str">
        <f>IFERROR(__xludf.DUMMYFUNCTION("""COMPUTED_VALUE"""),"MOTORCYCLE")</f>
        <v>MOTORCYCLE</v>
      </c>
      <c r="G224" s="7" t="str">
        <f>IFERROR(__xludf.DUMMYFUNCTION("""COMPUTED_VALUE"""),"SAO PAULO")</f>
        <v>SAO PAULO</v>
      </c>
    </row>
    <row r="225">
      <c r="A225" s="6">
        <f>IFERROR(__xludf.DUMMYFUNCTION("""COMPUTED_VALUE"""),45705.0)</f>
        <v>45705</v>
      </c>
      <c r="B225" s="7" t="str">
        <f>IFERROR(__xludf.DUMMYFUNCTION("""COMPUTED_VALUE"""),"89a89409-c94c-4845-9883-0fa9f4feaa10")</f>
        <v>89a89409-c94c-4845-9883-0fa9f4feaa10</v>
      </c>
      <c r="C225" s="7">
        <f>IFERROR(__xludf.DUMMYFUNCTION("""COMPUTED_VALUE"""),1.0)</f>
        <v>1</v>
      </c>
      <c r="D225" s="6">
        <f>IFERROR(__xludf.DUMMYFUNCTION("""COMPUTED_VALUE"""),45704.0)</f>
        <v>45704</v>
      </c>
      <c r="E225" s="7" t="str">
        <f>IFERROR(__xludf.DUMMYFUNCTION("""COMPUTED_VALUE"""),"FRANQUIA_D&amp;G_SP")</f>
        <v>FRANQUIA_D&amp;G_SP</v>
      </c>
      <c r="F225" s="7" t="str">
        <f>IFERROR(__xludf.DUMMYFUNCTION("""COMPUTED_VALUE"""),"MOTORCYCLE")</f>
        <v>MOTORCYCLE</v>
      </c>
      <c r="G225" s="7" t="str">
        <f>IFERROR(__xludf.DUMMYFUNCTION("""COMPUTED_VALUE"""),"SAO PAULO")</f>
        <v>SAO PAULO</v>
      </c>
    </row>
    <row r="226">
      <c r="A226" s="6">
        <f>IFERROR(__xludf.DUMMYFUNCTION("""COMPUTED_VALUE"""),45705.0)</f>
        <v>45705</v>
      </c>
      <c r="B226" s="7" t="str">
        <f>IFERROR(__xludf.DUMMYFUNCTION("""COMPUTED_VALUE"""),"db62c0f5-ae86-4070-9a95-401696fb5413")</f>
        <v>db62c0f5-ae86-4070-9a95-401696fb5413</v>
      </c>
      <c r="C226" s="7">
        <f>IFERROR(__xludf.DUMMYFUNCTION("""COMPUTED_VALUE"""),17.0)</f>
        <v>17</v>
      </c>
      <c r="D226" s="6">
        <f>IFERROR(__xludf.DUMMYFUNCTION("""COMPUTED_VALUE"""),45688.0)</f>
        <v>45688</v>
      </c>
      <c r="E226" s="7" t="str">
        <f>IFERROR(__xludf.DUMMYFUNCTION("""COMPUTED_VALUE"""),"FRANQUIA_D&amp;G_SP")</f>
        <v>FRANQUIA_D&amp;G_SP</v>
      </c>
      <c r="F226" s="7" t="str">
        <f>IFERROR(__xludf.DUMMYFUNCTION("""COMPUTED_VALUE"""),"BICYCLE")</f>
        <v>BICYCLE</v>
      </c>
      <c r="G226" s="7" t="str">
        <f>IFERROR(__xludf.DUMMYFUNCTION("""COMPUTED_VALUE"""),"SAO PAULO")</f>
        <v>SAO PAULO</v>
      </c>
    </row>
    <row r="227">
      <c r="A227" s="6">
        <f>IFERROR(__xludf.DUMMYFUNCTION("""COMPUTED_VALUE"""),45705.0)</f>
        <v>45705</v>
      </c>
      <c r="B227" s="7" t="str">
        <f>IFERROR(__xludf.DUMMYFUNCTION("""COMPUTED_VALUE"""),"5e719ffb-4e07-4849-8c7e-478e7f8c5832")</f>
        <v>5e719ffb-4e07-4849-8c7e-478e7f8c5832</v>
      </c>
      <c r="C227" s="7">
        <f>IFERROR(__xludf.DUMMYFUNCTION("""COMPUTED_VALUE"""),0.0)</f>
        <v>0</v>
      </c>
      <c r="D227" s="6">
        <f>IFERROR(__xludf.DUMMYFUNCTION("""COMPUTED_VALUE"""),45705.0)</f>
        <v>45705</v>
      </c>
      <c r="E227" s="7" t="str">
        <f>IFERROR(__xludf.DUMMYFUNCTION("""COMPUTED_VALUE"""),"FRANQUIA_D&amp;G_SP")</f>
        <v>FRANQUIA_D&amp;G_SP</v>
      </c>
      <c r="F227" s="7" t="str">
        <f>IFERROR(__xludf.DUMMYFUNCTION("""COMPUTED_VALUE"""),"BICYCLE")</f>
        <v>BICYCLE</v>
      </c>
      <c r="G227" s="7" t="str">
        <f>IFERROR(__xludf.DUMMYFUNCTION("""COMPUTED_VALUE"""),"SAO PAULO")</f>
        <v>SAO PAULO</v>
      </c>
    </row>
    <row r="228">
      <c r="A228" s="6">
        <f>IFERROR(__xludf.DUMMYFUNCTION("""COMPUTED_VALUE"""),45705.0)</f>
        <v>45705</v>
      </c>
      <c r="B228" s="7" t="str">
        <f>IFERROR(__xludf.DUMMYFUNCTION("""COMPUTED_VALUE"""),"570caaf5-7232-469e-b7da-dee1ac5a5200")</f>
        <v>570caaf5-7232-469e-b7da-dee1ac5a5200</v>
      </c>
      <c r="C228" s="7">
        <f>IFERROR(__xludf.DUMMYFUNCTION("""COMPUTED_VALUE"""),0.0)</f>
        <v>0</v>
      </c>
      <c r="D228" s="6">
        <f>IFERROR(__xludf.DUMMYFUNCTION("""COMPUTED_VALUE"""),45705.0)</f>
        <v>45705</v>
      </c>
      <c r="E228" s="7" t="str">
        <f>IFERROR(__xludf.DUMMYFUNCTION("""COMPUTED_VALUE"""),"FRANQUIA_D&amp;G_SP")</f>
        <v>FRANQUIA_D&amp;G_SP</v>
      </c>
      <c r="F228" s="7" t="str">
        <f>IFERROR(__xludf.DUMMYFUNCTION("""COMPUTED_VALUE"""),"MOTORCYCLE")</f>
        <v>MOTORCYCLE</v>
      </c>
      <c r="G228" s="7" t="str">
        <f>IFERROR(__xludf.DUMMYFUNCTION("""COMPUTED_VALUE"""),"ABC")</f>
        <v>ABC</v>
      </c>
    </row>
    <row r="229">
      <c r="A229" s="6">
        <f>IFERROR(__xludf.DUMMYFUNCTION("""COMPUTED_VALUE"""),45705.0)</f>
        <v>45705</v>
      </c>
      <c r="B229" s="7" t="str">
        <f>IFERROR(__xludf.DUMMYFUNCTION("""COMPUTED_VALUE"""),"a01839f2-d17d-490f-b4f1-39e29a37a342")</f>
        <v>a01839f2-d17d-490f-b4f1-39e29a37a342</v>
      </c>
      <c r="C229" s="7">
        <f>IFERROR(__xludf.DUMMYFUNCTION("""COMPUTED_VALUE"""),174.0)</f>
        <v>174</v>
      </c>
      <c r="D229" s="6">
        <f>IFERROR(__xludf.DUMMYFUNCTION("""COMPUTED_VALUE"""),45531.0)</f>
        <v>45531</v>
      </c>
      <c r="E229" s="7" t="str">
        <f>IFERROR(__xludf.DUMMYFUNCTION("""COMPUTED_VALUE"""),"FRANQUIA_D&amp;G_SP")</f>
        <v>FRANQUIA_D&amp;G_SP</v>
      </c>
      <c r="F229" s="7" t="str">
        <f>IFERROR(__xludf.DUMMYFUNCTION("""COMPUTED_VALUE"""),"MOTORCYCLE")</f>
        <v>MOTORCYCLE</v>
      </c>
      <c r="G229" s="7" t="str">
        <f>IFERROR(__xludf.DUMMYFUNCTION("""COMPUTED_VALUE"""),"SAO PAULO")</f>
        <v>SAO PAULO</v>
      </c>
    </row>
    <row r="230">
      <c r="A230" s="6">
        <f>IFERROR(__xludf.DUMMYFUNCTION("""COMPUTED_VALUE"""),45705.0)</f>
        <v>45705</v>
      </c>
      <c r="B230" s="7" t="str">
        <f>IFERROR(__xludf.DUMMYFUNCTION("""COMPUTED_VALUE"""),"66628781-3472-4cf6-835a-2602973b9cf2")</f>
        <v>66628781-3472-4cf6-835a-2602973b9cf2</v>
      </c>
      <c r="C230" s="7">
        <f>IFERROR(__xludf.DUMMYFUNCTION("""COMPUTED_VALUE"""),56.0)</f>
        <v>56</v>
      </c>
      <c r="D230" s="6">
        <f>IFERROR(__xludf.DUMMYFUNCTION("""COMPUTED_VALUE"""),45649.0)</f>
        <v>45649</v>
      </c>
      <c r="E230" s="7" t="str">
        <f>IFERROR(__xludf.DUMMYFUNCTION("""COMPUTED_VALUE"""),"FRANQUIA_D&amp;G_SP")</f>
        <v>FRANQUIA_D&amp;G_SP</v>
      </c>
      <c r="F230" s="7" t="str">
        <f>IFERROR(__xludf.DUMMYFUNCTION("""COMPUTED_VALUE"""),"BICYCLE")</f>
        <v>BICYCLE</v>
      </c>
      <c r="G230" s="7" t="str">
        <f>IFERROR(__xludf.DUMMYFUNCTION("""COMPUTED_VALUE"""),"SAO PAULO")</f>
        <v>SAO PAULO</v>
      </c>
    </row>
    <row r="231">
      <c r="A231" s="6">
        <f>IFERROR(__xludf.DUMMYFUNCTION("""COMPUTED_VALUE"""),45705.0)</f>
        <v>45705</v>
      </c>
      <c r="B231" s="7" t="str">
        <f>IFERROR(__xludf.DUMMYFUNCTION("""COMPUTED_VALUE"""),"7f63e7f6-bd26-4cd0-b1ed-070587499f9f")</f>
        <v>7f63e7f6-bd26-4cd0-b1ed-070587499f9f</v>
      </c>
      <c r="C231" s="7">
        <f>IFERROR(__xludf.DUMMYFUNCTION("""COMPUTED_VALUE"""),1.0)</f>
        <v>1</v>
      </c>
      <c r="D231" s="6">
        <f>IFERROR(__xludf.DUMMYFUNCTION("""COMPUTED_VALUE"""),45704.0)</f>
        <v>45704</v>
      </c>
      <c r="E231" s="7" t="str">
        <f>IFERROR(__xludf.DUMMYFUNCTION("""COMPUTED_VALUE"""),"FRANQUIA_D&amp;G_SP")</f>
        <v>FRANQUIA_D&amp;G_SP</v>
      </c>
      <c r="F231" s="7" t="str">
        <f>IFERROR(__xludf.DUMMYFUNCTION("""COMPUTED_VALUE"""),"MOTORCYCLE")</f>
        <v>MOTORCYCLE</v>
      </c>
      <c r="G231" s="7" t="str">
        <f>IFERROR(__xludf.DUMMYFUNCTION("""COMPUTED_VALUE"""),"SAO PAULO")</f>
        <v>SAO PAULO</v>
      </c>
    </row>
    <row r="232">
      <c r="A232" s="6">
        <f>IFERROR(__xludf.DUMMYFUNCTION("""COMPUTED_VALUE"""),45705.0)</f>
        <v>45705</v>
      </c>
      <c r="B232" s="7" t="str">
        <f>IFERROR(__xludf.DUMMYFUNCTION("""COMPUTED_VALUE"""),"397904c0-269a-4925-902d-b28907741116")</f>
        <v>397904c0-269a-4925-902d-b28907741116</v>
      </c>
      <c r="C232" s="7">
        <f>IFERROR(__xludf.DUMMYFUNCTION("""COMPUTED_VALUE"""),34.0)</f>
        <v>34</v>
      </c>
      <c r="D232" s="6">
        <f>IFERROR(__xludf.DUMMYFUNCTION("""COMPUTED_VALUE"""),45671.0)</f>
        <v>45671</v>
      </c>
      <c r="E232" s="7" t="str">
        <f>IFERROR(__xludf.DUMMYFUNCTION("""COMPUTED_VALUE"""),"FRANQUIA_D&amp;G_SP")</f>
        <v>FRANQUIA_D&amp;G_SP</v>
      </c>
      <c r="F232" s="7" t="str">
        <f>IFERROR(__xludf.DUMMYFUNCTION("""COMPUTED_VALUE"""),"BICYCLE")</f>
        <v>BICYCLE</v>
      </c>
      <c r="G232" s="7" t="str">
        <f>IFERROR(__xludf.DUMMYFUNCTION("""COMPUTED_VALUE"""),"SAO PAULO")</f>
        <v>SAO PAULO</v>
      </c>
    </row>
    <row r="233">
      <c r="A233" s="6">
        <f>IFERROR(__xludf.DUMMYFUNCTION("""COMPUTED_VALUE"""),45705.0)</f>
        <v>45705</v>
      </c>
      <c r="B233" s="7" t="str">
        <f>IFERROR(__xludf.DUMMYFUNCTION("""COMPUTED_VALUE"""),"1112c2be-3d43-4ebe-bfc7-81bf3197eac8")</f>
        <v>1112c2be-3d43-4ebe-bfc7-81bf3197eac8</v>
      </c>
      <c r="C233" s="7">
        <f>IFERROR(__xludf.DUMMYFUNCTION("""COMPUTED_VALUE"""),5.0)</f>
        <v>5</v>
      </c>
      <c r="D233" s="6">
        <f>IFERROR(__xludf.DUMMYFUNCTION("""COMPUTED_VALUE"""),45700.0)</f>
        <v>45700</v>
      </c>
      <c r="E233" s="7" t="str">
        <f>IFERROR(__xludf.DUMMYFUNCTION("""COMPUTED_VALUE"""),"FRANQUIA_D&amp;G_SP")</f>
        <v>FRANQUIA_D&amp;G_SP</v>
      </c>
      <c r="F233" s="7" t="str">
        <f>IFERROR(__xludf.DUMMYFUNCTION("""COMPUTED_VALUE"""),"BICYCLE")</f>
        <v>BICYCLE</v>
      </c>
      <c r="G233" s="7" t="str">
        <f>IFERROR(__xludf.DUMMYFUNCTION("""COMPUTED_VALUE"""),"SAO PAULO")</f>
        <v>SAO PAULO</v>
      </c>
    </row>
    <row r="234">
      <c r="A234" s="6">
        <f>IFERROR(__xludf.DUMMYFUNCTION("""COMPUTED_VALUE"""),45705.0)</f>
        <v>45705</v>
      </c>
      <c r="B234" s="7" t="str">
        <f>IFERROR(__xludf.DUMMYFUNCTION("""COMPUTED_VALUE"""),"335dc4e1-c589-4717-a6b3-b6fb76e1c2ac")</f>
        <v>335dc4e1-c589-4717-a6b3-b6fb76e1c2ac</v>
      </c>
      <c r="C234" s="7">
        <f>IFERROR(__xludf.DUMMYFUNCTION("""COMPUTED_VALUE"""),146.0)</f>
        <v>146</v>
      </c>
      <c r="D234" s="6">
        <f>IFERROR(__xludf.DUMMYFUNCTION("""COMPUTED_VALUE"""),45559.0)</f>
        <v>45559</v>
      </c>
      <c r="E234" s="7" t="str">
        <f>IFERROR(__xludf.DUMMYFUNCTION("""COMPUTED_VALUE"""),"FRANQUIA_D&amp;G_SP")</f>
        <v>FRANQUIA_D&amp;G_SP</v>
      </c>
      <c r="F234" s="7" t="str">
        <f>IFERROR(__xludf.DUMMYFUNCTION("""COMPUTED_VALUE"""),"MOTORCYCLE")</f>
        <v>MOTORCYCLE</v>
      </c>
      <c r="G234" s="7" t="str">
        <f>IFERROR(__xludf.DUMMYFUNCTION("""COMPUTED_VALUE"""),"ABC")</f>
        <v>ABC</v>
      </c>
    </row>
    <row r="235">
      <c r="A235" s="6">
        <f>IFERROR(__xludf.DUMMYFUNCTION("""COMPUTED_VALUE"""),45705.0)</f>
        <v>45705</v>
      </c>
      <c r="B235" s="7" t="str">
        <f>IFERROR(__xludf.DUMMYFUNCTION("""COMPUTED_VALUE"""),"4546c6f8-f2ac-46eb-93da-8f9f99bb2f3d")</f>
        <v>4546c6f8-f2ac-46eb-93da-8f9f99bb2f3d</v>
      </c>
      <c r="C235" s="7">
        <f>IFERROR(__xludf.DUMMYFUNCTION("""COMPUTED_VALUE"""),3.0)</f>
        <v>3</v>
      </c>
      <c r="D235" s="6">
        <f>IFERROR(__xludf.DUMMYFUNCTION("""COMPUTED_VALUE"""),45702.0)</f>
        <v>45702</v>
      </c>
      <c r="E235" s="7" t="str">
        <f>IFERROR(__xludf.DUMMYFUNCTION("""COMPUTED_VALUE"""),"FRANQUIA_D&amp;G_SP")</f>
        <v>FRANQUIA_D&amp;G_SP</v>
      </c>
      <c r="F235" s="7" t="str">
        <f>IFERROR(__xludf.DUMMYFUNCTION("""COMPUTED_VALUE"""),"BICYCLE")</f>
        <v>BICYCLE</v>
      </c>
      <c r="G235" s="7" t="str">
        <f>IFERROR(__xludf.DUMMYFUNCTION("""COMPUTED_VALUE"""),"SAO PAULO")</f>
        <v>SAO PAULO</v>
      </c>
    </row>
    <row r="236">
      <c r="A236" s="6">
        <f>IFERROR(__xludf.DUMMYFUNCTION("""COMPUTED_VALUE"""),45705.0)</f>
        <v>45705</v>
      </c>
      <c r="B236" s="7" t="str">
        <f>IFERROR(__xludf.DUMMYFUNCTION("""COMPUTED_VALUE"""),"e7b9d073-8807-4f8a-8ada-e5ff707d1afa")</f>
        <v>e7b9d073-8807-4f8a-8ada-e5ff707d1afa</v>
      </c>
      <c r="C236" s="7">
        <f>IFERROR(__xludf.DUMMYFUNCTION("""COMPUTED_VALUE"""),2.0)</f>
        <v>2</v>
      </c>
      <c r="D236" s="6">
        <f>IFERROR(__xludf.DUMMYFUNCTION("""COMPUTED_VALUE"""),45703.0)</f>
        <v>45703</v>
      </c>
      <c r="E236" s="7" t="str">
        <f>IFERROR(__xludf.DUMMYFUNCTION("""COMPUTED_VALUE"""),"FRANQUIA_D&amp;G_SP")</f>
        <v>FRANQUIA_D&amp;G_SP</v>
      </c>
      <c r="F236" s="7" t="str">
        <f>IFERROR(__xludf.DUMMYFUNCTION("""COMPUTED_VALUE"""),"MOTORCYCLE")</f>
        <v>MOTORCYCLE</v>
      </c>
      <c r="G236" s="7" t="str">
        <f>IFERROR(__xludf.DUMMYFUNCTION("""COMPUTED_VALUE"""),"RECIFE")</f>
        <v>RECIFE</v>
      </c>
    </row>
    <row r="237">
      <c r="A237" s="6">
        <f>IFERROR(__xludf.DUMMYFUNCTION("""COMPUTED_VALUE"""),45705.0)</f>
        <v>45705</v>
      </c>
      <c r="B237" s="7" t="str">
        <f>IFERROR(__xludf.DUMMYFUNCTION("""COMPUTED_VALUE"""),"8dfe6fac-6e0d-4088-ac54-309229156ff0")</f>
        <v>8dfe6fac-6e0d-4088-ac54-309229156ff0</v>
      </c>
      <c r="C237" s="7">
        <f>IFERROR(__xludf.DUMMYFUNCTION("""COMPUTED_VALUE"""),205.0)</f>
        <v>205</v>
      </c>
      <c r="D237" s="6">
        <f>IFERROR(__xludf.DUMMYFUNCTION("""COMPUTED_VALUE"""),45500.0)</f>
        <v>45500</v>
      </c>
      <c r="E237" s="7" t="str">
        <f>IFERROR(__xludf.DUMMYFUNCTION("""COMPUTED_VALUE"""),"FRANQUIA_D&amp;G_SP")</f>
        <v>FRANQUIA_D&amp;G_SP</v>
      </c>
      <c r="F237" s="7" t="str">
        <f>IFERROR(__xludf.DUMMYFUNCTION("""COMPUTED_VALUE"""),"BICYCLE")</f>
        <v>BICYCLE</v>
      </c>
      <c r="G237" s="7" t="str">
        <f>IFERROR(__xludf.DUMMYFUNCTION("""COMPUTED_VALUE"""),"SAO PAULO")</f>
        <v>SAO PAULO</v>
      </c>
    </row>
    <row r="238">
      <c r="A238" s="6">
        <f>IFERROR(__xludf.DUMMYFUNCTION("""COMPUTED_VALUE"""),45705.0)</f>
        <v>45705</v>
      </c>
      <c r="B238" s="7" t="str">
        <f>IFERROR(__xludf.DUMMYFUNCTION("""COMPUTED_VALUE"""),"f7488394-1481-4f6f-9353-d39069f9b132")</f>
        <v>f7488394-1481-4f6f-9353-d39069f9b132</v>
      </c>
      <c r="C238" s="7">
        <f>IFERROR(__xludf.DUMMYFUNCTION("""COMPUTED_VALUE"""),27.0)</f>
        <v>27</v>
      </c>
      <c r="D238" s="6">
        <f>IFERROR(__xludf.DUMMYFUNCTION("""COMPUTED_VALUE"""),45678.0)</f>
        <v>45678</v>
      </c>
      <c r="E238" s="7" t="str">
        <f>IFERROR(__xludf.DUMMYFUNCTION("""COMPUTED_VALUE"""),"FRANQUIA_D&amp;G_SP")</f>
        <v>FRANQUIA_D&amp;G_SP</v>
      </c>
      <c r="F238" s="7" t="str">
        <f>IFERROR(__xludf.DUMMYFUNCTION("""COMPUTED_VALUE"""),"BICYCLE")</f>
        <v>BICYCLE</v>
      </c>
      <c r="G238" s="7" t="str">
        <f>IFERROR(__xludf.DUMMYFUNCTION("""COMPUTED_VALUE"""),"SAO PAULO")</f>
        <v>SAO PAULO</v>
      </c>
    </row>
    <row r="239">
      <c r="A239" s="6">
        <f>IFERROR(__xludf.DUMMYFUNCTION("""COMPUTED_VALUE"""),45705.0)</f>
        <v>45705</v>
      </c>
      <c r="B239" s="7" t="str">
        <f>IFERROR(__xludf.DUMMYFUNCTION("""COMPUTED_VALUE"""),"e4bf5e23-7c2c-48ee-be18-8920910a87ef")</f>
        <v>e4bf5e23-7c2c-48ee-be18-8920910a87ef</v>
      </c>
      <c r="C239" s="7">
        <f>IFERROR(__xludf.DUMMYFUNCTION("""COMPUTED_VALUE"""),355.0)</f>
        <v>355</v>
      </c>
      <c r="D239" s="6">
        <f>IFERROR(__xludf.DUMMYFUNCTION("""COMPUTED_VALUE"""),45350.0)</f>
        <v>45350</v>
      </c>
      <c r="E239" s="7" t="str">
        <f>IFERROR(__xludf.DUMMYFUNCTION("""COMPUTED_VALUE"""),"FRANQUIA_D&amp;G_SP")</f>
        <v>FRANQUIA_D&amp;G_SP</v>
      </c>
      <c r="F239" s="7" t="str">
        <f>IFERROR(__xludf.DUMMYFUNCTION("""COMPUTED_VALUE"""),"MOTORCYCLE")</f>
        <v>MOTORCYCLE</v>
      </c>
      <c r="G239" s="7" t="str">
        <f>IFERROR(__xludf.DUMMYFUNCTION("""COMPUTED_VALUE"""),"SAO PAULO")</f>
        <v>SAO PAULO</v>
      </c>
    </row>
    <row r="240">
      <c r="A240" s="6">
        <f>IFERROR(__xludf.DUMMYFUNCTION("""COMPUTED_VALUE"""),45705.0)</f>
        <v>45705</v>
      </c>
      <c r="B240" s="7" t="str">
        <f>IFERROR(__xludf.DUMMYFUNCTION("""COMPUTED_VALUE"""),"3e274a08-efb0-4d8c-be30-041e21e2a314")</f>
        <v>3e274a08-efb0-4d8c-be30-041e21e2a314</v>
      </c>
      <c r="C240" s="7">
        <f>IFERROR(__xludf.DUMMYFUNCTION("""COMPUTED_VALUE"""),28.0)</f>
        <v>28</v>
      </c>
      <c r="D240" s="6">
        <f>IFERROR(__xludf.DUMMYFUNCTION("""COMPUTED_VALUE"""),45677.0)</f>
        <v>45677</v>
      </c>
      <c r="E240" s="7" t="str">
        <f>IFERROR(__xludf.DUMMYFUNCTION("""COMPUTED_VALUE"""),"FRANQUIA_D&amp;G_SP")</f>
        <v>FRANQUIA_D&amp;G_SP</v>
      </c>
      <c r="F240" s="7" t="str">
        <f>IFERROR(__xludf.DUMMYFUNCTION("""COMPUTED_VALUE"""),"MOTORCYCLE")</f>
        <v>MOTORCYCLE</v>
      </c>
      <c r="G240" s="7" t="str">
        <f>IFERROR(__xludf.DUMMYFUNCTION("""COMPUTED_VALUE"""),"SAO PAULO")</f>
        <v>SAO PAULO</v>
      </c>
    </row>
    <row r="241">
      <c r="A241" s="6">
        <f>IFERROR(__xludf.DUMMYFUNCTION("""COMPUTED_VALUE"""),45705.0)</f>
        <v>45705</v>
      </c>
      <c r="B241" s="7" t="str">
        <f>IFERROR(__xludf.DUMMYFUNCTION("""COMPUTED_VALUE"""),"be9e0028-af86-497d-8cbc-6ff6c29cd108")</f>
        <v>be9e0028-af86-497d-8cbc-6ff6c29cd108</v>
      </c>
      <c r="C241" s="7">
        <f>IFERROR(__xludf.DUMMYFUNCTION("""COMPUTED_VALUE"""),3.0)</f>
        <v>3</v>
      </c>
      <c r="D241" s="6">
        <f>IFERROR(__xludf.DUMMYFUNCTION("""COMPUTED_VALUE"""),45702.0)</f>
        <v>45702</v>
      </c>
      <c r="E241" s="7" t="str">
        <f>IFERROR(__xludf.DUMMYFUNCTION("""COMPUTED_VALUE"""),"FRANQUIA_D&amp;G_SP")</f>
        <v>FRANQUIA_D&amp;G_SP</v>
      </c>
      <c r="F241" s="7" t="str">
        <f>IFERROR(__xludf.DUMMYFUNCTION("""COMPUTED_VALUE"""),"MOTORCYCLE")</f>
        <v>MOTORCYCLE</v>
      </c>
      <c r="G241" s="7" t="str">
        <f>IFERROR(__xludf.DUMMYFUNCTION("""COMPUTED_VALUE"""),"BARUERI")</f>
        <v>BARUERI</v>
      </c>
    </row>
    <row r="242">
      <c r="A242" s="6">
        <f>IFERROR(__xludf.DUMMYFUNCTION("""COMPUTED_VALUE"""),45705.0)</f>
        <v>45705</v>
      </c>
      <c r="B242" s="7" t="str">
        <f>IFERROR(__xludf.DUMMYFUNCTION("""COMPUTED_VALUE"""),"d1bccad2-2226-4830-805b-241842db56bc")</f>
        <v>d1bccad2-2226-4830-805b-241842db56bc</v>
      </c>
      <c r="C242" s="7">
        <f>IFERROR(__xludf.DUMMYFUNCTION("""COMPUTED_VALUE"""),246.0)</f>
        <v>246</v>
      </c>
      <c r="D242" s="6">
        <f>IFERROR(__xludf.DUMMYFUNCTION("""COMPUTED_VALUE"""),45459.0)</f>
        <v>45459</v>
      </c>
      <c r="E242" s="7" t="str">
        <f>IFERROR(__xludf.DUMMYFUNCTION("""COMPUTED_VALUE"""),"FRANQUIA_D&amp;G_SP")</f>
        <v>FRANQUIA_D&amp;G_SP</v>
      </c>
      <c r="F242" s="7" t="str">
        <f>IFERROR(__xludf.DUMMYFUNCTION("""COMPUTED_VALUE"""),"BICYCLE")</f>
        <v>BICYCLE</v>
      </c>
      <c r="G242" s="7" t="str">
        <f>IFERROR(__xludf.DUMMYFUNCTION("""COMPUTED_VALUE"""),"SAO PAULO")</f>
        <v>SAO PAULO</v>
      </c>
    </row>
    <row r="243">
      <c r="A243" s="6">
        <f>IFERROR(__xludf.DUMMYFUNCTION("""COMPUTED_VALUE"""),45705.0)</f>
        <v>45705</v>
      </c>
      <c r="B243" s="7" t="str">
        <f>IFERROR(__xludf.DUMMYFUNCTION("""COMPUTED_VALUE"""),"73e4b3a5-072e-4d9d-866a-e948ea0ccacf")</f>
        <v>73e4b3a5-072e-4d9d-866a-e948ea0ccacf</v>
      </c>
      <c r="C243" s="7">
        <f>IFERROR(__xludf.DUMMYFUNCTION("""COMPUTED_VALUE"""),126.0)</f>
        <v>126</v>
      </c>
      <c r="D243" s="6">
        <f>IFERROR(__xludf.DUMMYFUNCTION("""COMPUTED_VALUE"""),45579.0)</f>
        <v>45579</v>
      </c>
      <c r="E243" s="7" t="str">
        <f>IFERROR(__xludf.DUMMYFUNCTION("""COMPUTED_VALUE"""),"FRANQUIA_D&amp;G_SP")</f>
        <v>FRANQUIA_D&amp;G_SP</v>
      </c>
      <c r="F243" s="7" t="str">
        <f>IFERROR(__xludf.DUMMYFUNCTION("""COMPUTED_VALUE"""),"BICYCLE")</f>
        <v>BICYCLE</v>
      </c>
      <c r="G243" s="7" t="str">
        <f>IFERROR(__xludf.DUMMYFUNCTION("""COMPUTED_VALUE"""),"SAO PAULO")</f>
        <v>SAO PAULO</v>
      </c>
    </row>
    <row r="244">
      <c r="A244" s="6">
        <f>IFERROR(__xludf.DUMMYFUNCTION("""COMPUTED_VALUE"""),45705.0)</f>
        <v>45705</v>
      </c>
      <c r="B244" s="7" t="str">
        <f>IFERROR(__xludf.DUMMYFUNCTION("""COMPUTED_VALUE"""),"0fa0b798-684f-4770-a6eb-1b2c8679352d")</f>
        <v>0fa0b798-684f-4770-a6eb-1b2c8679352d</v>
      </c>
      <c r="C244" s="7">
        <f>IFERROR(__xludf.DUMMYFUNCTION("""COMPUTED_VALUE"""),66.0)</f>
        <v>66</v>
      </c>
      <c r="D244" s="6">
        <f>IFERROR(__xludf.DUMMYFUNCTION("""COMPUTED_VALUE"""),45639.0)</f>
        <v>45639</v>
      </c>
      <c r="E244" s="7" t="str">
        <f>IFERROR(__xludf.DUMMYFUNCTION("""COMPUTED_VALUE"""),"FRANQUIA_D&amp;G_SP")</f>
        <v>FRANQUIA_D&amp;G_SP</v>
      </c>
      <c r="F244" s="7" t="str">
        <f>IFERROR(__xludf.DUMMYFUNCTION("""COMPUTED_VALUE"""),"BICYCLE")</f>
        <v>BICYCLE</v>
      </c>
      <c r="G244" s="7" t="str">
        <f>IFERROR(__xludf.DUMMYFUNCTION("""COMPUTED_VALUE"""),"SAO PAULO")</f>
        <v>SAO PAULO</v>
      </c>
    </row>
    <row r="245">
      <c r="A245" s="6">
        <f>IFERROR(__xludf.DUMMYFUNCTION("""COMPUTED_VALUE"""),45705.0)</f>
        <v>45705</v>
      </c>
      <c r="B245" s="7" t="str">
        <f>IFERROR(__xludf.DUMMYFUNCTION("""COMPUTED_VALUE"""),"3da8df40-8ee6-4628-840a-9d94fc8311e5")</f>
        <v>3da8df40-8ee6-4628-840a-9d94fc8311e5</v>
      </c>
      <c r="C245" s="7">
        <f>IFERROR(__xludf.DUMMYFUNCTION("""COMPUTED_VALUE"""),14.0)</f>
        <v>14</v>
      </c>
      <c r="D245" s="6">
        <f>IFERROR(__xludf.DUMMYFUNCTION("""COMPUTED_VALUE"""),45691.0)</f>
        <v>45691</v>
      </c>
      <c r="E245" s="7" t="str">
        <f>IFERROR(__xludf.DUMMYFUNCTION("""COMPUTED_VALUE"""),"FRANQUIA_D&amp;G_SP")</f>
        <v>FRANQUIA_D&amp;G_SP</v>
      </c>
      <c r="F245" s="7" t="str">
        <f>IFERROR(__xludf.DUMMYFUNCTION("""COMPUTED_VALUE"""),"BICYCLE")</f>
        <v>BICYCLE</v>
      </c>
      <c r="G245" s="7" t="str">
        <f>IFERROR(__xludf.DUMMYFUNCTION("""COMPUTED_VALUE"""),"SAO PAULO")</f>
        <v>SAO PAULO</v>
      </c>
    </row>
    <row r="246">
      <c r="A246" s="6">
        <f>IFERROR(__xludf.DUMMYFUNCTION("""COMPUTED_VALUE"""),45705.0)</f>
        <v>45705</v>
      </c>
      <c r="B246" s="7" t="str">
        <f>IFERROR(__xludf.DUMMYFUNCTION("""COMPUTED_VALUE"""),"457aff8c-c93b-4531-a687-1c2f07eb6884")</f>
        <v>457aff8c-c93b-4531-a687-1c2f07eb6884</v>
      </c>
      <c r="C246" s="7">
        <f>IFERROR(__xludf.DUMMYFUNCTION("""COMPUTED_VALUE"""),208.0)</f>
        <v>208</v>
      </c>
      <c r="D246" s="6">
        <f>IFERROR(__xludf.DUMMYFUNCTION("""COMPUTED_VALUE"""),45497.0)</f>
        <v>45497</v>
      </c>
      <c r="E246" s="7" t="str">
        <f>IFERROR(__xludf.DUMMYFUNCTION("""COMPUTED_VALUE"""),"FRANQUIA_D&amp;G_SP")</f>
        <v>FRANQUIA_D&amp;G_SP</v>
      </c>
      <c r="F246" s="7" t="str">
        <f>IFERROR(__xludf.DUMMYFUNCTION("""COMPUTED_VALUE"""),"BICYCLE")</f>
        <v>BICYCLE</v>
      </c>
      <c r="G246" s="7" t="str">
        <f>IFERROR(__xludf.DUMMYFUNCTION("""COMPUTED_VALUE"""),"SAO PAULO")</f>
        <v>SAO PAULO</v>
      </c>
    </row>
    <row r="247">
      <c r="A247" s="6">
        <f>IFERROR(__xludf.DUMMYFUNCTION("""COMPUTED_VALUE"""),45705.0)</f>
        <v>45705</v>
      </c>
      <c r="B247" s="7" t="str">
        <f>IFERROR(__xludf.DUMMYFUNCTION("""COMPUTED_VALUE"""),"afecac87-045e-4e6f-9019-2e7bb372e354")</f>
        <v>afecac87-045e-4e6f-9019-2e7bb372e354</v>
      </c>
      <c r="C247" s="7">
        <f>IFERROR(__xludf.DUMMYFUNCTION("""COMPUTED_VALUE"""),0.0)</f>
        <v>0</v>
      </c>
      <c r="D247" s="6">
        <f>IFERROR(__xludf.DUMMYFUNCTION("""COMPUTED_VALUE"""),45705.0)</f>
        <v>45705</v>
      </c>
      <c r="E247" s="7" t="str">
        <f>IFERROR(__xludf.DUMMYFUNCTION("""COMPUTED_VALUE"""),"FRANQUIA_D&amp;G_SP")</f>
        <v>FRANQUIA_D&amp;G_SP</v>
      </c>
      <c r="F247" s="7" t="str">
        <f>IFERROR(__xludf.DUMMYFUNCTION("""COMPUTED_VALUE"""),"BICYCLE")</f>
        <v>BICYCLE</v>
      </c>
      <c r="G247" s="7" t="str">
        <f>IFERROR(__xludf.DUMMYFUNCTION("""COMPUTED_VALUE"""),"SAO PAULO")</f>
        <v>SAO PAULO</v>
      </c>
    </row>
    <row r="248">
      <c r="A248" s="6">
        <f>IFERROR(__xludf.DUMMYFUNCTION("""COMPUTED_VALUE"""),45705.0)</f>
        <v>45705</v>
      </c>
      <c r="B248" s="7" t="str">
        <f>IFERROR(__xludf.DUMMYFUNCTION("""COMPUTED_VALUE"""),"c410ddbe-c56c-4f32-a78f-7ed7cda60237")</f>
        <v>c410ddbe-c56c-4f32-a78f-7ed7cda60237</v>
      </c>
      <c r="C248" s="7">
        <f>IFERROR(__xludf.DUMMYFUNCTION("""COMPUTED_VALUE"""),0.0)</f>
        <v>0</v>
      </c>
      <c r="D248" s="6">
        <f>IFERROR(__xludf.DUMMYFUNCTION("""COMPUTED_VALUE"""),45705.0)</f>
        <v>45705</v>
      </c>
      <c r="E248" s="7" t="str">
        <f>IFERROR(__xludf.DUMMYFUNCTION("""COMPUTED_VALUE"""),"FRANQUIA_D&amp;G_SP")</f>
        <v>FRANQUIA_D&amp;G_SP</v>
      </c>
      <c r="F248" s="7" t="str">
        <f>IFERROR(__xludf.DUMMYFUNCTION("""COMPUTED_VALUE"""),"BICYCLE")</f>
        <v>BICYCLE</v>
      </c>
      <c r="G248" s="7" t="str">
        <f>IFERROR(__xludf.DUMMYFUNCTION("""COMPUTED_VALUE"""),"SAO PAULO")</f>
        <v>SAO PAULO</v>
      </c>
    </row>
    <row r="249">
      <c r="A249" s="6">
        <f>IFERROR(__xludf.DUMMYFUNCTION("""COMPUTED_VALUE"""),45705.0)</f>
        <v>45705</v>
      </c>
      <c r="B249" s="7" t="str">
        <f>IFERROR(__xludf.DUMMYFUNCTION("""COMPUTED_VALUE"""),"703e2271-74c7-46c0-a2ac-65f439b47dc3")</f>
        <v>703e2271-74c7-46c0-a2ac-65f439b47dc3</v>
      </c>
      <c r="C249" s="7">
        <f>IFERROR(__xludf.DUMMYFUNCTION("""COMPUTED_VALUE"""),179.0)</f>
        <v>179</v>
      </c>
      <c r="D249" s="6">
        <f>IFERROR(__xludf.DUMMYFUNCTION("""COMPUTED_VALUE"""),45526.0)</f>
        <v>45526</v>
      </c>
      <c r="E249" s="7" t="str">
        <f>IFERROR(__xludf.DUMMYFUNCTION("""COMPUTED_VALUE"""),"FRANQUIA_D&amp;G_SP")</f>
        <v>FRANQUIA_D&amp;G_SP</v>
      </c>
      <c r="F249" s="7" t="str">
        <f>IFERROR(__xludf.DUMMYFUNCTION("""COMPUTED_VALUE"""),"BICYCLE")</f>
        <v>BICYCLE</v>
      </c>
      <c r="G249" s="7" t="str">
        <f>IFERROR(__xludf.DUMMYFUNCTION("""COMPUTED_VALUE"""),"SAO PAULO")</f>
        <v>SAO PAULO</v>
      </c>
    </row>
    <row r="250">
      <c r="A250" s="6">
        <f>IFERROR(__xludf.DUMMYFUNCTION("""COMPUTED_VALUE"""),45705.0)</f>
        <v>45705</v>
      </c>
      <c r="B250" s="7" t="str">
        <f>IFERROR(__xludf.DUMMYFUNCTION("""COMPUTED_VALUE"""),"4e585315-2350-4785-8ac3-63a9e75749d9")</f>
        <v>4e585315-2350-4785-8ac3-63a9e75749d9</v>
      </c>
      <c r="C250" s="7">
        <f>IFERROR(__xludf.DUMMYFUNCTION("""COMPUTED_VALUE"""),2.0)</f>
        <v>2</v>
      </c>
      <c r="D250" s="6">
        <f>IFERROR(__xludf.DUMMYFUNCTION("""COMPUTED_VALUE"""),45703.0)</f>
        <v>45703</v>
      </c>
      <c r="E250" s="7" t="str">
        <f>IFERROR(__xludf.DUMMYFUNCTION("""COMPUTED_VALUE"""),"FRANQUIA_D&amp;G_SP")</f>
        <v>FRANQUIA_D&amp;G_SP</v>
      </c>
      <c r="F250" s="7" t="str">
        <f>IFERROR(__xludf.DUMMYFUNCTION("""COMPUTED_VALUE"""),"MOTORCYCLE")</f>
        <v>MOTORCYCLE</v>
      </c>
      <c r="G250" s="7" t="str">
        <f>IFERROR(__xludf.DUMMYFUNCTION("""COMPUTED_VALUE"""),"SAO PAULO")</f>
        <v>SAO PAULO</v>
      </c>
    </row>
    <row r="251">
      <c r="A251" s="6">
        <f>IFERROR(__xludf.DUMMYFUNCTION("""COMPUTED_VALUE"""),45705.0)</f>
        <v>45705</v>
      </c>
      <c r="B251" s="7" t="str">
        <f>IFERROR(__xludf.DUMMYFUNCTION("""COMPUTED_VALUE"""),"ae12e930-2e14-4a6a-a590-af3b9b7a41a5")</f>
        <v>ae12e930-2e14-4a6a-a590-af3b9b7a41a5</v>
      </c>
      <c r="C251" s="7">
        <f>IFERROR(__xludf.DUMMYFUNCTION("""COMPUTED_VALUE"""),0.0)</f>
        <v>0</v>
      </c>
      <c r="D251" s="6">
        <f>IFERROR(__xludf.DUMMYFUNCTION("""COMPUTED_VALUE"""),45705.0)</f>
        <v>45705</v>
      </c>
      <c r="E251" s="7" t="str">
        <f>IFERROR(__xludf.DUMMYFUNCTION("""COMPUTED_VALUE"""),"FRANQUIA_D&amp;G_SP")</f>
        <v>FRANQUIA_D&amp;G_SP</v>
      </c>
      <c r="F251" s="7" t="str">
        <f>IFERROR(__xludf.DUMMYFUNCTION("""COMPUTED_VALUE"""),"MOTORCYCLE")</f>
        <v>MOTORCYCLE</v>
      </c>
      <c r="G251" s="7" t="str">
        <f>IFERROR(__xludf.DUMMYFUNCTION("""COMPUTED_VALUE"""),"SAO PAULO")</f>
        <v>SAO PAULO</v>
      </c>
    </row>
    <row r="252">
      <c r="A252" s="6">
        <f>IFERROR(__xludf.DUMMYFUNCTION("""COMPUTED_VALUE"""),45705.0)</f>
        <v>45705</v>
      </c>
      <c r="B252" s="7" t="str">
        <f>IFERROR(__xludf.DUMMYFUNCTION("""COMPUTED_VALUE"""),"dcdf82cc-f631-4405-8065-0b08f90ef31c")</f>
        <v>dcdf82cc-f631-4405-8065-0b08f90ef31c</v>
      </c>
      <c r="C252" s="7">
        <f>IFERROR(__xludf.DUMMYFUNCTION("""COMPUTED_VALUE"""),117.0)</f>
        <v>117</v>
      </c>
      <c r="D252" s="6">
        <f>IFERROR(__xludf.DUMMYFUNCTION("""COMPUTED_VALUE"""),45588.0)</f>
        <v>45588</v>
      </c>
      <c r="E252" s="7" t="str">
        <f>IFERROR(__xludf.DUMMYFUNCTION("""COMPUTED_VALUE"""),"FRANQUIA_D&amp;G_SP")</f>
        <v>FRANQUIA_D&amp;G_SP</v>
      </c>
      <c r="F252" s="7" t="str">
        <f>IFERROR(__xludf.DUMMYFUNCTION("""COMPUTED_VALUE"""),"MOTORCYCLE")</f>
        <v>MOTORCYCLE</v>
      </c>
      <c r="G252" s="7" t="str">
        <f>IFERROR(__xludf.DUMMYFUNCTION("""COMPUTED_VALUE"""),"SAO PAULO")</f>
        <v>SAO PAULO</v>
      </c>
    </row>
    <row r="253">
      <c r="A253" s="6">
        <f>IFERROR(__xludf.DUMMYFUNCTION("""COMPUTED_VALUE"""),45705.0)</f>
        <v>45705</v>
      </c>
      <c r="B253" s="7" t="str">
        <f>IFERROR(__xludf.DUMMYFUNCTION("""COMPUTED_VALUE"""),"6d23e33d-832b-4255-9a99-bf9f3d870d83")</f>
        <v>6d23e33d-832b-4255-9a99-bf9f3d870d83</v>
      </c>
      <c r="C253" s="7">
        <f>IFERROR(__xludf.DUMMYFUNCTION("""COMPUTED_VALUE"""),392.0)</f>
        <v>392</v>
      </c>
      <c r="D253" s="6">
        <f>IFERROR(__xludf.DUMMYFUNCTION("""COMPUTED_VALUE"""),45313.0)</f>
        <v>45313</v>
      </c>
      <c r="E253" s="7" t="str">
        <f>IFERROR(__xludf.DUMMYFUNCTION("""COMPUTED_VALUE"""),"FRANQUIA_D&amp;G_SP")</f>
        <v>FRANQUIA_D&amp;G_SP</v>
      </c>
      <c r="F253" s="7" t="str">
        <f>IFERROR(__xludf.DUMMYFUNCTION("""COMPUTED_VALUE"""),"BICYCLE")</f>
        <v>BICYCLE</v>
      </c>
      <c r="G253" s="7" t="str">
        <f>IFERROR(__xludf.DUMMYFUNCTION("""COMPUTED_VALUE"""),"SAO PAULO")</f>
        <v>SAO PAULO</v>
      </c>
    </row>
    <row r="254">
      <c r="A254" s="6">
        <f>IFERROR(__xludf.DUMMYFUNCTION("""COMPUTED_VALUE"""),45705.0)</f>
        <v>45705</v>
      </c>
      <c r="B254" s="7" t="str">
        <f>IFERROR(__xludf.DUMMYFUNCTION("""COMPUTED_VALUE"""),"f5a5c36d-0657-4120-bf98-c722ca49712e")</f>
        <v>f5a5c36d-0657-4120-bf98-c722ca49712e</v>
      </c>
      <c r="C254" s="7">
        <f>IFERROR(__xludf.DUMMYFUNCTION("""COMPUTED_VALUE"""),290.0)</f>
        <v>290</v>
      </c>
      <c r="D254" s="6">
        <f>IFERROR(__xludf.DUMMYFUNCTION("""COMPUTED_VALUE"""),45415.0)</f>
        <v>45415</v>
      </c>
      <c r="E254" s="7" t="str">
        <f>IFERROR(__xludf.DUMMYFUNCTION("""COMPUTED_VALUE"""),"FRANQUIA_D&amp;G_SP")</f>
        <v>FRANQUIA_D&amp;G_SP</v>
      </c>
      <c r="F254" s="7" t="str">
        <f>IFERROR(__xludf.DUMMYFUNCTION("""COMPUTED_VALUE"""),"BICYCLE")</f>
        <v>BICYCLE</v>
      </c>
      <c r="G254" s="7" t="str">
        <f>IFERROR(__xludf.DUMMYFUNCTION("""COMPUTED_VALUE"""),"SAO PAULO")</f>
        <v>SAO PAULO</v>
      </c>
    </row>
    <row r="255">
      <c r="A255" s="6">
        <f>IFERROR(__xludf.DUMMYFUNCTION("""COMPUTED_VALUE"""),45705.0)</f>
        <v>45705</v>
      </c>
      <c r="B255" s="7" t="str">
        <f>IFERROR(__xludf.DUMMYFUNCTION("""COMPUTED_VALUE"""),"79c6d80f-59a4-414f-87cb-669a325d3b22")</f>
        <v>79c6d80f-59a4-414f-87cb-669a325d3b22</v>
      </c>
      <c r="C255" s="7">
        <f>IFERROR(__xludf.DUMMYFUNCTION("""COMPUTED_VALUE"""),0.0)</f>
        <v>0</v>
      </c>
      <c r="D255" s="6">
        <f>IFERROR(__xludf.DUMMYFUNCTION("""COMPUTED_VALUE"""),45705.0)</f>
        <v>45705</v>
      </c>
      <c r="E255" s="7" t="str">
        <f>IFERROR(__xludf.DUMMYFUNCTION("""COMPUTED_VALUE"""),"FRANQUIA_D&amp;G_SP")</f>
        <v>FRANQUIA_D&amp;G_SP</v>
      </c>
      <c r="F255" s="7" t="str">
        <f>IFERROR(__xludf.DUMMYFUNCTION("""COMPUTED_VALUE"""),"MOTORCYCLE")</f>
        <v>MOTORCYCLE</v>
      </c>
      <c r="G255" s="7" t="str">
        <f>IFERROR(__xludf.DUMMYFUNCTION("""COMPUTED_VALUE"""),"SAO PAULO")</f>
        <v>SAO PAULO</v>
      </c>
    </row>
    <row r="256">
      <c r="A256" s="6">
        <f>IFERROR(__xludf.DUMMYFUNCTION("""COMPUTED_VALUE"""),45705.0)</f>
        <v>45705</v>
      </c>
      <c r="B256" s="7" t="str">
        <f>IFERROR(__xludf.DUMMYFUNCTION("""COMPUTED_VALUE"""),"bc5cfab2-f640-4dff-a1f0-6bb177d0c9d9")</f>
        <v>bc5cfab2-f640-4dff-a1f0-6bb177d0c9d9</v>
      </c>
      <c r="C256" s="7">
        <f>IFERROR(__xludf.DUMMYFUNCTION("""COMPUTED_VALUE"""),184.0)</f>
        <v>184</v>
      </c>
      <c r="D256" s="6">
        <f>IFERROR(__xludf.DUMMYFUNCTION("""COMPUTED_VALUE"""),45521.0)</f>
        <v>45521</v>
      </c>
      <c r="E256" s="7" t="str">
        <f>IFERROR(__xludf.DUMMYFUNCTION("""COMPUTED_VALUE"""),"FRANQUIA_D&amp;G_SP")</f>
        <v>FRANQUIA_D&amp;G_SP</v>
      </c>
      <c r="F256" s="7" t="str">
        <f>IFERROR(__xludf.DUMMYFUNCTION("""COMPUTED_VALUE"""),"BICYCLE")</f>
        <v>BICYCLE</v>
      </c>
      <c r="G256" s="7" t="str">
        <f>IFERROR(__xludf.DUMMYFUNCTION("""COMPUTED_VALUE"""),"SAO PAULO")</f>
        <v>SAO PAULO</v>
      </c>
    </row>
    <row r="257">
      <c r="A257" s="6">
        <f>IFERROR(__xludf.DUMMYFUNCTION("""COMPUTED_VALUE"""),45705.0)</f>
        <v>45705</v>
      </c>
      <c r="B257" s="7" t="str">
        <f>IFERROR(__xludf.DUMMYFUNCTION("""COMPUTED_VALUE"""),"24f15314-7a59-4305-9cc5-953d95a9253d")</f>
        <v>24f15314-7a59-4305-9cc5-953d95a9253d</v>
      </c>
      <c r="C257" s="7">
        <f>IFERROR(__xludf.DUMMYFUNCTION("""COMPUTED_VALUE"""),7.0)</f>
        <v>7</v>
      </c>
      <c r="D257" s="6">
        <f>IFERROR(__xludf.DUMMYFUNCTION("""COMPUTED_VALUE"""),45698.0)</f>
        <v>45698</v>
      </c>
      <c r="E257" s="7" t="str">
        <f>IFERROR(__xludf.DUMMYFUNCTION("""COMPUTED_VALUE"""),"FRANQUIA_D&amp;G_SP")</f>
        <v>FRANQUIA_D&amp;G_SP</v>
      </c>
      <c r="F257" s="7" t="str">
        <f>IFERROR(__xludf.DUMMYFUNCTION("""COMPUTED_VALUE"""),"MOTORCYCLE")</f>
        <v>MOTORCYCLE</v>
      </c>
      <c r="G257" s="7" t="str">
        <f>IFERROR(__xludf.DUMMYFUNCTION("""COMPUTED_VALUE"""),"SAO PAULO")</f>
        <v>SAO PAULO</v>
      </c>
    </row>
    <row r="258">
      <c r="A258" s="6">
        <f>IFERROR(__xludf.DUMMYFUNCTION("""COMPUTED_VALUE"""),45705.0)</f>
        <v>45705</v>
      </c>
      <c r="B258" s="7" t="str">
        <f>IFERROR(__xludf.DUMMYFUNCTION("""COMPUTED_VALUE"""),"1c4e837d-17d0-4dd2-973f-3a5382e1ce84")</f>
        <v>1c4e837d-17d0-4dd2-973f-3a5382e1ce84</v>
      </c>
      <c r="C258" s="7">
        <f>IFERROR(__xludf.DUMMYFUNCTION("""COMPUTED_VALUE"""),58.0)</f>
        <v>58</v>
      </c>
      <c r="D258" s="6">
        <f>IFERROR(__xludf.DUMMYFUNCTION("""COMPUTED_VALUE"""),45647.0)</f>
        <v>45647</v>
      </c>
      <c r="E258" s="7" t="str">
        <f>IFERROR(__xludf.DUMMYFUNCTION("""COMPUTED_VALUE"""),"FRANQUIA_D&amp;G_SP")</f>
        <v>FRANQUIA_D&amp;G_SP</v>
      </c>
      <c r="F258" s="7" t="str">
        <f>IFERROR(__xludf.DUMMYFUNCTION("""COMPUTED_VALUE"""),"BICYCLE")</f>
        <v>BICYCLE</v>
      </c>
      <c r="G258" s="7" t="str">
        <f>IFERROR(__xludf.DUMMYFUNCTION("""COMPUTED_VALUE"""),"SAO PAULO")</f>
        <v>SAO PAULO</v>
      </c>
    </row>
    <row r="259">
      <c r="A259" s="6">
        <f>IFERROR(__xludf.DUMMYFUNCTION("""COMPUTED_VALUE"""),45705.0)</f>
        <v>45705</v>
      </c>
      <c r="B259" s="7" t="str">
        <f>IFERROR(__xludf.DUMMYFUNCTION("""COMPUTED_VALUE"""),"db80a5df-c244-4729-9798-5676754bdb1e")</f>
        <v>db80a5df-c244-4729-9798-5676754bdb1e</v>
      </c>
      <c r="C259" s="7">
        <f>IFERROR(__xludf.DUMMYFUNCTION("""COMPUTED_VALUE"""),58.0)</f>
        <v>58</v>
      </c>
      <c r="D259" s="6">
        <f>IFERROR(__xludf.DUMMYFUNCTION("""COMPUTED_VALUE"""),45647.0)</f>
        <v>45647</v>
      </c>
      <c r="E259" s="7" t="str">
        <f>IFERROR(__xludf.DUMMYFUNCTION("""COMPUTED_VALUE"""),"FRANQUIA_D&amp;G_SP")</f>
        <v>FRANQUIA_D&amp;G_SP</v>
      </c>
      <c r="F259" s="7" t="str">
        <f>IFERROR(__xludf.DUMMYFUNCTION("""COMPUTED_VALUE"""),"BICYCLE")</f>
        <v>BICYCLE</v>
      </c>
      <c r="G259" s="7" t="str">
        <f>IFERROR(__xludf.DUMMYFUNCTION("""COMPUTED_VALUE"""),"SAO PAULO")</f>
        <v>SAO PAULO</v>
      </c>
    </row>
    <row r="260">
      <c r="A260" s="6">
        <f>IFERROR(__xludf.DUMMYFUNCTION("""COMPUTED_VALUE"""),45705.0)</f>
        <v>45705</v>
      </c>
      <c r="B260" s="7" t="str">
        <f>IFERROR(__xludf.DUMMYFUNCTION("""COMPUTED_VALUE"""),"0504a512-cc4c-4a7f-a30c-6eae1ac5ebb8")</f>
        <v>0504a512-cc4c-4a7f-a30c-6eae1ac5ebb8</v>
      </c>
      <c r="C260" s="7">
        <f>IFERROR(__xludf.DUMMYFUNCTION("""COMPUTED_VALUE"""),0.0)</f>
        <v>0</v>
      </c>
      <c r="D260" s="6">
        <f>IFERROR(__xludf.DUMMYFUNCTION("""COMPUTED_VALUE"""),45705.0)</f>
        <v>45705</v>
      </c>
      <c r="E260" s="7" t="str">
        <f>IFERROR(__xludf.DUMMYFUNCTION("""COMPUTED_VALUE"""),"FRANQUIA_D&amp;G_SP")</f>
        <v>FRANQUIA_D&amp;G_SP</v>
      </c>
      <c r="F260" s="7" t="str">
        <f>IFERROR(__xludf.DUMMYFUNCTION("""COMPUTED_VALUE"""),"MOTORCYCLE")</f>
        <v>MOTORCYCLE</v>
      </c>
      <c r="G260" s="7" t="str">
        <f>IFERROR(__xludf.DUMMYFUNCTION("""COMPUTED_VALUE"""),"SAO PAULO")</f>
        <v>SAO PAULO</v>
      </c>
    </row>
    <row r="261">
      <c r="A261" s="6">
        <f>IFERROR(__xludf.DUMMYFUNCTION("""COMPUTED_VALUE"""),45705.0)</f>
        <v>45705</v>
      </c>
      <c r="B261" s="7" t="str">
        <f>IFERROR(__xludf.DUMMYFUNCTION("""COMPUTED_VALUE"""),"21a67c4b-1dbe-4d9b-a31b-12a7e655edb6")</f>
        <v>21a67c4b-1dbe-4d9b-a31b-12a7e655edb6</v>
      </c>
      <c r="C261" s="7">
        <f>IFERROR(__xludf.DUMMYFUNCTION("""COMPUTED_VALUE"""),0.0)</f>
        <v>0</v>
      </c>
      <c r="D261" s="6">
        <f>IFERROR(__xludf.DUMMYFUNCTION("""COMPUTED_VALUE"""),45705.0)</f>
        <v>45705</v>
      </c>
      <c r="E261" s="7" t="str">
        <f>IFERROR(__xludf.DUMMYFUNCTION("""COMPUTED_VALUE"""),"FRANQUIA_D&amp;G_SP")</f>
        <v>FRANQUIA_D&amp;G_SP</v>
      </c>
      <c r="F261" s="7" t="str">
        <f>IFERROR(__xludf.DUMMYFUNCTION("""COMPUTED_VALUE"""),"MOTORCYCLE")</f>
        <v>MOTORCYCLE</v>
      </c>
      <c r="G261" s="7" t="str">
        <f>IFERROR(__xludf.DUMMYFUNCTION("""COMPUTED_VALUE"""),"SAO PAULO")</f>
        <v>SAO PAULO</v>
      </c>
    </row>
    <row r="262">
      <c r="A262" s="6">
        <f>IFERROR(__xludf.DUMMYFUNCTION("""COMPUTED_VALUE"""),45705.0)</f>
        <v>45705</v>
      </c>
      <c r="B262" s="7" t="str">
        <f>IFERROR(__xludf.DUMMYFUNCTION("""COMPUTED_VALUE"""),"a1dcef84-3ad6-4c2a-bbbb-274a9da5f063")</f>
        <v>a1dcef84-3ad6-4c2a-bbbb-274a9da5f063</v>
      </c>
      <c r="C262" s="7">
        <f>IFERROR(__xludf.DUMMYFUNCTION("""COMPUTED_VALUE"""),3.0)</f>
        <v>3</v>
      </c>
      <c r="D262" s="6">
        <f>IFERROR(__xludf.DUMMYFUNCTION("""COMPUTED_VALUE"""),45702.0)</f>
        <v>45702</v>
      </c>
      <c r="E262" s="7" t="str">
        <f>IFERROR(__xludf.DUMMYFUNCTION("""COMPUTED_VALUE"""),"FRANQUIA_D&amp;G_SP")</f>
        <v>FRANQUIA_D&amp;G_SP</v>
      </c>
      <c r="F262" s="7" t="str">
        <f>IFERROR(__xludf.DUMMYFUNCTION("""COMPUTED_VALUE"""),"BICYCLE")</f>
        <v>BICYCLE</v>
      </c>
      <c r="G262" s="7" t="str">
        <f>IFERROR(__xludf.DUMMYFUNCTION("""COMPUTED_VALUE"""),"SAO PAULO")</f>
        <v>SAO PAULO</v>
      </c>
    </row>
    <row r="263">
      <c r="A263" s="6">
        <f>IFERROR(__xludf.DUMMYFUNCTION("""COMPUTED_VALUE"""),45705.0)</f>
        <v>45705</v>
      </c>
      <c r="B263" s="7" t="str">
        <f>IFERROR(__xludf.DUMMYFUNCTION("""COMPUTED_VALUE"""),"a50a9b7a-fde1-4537-9959-b0b098e72f60")</f>
        <v>a50a9b7a-fde1-4537-9959-b0b098e72f60</v>
      </c>
      <c r="C263" s="7">
        <f>IFERROR(__xludf.DUMMYFUNCTION("""COMPUTED_VALUE"""),0.0)</f>
        <v>0</v>
      </c>
      <c r="D263" s="6">
        <f>IFERROR(__xludf.DUMMYFUNCTION("""COMPUTED_VALUE"""),0.0)</f>
        <v>0</v>
      </c>
      <c r="E263" s="7" t="str">
        <f>IFERROR(__xludf.DUMMYFUNCTION("""COMPUTED_VALUE"""),"FRANQUIA_D&amp;G_SP")</f>
        <v>FRANQUIA_D&amp;G_SP</v>
      </c>
      <c r="F263" s="7" t="str">
        <f>IFERROR(__xludf.DUMMYFUNCTION("""COMPUTED_VALUE"""),"MOTORCYCLE")</f>
        <v>MOTORCYCLE</v>
      </c>
      <c r="G263" s="7" t="str">
        <f>IFERROR(__xludf.DUMMYFUNCTION("""COMPUTED_VALUE"""),"0")</f>
        <v>0</v>
      </c>
    </row>
    <row r="264">
      <c r="A264" s="6">
        <f>IFERROR(__xludf.DUMMYFUNCTION("""COMPUTED_VALUE"""),45705.0)</f>
        <v>45705</v>
      </c>
      <c r="B264" s="7" t="str">
        <f>IFERROR(__xludf.DUMMYFUNCTION("""COMPUTED_VALUE"""),"4574c3ce-97bc-4697-ac54-81eb4332aca9")</f>
        <v>4574c3ce-97bc-4697-ac54-81eb4332aca9</v>
      </c>
      <c r="C264" s="7">
        <f>IFERROR(__xludf.DUMMYFUNCTION("""COMPUTED_VALUE"""),0.0)</f>
        <v>0</v>
      </c>
      <c r="D264" s="6">
        <f>IFERROR(__xludf.DUMMYFUNCTION("""COMPUTED_VALUE"""),45705.0)</f>
        <v>45705</v>
      </c>
      <c r="E264" s="7" t="str">
        <f>IFERROR(__xludf.DUMMYFUNCTION("""COMPUTED_VALUE"""),"FRANQUIA_D&amp;G_SP")</f>
        <v>FRANQUIA_D&amp;G_SP</v>
      </c>
      <c r="F264" s="7" t="str">
        <f>IFERROR(__xludf.DUMMYFUNCTION("""COMPUTED_VALUE"""),"MOTORCYCLE")</f>
        <v>MOTORCYCLE</v>
      </c>
      <c r="G264" s="7" t="str">
        <f>IFERROR(__xludf.DUMMYFUNCTION("""COMPUTED_VALUE"""),"SAO PAULO")</f>
        <v>SAO PAULO</v>
      </c>
    </row>
    <row r="265">
      <c r="A265" s="6">
        <f>IFERROR(__xludf.DUMMYFUNCTION("""COMPUTED_VALUE"""),45705.0)</f>
        <v>45705</v>
      </c>
      <c r="B265" s="7" t="str">
        <f>IFERROR(__xludf.DUMMYFUNCTION("""COMPUTED_VALUE"""),"25350884-fd0d-45d6-b050-d993fc37e6f2")</f>
        <v>25350884-fd0d-45d6-b050-d993fc37e6f2</v>
      </c>
      <c r="C265" s="7">
        <f>IFERROR(__xludf.DUMMYFUNCTION("""COMPUTED_VALUE"""),419.0)</f>
        <v>419</v>
      </c>
      <c r="D265" s="6">
        <f>IFERROR(__xludf.DUMMYFUNCTION("""COMPUTED_VALUE"""),45286.0)</f>
        <v>45286</v>
      </c>
      <c r="E265" s="7" t="str">
        <f>IFERROR(__xludf.DUMMYFUNCTION("""COMPUTED_VALUE"""),"FRANQUIA_D&amp;G_SP")</f>
        <v>FRANQUIA_D&amp;G_SP</v>
      </c>
      <c r="F265" s="7" t="str">
        <f>IFERROR(__xludf.DUMMYFUNCTION("""COMPUTED_VALUE"""),"BICYCLE")</f>
        <v>BICYCLE</v>
      </c>
      <c r="G265" s="7" t="str">
        <f>IFERROR(__xludf.DUMMYFUNCTION("""COMPUTED_VALUE"""),"SAO PAULO")</f>
        <v>SAO PAULO</v>
      </c>
    </row>
    <row r="266">
      <c r="A266" s="6">
        <f>IFERROR(__xludf.DUMMYFUNCTION("""COMPUTED_VALUE"""),45705.0)</f>
        <v>45705</v>
      </c>
      <c r="B266" s="7" t="str">
        <f>IFERROR(__xludf.DUMMYFUNCTION("""COMPUTED_VALUE"""),"bc50ba7f-065f-4adf-ba1c-942cde7c7215")</f>
        <v>bc50ba7f-065f-4adf-ba1c-942cde7c7215</v>
      </c>
      <c r="C266" s="7">
        <f>IFERROR(__xludf.DUMMYFUNCTION("""COMPUTED_VALUE"""),212.0)</f>
        <v>212</v>
      </c>
      <c r="D266" s="6">
        <f>IFERROR(__xludf.DUMMYFUNCTION("""COMPUTED_VALUE"""),45493.0)</f>
        <v>45493</v>
      </c>
      <c r="E266" s="7" t="str">
        <f>IFERROR(__xludf.DUMMYFUNCTION("""COMPUTED_VALUE"""),"FRANQUIA_D&amp;G_SP")</f>
        <v>FRANQUIA_D&amp;G_SP</v>
      </c>
      <c r="F266" s="7" t="str">
        <f>IFERROR(__xludf.DUMMYFUNCTION("""COMPUTED_VALUE"""),"MOTORCYCLE")</f>
        <v>MOTORCYCLE</v>
      </c>
      <c r="G266" s="7" t="str">
        <f>IFERROR(__xludf.DUMMYFUNCTION("""COMPUTED_VALUE"""),"SAO PAULO")</f>
        <v>SAO PAULO</v>
      </c>
    </row>
    <row r="267">
      <c r="A267" s="6">
        <f>IFERROR(__xludf.DUMMYFUNCTION("""COMPUTED_VALUE"""),45705.0)</f>
        <v>45705</v>
      </c>
      <c r="B267" s="7" t="str">
        <f>IFERROR(__xludf.DUMMYFUNCTION("""COMPUTED_VALUE"""),"43d4ea4c-6334-48ac-b0aa-d7429d13fa67")</f>
        <v>43d4ea4c-6334-48ac-b0aa-d7429d13fa67</v>
      </c>
      <c r="C267" s="7">
        <f>IFERROR(__xludf.DUMMYFUNCTION("""COMPUTED_VALUE"""),576.0)</f>
        <v>576</v>
      </c>
      <c r="D267" s="6">
        <f>IFERROR(__xludf.DUMMYFUNCTION("""COMPUTED_VALUE"""),45129.0)</f>
        <v>45129</v>
      </c>
      <c r="E267" s="7" t="str">
        <f>IFERROR(__xludf.DUMMYFUNCTION("""COMPUTED_VALUE"""),"FRANQUIA_D&amp;G_SP")</f>
        <v>FRANQUIA_D&amp;G_SP</v>
      </c>
      <c r="F267" s="7" t="str">
        <f>IFERROR(__xludf.DUMMYFUNCTION("""COMPUTED_VALUE"""),"MOTORCYCLE")</f>
        <v>MOTORCYCLE</v>
      </c>
      <c r="G267" s="7" t="str">
        <f>IFERROR(__xludf.DUMMYFUNCTION("""COMPUTED_VALUE"""),"SAO PAULO")</f>
        <v>SAO PAULO</v>
      </c>
    </row>
    <row r="268">
      <c r="A268" s="6">
        <f>IFERROR(__xludf.DUMMYFUNCTION("""COMPUTED_VALUE"""),45705.0)</f>
        <v>45705</v>
      </c>
      <c r="B268" s="7" t="str">
        <f>IFERROR(__xludf.DUMMYFUNCTION("""COMPUTED_VALUE"""),"41c324d5-320f-41c9-a531-505ae4d3c1cd")</f>
        <v>41c324d5-320f-41c9-a531-505ae4d3c1cd</v>
      </c>
      <c r="C268" s="7">
        <f>IFERROR(__xludf.DUMMYFUNCTION("""COMPUTED_VALUE"""),0.0)</f>
        <v>0</v>
      </c>
      <c r="D268" s="6">
        <f>IFERROR(__xludf.DUMMYFUNCTION("""COMPUTED_VALUE"""),0.0)</f>
        <v>0</v>
      </c>
      <c r="E268" s="7" t="str">
        <f>IFERROR(__xludf.DUMMYFUNCTION("""COMPUTED_VALUE"""),"FRANQUIA_D&amp;G_SP")</f>
        <v>FRANQUIA_D&amp;G_SP</v>
      </c>
      <c r="F268" s="7" t="str">
        <f>IFERROR(__xludf.DUMMYFUNCTION("""COMPUTED_VALUE"""),"BICYCLE")</f>
        <v>BICYCLE</v>
      </c>
      <c r="G268" s="7" t="str">
        <f>IFERROR(__xludf.DUMMYFUNCTION("""COMPUTED_VALUE"""),"0")</f>
        <v>0</v>
      </c>
    </row>
    <row r="269">
      <c r="A269" s="6">
        <f>IFERROR(__xludf.DUMMYFUNCTION("""COMPUTED_VALUE"""),45705.0)</f>
        <v>45705</v>
      </c>
      <c r="B269" s="7" t="str">
        <f>IFERROR(__xludf.DUMMYFUNCTION("""COMPUTED_VALUE"""),"b2b019cd-2d6a-4fae-8584-902cd21cc168")</f>
        <v>b2b019cd-2d6a-4fae-8584-902cd21cc168</v>
      </c>
      <c r="C269" s="7">
        <f>IFERROR(__xludf.DUMMYFUNCTION("""COMPUTED_VALUE"""),84.0)</f>
        <v>84</v>
      </c>
      <c r="D269" s="6">
        <f>IFERROR(__xludf.DUMMYFUNCTION("""COMPUTED_VALUE"""),45621.0)</f>
        <v>45621</v>
      </c>
      <c r="E269" s="7" t="str">
        <f>IFERROR(__xludf.DUMMYFUNCTION("""COMPUTED_VALUE"""),"FRANQUIA_D&amp;G_SP")</f>
        <v>FRANQUIA_D&amp;G_SP</v>
      </c>
      <c r="F269" s="7" t="str">
        <f>IFERROR(__xludf.DUMMYFUNCTION("""COMPUTED_VALUE"""),"BICYCLE")</f>
        <v>BICYCLE</v>
      </c>
      <c r="G269" s="7" t="str">
        <f>IFERROR(__xludf.DUMMYFUNCTION("""COMPUTED_VALUE"""),"SAO PAULO")</f>
        <v>SAO PAULO</v>
      </c>
    </row>
    <row r="270">
      <c r="A270" s="6">
        <f>IFERROR(__xludf.DUMMYFUNCTION("""COMPUTED_VALUE"""),45705.0)</f>
        <v>45705</v>
      </c>
      <c r="B270" s="7" t="str">
        <f>IFERROR(__xludf.DUMMYFUNCTION("""COMPUTED_VALUE"""),"f80e8731-7243-4c85-82be-88e8164ac6f0")</f>
        <v>f80e8731-7243-4c85-82be-88e8164ac6f0</v>
      </c>
      <c r="C270" s="7">
        <f>IFERROR(__xludf.DUMMYFUNCTION("""COMPUTED_VALUE"""),0.0)</f>
        <v>0</v>
      </c>
      <c r="D270" s="6">
        <f>IFERROR(__xludf.DUMMYFUNCTION("""COMPUTED_VALUE"""),45705.0)</f>
        <v>45705</v>
      </c>
      <c r="E270" s="7" t="str">
        <f>IFERROR(__xludf.DUMMYFUNCTION("""COMPUTED_VALUE"""),"FRANQUIA_D&amp;G_SP")</f>
        <v>FRANQUIA_D&amp;G_SP</v>
      </c>
      <c r="F270" s="7" t="str">
        <f>IFERROR(__xludf.DUMMYFUNCTION("""COMPUTED_VALUE"""),"MOTORCYCLE")</f>
        <v>MOTORCYCLE</v>
      </c>
      <c r="G270" s="7" t="str">
        <f>IFERROR(__xludf.DUMMYFUNCTION("""COMPUTED_VALUE"""),"RECIFE")</f>
        <v>RECIFE</v>
      </c>
    </row>
    <row r="271">
      <c r="A271" s="6">
        <f>IFERROR(__xludf.DUMMYFUNCTION("""COMPUTED_VALUE"""),45705.0)</f>
        <v>45705</v>
      </c>
      <c r="B271" s="7" t="str">
        <f>IFERROR(__xludf.DUMMYFUNCTION("""COMPUTED_VALUE"""),"0a056813-f064-465e-9ffd-6334201c099d")</f>
        <v>0a056813-f064-465e-9ffd-6334201c099d</v>
      </c>
      <c r="C271" s="7">
        <f>IFERROR(__xludf.DUMMYFUNCTION("""COMPUTED_VALUE"""),22.0)</f>
        <v>22</v>
      </c>
      <c r="D271" s="6">
        <f>IFERROR(__xludf.DUMMYFUNCTION("""COMPUTED_VALUE"""),45683.0)</f>
        <v>45683</v>
      </c>
      <c r="E271" s="7" t="str">
        <f>IFERROR(__xludf.DUMMYFUNCTION("""COMPUTED_VALUE"""),"FRANQUIA_D&amp;G_SP")</f>
        <v>FRANQUIA_D&amp;G_SP</v>
      </c>
      <c r="F271" s="7" t="str">
        <f>IFERROR(__xludf.DUMMYFUNCTION("""COMPUTED_VALUE"""),"BICYCLE")</f>
        <v>BICYCLE</v>
      </c>
      <c r="G271" s="7" t="str">
        <f>IFERROR(__xludf.DUMMYFUNCTION("""COMPUTED_VALUE"""),"SAO PAULO")</f>
        <v>SAO PAULO</v>
      </c>
    </row>
    <row r="272">
      <c r="A272" s="6">
        <f>IFERROR(__xludf.DUMMYFUNCTION("""COMPUTED_VALUE"""),45705.0)</f>
        <v>45705</v>
      </c>
      <c r="B272" s="7" t="str">
        <f>IFERROR(__xludf.DUMMYFUNCTION("""COMPUTED_VALUE"""),"478566e7-9636-4ac8-9954-cc388b87e7aa")</f>
        <v>478566e7-9636-4ac8-9954-cc388b87e7aa</v>
      </c>
      <c r="C272" s="7">
        <f>IFERROR(__xludf.DUMMYFUNCTION("""COMPUTED_VALUE"""),51.0)</f>
        <v>51</v>
      </c>
      <c r="D272" s="6">
        <f>IFERROR(__xludf.DUMMYFUNCTION("""COMPUTED_VALUE"""),45654.0)</f>
        <v>45654</v>
      </c>
      <c r="E272" s="7" t="str">
        <f>IFERROR(__xludf.DUMMYFUNCTION("""COMPUTED_VALUE"""),"FRANQUIA_D&amp;G_SP")</f>
        <v>FRANQUIA_D&amp;G_SP</v>
      </c>
      <c r="F272" s="7" t="str">
        <f>IFERROR(__xludf.DUMMYFUNCTION("""COMPUTED_VALUE"""),"MOTORCYCLE")</f>
        <v>MOTORCYCLE</v>
      </c>
      <c r="G272" s="7" t="str">
        <f>IFERROR(__xludf.DUMMYFUNCTION("""COMPUTED_VALUE"""),"SAO PAULO")</f>
        <v>SAO PAULO</v>
      </c>
    </row>
    <row r="273">
      <c r="A273" s="6">
        <f>IFERROR(__xludf.DUMMYFUNCTION("""COMPUTED_VALUE"""),45705.0)</f>
        <v>45705</v>
      </c>
      <c r="B273" s="7" t="str">
        <f>IFERROR(__xludf.DUMMYFUNCTION("""COMPUTED_VALUE"""),"6075f1d6-5169-407c-9882-46f5550c535e")</f>
        <v>6075f1d6-5169-407c-9882-46f5550c535e</v>
      </c>
      <c r="C273" s="7">
        <f>IFERROR(__xludf.DUMMYFUNCTION("""COMPUTED_VALUE"""),0.0)</f>
        <v>0</v>
      </c>
      <c r="D273" s="6">
        <f>IFERROR(__xludf.DUMMYFUNCTION("""COMPUTED_VALUE"""),45705.0)</f>
        <v>45705</v>
      </c>
      <c r="E273" s="7" t="str">
        <f>IFERROR(__xludf.DUMMYFUNCTION("""COMPUTED_VALUE"""),"FRANQUIA_D&amp;G_SP")</f>
        <v>FRANQUIA_D&amp;G_SP</v>
      </c>
      <c r="F273" s="7" t="str">
        <f>IFERROR(__xludf.DUMMYFUNCTION("""COMPUTED_VALUE"""),"MOTORCYCLE")</f>
        <v>MOTORCYCLE</v>
      </c>
      <c r="G273" s="7" t="str">
        <f>IFERROR(__xludf.DUMMYFUNCTION("""COMPUTED_VALUE"""),"SAO PAULO")</f>
        <v>SAO PAULO</v>
      </c>
    </row>
    <row r="274">
      <c r="A274" s="6">
        <f>IFERROR(__xludf.DUMMYFUNCTION("""COMPUTED_VALUE"""),45705.0)</f>
        <v>45705</v>
      </c>
      <c r="B274" s="7" t="str">
        <f>IFERROR(__xludf.DUMMYFUNCTION("""COMPUTED_VALUE"""),"46b6477f-3bfa-46be-9348-e8d63c88c0a3")</f>
        <v>46b6477f-3bfa-46be-9348-e8d63c88c0a3</v>
      </c>
      <c r="C274" s="7">
        <f>IFERROR(__xludf.DUMMYFUNCTION("""COMPUTED_VALUE"""),87.0)</f>
        <v>87</v>
      </c>
      <c r="D274" s="6">
        <f>IFERROR(__xludf.DUMMYFUNCTION("""COMPUTED_VALUE"""),45618.0)</f>
        <v>45618</v>
      </c>
      <c r="E274" s="7" t="str">
        <f>IFERROR(__xludf.DUMMYFUNCTION("""COMPUTED_VALUE"""),"FRANQUIA_D&amp;G_SP")</f>
        <v>FRANQUIA_D&amp;G_SP</v>
      </c>
      <c r="F274" s="7" t="str">
        <f>IFERROR(__xludf.DUMMYFUNCTION("""COMPUTED_VALUE"""),"MOTORCYCLE")</f>
        <v>MOTORCYCLE</v>
      </c>
      <c r="G274" s="7" t="str">
        <f>IFERROR(__xludf.DUMMYFUNCTION("""COMPUTED_VALUE"""),"SAO PAULO")</f>
        <v>SAO PAULO</v>
      </c>
    </row>
    <row r="275">
      <c r="A275" s="6">
        <f>IFERROR(__xludf.DUMMYFUNCTION("""COMPUTED_VALUE"""),45705.0)</f>
        <v>45705</v>
      </c>
      <c r="B275" s="7" t="str">
        <f>IFERROR(__xludf.DUMMYFUNCTION("""COMPUTED_VALUE"""),"6a360f1f-3d6a-41f2-b8a2-262e56a2d90e")</f>
        <v>6a360f1f-3d6a-41f2-b8a2-262e56a2d90e</v>
      </c>
      <c r="C275" s="7">
        <f>IFERROR(__xludf.DUMMYFUNCTION("""COMPUTED_VALUE"""),491.0)</f>
        <v>491</v>
      </c>
      <c r="D275" s="6">
        <f>IFERROR(__xludf.DUMMYFUNCTION("""COMPUTED_VALUE"""),45214.0)</f>
        <v>45214</v>
      </c>
      <c r="E275" s="7" t="str">
        <f>IFERROR(__xludf.DUMMYFUNCTION("""COMPUTED_VALUE"""),"FRANQUIA_D&amp;G_SP")</f>
        <v>FRANQUIA_D&amp;G_SP</v>
      </c>
      <c r="F275" s="7" t="str">
        <f>IFERROR(__xludf.DUMMYFUNCTION("""COMPUTED_VALUE"""),"MOTORCYCLE")</f>
        <v>MOTORCYCLE</v>
      </c>
      <c r="G275" s="7" t="str">
        <f>IFERROR(__xludf.DUMMYFUNCTION("""COMPUTED_VALUE"""),"SAO PAULO")</f>
        <v>SAO PAULO</v>
      </c>
    </row>
    <row r="276">
      <c r="A276" s="6">
        <f>IFERROR(__xludf.DUMMYFUNCTION("""COMPUTED_VALUE"""),45705.0)</f>
        <v>45705</v>
      </c>
      <c r="B276" s="7" t="str">
        <f>IFERROR(__xludf.DUMMYFUNCTION("""COMPUTED_VALUE"""),"15d30702-eee4-434d-a4be-5405fbc97112")</f>
        <v>15d30702-eee4-434d-a4be-5405fbc97112</v>
      </c>
      <c r="C276" s="7">
        <f>IFERROR(__xludf.DUMMYFUNCTION("""COMPUTED_VALUE"""),623.0)</f>
        <v>623</v>
      </c>
      <c r="D276" s="6">
        <f>IFERROR(__xludf.DUMMYFUNCTION("""COMPUTED_VALUE"""),45082.0)</f>
        <v>45082</v>
      </c>
      <c r="E276" s="7" t="str">
        <f>IFERROR(__xludf.DUMMYFUNCTION("""COMPUTED_VALUE"""),"FRANQUIA_D&amp;G_SP")</f>
        <v>FRANQUIA_D&amp;G_SP</v>
      </c>
      <c r="F276" s="7" t="str">
        <f>IFERROR(__xludf.DUMMYFUNCTION("""COMPUTED_VALUE"""),"MOTORCYCLE")</f>
        <v>MOTORCYCLE</v>
      </c>
      <c r="G276" s="7" t="str">
        <f>IFERROR(__xludf.DUMMYFUNCTION("""COMPUTED_VALUE"""),"SAO PAULO")</f>
        <v>SAO PAULO</v>
      </c>
    </row>
    <row r="277">
      <c r="A277" s="6">
        <f>IFERROR(__xludf.DUMMYFUNCTION("""COMPUTED_VALUE"""),45705.0)</f>
        <v>45705</v>
      </c>
      <c r="B277" s="7" t="str">
        <f>IFERROR(__xludf.DUMMYFUNCTION("""COMPUTED_VALUE"""),"8d202dd1-f24b-4b1d-9ea1-68e814d9acbf")</f>
        <v>8d202dd1-f24b-4b1d-9ea1-68e814d9acbf</v>
      </c>
      <c r="C277" s="7">
        <f>IFERROR(__xludf.DUMMYFUNCTION("""COMPUTED_VALUE"""),37.0)</f>
        <v>37</v>
      </c>
      <c r="D277" s="6">
        <f>IFERROR(__xludf.DUMMYFUNCTION("""COMPUTED_VALUE"""),45668.0)</f>
        <v>45668</v>
      </c>
      <c r="E277" s="7" t="str">
        <f>IFERROR(__xludf.DUMMYFUNCTION("""COMPUTED_VALUE"""),"FRANQUIA_D&amp;G_SP")</f>
        <v>FRANQUIA_D&amp;G_SP</v>
      </c>
      <c r="F277" s="7" t="str">
        <f>IFERROR(__xludf.DUMMYFUNCTION("""COMPUTED_VALUE"""),"BICYCLE")</f>
        <v>BICYCLE</v>
      </c>
      <c r="G277" s="7" t="str">
        <f>IFERROR(__xludf.DUMMYFUNCTION("""COMPUTED_VALUE"""),"SAO PAULO")</f>
        <v>SAO PAULO</v>
      </c>
    </row>
    <row r="278">
      <c r="A278" s="6">
        <f>IFERROR(__xludf.DUMMYFUNCTION("""COMPUTED_VALUE"""),45705.0)</f>
        <v>45705</v>
      </c>
      <c r="B278" s="7" t="str">
        <f>IFERROR(__xludf.DUMMYFUNCTION("""COMPUTED_VALUE"""),"d920451e-a06f-4251-aa02-cb0dbd8c32fe")</f>
        <v>d920451e-a06f-4251-aa02-cb0dbd8c32fe</v>
      </c>
      <c r="C278" s="7">
        <f>IFERROR(__xludf.DUMMYFUNCTION("""COMPUTED_VALUE"""),43.0)</f>
        <v>43</v>
      </c>
      <c r="D278" s="6">
        <f>IFERROR(__xludf.DUMMYFUNCTION("""COMPUTED_VALUE"""),45662.0)</f>
        <v>45662</v>
      </c>
      <c r="E278" s="7" t="str">
        <f>IFERROR(__xludf.DUMMYFUNCTION("""COMPUTED_VALUE"""),"FRANQUIA_D&amp;G_SP")</f>
        <v>FRANQUIA_D&amp;G_SP</v>
      </c>
      <c r="F278" s="7" t="str">
        <f>IFERROR(__xludf.DUMMYFUNCTION("""COMPUTED_VALUE"""),"MOTO BAU")</f>
        <v>MOTO BAU</v>
      </c>
      <c r="G278" s="7" t="str">
        <f>IFERROR(__xludf.DUMMYFUNCTION("""COMPUTED_VALUE"""),"TABOAO DA SERRA")</f>
        <v>TABOAO DA SERRA</v>
      </c>
    </row>
    <row r="279">
      <c r="A279" s="6">
        <f>IFERROR(__xludf.DUMMYFUNCTION("""COMPUTED_VALUE"""),45705.0)</f>
        <v>45705</v>
      </c>
      <c r="B279" s="7" t="str">
        <f>IFERROR(__xludf.DUMMYFUNCTION("""COMPUTED_VALUE"""),"10e6e5f8-b6de-4b44-a8ce-b9215dfb06e7")</f>
        <v>10e6e5f8-b6de-4b44-a8ce-b9215dfb06e7</v>
      </c>
      <c r="C279" s="7">
        <f>IFERROR(__xludf.DUMMYFUNCTION("""COMPUTED_VALUE"""),0.0)</f>
        <v>0</v>
      </c>
      <c r="D279" s="6">
        <f>IFERROR(__xludf.DUMMYFUNCTION("""COMPUTED_VALUE"""),45705.0)</f>
        <v>45705</v>
      </c>
      <c r="E279" s="7" t="str">
        <f>IFERROR(__xludf.DUMMYFUNCTION("""COMPUTED_VALUE"""),"FRANQUIA_D&amp;G_SP")</f>
        <v>FRANQUIA_D&amp;G_SP</v>
      </c>
      <c r="F279" s="7" t="str">
        <f>IFERROR(__xludf.DUMMYFUNCTION("""COMPUTED_VALUE"""),"MOTORCYCLE")</f>
        <v>MOTORCYCLE</v>
      </c>
      <c r="G279" s="7" t="str">
        <f>IFERROR(__xludf.DUMMYFUNCTION("""COMPUTED_VALUE"""),"SAO PAULO")</f>
        <v>SAO PAULO</v>
      </c>
    </row>
    <row r="280">
      <c r="A280" s="6">
        <f>IFERROR(__xludf.DUMMYFUNCTION("""COMPUTED_VALUE"""),45705.0)</f>
        <v>45705</v>
      </c>
      <c r="B280" s="7" t="str">
        <f>IFERROR(__xludf.DUMMYFUNCTION("""COMPUTED_VALUE"""),"f376d27c-bf9b-402c-be2e-2f4425e010f8")</f>
        <v>f376d27c-bf9b-402c-be2e-2f4425e010f8</v>
      </c>
      <c r="C280" s="7">
        <f>IFERROR(__xludf.DUMMYFUNCTION("""COMPUTED_VALUE"""),57.0)</f>
        <v>57</v>
      </c>
      <c r="D280" s="6">
        <f>IFERROR(__xludf.DUMMYFUNCTION("""COMPUTED_VALUE"""),45648.0)</f>
        <v>45648</v>
      </c>
      <c r="E280" s="7" t="str">
        <f>IFERROR(__xludf.DUMMYFUNCTION("""COMPUTED_VALUE"""),"FRANQUIA_D&amp;G_SP")</f>
        <v>FRANQUIA_D&amp;G_SP</v>
      </c>
      <c r="F280" s="7" t="str">
        <f>IFERROR(__xludf.DUMMYFUNCTION("""COMPUTED_VALUE"""),"MOTORCYCLE")</f>
        <v>MOTORCYCLE</v>
      </c>
      <c r="G280" s="7" t="str">
        <f>IFERROR(__xludf.DUMMYFUNCTION("""COMPUTED_VALUE"""),"SAO PAULO")</f>
        <v>SAO PAULO</v>
      </c>
    </row>
    <row r="281">
      <c r="A281" s="6">
        <f>IFERROR(__xludf.DUMMYFUNCTION("""COMPUTED_VALUE"""),45705.0)</f>
        <v>45705</v>
      </c>
      <c r="B281" s="7" t="str">
        <f>IFERROR(__xludf.DUMMYFUNCTION("""COMPUTED_VALUE"""),"292afe4c-d353-4f4b-9466-ef0325cde7d4")</f>
        <v>292afe4c-d353-4f4b-9466-ef0325cde7d4</v>
      </c>
      <c r="C281" s="7">
        <f>IFERROR(__xludf.DUMMYFUNCTION("""COMPUTED_VALUE"""),0.0)</f>
        <v>0</v>
      </c>
      <c r="D281" s="6">
        <f>IFERROR(__xludf.DUMMYFUNCTION("""COMPUTED_VALUE"""),45705.0)</f>
        <v>45705</v>
      </c>
      <c r="E281" s="7" t="str">
        <f>IFERROR(__xludf.DUMMYFUNCTION("""COMPUTED_VALUE"""),"FRANQUIA_D&amp;G_SP")</f>
        <v>FRANQUIA_D&amp;G_SP</v>
      </c>
      <c r="F281" s="7" t="str">
        <f>IFERROR(__xludf.DUMMYFUNCTION("""COMPUTED_VALUE"""),"MOTORCYCLE")</f>
        <v>MOTORCYCLE</v>
      </c>
      <c r="G281" s="7" t="str">
        <f>IFERROR(__xludf.DUMMYFUNCTION("""COMPUTED_VALUE"""),"SAO PAULO")</f>
        <v>SAO PAULO</v>
      </c>
    </row>
    <row r="282">
      <c r="A282" s="6">
        <f>IFERROR(__xludf.DUMMYFUNCTION("""COMPUTED_VALUE"""),45705.0)</f>
        <v>45705</v>
      </c>
      <c r="B282" s="7" t="str">
        <f>IFERROR(__xludf.DUMMYFUNCTION("""COMPUTED_VALUE"""),"6931f1e7-cb89-44e8-9519-4d8ec4ab73fa")</f>
        <v>6931f1e7-cb89-44e8-9519-4d8ec4ab73fa</v>
      </c>
      <c r="C282" s="7">
        <f>IFERROR(__xludf.DUMMYFUNCTION("""COMPUTED_VALUE"""),177.0)</f>
        <v>177</v>
      </c>
      <c r="D282" s="6">
        <f>IFERROR(__xludf.DUMMYFUNCTION("""COMPUTED_VALUE"""),45528.0)</f>
        <v>45528</v>
      </c>
      <c r="E282" s="7" t="str">
        <f>IFERROR(__xludf.DUMMYFUNCTION("""COMPUTED_VALUE"""),"FRANQUIA_D&amp;G_SP")</f>
        <v>FRANQUIA_D&amp;G_SP</v>
      </c>
      <c r="F282" s="7" t="str">
        <f>IFERROR(__xludf.DUMMYFUNCTION("""COMPUTED_VALUE"""),"BICYCLE")</f>
        <v>BICYCLE</v>
      </c>
      <c r="G282" s="7" t="str">
        <f>IFERROR(__xludf.DUMMYFUNCTION("""COMPUTED_VALUE"""),"SAO PAULO")</f>
        <v>SAO PAULO</v>
      </c>
    </row>
    <row r="283">
      <c r="A283" s="6">
        <f>IFERROR(__xludf.DUMMYFUNCTION("""COMPUTED_VALUE"""),45705.0)</f>
        <v>45705</v>
      </c>
      <c r="B283" s="7" t="str">
        <f>IFERROR(__xludf.DUMMYFUNCTION("""COMPUTED_VALUE"""),"168414ec-4c3b-4dee-b10e-214659f3e1f4")</f>
        <v>168414ec-4c3b-4dee-b10e-214659f3e1f4</v>
      </c>
      <c r="C283" s="7">
        <f>IFERROR(__xludf.DUMMYFUNCTION("""COMPUTED_VALUE"""),0.0)</f>
        <v>0</v>
      </c>
      <c r="D283" s="6">
        <f>IFERROR(__xludf.DUMMYFUNCTION("""COMPUTED_VALUE"""),45705.0)</f>
        <v>45705</v>
      </c>
      <c r="E283" s="7" t="str">
        <f>IFERROR(__xludf.DUMMYFUNCTION("""COMPUTED_VALUE"""),"FRANQUIA_D&amp;G_SP")</f>
        <v>FRANQUIA_D&amp;G_SP</v>
      </c>
      <c r="F283" s="7" t="str">
        <f>IFERROR(__xludf.DUMMYFUNCTION("""COMPUTED_VALUE"""),"MOTORCYCLE")</f>
        <v>MOTORCYCLE</v>
      </c>
      <c r="G283" s="7" t="str">
        <f>IFERROR(__xludf.DUMMYFUNCTION("""COMPUTED_VALUE"""),"SAO PAULO")</f>
        <v>SAO PAULO</v>
      </c>
    </row>
    <row r="284">
      <c r="A284" s="6">
        <f>IFERROR(__xludf.DUMMYFUNCTION("""COMPUTED_VALUE"""),45705.0)</f>
        <v>45705</v>
      </c>
      <c r="B284" s="7" t="str">
        <f>IFERROR(__xludf.DUMMYFUNCTION("""COMPUTED_VALUE"""),"7ee8d71c-9c91-4714-99fa-03c9e75d4fb7")</f>
        <v>7ee8d71c-9c91-4714-99fa-03c9e75d4fb7</v>
      </c>
      <c r="C284" s="7">
        <f>IFERROR(__xludf.DUMMYFUNCTION("""COMPUTED_VALUE"""),34.0)</f>
        <v>34</v>
      </c>
      <c r="D284" s="6">
        <f>IFERROR(__xludf.DUMMYFUNCTION("""COMPUTED_VALUE"""),45671.0)</f>
        <v>45671</v>
      </c>
      <c r="E284" s="7" t="str">
        <f>IFERROR(__xludf.DUMMYFUNCTION("""COMPUTED_VALUE"""),"FRANQUIA_D&amp;G_SP")</f>
        <v>FRANQUIA_D&amp;G_SP</v>
      </c>
      <c r="F284" s="7" t="str">
        <f>IFERROR(__xludf.DUMMYFUNCTION("""COMPUTED_VALUE"""),"MOTORCYCLE")</f>
        <v>MOTORCYCLE</v>
      </c>
      <c r="G284" s="7" t="str">
        <f>IFERROR(__xludf.DUMMYFUNCTION("""COMPUTED_VALUE"""),"SAO PAULO")</f>
        <v>SAO PAULO</v>
      </c>
    </row>
    <row r="285">
      <c r="A285" s="6">
        <f>IFERROR(__xludf.DUMMYFUNCTION("""COMPUTED_VALUE"""),45705.0)</f>
        <v>45705</v>
      </c>
      <c r="B285" s="7" t="str">
        <f>IFERROR(__xludf.DUMMYFUNCTION("""COMPUTED_VALUE"""),"e0cf2e7f-0501-41ff-845f-0c1dc0dc6b45")</f>
        <v>e0cf2e7f-0501-41ff-845f-0c1dc0dc6b45</v>
      </c>
      <c r="C285" s="7">
        <f>IFERROR(__xludf.DUMMYFUNCTION("""COMPUTED_VALUE"""),247.0)</f>
        <v>247</v>
      </c>
      <c r="D285" s="6">
        <f>IFERROR(__xludf.DUMMYFUNCTION("""COMPUTED_VALUE"""),45458.0)</f>
        <v>45458</v>
      </c>
      <c r="E285" s="7" t="str">
        <f>IFERROR(__xludf.DUMMYFUNCTION("""COMPUTED_VALUE"""),"FRANQUIA_D&amp;G_SP")</f>
        <v>FRANQUIA_D&amp;G_SP</v>
      </c>
      <c r="F285" s="7" t="str">
        <f>IFERROR(__xludf.DUMMYFUNCTION("""COMPUTED_VALUE"""),"BICYCLE")</f>
        <v>BICYCLE</v>
      </c>
      <c r="G285" s="7" t="str">
        <f>IFERROR(__xludf.DUMMYFUNCTION("""COMPUTED_VALUE"""),"SAO PAULO")</f>
        <v>SAO PAULO</v>
      </c>
    </row>
    <row r="286">
      <c r="A286" s="6">
        <f>IFERROR(__xludf.DUMMYFUNCTION("""COMPUTED_VALUE"""),45705.0)</f>
        <v>45705</v>
      </c>
      <c r="B286" s="7" t="str">
        <f>IFERROR(__xludf.DUMMYFUNCTION("""COMPUTED_VALUE"""),"197daf24-3da7-4d99-844d-1ccecb8c46ce")</f>
        <v>197daf24-3da7-4d99-844d-1ccecb8c46ce</v>
      </c>
      <c r="C286" s="7">
        <f>IFERROR(__xludf.DUMMYFUNCTION("""COMPUTED_VALUE"""),2.0)</f>
        <v>2</v>
      </c>
      <c r="D286" s="6">
        <f>IFERROR(__xludf.DUMMYFUNCTION("""COMPUTED_VALUE"""),45703.0)</f>
        <v>45703</v>
      </c>
      <c r="E286" s="7" t="str">
        <f>IFERROR(__xludf.DUMMYFUNCTION("""COMPUTED_VALUE"""),"FRANQUIA_D&amp;G_SP")</f>
        <v>FRANQUIA_D&amp;G_SP</v>
      </c>
      <c r="F286" s="7" t="str">
        <f>IFERROR(__xludf.DUMMYFUNCTION("""COMPUTED_VALUE"""),"MOTORCYCLE")</f>
        <v>MOTORCYCLE</v>
      </c>
      <c r="G286" s="7" t="str">
        <f>IFERROR(__xludf.DUMMYFUNCTION("""COMPUTED_VALUE"""),"SAO PAULO")</f>
        <v>SAO PAULO</v>
      </c>
    </row>
    <row r="287">
      <c r="A287" s="6">
        <f>IFERROR(__xludf.DUMMYFUNCTION("""COMPUTED_VALUE"""),45705.0)</f>
        <v>45705</v>
      </c>
      <c r="B287" s="7" t="str">
        <f>IFERROR(__xludf.DUMMYFUNCTION("""COMPUTED_VALUE"""),"7968fff0-0eb0-49f6-b111-119c44b7dbc9")</f>
        <v>7968fff0-0eb0-49f6-b111-119c44b7dbc9</v>
      </c>
      <c r="C287" s="7">
        <f>IFERROR(__xludf.DUMMYFUNCTION("""COMPUTED_VALUE"""),61.0)</f>
        <v>61</v>
      </c>
      <c r="D287" s="6">
        <f>IFERROR(__xludf.DUMMYFUNCTION("""COMPUTED_VALUE"""),45644.0)</f>
        <v>45644</v>
      </c>
      <c r="E287" s="7" t="str">
        <f>IFERROR(__xludf.DUMMYFUNCTION("""COMPUTED_VALUE"""),"FRANQUIA_D&amp;G_SP")</f>
        <v>FRANQUIA_D&amp;G_SP</v>
      </c>
      <c r="F287" s="7" t="str">
        <f>IFERROR(__xludf.DUMMYFUNCTION("""COMPUTED_VALUE"""),"BICYCLE")</f>
        <v>BICYCLE</v>
      </c>
      <c r="G287" s="7" t="str">
        <f>IFERROR(__xludf.DUMMYFUNCTION("""COMPUTED_VALUE"""),"SAO PAULO")</f>
        <v>SAO PAULO</v>
      </c>
    </row>
    <row r="288">
      <c r="A288" s="6">
        <f>IFERROR(__xludf.DUMMYFUNCTION("""COMPUTED_VALUE"""),45705.0)</f>
        <v>45705</v>
      </c>
      <c r="B288" s="7" t="str">
        <f>IFERROR(__xludf.DUMMYFUNCTION("""COMPUTED_VALUE"""),"69af037f-d63f-4e07-87a7-e7abc3abcd19")</f>
        <v>69af037f-d63f-4e07-87a7-e7abc3abcd19</v>
      </c>
      <c r="C288" s="7">
        <f>IFERROR(__xludf.DUMMYFUNCTION("""COMPUTED_VALUE"""),89.0)</f>
        <v>89</v>
      </c>
      <c r="D288" s="6">
        <f>IFERROR(__xludf.DUMMYFUNCTION("""COMPUTED_VALUE"""),45616.0)</f>
        <v>45616</v>
      </c>
      <c r="E288" s="7" t="str">
        <f>IFERROR(__xludf.DUMMYFUNCTION("""COMPUTED_VALUE"""),"FRANQUIA_D&amp;G_SP")</f>
        <v>FRANQUIA_D&amp;G_SP</v>
      </c>
      <c r="F288" s="7" t="str">
        <f>IFERROR(__xludf.DUMMYFUNCTION("""COMPUTED_VALUE"""),"BICYCLE")</f>
        <v>BICYCLE</v>
      </c>
      <c r="G288" s="7" t="str">
        <f>IFERROR(__xludf.DUMMYFUNCTION("""COMPUTED_VALUE"""),"SAO PAULO")</f>
        <v>SAO PAULO</v>
      </c>
    </row>
    <row r="289">
      <c r="A289" s="6">
        <f>IFERROR(__xludf.DUMMYFUNCTION("""COMPUTED_VALUE"""),45705.0)</f>
        <v>45705</v>
      </c>
      <c r="B289" s="7" t="str">
        <f>IFERROR(__xludf.DUMMYFUNCTION("""COMPUTED_VALUE"""),"6cda0c92-7ca5-49e9-8a0c-4aba940dbac7")</f>
        <v>6cda0c92-7ca5-49e9-8a0c-4aba940dbac7</v>
      </c>
      <c r="C289" s="7">
        <f>IFERROR(__xludf.DUMMYFUNCTION("""COMPUTED_VALUE"""),4.0)</f>
        <v>4</v>
      </c>
      <c r="D289" s="6">
        <f>IFERROR(__xludf.DUMMYFUNCTION("""COMPUTED_VALUE"""),45701.0)</f>
        <v>45701</v>
      </c>
      <c r="E289" s="7" t="str">
        <f>IFERROR(__xludf.DUMMYFUNCTION("""COMPUTED_VALUE"""),"FRANQUIA_D&amp;G_SP")</f>
        <v>FRANQUIA_D&amp;G_SP</v>
      </c>
      <c r="F289" s="7" t="str">
        <f>IFERROR(__xludf.DUMMYFUNCTION("""COMPUTED_VALUE"""),"BICYCLE")</f>
        <v>BICYCLE</v>
      </c>
      <c r="G289" s="7" t="str">
        <f>IFERROR(__xludf.DUMMYFUNCTION("""COMPUTED_VALUE"""),"SAO PAULO")</f>
        <v>SAO PAULO</v>
      </c>
    </row>
    <row r="290">
      <c r="A290" s="6">
        <f>IFERROR(__xludf.DUMMYFUNCTION("""COMPUTED_VALUE"""),45705.0)</f>
        <v>45705</v>
      </c>
      <c r="B290" s="7" t="str">
        <f>IFERROR(__xludf.DUMMYFUNCTION("""COMPUTED_VALUE"""),"dab1a8b1-cafa-4fcd-ad06-cd8c0e963086")</f>
        <v>dab1a8b1-cafa-4fcd-ad06-cd8c0e963086</v>
      </c>
      <c r="C290" s="7">
        <f>IFERROR(__xludf.DUMMYFUNCTION("""COMPUTED_VALUE"""),149.0)</f>
        <v>149</v>
      </c>
      <c r="D290" s="6">
        <f>IFERROR(__xludf.DUMMYFUNCTION("""COMPUTED_VALUE"""),45556.0)</f>
        <v>45556</v>
      </c>
      <c r="E290" s="7" t="str">
        <f>IFERROR(__xludf.DUMMYFUNCTION("""COMPUTED_VALUE"""),"FRANQUIA_D&amp;G_SP")</f>
        <v>FRANQUIA_D&amp;G_SP</v>
      </c>
      <c r="F290" s="7" t="str">
        <f>IFERROR(__xludf.DUMMYFUNCTION("""COMPUTED_VALUE"""),"BICYCLE")</f>
        <v>BICYCLE</v>
      </c>
      <c r="G290" s="7" t="str">
        <f>IFERROR(__xludf.DUMMYFUNCTION("""COMPUTED_VALUE"""),"SAO PAULO")</f>
        <v>SAO PAULO</v>
      </c>
    </row>
    <row r="291">
      <c r="A291" s="6">
        <f>IFERROR(__xludf.DUMMYFUNCTION("""COMPUTED_VALUE"""),45705.0)</f>
        <v>45705</v>
      </c>
      <c r="B291" s="7" t="str">
        <f>IFERROR(__xludf.DUMMYFUNCTION("""COMPUTED_VALUE"""),"4bc065b7-c5b0-413d-bd1f-dd34f2589401")</f>
        <v>4bc065b7-c5b0-413d-bd1f-dd34f2589401</v>
      </c>
      <c r="C291" s="7">
        <f>IFERROR(__xludf.DUMMYFUNCTION("""COMPUTED_VALUE"""),451.0)</f>
        <v>451</v>
      </c>
      <c r="D291" s="6">
        <f>IFERROR(__xludf.DUMMYFUNCTION("""COMPUTED_VALUE"""),45254.0)</f>
        <v>45254</v>
      </c>
      <c r="E291" s="7" t="str">
        <f>IFERROR(__xludf.DUMMYFUNCTION("""COMPUTED_VALUE"""),"FRANQUIA_D&amp;G_SP")</f>
        <v>FRANQUIA_D&amp;G_SP</v>
      </c>
      <c r="F291" s="7" t="str">
        <f>IFERROR(__xludf.DUMMYFUNCTION("""COMPUTED_VALUE"""),"BICYCLE")</f>
        <v>BICYCLE</v>
      </c>
      <c r="G291" s="7" t="str">
        <f>IFERROR(__xludf.DUMMYFUNCTION("""COMPUTED_VALUE"""),"SAO PAULO")</f>
        <v>SAO PAULO</v>
      </c>
    </row>
    <row r="292">
      <c r="A292" s="6">
        <f>IFERROR(__xludf.DUMMYFUNCTION("""COMPUTED_VALUE"""),45705.0)</f>
        <v>45705</v>
      </c>
      <c r="B292" s="7" t="str">
        <f>IFERROR(__xludf.DUMMYFUNCTION("""COMPUTED_VALUE"""),"4f2d4ff1-358f-44b6-b830-40b20e2d28f8")</f>
        <v>4f2d4ff1-358f-44b6-b830-40b20e2d28f8</v>
      </c>
      <c r="C292" s="7">
        <f>IFERROR(__xludf.DUMMYFUNCTION("""COMPUTED_VALUE"""),0.0)</f>
        <v>0</v>
      </c>
      <c r="D292" s="6">
        <f>IFERROR(__xludf.DUMMYFUNCTION("""COMPUTED_VALUE"""),45705.0)</f>
        <v>45705</v>
      </c>
      <c r="E292" s="7" t="str">
        <f>IFERROR(__xludf.DUMMYFUNCTION("""COMPUTED_VALUE"""),"FRANQUIA_D&amp;G_SP")</f>
        <v>FRANQUIA_D&amp;G_SP</v>
      </c>
      <c r="F292" s="7" t="str">
        <f>IFERROR(__xludf.DUMMYFUNCTION("""COMPUTED_VALUE"""),"BICYCLE")</f>
        <v>BICYCLE</v>
      </c>
      <c r="G292" s="7" t="str">
        <f>IFERROR(__xludf.DUMMYFUNCTION("""COMPUTED_VALUE"""),"SAO PAULO")</f>
        <v>SAO PAULO</v>
      </c>
    </row>
    <row r="293">
      <c r="A293" s="6">
        <f>IFERROR(__xludf.DUMMYFUNCTION("""COMPUTED_VALUE"""),45705.0)</f>
        <v>45705</v>
      </c>
      <c r="B293" s="7" t="str">
        <f>IFERROR(__xludf.DUMMYFUNCTION("""COMPUTED_VALUE"""),"e9a3ec41-0774-4295-b068-d7a1167e9731")</f>
        <v>e9a3ec41-0774-4295-b068-d7a1167e9731</v>
      </c>
      <c r="C293" s="7">
        <f>IFERROR(__xludf.DUMMYFUNCTION("""COMPUTED_VALUE"""),0.0)</f>
        <v>0</v>
      </c>
      <c r="D293" s="6">
        <f>IFERROR(__xludf.DUMMYFUNCTION("""COMPUTED_VALUE"""),45705.0)</f>
        <v>45705</v>
      </c>
      <c r="E293" s="7" t="str">
        <f>IFERROR(__xludf.DUMMYFUNCTION("""COMPUTED_VALUE"""),"FRANQUIA_D&amp;G_SP")</f>
        <v>FRANQUIA_D&amp;G_SP</v>
      </c>
      <c r="F293" s="7" t="str">
        <f>IFERROR(__xludf.DUMMYFUNCTION("""COMPUTED_VALUE"""),"MOTORCYCLE")</f>
        <v>MOTORCYCLE</v>
      </c>
      <c r="G293" s="7" t="str">
        <f>IFERROR(__xludf.DUMMYFUNCTION("""COMPUTED_VALUE"""),"SAO PAULO")</f>
        <v>SAO PAULO</v>
      </c>
    </row>
    <row r="294">
      <c r="A294" s="6">
        <f>IFERROR(__xludf.DUMMYFUNCTION("""COMPUTED_VALUE"""),45705.0)</f>
        <v>45705</v>
      </c>
      <c r="B294" s="7" t="str">
        <f>IFERROR(__xludf.DUMMYFUNCTION("""COMPUTED_VALUE"""),"71770c83-c676-499e-b070-ee4f9753c253")</f>
        <v>71770c83-c676-499e-b070-ee4f9753c253</v>
      </c>
      <c r="C294" s="7">
        <f>IFERROR(__xludf.DUMMYFUNCTION("""COMPUTED_VALUE"""),115.0)</f>
        <v>115</v>
      </c>
      <c r="D294" s="6">
        <f>IFERROR(__xludf.DUMMYFUNCTION("""COMPUTED_VALUE"""),45590.0)</f>
        <v>45590</v>
      </c>
      <c r="E294" s="7" t="str">
        <f>IFERROR(__xludf.DUMMYFUNCTION("""COMPUTED_VALUE"""),"FRANQUIA_D&amp;G_SP")</f>
        <v>FRANQUIA_D&amp;G_SP</v>
      </c>
      <c r="F294" s="7" t="str">
        <f>IFERROR(__xludf.DUMMYFUNCTION("""COMPUTED_VALUE"""),"MOTORCYCLE")</f>
        <v>MOTORCYCLE</v>
      </c>
      <c r="G294" s="7" t="str">
        <f>IFERROR(__xludf.DUMMYFUNCTION("""COMPUTED_VALUE"""),"SAO PAULO")</f>
        <v>SAO PAULO</v>
      </c>
    </row>
    <row r="295">
      <c r="A295" s="6">
        <f>IFERROR(__xludf.DUMMYFUNCTION("""COMPUTED_VALUE"""),45705.0)</f>
        <v>45705</v>
      </c>
      <c r="B295" s="7" t="str">
        <f>IFERROR(__xludf.DUMMYFUNCTION("""COMPUTED_VALUE"""),"005e2dbd-aaa0-4a2c-ae81-69d2f3e089b3")</f>
        <v>005e2dbd-aaa0-4a2c-ae81-69d2f3e089b3</v>
      </c>
      <c r="C295" s="7">
        <f>IFERROR(__xludf.DUMMYFUNCTION("""COMPUTED_VALUE"""),0.0)</f>
        <v>0</v>
      </c>
      <c r="D295" s="6">
        <f>IFERROR(__xludf.DUMMYFUNCTION("""COMPUTED_VALUE"""),45705.0)</f>
        <v>45705</v>
      </c>
      <c r="E295" s="7" t="str">
        <f>IFERROR(__xludf.DUMMYFUNCTION("""COMPUTED_VALUE"""),"FRANQUIA_D&amp;G_SP")</f>
        <v>FRANQUIA_D&amp;G_SP</v>
      </c>
      <c r="F295" s="7" t="str">
        <f>IFERROR(__xludf.DUMMYFUNCTION("""COMPUTED_VALUE"""),"MOTORCYCLE")</f>
        <v>MOTORCYCLE</v>
      </c>
      <c r="G295" s="7" t="str">
        <f>IFERROR(__xludf.DUMMYFUNCTION("""COMPUTED_VALUE"""),"SAO PAULO")</f>
        <v>SAO PAULO</v>
      </c>
    </row>
    <row r="296">
      <c r="A296" s="6">
        <f>IFERROR(__xludf.DUMMYFUNCTION("""COMPUTED_VALUE"""),45705.0)</f>
        <v>45705</v>
      </c>
      <c r="B296" s="7" t="str">
        <f>IFERROR(__xludf.DUMMYFUNCTION("""COMPUTED_VALUE"""),"bb3d1d35-7819-4fbd-826a-bfad5b24064e")</f>
        <v>bb3d1d35-7819-4fbd-826a-bfad5b24064e</v>
      </c>
      <c r="C296" s="7">
        <f>IFERROR(__xludf.DUMMYFUNCTION("""COMPUTED_VALUE"""),2.0)</f>
        <v>2</v>
      </c>
      <c r="D296" s="6">
        <f>IFERROR(__xludf.DUMMYFUNCTION("""COMPUTED_VALUE"""),45703.0)</f>
        <v>45703</v>
      </c>
      <c r="E296" s="7" t="str">
        <f>IFERROR(__xludf.DUMMYFUNCTION("""COMPUTED_VALUE"""),"FRANQUIA_D&amp;G_SP")</f>
        <v>FRANQUIA_D&amp;G_SP</v>
      </c>
      <c r="F296" s="7" t="str">
        <f>IFERROR(__xludf.DUMMYFUNCTION("""COMPUTED_VALUE"""),"BICYCLE")</f>
        <v>BICYCLE</v>
      </c>
      <c r="G296" s="7" t="str">
        <f>IFERROR(__xludf.DUMMYFUNCTION("""COMPUTED_VALUE"""),"SAO PAULO")</f>
        <v>SAO PAULO</v>
      </c>
    </row>
    <row r="297">
      <c r="A297" s="6">
        <f>IFERROR(__xludf.DUMMYFUNCTION("""COMPUTED_VALUE"""),45705.0)</f>
        <v>45705</v>
      </c>
      <c r="B297" s="7" t="str">
        <f>IFERROR(__xludf.DUMMYFUNCTION("""COMPUTED_VALUE"""),"5244fca7-15e1-4522-a2f5-cf068ba9e503")</f>
        <v>5244fca7-15e1-4522-a2f5-cf068ba9e503</v>
      </c>
      <c r="C297" s="7">
        <f>IFERROR(__xludf.DUMMYFUNCTION("""COMPUTED_VALUE"""),776.0)</f>
        <v>776</v>
      </c>
      <c r="D297" s="6">
        <f>IFERROR(__xludf.DUMMYFUNCTION("""COMPUTED_VALUE"""),44929.0)</f>
        <v>44929</v>
      </c>
      <c r="E297" s="7" t="str">
        <f>IFERROR(__xludf.DUMMYFUNCTION("""COMPUTED_VALUE"""),"FRANQUIA_D&amp;G_SP")</f>
        <v>FRANQUIA_D&amp;G_SP</v>
      </c>
      <c r="F297" s="7" t="str">
        <f>IFERROR(__xludf.DUMMYFUNCTION("""COMPUTED_VALUE"""),"MOTORCYCLE")</f>
        <v>MOTORCYCLE</v>
      </c>
      <c r="G297" s="7" t="str">
        <f>IFERROR(__xludf.DUMMYFUNCTION("""COMPUTED_VALUE"""),"SAO PAULO")</f>
        <v>SAO PAULO</v>
      </c>
    </row>
    <row r="298">
      <c r="A298" s="6">
        <f>IFERROR(__xludf.DUMMYFUNCTION("""COMPUTED_VALUE"""),45705.0)</f>
        <v>45705</v>
      </c>
      <c r="B298" s="7" t="str">
        <f>IFERROR(__xludf.DUMMYFUNCTION("""COMPUTED_VALUE"""),"247f28e0-61bc-49cb-994b-20ac7907f8c3")</f>
        <v>247f28e0-61bc-49cb-994b-20ac7907f8c3</v>
      </c>
      <c r="C298" s="7">
        <f>IFERROR(__xludf.DUMMYFUNCTION("""COMPUTED_VALUE"""),0.0)</f>
        <v>0</v>
      </c>
      <c r="D298" s="6">
        <f>IFERROR(__xludf.DUMMYFUNCTION("""COMPUTED_VALUE"""),45705.0)</f>
        <v>45705</v>
      </c>
      <c r="E298" s="7" t="str">
        <f>IFERROR(__xludf.DUMMYFUNCTION("""COMPUTED_VALUE"""),"FRANQUIA_D&amp;G_SP")</f>
        <v>FRANQUIA_D&amp;G_SP</v>
      </c>
      <c r="F298" s="7" t="str">
        <f>IFERROR(__xludf.DUMMYFUNCTION("""COMPUTED_VALUE"""),"MOTORCYCLE")</f>
        <v>MOTORCYCLE</v>
      </c>
      <c r="G298" s="7" t="str">
        <f>IFERROR(__xludf.DUMMYFUNCTION("""COMPUTED_VALUE"""),"SAO PAULO")</f>
        <v>SAO PAULO</v>
      </c>
    </row>
    <row r="299">
      <c r="A299" s="6">
        <f>IFERROR(__xludf.DUMMYFUNCTION("""COMPUTED_VALUE"""),45705.0)</f>
        <v>45705</v>
      </c>
      <c r="B299" s="7" t="str">
        <f>IFERROR(__xludf.DUMMYFUNCTION("""COMPUTED_VALUE"""),"b7286d9e-8c82-4317-aafc-7ba37dd92dbf")</f>
        <v>b7286d9e-8c82-4317-aafc-7ba37dd92dbf</v>
      </c>
      <c r="C299" s="7">
        <f>IFERROR(__xludf.DUMMYFUNCTION("""COMPUTED_VALUE"""),0.0)</f>
        <v>0</v>
      </c>
      <c r="D299" s="6">
        <f>IFERROR(__xludf.DUMMYFUNCTION("""COMPUTED_VALUE"""),45705.0)</f>
        <v>45705</v>
      </c>
      <c r="E299" s="7" t="str">
        <f>IFERROR(__xludf.DUMMYFUNCTION("""COMPUTED_VALUE"""),"FRANQUIA_D&amp;G_SP")</f>
        <v>FRANQUIA_D&amp;G_SP</v>
      </c>
      <c r="F299" s="7" t="str">
        <f>IFERROR(__xludf.DUMMYFUNCTION("""COMPUTED_VALUE"""),"MOTORCYCLE")</f>
        <v>MOTORCYCLE</v>
      </c>
      <c r="G299" s="7" t="str">
        <f>IFERROR(__xludf.DUMMYFUNCTION("""COMPUTED_VALUE"""),"SAO PAULO")</f>
        <v>SAO PAULO</v>
      </c>
    </row>
    <row r="300">
      <c r="A300" s="6">
        <f>IFERROR(__xludf.DUMMYFUNCTION("""COMPUTED_VALUE"""),45705.0)</f>
        <v>45705</v>
      </c>
      <c r="B300" s="7" t="str">
        <f>IFERROR(__xludf.DUMMYFUNCTION("""COMPUTED_VALUE"""),"38dd03fc-ec1d-4542-869f-3f86fc33dc7c")</f>
        <v>38dd03fc-ec1d-4542-869f-3f86fc33dc7c</v>
      </c>
      <c r="C300" s="7">
        <f>IFERROR(__xludf.DUMMYFUNCTION("""COMPUTED_VALUE"""),29.0)</f>
        <v>29</v>
      </c>
      <c r="D300" s="6">
        <f>IFERROR(__xludf.DUMMYFUNCTION("""COMPUTED_VALUE"""),45676.0)</f>
        <v>45676</v>
      </c>
      <c r="E300" s="7" t="str">
        <f>IFERROR(__xludf.DUMMYFUNCTION("""COMPUTED_VALUE"""),"FRANQUIA_D&amp;G_SP")</f>
        <v>FRANQUIA_D&amp;G_SP</v>
      </c>
      <c r="F300" s="7" t="str">
        <f>IFERROR(__xludf.DUMMYFUNCTION("""COMPUTED_VALUE"""),"BICYCLE")</f>
        <v>BICYCLE</v>
      </c>
      <c r="G300" s="7" t="str">
        <f>IFERROR(__xludf.DUMMYFUNCTION("""COMPUTED_VALUE"""),"SAO PAULO")</f>
        <v>SAO PAULO</v>
      </c>
    </row>
    <row r="301">
      <c r="A301" s="6">
        <f>IFERROR(__xludf.DUMMYFUNCTION("""COMPUTED_VALUE"""),45705.0)</f>
        <v>45705</v>
      </c>
      <c r="B301" s="7" t="str">
        <f>IFERROR(__xludf.DUMMYFUNCTION("""COMPUTED_VALUE"""),"e195fbb5-20f8-45ef-8dee-4bc66080cd42")</f>
        <v>e195fbb5-20f8-45ef-8dee-4bc66080cd42</v>
      </c>
      <c r="C301" s="7">
        <f>IFERROR(__xludf.DUMMYFUNCTION("""COMPUTED_VALUE"""),1.0)</f>
        <v>1</v>
      </c>
      <c r="D301" s="6">
        <f>IFERROR(__xludf.DUMMYFUNCTION("""COMPUTED_VALUE"""),45704.0)</f>
        <v>45704</v>
      </c>
      <c r="E301" s="7" t="str">
        <f>IFERROR(__xludf.DUMMYFUNCTION("""COMPUTED_VALUE"""),"FRANQUIA_D&amp;G_SP")</f>
        <v>FRANQUIA_D&amp;G_SP</v>
      </c>
      <c r="F301" s="7" t="str">
        <f>IFERROR(__xludf.DUMMYFUNCTION("""COMPUTED_VALUE"""),"MOTORCYCLE")</f>
        <v>MOTORCYCLE</v>
      </c>
      <c r="G301" s="7" t="str">
        <f>IFERROR(__xludf.DUMMYFUNCTION("""COMPUTED_VALUE"""),"SAO PAULO")</f>
        <v>SAO PAULO</v>
      </c>
    </row>
    <row r="302">
      <c r="A302" s="6">
        <f>IFERROR(__xludf.DUMMYFUNCTION("""COMPUTED_VALUE"""),45705.0)</f>
        <v>45705</v>
      </c>
      <c r="B302" s="7" t="str">
        <f>IFERROR(__xludf.DUMMYFUNCTION("""COMPUTED_VALUE"""),"8bb7990d-bb69-4bee-a3eb-61c8f70d8805")</f>
        <v>8bb7990d-bb69-4bee-a3eb-61c8f70d8805</v>
      </c>
      <c r="C302" s="7">
        <f>IFERROR(__xludf.DUMMYFUNCTION("""COMPUTED_VALUE"""),1.0)</f>
        <v>1</v>
      </c>
      <c r="D302" s="6">
        <f>IFERROR(__xludf.DUMMYFUNCTION("""COMPUTED_VALUE"""),45704.0)</f>
        <v>45704</v>
      </c>
      <c r="E302" s="7" t="str">
        <f>IFERROR(__xludf.DUMMYFUNCTION("""COMPUTED_VALUE"""),"FRANQUIA_D&amp;G_SP")</f>
        <v>FRANQUIA_D&amp;G_SP</v>
      </c>
      <c r="F302" s="7" t="str">
        <f>IFERROR(__xludf.DUMMYFUNCTION("""COMPUTED_VALUE"""),"MOTORCYCLE")</f>
        <v>MOTORCYCLE</v>
      </c>
      <c r="G302" s="7" t="str">
        <f>IFERROR(__xludf.DUMMYFUNCTION("""COMPUTED_VALUE"""),"SAO PAULO")</f>
        <v>SAO PAULO</v>
      </c>
    </row>
    <row r="303">
      <c r="A303" s="6">
        <f>IFERROR(__xludf.DUMMYFUNCTION("""COMPUTED_VALUE"""),45705.0)</f>
        <v>45705</v>
      </c>
      <c r="B303" s="7" t="str">
        <f>IFERROR(__xludf.DUMMYFUNCTION("""COMPUTED_VALUE"""),"4ae643ca-fbd8-43ed-9677-b374c79aeec7")</f>
        <v>4ae643ca-fbd8-43ed-9677-b374c79aeec7</v>
      </c>
      <c r="C303" s="7">
        <f>IFERROR(__xludf.DUMMYFUNCTION("""COMPUTED_VALUE"""),91.0)</f>
        <v>91</v>
      </c>
      <c r="D303" s="6">
        <f>IFERROR(__xludf.DUMMYFUNCTION("""COMPUTED_VALUE"""),45614.0)</f>
        <v>45614</v>
      </c>
      <c r="E303" s="7" t="str">
        <f>IFERROR(__xludf.DUMMYFUNCTION("""COMPUTED_VALUE"""),"FRANQUIA_D&amp;G_SP")</f>
        <v>FRANQUIA_D&amp;G_SP</v>
      </c>
      <c r="F303" s="7" t="str">
        <f>IFERROR(__xludf.DUMMYFUNCTION("""COMPUTED_VALUE"""),"BICYCLE")</f>
        <v>BICYCLE</v>
      </c>
      <c r="G303" s="7" t="str">
        <f>IFERROR(__xludf.DUMMYFUNCTION("""COMPUTED_VALUE"""),"SAO PAULO")</f>
        <v>SAO PAULO</v>
      </c>
    </row>
    <row r="304">
      <c r="A304" s="6">
        <f>IFERROR(__xludf.DUMMYFUNCTION("""COMPUTED_VALUE"""),45705.0)</f>
        <v>45705</v>
      </c>
      <c r="B304" s="7" t="str">
        <f>IFERROR(__xludf.DUMMYFUNCTION("""COMPUTED_VALUE"""),"3800deba-f9e4-41be-a4fb-65a7d80e0400")</f>
        <v>3800deba-f9e4-41be-a4fb-65a7d80e0400</v>
      </c>
      <c r="C304" s="7">
        <f>IFERROR(__xludf.DUMMYFUNCTION("""COMPUTED_VALUE"""),0.0)</f>
        <v>0</v>
      </c>
      <c r="D304" s="6">
        <f>IFERROR(__xludf.DUMMYFUNCTION("""COMPUTED_VALUE"""),45705.0)</f>
        <v>45705</v>
      </c>
      <c r="E304" s="7" t="str">
        <f>IFERROR(__xludf.DUMMYFUNCTION("""COMPUTED_VALUE"""),"FRANQUIA_D&amp;G_SP")</f>
        <v>FRANQUIA_D&amp;G_SP</v>
      </c>
      <c r="F304" s="7" t="str">
        <f>IFERROR(__xludf.DUMMYFUNCTION("""COMPUTED_VALUE"""),"MOTORCYCLE")</f>
        <v>MOTORCYCLE</v>
      </c>
      <c r="G304" s="7" t="str">
        <f>IFERROR(__xludf.DUMMYFUNCTION("""COMPUTED_VALUE"""),"SAO PAULO")</f>
        <v>SAO PAULO</v>
      </c>
    </row>
    <row r="305">
      <c r="A305" s="6">
        <f>IFERROR(__xludf.DUMMYFUNCTION("""COMPUTED_VALUE"""),45705.0)</f>
        <v>45705</v>
      </c>
      <c r="B305" s="7" t="str">
        <f>IFERROR(__xludf.DUMMYFUNCTION("""COMPUTED_VALUE"""),"5f843539-4899-40ab-9aac-76229a85c225")</f>
        <v>5f843539-4899-40ab-9aac-76229a85c225</v>
      </c>
      <c r="C305" s="7">
        <f>IFERROR(__xludf.DUMMYFUNCTION("""COMPUTED_VALUE"""),0.0)</f>
        <v>0</v>
      </c>
      <c r="D305" s="6">
        <f>IFERROR(__xludf.DUMMYFUNCTION("""COMPUTED_VALUE"""),45705.0)</f>
        <v>45705</v>
      </c>
      <c r="E305" s="7" t="str">
        <f>IFERROR(__xludf.DUMMYFUNCTION("""COMPUTED_VALUE"""),"FRANQUIA_D&amp;G_SP")</f>
        <v>FRANQUIA_D&amp;G_SP</v>
      </c>
      <c r="F305" s="7" t="str">
        <f>IFERROR(__xludf.DUMMYFUNCTION("""COMPUTED_VALUE"""),"BICYCLE")</f>
        <v>BICYCLE</v>
      </c>
      <c r="G305" s="7" t="str">
        <f>IFERROR(__xludf.DUMMYFUNCTION("""COMPUTED_VALUE"""),"SAO PAULO")</f>
        <v>SAO PAULO</v>
      </c>
    </row>
    <row r="306">
      <c r="A306" s="6">
        <f>IFERROR(__xludf.DUMMYFUNCTION("""COMPUTED_VALUE"""),45705.0)</f>
        <v>45705</v>
      </c>
      <c r="B306" s="7" t="str">
        <f>IFERROR(__xludf.DUMMYFUNCTION("""COMPUTED_VALUE"""),"b1559dbc-a6cb-4dea-8cde-38eb546d2d23")</f>
        <v>b1559dbc-a6cb-4dea-8cde-38eb546d2d23</v>
      </c>
      <c r="C306" s="7">
        <f>IFERROR(__xludf.DUMMYFUNCTION("""COMPUTED_VALUE"""),0.0)</f>
        <v>0</v>
      </c>
      <c r="D306" s="6">
        <f>IFERROR(__xludf.DUMMYFUNCTION("""COMPUTED_VALUE"""),45705.0)</f>
        <v>45705</v>
      </c>
      <c r="E306" s="7" t="str">
        <f>IFERROR(__xludf.DUMMYFUNCTION("""COMPUTED_VALUE"""),"FRANQUIA_D&amp;G_SP")</f>
        <v>FRANQUIA_D&amp;G_SP</v>
      </c>
      <c r="F306" s="7" t="str">
        <f>IFERROR(__xludf.DUMMYFUNCTION("""COMPUTED_VALUE"""),"MOTORCYCLE")</f>
        <v>MOTORCYCLE</v>
      </c>
      <c r="G306" s="7" t="str">
        <f>IFERROR(__xludf.DUMMYFUNCTION("""COMPUTED_VALUE"""),"SAO PAULO")</f>
        <v>SAO PAULO</v>
      </c>
    </row>
    <row r="307">
      <c r="A307" s="6">
        <f>IFERROR(__xludf.DUMMYFUNCTION("""COMPUTED_VALUE"""),45705.0)</f>
        <v>45705</v>
      </c>
      <c r="B307" s="7" t="str">
        <f>IFERROR(__xludf.DUMMYFUNCTION("""COMPUTED_VALUE"""),"2c746b3b-fdff-4941-b257-2d6f71352b7d")</f>
        <v>2c746b3b-fdff-4941-b257-2d6f71352b7d</v>
      </c>
      <c r="C307" s="7">
        <f>IFERROR(__xludf.DUMMYFUNCTION("""COMPUTED_VALUE"""),0.0)</f>
        <v>0</v>
      </c>
      <c r="D307" s="6">
        <f>IFERROR(__xludf.DUMMYFUNCTION("""COMPUTED_VALUE"""),45705.0)</f>
        <v>45705</v>
      </c>
      <c r="E307" s="7" t="str">
        <f>IFERROR(__xludf.DUMMYFUNCTION("""COMPUTED_VALUE"""),"FRANQUIA_D&amp;G_SP")</f>
        <v>FRANQUIA_D&amp;G_SP</v>
      </c>
      <c r="F307" s="7" t="str">
        <f>IFERROR(__xludf.DUMMYFUNCTION("""COMPUTED_VALUE"""),"MOTORCYCLE")</f>
        <v>MOTORCYCLE</v>
      </c>
      <c r="G307" s="7" t="str">
        <f>IFERROR(__xludf.DUMMYFUNCTION("""COMPUTED_VALUE"""),"SAO PAULO")</f>
        <v>SAO PAULO</v>
      </c>
    </row>
    <row r="308">
      <c r="A308" s="6">
        <f>IFERROR(__xludf.DUMMYFUNCTION("""COMPUTED_VALUE"""),45705.0)</f>
        <v>45705</v>
      </c>
      <c r="B308" s="7" t="str">
        <f>IFERROR(__xludf.DUMMYFUNCTION("""COMPUTED_VALUE"""),"7aeddb13-584d-432f-ab3a-47b7794a5b8f")</f>
        <v>7aeddb13-584d-432f-ab3a-47b7794a5b8f</v>
      </c>
      <c r="C308" s="7">
        <f>IFERROR(__xludf.DUMMYFUNCTION("""COMPUTED_VALUE"""),0.0)</f>
        <v>0</v>
      </c>
      <c r="D308" s="6">
        <f>IFERROR(__xludf.DUMMYFUNCTION("""COMPUTED_VALUE"""),45705.0)</f>
        <v>45705</v>
      </c>
      <c r="E308" s="7" t="str">
        <f>IFERROR(__xludf.DUMMYFUNCTION("""COMPUTED_VALUE"""),"FRANQUIA_D&amp;G_SP")</f>
        <v>FRANQUIA_D&amp;G_SP</v>
      </c>
      <c r="F308" s="7" t="str">
        <f>IFERROR(__xludf.DUMMYFUNCTION("""COMPUTED_VALUE"""),"MOTORCYCLE")</f>
        <v>MOTORCYCLE</v>
      </c>
      <c r="G308" s="7" t="str">
        <f>IFERROR(__xludf.DUMMYFUNCTION("""COMPUTED_VALUE"""),"SAO PAULO")</f>
        <v>SAO PAULO</v>
      </c>
    </row>
    <row r="309">
      <c r="A309" s="6">
        <f>IFERROR(__xludf.DUMMYFUNCTION("""COMPUTED_VALUE"""),45705.0)</f>
        <v>45705</v>
      </c>
      <c r="B309" s="7" t="str">
        <f>IFERROR(__xludf.DUMMYFUNCTION("""COMPUTED_VALUE"""),"618dbb83-6725-4ab0-b4cf-9ecfba82f479")</f>
        <v>618dbb83-6725-4ab0-b4cf-9ecfba82f479</v>
      </c>
      <c r="C309" s="7">
        <f>IFERROR(__xludf.DUMMYFUNCTION("""COMPUTED_VALUE"""),0.0)</f>
        <v>0</v>
      </c>
      <c r="D309" s="6">
        <f>IFERROR(__xludf.DUMMYFUNCTION("""COMPUTED_VALUE"""),45705.0)</f>
        <v>45705</v>
      </c>
      <c r="E309" s="7" t="str">
        <f>IFERROR(__xludf.DUMMYFUNCTION("""COMPUTED_VALUE"""),"FRANQUIA_D&amp;G_SP")</f>
        <v>FRANQUIA_D&amp;G_SP</v>
      </c>
      <c r="F309" s="7" t="str">
        <f>IFERROR(__xludf.DUMMYFUNCTION("""COMPUTED_VALUE"""),"MOTORCYCLE")</f>
        <v>MOTORCYCLE</v>
      </c>
      <c r="G309" s="7" t="str">
        <f>IFERROR(__xludf.DUMMYFUNCTION("""COMPUTED_VALUE"""),"SAO PAULO")</f>
        <v>SAO PAULO</v>
      </c>
    </row>
    <row r="310">
      <c r="A310" s="6">
        <f>IFERROR(__xludf.DUMMYFUNCTION("""COMPUTED_VALUE"""),45705.0)</f>
        <v>45705</v>
      </c>
      <c r="B310" s="7" t="str">
        <f>IFERROR(__xludf.DUMMYFUNCTION("""COMPUTED_VALUE"""),"6c27b30d-2e55-4b90-b403-23024f0356a1")</f>
        <v>6c27b30d-2e55-4b90-b403-23024f0356a1</v>
      </c>
      <c r="C310" s="7">
        <f>IFERROR(__xludf.DUMMYFUNCTION("""COMPUTED_VALUE"""),0.0)</f>
        <v>0</v>
      </c>
      <c r="D310" s="6">
        <f>IFERROR(__xludf.DUMMYFUNCTION("""COMPUTED_VALUE"""),45705.0)</f>
        <v>45705</v>
      </c>
      <c r="E310" s="7" t="str">
        <f>IFERROR(__xludf.DUMMYFUNCTION("""COMPUTED_VALUE"""),"FRANQUIA_D&amp;G_SP")</f>
        <v>FRANQUIA_D&amp;G_SP</v>
      </c>
      <c r="F310" s="7" t="str">
        <f>IFERROR(__xludf.DUMMYFUNCTION("""COMPUTED_VALUE"""),"MOTORCYCLE")</f>
        <v>MOTORCYCLE</v>
      </c>
      <c r="G310" s="7" t="str">
        <f>IFERROR(__xludf.DUMMYFUNCTION("""COMPUTED_VALUE"""),"SAO PAULO")</f>
        <v>SAO PAULO</v>
      </c>
    </row>
    <row r="311">
      <c r="A311" s="6">
        <f>IFERROR(__xludf.DUMMYFUNCTION("""COMPUTED_VALUE"""),45705.0)</f>
        <v>45705</v>
      </c>
      <c r="B311" s="7" t="str">
        <f>IFERROR(__xludf.DUMMYFUNCTION("""COMPUTED_VALUE"""),"03d782c2-430d-4ec7-a721-8e1ca539fe77")</f>
        <v>03d782c2-430d-4ec7-a721-8e1ca539fe77</v>
      </c>
      <c r="C311" s="7">
        <f>IFERROR(__xludf.DUMMYFUNCTION("""COMPUTED_VALUE"""),61.0)</f>
        <v>61</v>
      </c>
      <c r="D311" s="6">
        <f>IFERROR(__xludf.DUMMYFUNCTION("""COMPUTED_VALUE"""),45644.0)</f>
        <v>45644</v>
      </c>
      <c r="E311" s="7" t="str">
        <f>IFERROR(__xludf.DUMMYFUNCTION("""COMPUTED_VALUE"""),"FRANQUIA_D&amp;G_SP")</f>
        <v>FRANQUIA_D&amp;G_SP</v>
      </c>
      <c r="F311" s="7" t="str">
        <f>IFERROR(__xludf.DUMMYFUNCTION("""COMPUTED_VALUE"""),"BICYCLE")</f>
        <v>BICYCLE</v>
      </c>
      <c r="G311" s="7" t="str">
        <f>IFERROR(__xludf.DUMMYFUNCTION("""COMPUTED_VALUE"""),"SAO PAULO")</f>
        <v>SAO PAULO</v>
      </c>
    </row>
    <row r="312">
      <c r="A312" s="6">
        <f>IFERROR(__xludf.DUMMYFUNCTION("""COMPUTED_VALUE"""),45705.0)</f>
        <v>45705</v>
      </c>
      <c r="B312" s="7" t="str">
        <f>IFERROR(__xludf.DUMMYFUNCTION("""COMPUTED_VALUE"""),"e2ea0f17-fe3e-4328-a565-12f1a7fb5d79")</f>
        <v>e2ea0f17-fe3e-4328-a565-12f1a7fb5d79</v>
      </c>
      <c r="C312" s="7">
        <f>IFERROR(__xludf.DUMMYFUNCTION("""COMPUTED_VALUE"""),0.0)</f>
        <v>0</v>
      </c>
      <c r="D312" s="6">
        <f>IFERROR(__xludf.DUMMYFUNCTION("""COMPUTED_VALUE"""),45705.0)</f>
        <v>45705</v>
      </c>
      <c r="E312" s="7" t="str">
        <f>IFERROR(__xludf.DUMMYFUNCTION("""COMPUTED_VALUE"""),"FRANQUIA_D&amp;G_SP")</f>
        <v>FRANQUIA_D&amp;G_SP</v>
      </c>
      <c r="F312" s="7" t="str">
        <f>IFERROR(__xludf.DUMMYFUNCTION("""COMPUTED_VALUE"""),"MOTORCYCLE")</f>
        <v>MOTORCYCLE</v>
      </c>
      <c r="G312" s="7" t="str">
        <f>IFERROR(__xludf.DUMMYFUNCTION("""COMPUTED_VALUE"""),"SAO PAULO")</f>
        <v>SAO PAULO</v>
      </c>
    </row>
    <row r="313">
      <c r="A313" s="6">
        <f>IFERROR(__xludf.DUMMYFUNCTION("""COMPUTED_VALUE"""),45705.0)</f>
        <v>45705</v>
      </c>
      <c r="B313" s="7" t="str">
        <f>IFERROR(__xludf.DUMMYFUNCTION("""COMPUTED_VALUE"""),"45091ccc-9f50-487d-af72-7fdc4df41781")</f>
        <v>45091ccc-9f50-487d-af72-7fdc4df41781</v>
      </c>
      <c r="C313" s="7">
        <f>IFERROR(__xludf.DUMMYFUNCTION("""COMPUTED_VALUE"""),42.0)</f>
        <v>42</v>
      </c>
      <c r="D313" s="6">
        <f>IFERROR(__xludf.DUMMYFUNCTION("""COMPUTED_VALUE"""),45663.0)</f>
        <v>45663</v>
      </c>
      <c r="E313" s="7" t="str">
        <f>IFERROR(__xludf.DUMMYFUNCTION("""COMPUTED_VALUE"""),"FRANQUIA_D&amp;G_SP")</f>
        <v>FRANQUIA_D&amp;G_SP</v>
      </c>
      <c r="F313" s="7" t="str">
        <f>IFERROR(__xludf.DUMMYFUNCTION("""COMPUTED_VALUE"""),"BICYCLE")</f>
        <v>BICYCLE</v>
      </c>
      <c r="G313" s="7" t="str">
        <f>IFERROR(__xludf.DUMMYFUNCTION("""COMPUTED_VALUE"""),"SAO PAULO")</f>
        <v>SAO PAULO</v>
      </c>
    </row>
    <row r="314">
      <c r="A314" s="6">
        <f>IFERROR(__xludf.DUMMYFUNCTION("""COMPUTED_VALUE"""),45705.0)</f>
        <v>45705</v>
      </c>
      <c r="B314" s="7" t="str">
        <f>IFERROR(__xludf.DUMMYFUNCTION("""COMPUTED_VALUE"""),"e83d6d0f-1052-49e2-a325-f4da50369705")</f>
        <v>e83d6d0f-1052-49e2-a325-f4da50369705</v>
      </c>
      <c r="C314" s="7">
        <f>IFERROR(__xludf.DUMMYFUNCTION("""COMPUTED_VALUE"""),0.0)</f>
        <v>0</v>
      </c>
      <c r="D314" s="6">
        <f>IFERROR(__xludf.DUMMYFUNCTION("""COMPUTED_VALUE"""),45705.0)</f>
        <v>45705</v>
      </c>
      <c r="E314" s="7" t="str">
        <f>IFERROR(__xludf.DUMMYFUNCTION("""COMPUTED_VALUE"""),"FRANQUIA_D&amp;G_SP")</f>
        <v>FRANQUIA_D&amp;G_SP</v>
      </c>
      <c r="F314" s="7" t="str">
        <f>IFERROR(__xludf.DUMMYFUNCTION("""COMPUTED_VALUE"""),"MOTORCYCLE")</f>
        <v>MOTORCYCLE</v>
      </c>
      <c r="G314" s="7" t="str">
        <f>IFERROR(__xludf.DUMMYFUNCTION("""COMPUTED_VALUE"""),"RECIFE")</f>
        <v>RECIFE</v>
      </c>
    </row>
    <row r="315">
      <c r="A315" s="6">
        <f>IFERROR(__xludf.DUMMYFUNCTION("""COMPUTED_VALUE"""),45705.0)</f>
        <v>45705</v>
      </c>
      <c r="B315" s="7" t="str">
        <f>IFERROR(__xludf.DUMMYFUNCTION("""COMPUTED_VALUE"""),"3707e441-d6a5-4abb-84bc-40340be2a3c8")</f>
        <v>3707e441-d6a5-4abb-84bc-40340be2a3c8</v>
      </c>
      <c r="C315" s="7">
        <f>IFERROR(__xludf.DUMMYFUNCTION("""COMPUTED_VALUE"""),0.0)</f>
        <v>0</v>
      </c>
      <c r="D315" s="6">
        <f>IFERROR(__xludf.DUMMYFUNCTION("""COMPUTED_VALUE"""),45705.0)</f>
        <v>45705</v>
      </c>
      <c r="E315" s="7" t="str">
        <f>IFERROR(__xludf.DUMMYFUNCTION("""COMPUTED_VALUE"""),"FRANQUIA_D&amp;G_SP")</f>
        <v>FRANQUIA_D&amp;G_SP</v>
      </c>
      <c r="F315" s="7" t="str">
        <f>IFERROR(__xludf.DUMMYFUNCTION("""COMPUTED_VALUE"""),"MOTORCYCLE")</f>
        <v>MOTORCYCLE</v>
      </c>
      <c r="G315" s="7" t="str">
        <f>IFERROR(__xludf.DUMMYFUNCTION("""COMPUTED_VALUE"""),"SAO PAULO")</f>
        <v>SAO PAULO</v>
      </c>
    </row>
    <row r="316">
      <c r="A316" s="6">
        <f>IFERROR(__xludf.DUMMYFUNCTION("""COMPUTED_VALUE"""),45705.0)</f>
        <v>45705</v>
      </c>
      <c r="B316" s="7" t="str">
        <f>IFERROR(__xludf.DUMMYFUNCTION("""COMPUTED_VALUE"""),"eeb54308-af78-4515-ab16-b1b5a0e0fe82")</f>
        <v>eeb54308-af78-4515-ab16-b1b5a0e0fe82</v>
      </c>
      <c r="C316" s="7">
        <f>IFERROR(__xludf.DUMMYFUNCTION("""COMPUTED_VALUE"""),0.0)</f>
        <v>0</v>
      </c>
      <c r="D316" s="6">
        <f>IFERROR(__xludf.DUMMYFUNCTION("""COMPUTED_VALUE"""),45705.0)</f>
        <v>45705</v>
      </c>
      <c r="E316" s="7" t="str">
        <f>IFERROR(__xludf.DUMMYFUNCTION("""COMPUTED_VALUE"""),"FRANQUIA_D&amp;G_SP")</f>
        <v>FRANQUIA_D&amp;G_SP</v>
      </c>
      <c r="F316" s="7" t="str">
        <f>IFERROR(__xludf.DUMMYFUNCTION("""COMPUTED_VALUE"""),"MOTORCYCLE")</f>
        <v>MOTORCYCLE</v>
      </c>
      <c r="G316" s="7" t="str">
        <f>IFERROR(__xludf.DUMMYFUNCTION("""COMPUTED_VALUE"""),"SAO PAULO")</f>
        <v>SAO PAULO</v>
      </c>
    </row>
    <row r="317">
      <c r="A317" s="6">
        <f>IFERROR(__xludf.DUMMYFUNCTION("""COMPUTED_VALUE"""),45705.0)</f>
        <v>45705</v>
      </c>
      <c r="B317" s="7" t="str">
        <f>IFERROR(__xludf.DUMMYFUNCTION("""COMPUTED_VALUE"""),"95d11856-f533-4e58-afb8-57db9a01cd64")</f>
        <v>95d11856-f533-4e58-afb8-57db9a01cd64</v>
      </c>
      <c r="C317" s="7">
        <f>IFERROR(__xludf.DUMMYFUNCTION("""COMPUTED_VALUE"""),226.0)</f>
        <v>226</v>
      </c>
      <c r="D317" s="6">
        <f>IFERROR(__xludf.DUMMYFUNCTION("""COMPUTED_VALUE"""),45479.0)</f>
        <v>45479</v>
      </c>
      <c r="E317" s="7" t="str">
        <f>IFERROR(__xludf.DUMMYFUNCTION("""COMPUTED_VALUE"""),"FRANQUIA_D&amp;G_SP")</f>
        <v>FRANQUIA_D&amp;G_SP</v>
      </c>
      <c r="F317" s="7" t="str">
        <f>IFERROR(__xludf.DUMMYFUNCTION("""COMPUTED_VALUE"""),"MOTORCYCLE")</f>
        <v>MOTORCYCLE</v>
      </c>
      <c r="G317" s="7" t="str">
        <f>IFERROR(__xludf.DUMMYFUNCTION("""COMPUTED_VALUE"""),"SAO PAULO")</f>
        <v>SAO PAULO</v>
      </c>
    </row>
    <row r="318">
      <c r="A318" s="6">
        <f>IFERROR(__xludf.DUMMYFUNCTION("""COMPUTED_VALUE"""),45705.0)</f>
        <v>45705</v>
      </c>
      <c r="B318" s="7" t="str">
        <f>IFERROR(__xludf.DUMMYFUNCTION("""COMPUTED_VALUE"""),"09fab50c-a217-45fe-af65-3e46b6469b68")</f>
        <v>09fab50c-a217-45fe-af65-3e46b6469b68</v>
      </c>
      <c r="C318" s="7">
        <f>IFERROR(__xludf.DUMMYFUNCTION("""COMPUTED_VALUE"""),0.0)</f>
        <v>0</v>
      </c>
      <c r="D318" s="6">
        <f>IFERROR(__xludf.DUMMYFUNCTION("""COMPUTED_VALUE"""),0.0)</f>
        <v>0</v>
      </c>
      <c r="E318" s="7" t="str">
        <f>IFERROR(__xludf.DUMMYFUNCTION("""COMPUTED_VALUE"""),"FRANQUIA_D&amp;G_SP")</f>
        <v>FRANQUIA_D&amp;G_SP</v>
      </c>
      <c r="F318" s="7" t="str">
        <f>IFERROR(__xludf.DUMMYFUNCTION("""COMPUTED_VALUE"""),"BICYCLE")</f>
        <v>BICYCLE</v>
      </c>
      <c r="G318" s="7" t="str">
        <f>IFERROR(__xludf.DUMMYFUNCTION("""COMPUTED_VALUE"""),"0")</f>
        <v>0</v>
      </c>
    </row>
    <row r="319">
      <c r="A319" s="6">
        <f>IFERROR(__xludf.DUMMYFUNCTION("""COMPUTED_VALUE"""),45705.0)</f>
        <v>45705</v>
      </c>
      <c r="B319" s="7" t="str">
        <f>IFERROR(__xludf.DUMMYFUNCTION("""COMPUTED_VALUE"""),"57d9f709-841c-465d-95ac-b01d4d5e3447")</f>
        <v>57d9f709-841c-465d-95ac-b01d4d5e3447</v>
      </c>
      <c r="C319" s="7">
        <f>IFERROR(__xludf.DUMMYFUNCTION("""COMPUTED_VALUE"""),567.0)</f>
        <v>567</v>
      </c>
      <c r="D319" s="6">
        <f>IFERROR(__xludf.DUMMYFUNCTION("""COMPUTED_VALUE"""),45138.0)</f>
        <v>45138</v>
      </c>
      <c r="E319" s="7" t="str">
        <f>IFERROR(__xludf.DUMMYFUNCTION("""COMPUTED_VALUE"""),"FRANQUIA_D&amp;G_SP")</f>
        <v>FRANQUIA_D&amp;G_SP</v>
      </c>
      <c r="F319" s="7" t="str">
        <f>IFERROR(__xludf.DUMMYFUNCTION("""COMPUTED_VALUE"""),"MOTORCYCLE")</f>
        <v>MOTORCYCLE</v>
      </c>
      <c r="G319" s="7" t="str">
        <f>IFERROR(__xludf.DUMMYFUNCTION("""COMPUTED_VALUE"""),"SAO PAULO")</f>
        <v>SAO PAULO</v>
      </c>
    </row>
    <row r="320">
      <c r="A320" s="6">
        <f>IFERROR(__xludf.DUMMYFUNCTION("""COMPUTED_VALUE"""),45705.0)</f>
        <v>45705</v>
      </c>
      <c r="B320" s="7" t="str">
        <f>IFERROR(__xludf.DUMMYFUNCTION("""COMPUTED_VALUE"""),"8296e9d9-fcdd-4779-89d0-6d1cc1b5fb5e")</f>
        <v>8296e9d9-fcdd-4779-89d0-6d1cc1b5fb5e</v>
      </c>
      <c r="C320" s="7">
        <f>IFERROR(__xludf.DUMMYFUNCTION("""COMPUTED_VALUE"""),74.0)</f>
        <v>74</v>
      </c>
      <c r="D320" s="6">
        <f>IFERROR(__xludf.DUMMYFUNCTION("""COMPUTED_VALUE"""),45631.0)</f>
        <v>45631</v>
      </c>
      <c r="E320" s="7" t="str">
        <f>IFERROR(__xludf.DUMMYFUNCTION("""COMPUTED_VALUE"""),"FRANQUIA_D&amp;G_SP")</f>
        <v>FRANQUIA_D&amp;G_SP</v>
      </c>
      <c r="F320" s="7" t="str">
        <f>IFERROR(__xludf.DUMMYFUNCTION("""COMPUTED_VALUE"""),"MOTORCYCLE")</f>
        <v>MOTORCYCLE</v>
      </c>
      <c r="G320" s="7" t="str">
        <f>IFERROR(__xludf.DUMMYFUNCTION("""COMPUTED_VALUE"""),"SAO PAULO")</f>
        <v>SAO PAULO</v>
      </c>
    </row>
    <row r="321">
      <c r="A321" s="6">
        <f>IFERROR(__xludf.DUMMYFUNCTION("""COMPUTED_VALUE"""),45705.0)</f>
        <v>45705</v>
      </c>
      <c r="B321" s="7" t="str">
        <f>IFERROR(__xludf.DUMMYFUNCTION("""COMPUTED_VALUE"""),"0fd4e918-b751-4fd3-8763-8db68a711629")</f>
        <v>0fd4e918-b751-4fd3-8763-8db68a711629</v>
      </c>
      <c r="C321" s="7">
        <f>IFERROR(__xludf.DUMMYFUNCTION("""COMPUTED_VALUE"""),14.0)</f>
        <v>14</v>
      </c>
      <c r="D321" s="6">
        <f>IFERROR(__xludf.DUMMYFUNCTION("""COMPUTED_VALUE"""),45691.0)</f>
        <v>45691</v>
      </c>
      <c r="E321" s="7" t="str">
        <f>IFERROR(__xludf.DUMMYFUNCTION("""COMPUTED_VALUE"""),"FRANQUIA_D&amp;G_SP")</f>
        <v>FRANQUIA_D&amp;G_SP</v>
      </c>
      <c r="F321" s="7" t="str">
        <f>IFERROR(__xludf.DUMMYFUNCTION("""COMPUTED_VALUE"""),"MOTORCYCLE")</f>
        <v>MOTORCYCLE</v>
      </c>
      <c r="G321" s="7" t="str">
        <f>IFERROR(__xludf.DUMMYFUNCTION("""COMPUTED_VALUE"""),"SAO PAULO")</f>
        <v>SAO PAULO</v>
      </c>
    </row>
    <row r="322">
      <c r="A322" s="6">
        <f>IFERROR(__xludf.DUMMYFUNCTION("""COMPUTED_VALUE"""),45705.0)</f>
        <v>45705</v>
      </c>
      <c r="B322" s="7" t="str">
        <f>IFERROR(__xludf.DUMMYFUNCTION("""COMPUTED_VALUE"""),"695af589-de6b-431f-b694-35b4bc5481e1")</f>
        <v>695af589-de6b-431f-b694-35b4bc5481e1</v>
      </c>
      <c r="C322" s="7">
        <f>IFERROR(__xludf.DUMMYFUNCTION("""COMPUTED_VALUE"""),1.0)</f>
        <v>1</v>
      </c>
      <c r="D322" s="6">
        <f>IFERROR(__xludf.DUMMYFUNCTION("""COMPUTED_VALUE"""),45704.0)</f>
        <v>45704</v>
      </c>
      <c r="E322" s="7" t="str">
        <f>IFERROR(__xludf.DUMMYFUNCTION("""COMPUTED_VALUE"""),"FRANQUIA_D&amp;G_SP")</f>
        <v>FRANQUIA_D&amp;G_SP</v>
      </c>
      <c r="F322" s="7" t="str">
        <f>IFERROR(__xludf.DUMMYFUNCTION("""COMPUTED_VALUE"""),"BICYCLE")</f>
        <v>BICYCLE</v>
      </c>
      <c r="G322" s="7" t="str">
        <f>IFERROR(__xludf.DUMMYFUNCTION("""COMPUTED_VALUE"""),"SAO PAULO")</f>
        <v>SAO PAULO</v>
      </c>
    </row>
    <row r="323">
      <c r="A323" s="6">
        <f>IFERROR(__xludf.DUMMYFUNCTION("""COMPUTED_VALUE"""),45705.0)</f>
        <v>45705</v>
      </c>
      <c r="B323" s="7" t="str">
        <f>IFERROR(__xludf.DUMMYFUNCTION("""COMPUTED_VALUE"""),"e56df13e-f0ac-4b0e-a91a-5cdaefd82602")</f>
        <v>e56df13e-f0ac-4b0e-a91a-5cdaefd82602</v>
      </c>
      <c r="C323" s="7">
        <f>IFERROR(__xludf.DUMMYFUNCTION("""COMPUTED_VALUE"""),0.0)</f>
        <v>0</v>
      </c>
      <c r="D323" s="6">
        <f>IFERROR(__xludf.DUMMYFUNCTION("""COMPUTED_VALUE"""),45705.0)</f>
        <v>45705</v>
      </c>
      <c r="E323" s="7" t="str">
        <f>IFERROR(__xludf.DUMMYFUNCTION("""COMPUTED_VALUE"""),"FRANQUIA_D&amp;G_SP")</f>
        <v>FRANQUIA_D&amp;G_SP</v>
      </c>
      <c r="F323" s="7" t="str">
        <f>IFERROR(__xludf.DUMMYFUNCTION("""COMPUTED_VALUE"""),"EBIKE")</f>
        <v>EBIKE</v>
      </c>
      <c r="G323" s="7" t="str">
        <f>IFERROR(__xludf.DUMMYFUNCTION("""COMPUTED_VALUE"""),"SAO PAULO")</f>
        <v>SAO PAULO</v>
      </c>
    </row>
    <row r="324">
      <c r="A324" s="6">
        <f>IFERROR(__xludf.DUMMYFUNCTION("""COMPUTED_VALUE"""),45705.0)</f>
        <v>45705</v>
      </c>
      <c r="B324" s="7" t="str">
        <f>IFERROR(__xludf.DUMMYFUNCTION("""COMPUTED_VALUE"""),"cf1d2283-1971-4c71-89a9-fa259c25c1d9")</f>
        <v>cf1d2283-1971-4c71-89a9-fa259c25c1d9</v>
      </c>
      <c r="C324" s="7">
        <f>IFERROR(__xludf.DUMMYFUNCTION("""COMPUTED_VALUE"""),0.0)</f>
        <v>0</v>
      </c>
      <c r="D324" s="6">
        <f>IFERROR(__xludf.DUMMYFUNCTION("""COMPUTED_VALUE"""),45705.0)</f>
        <v>45705</v>
      </c>
      <c r="E324" s="7" t="str">
        <f>IFERROR(__xludf.DUMMYFUNCTION("""COMPUTED_VALUE"""),"FRANQUIA_D&amp;G_SP")</f>
        <v>FRANQUIA_D&amp;G_SP</v>
      </c>
      <c r="F324" s="7" t="str">
        <f>IFERROR(__xludf.DUMMYFUNCTION("""COMPUTED_VALUE"""),"BICYCLE")</f>
        <v>BICYCLE</v>
      </c>
      <c r="G324" s="7" t="str">
        <f>IFERROR(__xludf.DUMMYFUNCTION("""COMPUTED_VALUE"""),"SAO PAULO")</f>
        <v>SAO PAULO</v>
      </c>
    </row>
    <row r="325">
      <c r="A325" s="6">
        <f>IFERROR(__xludf.DUMMYFUNCTION("""COMPUTED_VALUE"""),45705.0)</f>
        <v>45705</v>
      </c>
      <c r="B325" s="7" t="str">
        <f>IFERROR(__xludf.DUMMYFUNCTION("""COMPUTED_VALUE"""),"429899b1-f057-4d20-b863-b406ea641f15")</f>
        <v>429899b1-f057-4d20-b863-b406ea641f15</v>
      </c>
      <c r="C325" s="7">
        <f>IFERROR(__xludf.DUMMYFUNCTION("""COMPUTED_VALUE"""),0.0)</f>
        <v>0</v>
      </c>
      <c r="D325" s="6">
        <f>IFERROR(__xludf.DUMMYFUNCTION("""COMPUTED_VALUE"""),0.0)</f>
        <v>0</v>
      </c>
      <c r="E325" s="7" t="str">
        <f>IFERROR(__xludf.DUMMYFUNCTION("""COMPUTED_VALUE"""),"FRANQUIA_D&amp;G_SP")</f>
        <v>FRANQUIA_D&amp;G_SP</v>
      </c>
      <c r="F325" s="7" t="str">
        <f>IFERROR(__xludf.DUMMYFUNCTION("""COMPUTED_VALUE"""),"BICYCLE")</f>
        <v>BICYCLE</v>
      </c>
      <c r="G325" s="7" t="str">
        <f>IFERROR(__xludf.DUMMYFUNCTION("""COMPUTED_VALUE"""),"0")</f>
        <v>0</v>
      </c>
    </row>
    <row r="326">
      <c r="A326" s="6">
        <f>IFERROR(__xludf.DUMMYFUNCTION("""COMPUTED_VALUE"""),45705.0)</f>
        <v>45705</v>
      </c>
      <c r="B326" s="7" t="str">
        <f>IFERROR(__xludf.DUMMYFUNCTION("""COMPUTED_VALUE"""),"80b9c3b1-d646-4170-9dbd-7692cd8c73d6")</f>
        <v>80b9c3b1-d646-4170-9dbd-7692cd8c73d6</v>
      </c>
      <c r="C326" s="7">
        <f>IFERROR(__xludf.DUMMYFUNCTION("""COMPUTED_VALUE"""),0.0)</f>
        <v>0</v>
      </c>
      <c r="D326" s="6">
        <f>IFERROR(__xludf.DUMMYFUNCTION("""COMPUTED_VALUE"""),45705.0)</f>
        <v>45705</v>
      </c>
      <c r="E326" s="7" t="str">
        <f>IFERROR(__xludf.DUMMYFUNCTION("""COMPUTED_VALUE"""),"FRANQUIA_D&amp;G_SP")</f>
        <v>FRANQUIA_D&amp;G_SP</v>
      </c>
      <c r="F326" s="7" t="str">
        <f>IFERROR(__xludf.DUMMYFUNCTION("""COMPUTED_VALUE"""),"MOTORCYCLE")</f>
        <v>MOTORCYCLE</v>
      </c>
      <c r="G326" s="7" t="str">
        <f>IFERROR(__xludf.DUMMYFUNCTION("""COMPUTED_VALUE"""),"SAO PAULO")</f>
        <v>SAO PAULO</v>
      </c>
    </row>
    <row r="327">
      <c r="A327" s="6">
        <f>IFERROR(__xludf.DUMMYFUNCTION("""COMPUTED_VALUE"""),45705.0)</f>
        <v>45705</v>
      </c>
      <c r="B327" s="7" t="str">
        <f>IFERROR(__xludf.DUMMYFUNCTION("""COMPUTED_VALUE"""),"294f3d2d-561d-44a3-bb5f-15db92131bc5")</f>
        <v>294f3d2d-561d-44a3-bb5f-15db92131bc5</v>
      </c>
      <c r="C327" s="7">
        <f>IFERROR(__xludf.DUMMYFUNCTION("""COMPUTED_VALUE"""),232.0)</f>
        <v>232</v>
      </c>
      <c r="D327" s="6">
        <f>IFERROR(__xludf.DUMMYFUNCTION("""COMPUTED_VALUE"""),45473.0)</f>
        <v>45473</v>
      </c>
      <c r="E327" s="7" t="str">
        <f>IFERROR(__xludf.DUMMYFUNCTION("""COMPUTED_VALUE"""),"FRANQUIA_D&amp;G_SP")</f>
        <v>FRANQUIA_D&amp;G_SP</v>
      </c>
      <c r="F327" s="7" t="str">
        <f>IFERROR(__xludf.DUMMYFUNCTION("""COMPUTED_VALUE"""),"BICYCLE")</f>
        <v>BICYCLE</v>
      </c>
      <c r="G327" s="7" t="str">
        <f>IFERROR(__xludf.DUMMYFUNCTION("""COMPUTED_VALUE"""),"SAO PAULO")</f>
        <v>SAO PAULO</v>
      </c>
    </row>
    <row r="328">
      <c r="A328" s="6">
        <f>IFERROR(__xludf.DUMMYFUNCTION("""COMPUTED_VALUE"""),45705.0)</f>
        <v>45705</v>
      </c>
      <c r="B328" s="7" t="str">
        <f>IFERROR(__xludf.DUMMYFUNCTION("""COMPUTED_VALUE"""),"f8e8d6e3-a9b5-4467-bc58-7d201968f4d0")</f>
        <v>f8e8d6e3-a9b5-4467-bc58-7d201968f4d0</v>
      </c>
      <c r="C328" s="7">
        <f>IFERROR(__xludf.DUMMYFUNCTION("""COMPUTED_VALUE"""),0.0)</f>
        <v>0</v>
      </c>
      <c r="D328" s="6">
        <f>IFERROR(__xludf.DUMMYFUNCTION("""COMPUTED_VALUE"""),45705.0)</f>
        <v>45705</v>
      </c>
      <c r="E328" s="7" t="str">
        <f>IFERROR(__xludf.DUMMYFUNCTION("""COMPUTED_VALUE"""),"FRANQUIA_D&amp;G_SP")</f>
        <v>FRANQUIA_D&amp;G_SP</v>
      </c>
      <c r="F328" s="7" t="str">
        <f>IFERROR(__xludf.DUMMYFUNCTION("""COMPUTED_VALUE"""),"BICYCLE")</f>
        <v>BICYCLE</v>
      </c>
      <c r="G328" s="7" t="str">
        <f>IFERROR(__xludf.DUMMYFUNCTION("""COMPUTED_VALUE"""),"SAO PAULO")</f>
        <v>SAO PAULO</v>
      </c>
    </row>
    <row r="329">
      <c r="A329" s="6">
        <f>IFERROR(__xludf.DUMMYFUNCTION("""COMPUTED_VALUE"""),45705.0)</f>
        <v>45705</v>
      </c>
      <c r="B329" s="7" t="str">
        <f>IFERROR(__xludf.DUMMYFUNCTION("""COMPUTED_VALUE"""),"5dbcf626-fef9-4f16-840b-a80b6ef05ebc")</f>
        <v>5dbcf626-fef9-4f16-840b-a80b6ef05ebc</v>
      </c>
      <c r="C329" s="7">
        <f>IFERROR(__xludf.DUMMYFUNCTION("""COMPUTED_VALUE"""),0.0)</f>
        <v>0</v>
      </c>
      <c r="D329" s="6">
        <f>IFERROR(__xludf.DUMMYFUNCTION("""COMPUTED_VALUE"""),45705.0)</f>
        <v>45705</v>
      </c>
      <c r="E329" s="7" t="str">
        <f>IFERROR(__xludf.DUMMYFUNCTION("""COMPUTED_VALUE"""),"FRANQUIA_D&amp;G_SP")</f>
        <v>FRANQUIA_D&amp;G_SP</v>
      </c>
      <c r="F329" s="7" t="str">
        <f>IFERROR(__xludf.DUMMYFUNCTION("""COMPUTED_VALUE"""),"BICYCLE")</f>
        <v>BICYCLE</v>
      </c>
      <c r="G329" s="7" t="str">
        <f>IFERROR(__xludf.DUMMYFUNCTION("""COMPUTED_VALUE"""),"SAO PAULO")</f>
        <v>SAO PAULO</v>
      </c>
    </row>
    <row r="330">
      <c r="A330" s="6">
        <f>IFERROR(__xludf.DUMMYFUNCTION("""COMPUTED_VALUE"""),45705.0)</f>
        <v>45705</v>
      </c>
      <c r="B330" s="7" t="str">
        <f>IFERROR(__xludf.DUMMYFUNCTION("""COMPUTED_VALUE"""),"ef5c5ef8-3d4a-4ac9-a149-d16433c58bb5")</f>
        <v>ef5c5ef8-3d4a-4ac9-a149-d16433c58bb5</v>
      </c>
      <c r="C330" s="7">
        <f>IFERROR(__xludf.DUMMYFUNCTION("""COMPUTED_VALUE"""),0.0)</f>
        <v>0</v>
      </c>
      <c r="D330" s="6">
        <f>IFERROR(__xludf.DUMMYFUNCTION("""COMPUTED_VALUE"""),0.0)</f>
        <v>0</v>
      </c>
      <c r="E330" s="7" t="str">
        <f>IFERROR(__xludf.DUMMYFUNCTION("""COMPUTED_VALUE"""),"FRANQUIA_D&amp;G_SP")</f>
        <v>FRANQUIA_D&amp;G_SP</v>
      </c>
      <c r="F330" s="7" t="str">
        <f>IFERROR(__xludf.DUMMYFUNCTION("""COMPUTED_VALUE"""),"MOTORCYCLE")</f>
        <v>MOTORCYCLE</v>
      </c>
      <c r="G330" s="7" t="str">
        <f>IFERROR(__xludf.DUMMYFUNCTION("""COMPUTED_VALUE"""),"0")</f>
        <v>0</v>
      </c>
    </row>
    <row r="331">
      <c r="A331" s="6">
        <f>IFERROR(__xludf.DUMMYFUNCTION("""COMPUTED_VALUE"""),45705.0)</f>
        <v>45705</v>
      </c>
      <c r="B331" s="7" t="str">
        <f>IFERROR(__xludf.DUMMYFUNCTION("""COMPUTED_VALUE"""),"1c7a0f42-6d4d-4bb8-a0d1-08af57c1ee97")</f>
        <v>1c7a0f42-6d4d-4bb8-a0d1-08af57c1ee97</v>
      </c>
      <c r="C331" s="7">
        <f>IFERROR(__xludf.DUMMYFUNCTION("""COMPUTED_VALUE"""),0.0)</f>
        <v>0</v>
      </c>
      <c r="D331" s="6">
        <f>IFERROR(__xludf.DUMMYFUNCTION("""COMPUTED_VALUE"""),45705.0)</f>
        <v>45705</v>
      </c>
      <c r="E331" s="7" t="str">
        <f>IFERROR(__xludf.DUMMYFUNCTION("""COMPUTED_VALUE"""),"FRANQUIA_D&amp;G_SP")</f>
        <v>FRANQUIA_D&amp;G_SP</v>
      </c>
      <c r="F331" s="7" t="str">
        <f>IFERROR(__xludf.DUMMYFUNCTION("""COMPUTED_VALUE"""),"MOTORCYCLE")</f>
        <v>MOTORCYCLE</v>
      </c>
      <c r="G331" s="7" t="str">
        <f>IFERROR(__xludf.DUMMYFUNCTION("""COMPUTED_VALUE"""),"SAO PAULO")</f>
        <v>SAO PAULO</v>
      </c>
    </row>
    <row r="332">
      <c r="A332" s="6">
        <f>IFERROR(__xludf.DUMMYFUNCTION("""COMPUTED_VALUE"""),45705.0)</f>
        <v>45705</v>
      </c>
      <c r="B332" s="7" t="str">
        <f>IFERROR(__xludf.DUMMYFUNCTION("""COMPUTED_VALUE"""),"b58365cd-435f-4b0e-9387-6b1ff8cdf974")</f>
        <v>b58365cd-435f-4b0e-9387-6b1ff8cdf974</v>
      </c>
      <c r="C332" s="7">
        <f>IFERROR(__xludf.DUMMYFUNCTION("""COMPUTED_VALUE"""),82.0)</f>
        <v>82</v>
      </c>
      <c r="D332" s="6">
        <f>IFERROR(__xludf.DUMMYFUNCTION("""COMPUTED_VALUE"""),45623.0)</f>
        <v>45623</v>
      </c>
      <c r="E332" s="7" t="str">
        <f>IFERROR(__xludf.DUMMYFUNCTION("""COMPUTED_VALUE"""),"FRANQUIA_D&amp;G_SP")</f>
        <v>FRANQUIA_D&amp;G_SP</v>
      </c>
      <c r="F332" s="7" t="str">
        <f>IFERROR(__xludf.DUMMYFUNCTION("""COMPUTED_VALUE"""),"MOTORCYCLE")</f>
        <v>MOTORCYCLE</v>
      </c>
      <c r="G332" s="7" t="str">
        <f>IFERROR(__xludf.DUMMYFUNCTION("""COMPUTED_VALUE"""),"SAO PAULO")</f>
        <v>SAO PAULO</v>
      </c>
    </row>
    <row r="333">
      <c r="A333" s="6">
        <f>IFERROR(__xludf.DUMMYFUNCTION("""COMPUTED_VALUE"""),45705.0)</f>
        <v>45705</v>
      </c>
      <c r="B333" s="7" t="str">
        <f>IFERROR(__xludf.DUMMYFUNCTION("""COMPUTED_VALUE"""),"5ec76db6-0655-44d8-b94b-afce2915b089")</f>
        <v>5ec76db6-0655-44d8-b94b-afce2915b089</v>
      </c>
      <c r="C333" s="7">
        <f>IFERROR(__xludf.DUMMYFUNCTION("""COMPUTED_VALUE"""),1.0)</f>
        <v>1</v>
      </c>
      <c r="D333" s="6">
        <f>IFERROR(__xludf.DUMMYFUNCTION("""COMPUTED_VALUE"""),45704.0)</f>
        <v>45704</v>
      </c>
      <c r="E333" s="7" t="str">
        <f>IFERROR(__xludf.DUMMYFUNCTION("""COMPUTED_VALUE"""),"FRANQUIA_D&amp;G_SP")</f>
        <v>FRANQUIA_D&amp;G_SP</v>
      </c>
      <c r="F333" s="7" t="str">
        <f>IFERROR(__xludf.DUMMYFUNCTION("""COMPUTED_VALUE"""),"MOTORCYCLE")</f>
        <v>MOTORCYCLE</v>
      </c>
      <c r="G333" s="7" t="str">
        <f>IFERROR(__xludf.DUMMYFUNCTION("""COMPUTED_VALUE"""),"SAO PAULO")</f>
        <v>SAO PAULO</v>
      </c>
    </row>
    <row r="334">
      <c r="A334" s="6">
        <f>IFERROR(__xludf.DUMMYFUNCTION("""COMPUTED_VALUE"""),45705.0)</f>
        <v>45705</v>
      </c>
      <c r="B334" s="7" t="str">
        <f>IFERROR(__xludf.DUMMYFUNCTION("""COMPUTED_VALUE"""),"84c7e1b6-7376-43d5-9da3-cee0eb7c6307")</f>
        <v>84c7e1b6-7376-43d5-9da3-cee0eb7c6307</v>
      </c>
      <c r="C334" s="7">
        <f>IFERROR(__xludf.DUMMYFUNCTION("""COMPUTED_VALUE"""),73.0)</f>
        <v>73</v>
      </c>
      <c r="D334" s="6">
        <f>IFERROR(__xludf.DUMMYFUNCTION("""COMPUTED_VALUE"""),45632.0)</f>
        <v>45632</v>
      </c>
      <c r="E334" s="7" t="str">
        <f>IFERROR(__xludf.DUMMYFUNCTION("""COMPUTED_VALUE"""),"FRANQUIA_D&amp;G_SP")</f>
        <v>FRANQUIA_D&amp;G_SP</v>
      </c>
      <c r="F334" s="7" t="str">
        <f>IFERROR(__xludf.DUMMYFUNCTION("""COMPUTED_VALUE"""),"MOTORCYCLE")</f>
        <v>MOTORCYCLE</v>
      </c>
      <c r="G334" s="7" t="str">
        <f>IFERROR(__xludf.DUMMYFUNCTION("""COMPUTED_VALUE"""),"SAO PAULO")</f>
        <v>SAO PAULO</v>
      </c>
    </row>
    <row r="335">
      <c r="A335" s="6">
        <f>IFERROR(__xludf.DUMMYFUNCTION("""COMPUTED_VALUE"""),45705.0)</f>
        <v>45705</v>
      </c>
      <c r="B335" s="7" t="str">
        <f>IFERROR(__xludf.DUMMYFUNCTION("""COMPUTED_VALUE"""),"c6d7d956-b9e6-4623-ae1a-4cd817c8765b")</f>
        <v>c6d7d956-b9e6-4623-ae1a-4cd817c8765b</v>
      </c>
      <c r="C335" s="7">
        <f>IFERROR(__xludf.DUMMYFUNCTION("""COMPUTED_VALUE"""),0.0)</f>
        <v>0</v>
      </c>
      <c r="D335" s="6">
        <f>IFERROR(__xludf.DUMMYFUNCTION("""COMPUTED_VALUE"""),45705.0)</f>
        <v>45705</v>
      </c>
      <c r="E335" s="7" t="str">
        <f>IFERROR(__xludf.DUMMYFUNCTION("""COMPUTED_VALUE"""),"FRANQUIA_D&amp;G_SP")</f>
        <v>FRANQUIA_D&amp;G_SP</v>
      </c>
      <c r="F335" s="7" t="str">
        <f>IFERROR(__xludf.DUMMYFUNCTION("""COMPUTED_VALUE"""),"MOTORCYCLE")</f>
        <v>MOTORCYCLE</v>
      </c>
      <c r="G335" s="7" t="str">
        <f>IFERROR(__xludf.DUMMYFUNCTION("""COMPUTED_VALUE"""),"SAO PAULO")</f>
        <v>SAO PAULO</v>
      </c>
    </row>
    <row r="336">
      <c r="A336" s="6">
        <f>IFERROR(__xludf.DUMMYFUNCTION("""COMPUTED_VALUE"""),45705.0)</f>
        <v>45705</v>
      </c>
      <c r="B336" s="7" t="str">
        <f>IFERROR(__xludf.DUMMYFUNCTION("""COMPUTED_VALUE"""),"6b0cd54b-882c-4377-ab26-532860c367ef")</f>
        <v>6b0cd54b-882c-4377-ab26-532860c367ef</v>
      </c>
      <c r="C336" s="7">
        <f>IFERROR(__xludf.DUMMYFUNCTION("""COMPUTED_VALUE"""),15.0)</f>
        <v>15</v>
      </c>
      <c r="D336" s="6">
        <f>IFERROR(__xludf.DUMMYFUNCTION("""COMPUTED_VALUE"""),45690.0)</f>
        <v>45690</v>
      </c>
      <c r="E336" s="7" t="str">
        <f>IFERROR(__xludf.DUMMYFUNCTION("""COMPUTED_VALUE"""),"FRANQUIA_D&amp;G_SP")</f>
        <v>FRANQUIA_D&amp;G_SP</v>
      </c>
      <c r="F336" s="7" t="str">
        <f>IFERROR(__xludf.DUMMYFUNCTION("""COMPUTED_VALUE"""),"MOTORCYCLE")</f>
        <v>MOTORCYCLE</v>
      </c>
      <c r="G336" s="7" t="str">
        <f>IFERROR(__xludf.DUMMYFUNCTION("""COMPUTED_VALUE"""),"SAO PAULO")</f>
        <v>SAO PAULO</v>
      </c>
    </row>
    <row r="337">
      <c r="A337" s="6">
        <f>IFERROR(__xludf.DUMMYFUNCTION("""COMPUTED_VALUE"""),45705.0)</f>
        <v>45705</v>
      </c>
      <c r="B337" s="7" t="str">
        <f>IFERROR(__xludf.DUMMYFUNCTION("""COMPUTED_VALUE"""),"74a216b9-da1a-40c0-9bf7-25687ddc17df")</f>
        <v>74a216b9-da1a-40c0-9bf7-25687ddc17df</v>
      </c>
      <c r="C337" s="7">
        <f>IFERROR(__xludf.DUMMYFUNCTION("""COMPUTED_VALUE"""),1427.0)</f>
        <v>1427</v>
      </c>
      <c r="D337" s="6">
        <f>IFERROR(__xludf.DUMMYFUNCTION("""COMPUTED_VALUE"""),44278.0)</f>
        <v>44278</v>
      </c>
      <c r="E337" s="7" t="str">
        <f>IFERROR(__xludf.DUMMYFUNCTION("""COMPUTED_VALUE"""),"FRANQUIA_D&amp;G_SP")</f>
        <v>FRANQUIA_D&amp;G_SP</v>
      </c>
      <c r="F337" s="7" t="str">
        <f>IFERROR(__xludf.DUMMYFUNCTION("""COMPUTED_VALUE"""),"BICYCLE")</f>
        <v>BICYCLE</v>
      </c>
      <c r="G337" s="7" t="str">
        <f>IFERROR(__xludf.DUMMYFUNCTION("""COMPUTED_VALUE"""),"SAO PAULO")</f>
        <v>SAO PAULO</v>
      </c>
    </row>
    <row r="338">
      <c r="A338" s="6">
        <f>IFERROR(__xludf.DUMMYFUNCTION("""COMPUTED_VALUE"""),45705.0)</f>
        <v>45705</v>
      </c>
      <c r="B338" s="7" t="str">
        <f>IFERROR(__xludf.DUMMYFUNCTION("""COMPUTED_VALUE"""),"39c32f07-90a1-45a9-b259-d6dcff0d26a4")</f>
        <v>39c32f07-90a1-45a9-b259-d6dcff0d26a4</v>
      </c>
      <c r="C338" s="7">
        <f>IFERROR(__xludf.DUMMYFUNCTION("""COMPUTED_VALUE"""),30.0)</f>
        <v>30</v>
      </c>
      <c r="D338" s="6">
        <f>IFERROR(__xludf.DUMMYFUNCTION("""COMPUTED_VALUE"""),45675.0)</f>
        <v>45675</v>
      </c>
      <c r="E338" s="7" t="str">
        <f>IFERROR(__xludf.DUMMYFUNCTION("""COMPUTED_VALUE"""),"FRANQUIA_D&amp;G_SP")</f>
        <v>FRANQUIA_D&amp;G_SP</v>
      </c>
      <c r="F338" s="7" t="str">
        <f>IFERROR(__xludf.DUMMYFUNCTION("""COMPUTED_VALUE"""),"BICYCLE")</f>
        <v>BICYCLE</v>
      </c>
      <c r="G338" s="7" t="str">
        <f>IFERROR(__xludf.DUMMYFUNCTION("""COMPUTED_VALUE"""),"SAO PAULO")</f>
        <v>SAO PAULO</v>
      </c>
    </row>
    <row r="339">
      <c r="A339" s="6">
        <f>IFERROR(__xludf.DUMMYFUNCTION("""COMPUTED_VALUE"""),45705.0)</f>
        <v>45705</v>
      </c>
      <c r="B339" s="7" t="str">
        <f>IFERROR(__xludf.DUMMYFUNCTION("""COMPUTED_VALUE"""),"62dce4b9-eee7-4844-ae3c-6a769f20589e")</f>
        <v>62dce4b9-eee7-4844-ae3c-6a769f20589e</v>
      </c>
      <c r="C339" s="7">
        <f>IFERROR(__xludf.DUMMYFUNCTION("""COMPUTED_VALUE"""),0.0)</f>
        <v>0</v>
      </c>
      <c r="D339" s="6">
        <f>IFERROR(__xludf.DUMMYFUNCTION("""COMPUTED_VALUE"""),45705.0)</f>
        <v>45705</v>
      </c>
      <c r="E339" s="7" t="str">
        <f>IFERROR(__xludf.DUMMYFUNCTION("""COMPUTED_VALUE"""),"FRANQUIA_D&amp;G_SP")</f>
        <v>FRANQUIA_D&amp;G_SP</v>
      </c>
      <c r="F339" s="7" t="str">
        <f>IFERROR(__xludf.DUMMYFUNCTION("""COMPUTED_VALUE"""),"MOTORCYCLE")</f>
        <v>MOTORCYCLE</v>
      </c>
      <c r="G339" s="7" t="str">
        <f>IFERROR(__xludf.DUMMYFUNCTION("""COMPUTED_VALUE"""),"SAO PAULO")</f>
        <v>SAO PAULO</v>
      </c>
    </row>
    <row r="340">
      <c r="A340" s="6">
        <f>IFERROR(__xludf.DUMMYFUNCTION("""COMPUTED_VALUE"""),45705.0)</f>
        <v>45705</v>
      </c>
      <c r="B340" s="7" t="str">
        <f>IFERROR(__xludf.DUMMYFUNCTION("""COMPUTED_VALUE"""),"41c1a844-1732-4a76-a55e-7f479fc9ef22")</f>
        <v>41c1a844-1732-4a76-a55e-7f479fc9ef22</v>
      </c>
      <c r="C340" s="7">
        <f>IFERROR(__xludf.DUMMYFUNCTION("""COMPUTED_VALUE"""),657.0)</f>
        <v>657</v>
      </c>
      <c r="D340" s="6">
        <f>IFERROR(__xludf.DUMMYFUNCTION("""COMPUTED_VALUE"""),45048.0)</f>
        <v>45048</v>
      </c>
      <c r="E340" s="7" t="str">
        <f>IFERROR(__xludf.DUMMYFUNCTION("""COMPUTED_VALUE"""),"FRANQUIA_D&amp;G_SP")</f>
        <v>FRANQUIA_D&amp;G_SP</v>
      </c>
      <c r="F340" s="7" t="str">
        <f>IFERROR(__xludf.DUMMYFUNCTION("""COMPUTED_VALUE"""),"BICYCLE")</f>
        <v>BICYCLE</v>
      </c>
      <c r="G340" s="7" t="str">
        <f>IFERROR(__xludf.DUMMYFUNCTION("""COMPUTED_VALUE"""),"SAO PAULO")</f>
        <v>SAO PAULO</v>
      </c>
    </row>
    <row r="341">
      <c r="A341" s="6">
        <f>IFERROR(__xludf.DUMMYFUNCTION("""COMPUTED_VALUE"""),45705.0)</f>
        <v>45705</v>
      </c>
      <c r="B341" s="7" t="str">
        <f>IFERROR(__xludf.DUMMYFUNCTION("""COMPUTED_VALUE"""),"4d8da309-a786-41c4-a697-7a0dc3dac79f")</f>
        <v>4d8da309-a786-41c4-a697-7a0dc3dac79f</v>
      </c>
      <c r="C341" s="7">
        <f>IFERROR(__xludf.DUMMYFUNCTION("""COMPUTED_VALUE"""),0.0)</f>
        <v>0</v>
      </c>
      <c r="D341" s="6">
        <f>IFERROR(__xludf.DUMMYFUNCTION("""COMPUTED_VALUE"""),45705.0)</f>
        <v>45705</v>
      </c>
      <c r="E341" s="7" t="str">
        <f>IFERROR(__xludf.DUMMYFUNCTION("""COMPUTED_VALUE"""),"FRANQUIA_D&amp;G_SP")</f>
        <v>FRANQUIA_D&amp;G_SP</v>
      </c>
      <c r="F341" s="7" t="str">
        <f>IFERROR(__xludf.DUMMYFUNCTION("""COMPUTED_VALUE"""),"MOTORCYCLE")</f>
        <v>MOTORCYCLE</v>
      </c>
      <c r="G341" s="7" t="str">
        <f>IFERROR(__xludf.DUMMYFUNCTION("""COMPUTED_VALUE"""),"ABC")</f>
        <v>ABC</v>
      </c>
    </row>
    <row r="342">
      <c r="A342" s="6">
        <f>IFERROR(__xludf.DUMMYFUNCTION("""COMPUTED_VALUE"""),45705.0)</f>
        <v>45705</v>
      </c>
      <c r="B342" s="7" t="str">
        <f>IFERROR(__xludf.DUMMYFUNCTION("""COMPUTED_VALUE"""),"64b7b310-9877-4cc9-b7bc-c052bd6e0bc2")</f>
        <v>64b7b310-9877-4cc9-b7bc-c052bd6e0bc2</v>
      </c>
      <c r="C342" s="7">
        <f>IFERROR(__xludf.DUMMYFUNCTION("""COMPUTED_VALUE"""),449.0)</f>
        <v>449</v>
      </c>
      <c r="D342" s="6">
        <f>IFERROR(__xludf.DUMMYFUNCTION("""COMPUTED_VALUE"""),45256.0)</f>
        <v>45256</v>
      </c>
      <c r="E342" s="7" t="str">
        <f>IFERROR(__xludf.DUMMYFUNCTION("""COMPUTED_VALUE"""),"FRANQUIA_D&amp;G_SP")</f>
        <v>FRANQUIA_D&amp;G_SP</v>
      </c>
      <c r="F342" s="7" t="str">
        <f>IFERROR(__xludf.DUMMYFUNCTION("""COMPUTED_VALUE"""),"MOTORCYCLE")</f>
        <v>MOTORCYCLE</v>
      </c>
      <c r="G342" s="7" t="str">
        <f>IFERROR(__xludf.DUMMYFUNCTION("""COMPUTED_VALUE"""),"SAO PAULO")</f>
        <v>SAO PAULO</v>
      </c>
    </row>
    <row r="343">
      <c r="A343" s="6">
        <f>IFERROR(__xludf.DUMMYFUNCTION("""COMPUTED_VALUE"""),45705.0)</f>
        <v>45705</v>
      </c>
      <c r="B343" s="7" t="str">
        <f>IFERROR(__xludf.DUMMYFUNCTION("""COMPUTED_VALUE"""),"62d0d62e-9353-48e6-8e53-52c4fa4e4e30")</f>
        <v>62d0d62e-9353-48e6-8e53-52c4fa4e4e30</v>
      </c>
      <c r="C343" s="7">
        <f>IFERROR(__xludf.DUMMYFUNCTION("""COMPUTED_VALUE"""),0.0)</f>
        <v>0</v>
      </c>
      <c r="D343" s="6">
        <f>IFERROR(__xludf.DUMMYFUNCTION("""COMPUTED_VALUE"""),45705.0)</f>
        <v>45705</v>
      </c>
      <c r="E343" s="7" t="str">
        <f>IFERROR(__xludf.DUMMYFUNCTION("""COMPUTED_VALUE"""),"FRANQUIA_D&amp;G_SP")</f>
        <v>FRANQUIA_D&amp;G_SP</v>
      </c>
      <c r="F343" s="7" t="str">
        <f>IFERROR(__xludf.DUMMYFUNCTION("""COMPUTED_VALUE"""),"BICYCLE")</f>
        <v>BICYCLE</v>
      </c>
      <c r="G343" s="7" t="str">
        <f>IFERROR(__xludf.DUMMYFUNCTION("""COMPUTED_VALUE"""),"SAO PAULO")</f>
        <v>SAO PAULO</v>
      </c>
    </row>
    <row r="344">
      <c r="A344" s="6">
        <f>IFERROR(__xludf.DUMMYFUNCTION("""COMPUTED_VALUE"""),45705.0)</f>
        <v>45705</v>
      </c>
      <c r="B344" s="7" t="str">
        <f>IFERROR(__xludf.DUMMYFUNCTION("""COMPUTED_VALUE"""),"4bad2e44-87ce-49d8-8d49-af7c973a3878")</f>
        <v>4bad2e44-87ce-49d8-8d49-af7c973a3878</v>
      </c>
      <c r="C344" s="7">
        <f>IFERROR(__xludf.DUMMYFUNCTION("""COMPUTED_VALUE"""),0.0)</f>
        <v>0</v>
      </c>
      <c r="D344" s="6">
        <f>IFERROR(__xludf.DUMMYFUNCTION("""COMPUTED_VALUE"""),0.0)</f>
        <v>0</v>
      </c>
      <c r="E344" s="7" t="str">
        <f>IFERROR(__xludf.DUMMYFUNCTION("""COMPUTED_VALUE"""),"FRANQUIA_D&amp;G_SP")</f>
        <v>FRANQUIA_D&amp;G_SP</v>
      </c>
      <c r="F344" s="7" t="str">
        <f>IFERROR(__xludf.DUMMYFUNCTION("""COMPUTED_VALUE"""),"MOTORCYCLE")</f>
        <v>MOTORCYCLE</v>
      </c>
      <c r="G344" s="7" t="str">
        <f>IFERROR(__xludf.DUMMYFUNCTION("""COMPUTED_VALUE"""),"0")</f>
        <v>0</v>
      </c>
    </row>
    <row r="345">
      <c r="A345" s="6">
        <f>IFERROR(__xludf.DUMMYFUNCTION("""COMPUTED_VALUE"""),45705.0)</f>
        <v>45705</v>
      </c>
      <c r="B345" s="7" t="str">
        <f>IFERROR(__xludf.DUMMYFUNCTION("""COMPUTED_VALUE"""),"3bb05bf5-1c7a-45b2-8f35-64faed0e3015")</f>
        <v>3bb05bf5-1c7a-45b2-8f35-64faed0e3015</v>
      </c>
      <c r="C345" s="7">
        <f>IFERROR(__xludf.DUMMYFUNCTION("""COMPUTED_VALUE"""),0.0)</f>
        <v>0</v>
      </c>
      <c r="D345" s="6">
        <f>IFERROR(__xludf.DUMMYFUNCTION("""COMPUTED_VALUE"""),45705.0)</f>
        <v>45705</v>
      </c>
      <c r="E345" s="7" t="str">
        <f>IFERROR(__xludf.DUMMYFUNCTION("""COMPUTED_VALUE"""),"FRANQUIA_D&amp;G_SP")</f>
        <v>FRANQUIA_D&amp;G_SP</v>
      </c>
      <c r="F345" s="7" t="str">
        <f>IFERROR(__xludf.DUMMYFUNCTION("""COMPUTED_VALUE"""),"MOTORCYCLE")</f>
        <v>MOTORCYCLE</v>
      </c>
      <c r="G345" s="7" t="str">
        <f>IFERROR(__xludf.DUMMYFUNCTION("""COMPUTED_VALUE"""),"SAO PAULO")</f>
        <v>SAO PAULO</v>
      </c>
    </row>
    <row r="346">
      <c r="A346" s="6">
        <f>IFERROR(__xludf.DUMMYFUNCTION("""COMPUTED_VALUE"""),45705.0)</f>
        <v>45705</v>
      </c>
      <c r="B346" s="7" t="str">
        <f>IFERROR(__xludf.DUMMYFUNCTION("""COMPUTED_VALUE"""),"452484a8-3f2b-4437-bd3a-d8aac4d579de")</f>
        <v>452484a8-3f2b-4437-bd3a-d8aac4d579de</v>
      </c>
      <c r="C346" s="7">
        <f>IFERROR(__xludf.DUMMYFUNCTION("""COMPUTED_VALUE"""),0.0)</f>
        <v>0</v>
      </c>
      <c r="D346" s="6">
        <f>IFERROR(__xludf.DUMMYFUNCTION("""COMPUTED_VALUE"""),45705.0)</f>
        <v>45705</v>
      </c>
      <c r="E346" s="7" t="str">
        <f>IFERROR(__xludf.DUMMYFUNCTION("""COMPUTED_VALUE"""),"FRANQUIA_D&amp;G_SP")</f>
        <v>FRANQUIA_D&amp;G_SP</v>
      </c>
      <c r="F346" s="7" t="str">
        <f>IFERROR(__xludf.DUMMYFUNCTION("""COMPUTED_VALUE"""),"MOTORCYCLE")</f>
        <v>MOTORCYCLE</v>
      </c>
      <c r="G346" s="7" t="str">
        <f>IFERROR(__xludf.DUMMYFUNCTION("""COMPUTED_VALUE"""),"SAO PAULO")</f>
        <v>SAO PAULO</v>
      </c>
    </row>
    <row r="347">
      <c r="A347" s="6">
        <f>IFERROR(__xludf.DUMMYFUNCTION("""COMPUTED_VALUE"""),45705.0)</f>
        <v>45705</v>
      </c>
      <c r="B347" s="7" t="str">
        <f>IFERROR(__xludf.DUMMYFUNCTION("""COMPUTED_VALUE"""),"2d1f3c2d-14e5-4b96-b519-4f03517fed0b")</f>
        <v>2d1f3c2d-14e5-4b96-b519-4f03517fed0b</v>
      </c>
      <c r="C347" s="7">
        <f>IFERROR(__xludf.DUMMYFUNCTION("""COMPUTED_VALUE"""),94.0)</f>
        <v>94</v>
      </c>
      <c r="D347" s="6">
        <f>IFERROR(__xludf.DUMMYFUNCTION("""COMPUTED_VALUE"""),45611.0)</f>
        <v>45611</v>
      </c>
      <c r="E347" s="7" t="str">
        <f>IFERROR(__xludf.DUMMYFUNCTION("""COMPUTED_VALUE"""),"FRANQUIA_D&amp;G_SP")</f>
        <v>FRANQUIA_D&amp;G_SP</v>
      </c>
      <c r="F347" s="7" t="str">
        <f>IFERROR(__xludf.DUMMYFUNCTION("""COMPUTED_VALUE"""),"BICYCLE")</f>
        <v>BICYCLE</v>
      </c>
      <c r="G347" s="7" t="str">
        <f>IFERROR(__xludf.DUMMYFUNCTION("""COMPUTED_VALUE"""),"SAO PAULO")</f>
        <v>SAO PAULO</v>
      </c>
    </row>
    <row r="348">
      <c r="A348" s="6">
        <f>IFERROR(__xludf.DUMMYFUNCTION("""COMPUTED_VALUE"""),45705.0)</f>
        <v>45705</v>
      </c>
      <c r="B348" s="7" t="str">
        <f>IFERROR(__xludf.DUMMYFUNCTION("""COMPUTED_VALUE"""),"54c89bb5-e705-4c1b-b60c-ab2d68f4685e")</f>
        <v>54c89bb5-e705-4c1b-b60c-ab2d68f4685e</v>
      </c>
      <c r="C348" s="7">
        <f>IFERROR(__xludf.DUMMYFUNCTION("""COMPUTED_VALUE"""),196.0)</f>
        <v>196</v>
      </c>
      <c r="D348" s="6">
        <f>IFERROR(__xludf.DUMMYFUNCTION("""COMPUTED_VALUE"""),45509.0)</f>
        <v>45509</v>
      </c>
      <c r="E348" s="7" t="str">
        <f>IFERROR(__xludf.DUMMYFUNCTION("""COMPUTED_VALUE"""),"FRANQUIA_D&amp;G_SP")</f>
        <v>FRANQUIA_D&amp;G_SP</v>
      </c>
      <c r="F348" s="7" t="str">
        <f>IFERROR(__xludf.DUMMYFUNCTION("""COMPUTED_VALUE"""),"BICYCLE")</f>
        <v>BICYCLE</v>
      </c>
      <c r="G348" s="7" t="str">
        <f>IFERROR(__xludf.DUMMYFUNCTION("""COMPUTED_VALUE"""),"SAO PAULO")</f>
        <v>SAO PAULO</v>
      </c>
    </row>
    <row r="349">
      <c r="A349" s="6">
        <f>IFERROR(__xludf.DUMMYFUNCTION("""COMPUTED_VALUE"""),45705.0)</f>
        <v>45705</v>
      </c>
      <c r="B349" s="7" t="str">
        <f>IFERROR(__xludf.DUMMYFUNCTION("""COMPUTED_VALUE"""),"808be7fe-0e5b-42af-9835-6ca3739a24b5")</f>
        <v>808be7fe-0e5b-42af-9835-6ca3739a24b5</v>
      </c>
      <c r="C349" s="7">
        <f>IFERROR(__xludf.DUMMYFUNCTION("""COMPUTED_VALUE"""),1.0)</f>
        <v>1</v>
      </c>
      <c r="D349" s="6">
        <f>IFERROR(__xludf.DUMMYFUNCTION("""COMPUTED_VALUE"""),45704.0)</f>
        <v>45704</v>
      </c>
      <c r="E349" s="7" t="str">
        <f>IFERROR(__xludf.DUMMYFUNCTION("""COMPUTED_VALUE"""),"FRANQUIA_D&amp;G_SP")</f>
        <v>FRANQUIA_D&amp;G_SP</v>
      </c>
      <c r="F349" s="7" t="str">
        <f>IFERROR(__xludf.DUMMYFUNCTION("""COMPUTED_VALUE"""),"BICYCLE")</f>
        <v>BICYCLE</v>
      </c>
      <c r="G349" s="7" t="str">
        <f>IFERROR(__xludf.DUMMYFUNCTION("""COMPUTED_VALUE"""),"SAO PAULO")</f>
        <v>SAO PAULO</v>
      </c>
    </row>
    <row r="350">
      <c r="A350" s="6">
        <f>IFERROR(__xludf.DUMMYFUNCTION("""COMPUTED_VALUE"""),45705.0)</f>
        <v>45705</v>
      </c>
      <c r="B350" s="7" t="str">
        <f>IFERROR(__xludf.DUMMYFUNCTION("""COMPUTED_VALUE"""),"3db14a51-2904-4f8c-a856-586063a4caf9")</f>
        <v>3db14a51-2904-4f8c-a856-586063a4caf9</v>
      </c>
      <c r="C350" s="7">
        <f>IFERROR(__xludf.DUMMYFUNCTION("""COMPUTED_VALUE"""),0.0)</f>
        <v>0</v>
      </c>
      <c r="D350" s="6">
        <f>IFERROR(__xludf.DUMMYFUNCTION("""COMPUTED_VALUE"""),45705.0)</f>
        <v>45705</v>
      </c>
      <c r="E350" s="7" t="str">
        <f>IFERROR(__xludf.DUMMYFUNCTION("""COMPUTED_VALUE"""),"FRANQUIA_D&amp;G_SP")</f>
        <v>FRANQUIA_D&amp;G_SP</v>
      </c>
      <c r="F350" s="7" t="str">
        <f>IFERROR(__xludf.DUMMYFUNCTION("""COMPUTED_VALUE"""),"MOTORCYCLE")</f>
        <v>MOTORCYCLE</v>
      </c>
      <c r="G350" s="7" t="str">
        <f>IFERROR(__xludf.DUMMYFUNCTION("""COMPUTED_VALUE"""),"SAO PAULO")</f>
        <v>SAO PAULO</v>
      </c>
    </row>
    <row r="351">
      <c r="A351" s="6">
        <f>IFERROR(__xludf.DUMMYFUNCTION("""COMPUTED_VALUE"""),45705.0)</f>
        <v>45705</v>
      </c>
      <c r="B351" s="7" t="str">
        <f>IFERROR(__xludf.DUMMYFUNCTION("""COMPUTED_VALUE"""),"446a5e93-48d7-43bb-bdea-305516a941de")</f>
        <v>446a5e93-48d7-43bb-bdea-305516a941de</v>
      </c>
      <c r="C351" s="7">
        <f>IFERROR(__xludf.DUMMYFUNCTION("""COMPUTED_VALUE"""),147.0)</f>
        <v>147</v>
      </c>
      <c r="D351" s="6">
        <f>IFERROR(__xludf.DUMMYFUNCTION("""COMPUTED_VALUE"""),45558.0)</f>
        <v>45558</v>
      </c>
      <c r="E351" s="7" t="str">
        <f>IFERROR(__xludf.DUMMYFUNCTION("""COMPUTED_VALUE"""),"FRANQUIA_D&amp;G_SP")</f>
        <v>FRANQUIA_D&amp;G_SP</v>
      </c>
      <c r="F351" s="7" t="str">
        <f>IFERROR(__xludf.DUMMYFUNCTION("""COMPUTED_VALUE"""),"MOTORCYCLE")</f>
        <v>MOTORCYCLE</v>
      </c>
      <c r="G351" s="7" t="str">
        <f>IFERROR(__xludf.DUMMYFUNCTION("""COMPUTED_VALUE"""),"SAO PAULO")</f>
        <v>SAO PAULO</v>
      </c>
    </row>
    <row r="352">
      <c r="A352" s="6">
        <f>IFERROR(__xludf.DUMMYFUNCTION("""COMPUTED_VALUE"""),45705.0)</f>
        <v>45705</v>
      </c>
      <c r="B352" s="7" t="str">
        <f>IFERROR(__xludf.DUMMYFUNCTION("""COMPUTED_VALUE"""),"ef7f7537-2a51-4fda-9c42-196f5ca6f1e6")</f>
        <v>ef7f7537-2a51-4fda-9c42-196f5ca6f1e6</v>
      </c>
      <c r="C352" s="7">
        <f>IFERROR(__xludf.DUMMYFUNCTION("""COMPUTED_VALUE"""),0.0)</f>
        <v>0</v>
      </c>
      <c r="D352" s="6">
        <f>IFERROR(__xludf.DUMMYFUNCTION("""COMPUTED_VALUE"""),45705.0)</f>
        <v>45705</v>
      </c>
      <c r="E352" s="7" t="str">
        <f>IFERROR(__xludf.DUMMYFUNCTION("""COMPUTED_VALUE"""),"FRANQUIA_D&amp;G_SP")</f>
        <v>FRANQUIA_D&amp;G_SP</v>
      </c>
      <c r="F352" s="7" t="str">
        <f>IFERROR(__xludf.DUMMYFUNCTION("""COMPUTED_VALUE"""),"MOTORCYCLE")</f>
        <v>MOTORCYCLE</v>
      </c>
      <c r="G352" s="7" t="str">
        <f>IFERROR(__xludf.DUMMYFUNCTION("""COMPUTED_VALUE"""),"SAO PAULO")</f>
        <v>SAO PAULO</v>
      </c>
    </row>
    <row r="353">
      <c r="A353" s="6">
        <f>IFERROR(__xludf.DUMMYFUNCTION("""COMPUTED_VALUE"""),45705.0)</f>
        <v>45705</v>
      </c>
      <c r="B353" s="7" t="str">
        <f>IFERROR(__xludf.DUMMYFUNCTION("""COMPUTED_VALUE"""),"fe549190-e84c-4e4c-a51d-e52334496f27")</f>
        <v>fe549190-e84c-4e4c-a51d-e52334496f27</v>
      </c>
      <c r="C353" s="7">
        <f>IFERROR(__xludf.DUMMYFUNCTION("""COMPUTED_VALUE"""),2.0)</f>
        <v>2</v>
      </c>
      <c r="D353" s="6">
        <f>IFERROR(__xludf.DUMMYFUNCTION("""COMPUTED_VALUE"""),45703.0)</f>
        <v>45703</v>
      </c>
      <c r="E353" s="7" t="str">
        <f>IFERROR(__xludf.DUMMYFUNCTION("""COMPUTED_VALUE"""),"FRANQUIA_D&amp;G_SP")</f>
        <v>FRANQUIA_D&amp;G_SP</v>
      </c>
      <c r="F353" s="7" t="str">
        <f>IFERROR(__xludf.DUMMYFUNCTION("""COMPUTED_VALUE"""),"MOTORCYCLE")</f>
        <v>MOTORCYCLE</v>
      </c>
      <c r="G353" s="7" t="str">
        <f>IFERROR(__xludf.DUMMYFUNCTION("""COMPUTED_VALUE"""),"SAO PAULO")</f>
        <v>SAO PAULO</v>
      </c>
    </row>
    <row r="354">
      <c r="A354" s="6">
        <f>IFERROR(__xludf.DUMMYFUNCTION("""COMPUTED_VALUE"""),45705.0)</f>
        <v>45705</v>
      </c>
      <c r="B354" s="7" t="str">
        <f>IFERROR(__xludf.DUMMYFUNCTION("""COMPUTED_VALUE"""),"b7899551-7503-47bb-b44c-27256280626f")</f>
        <v>b7899551-7503-47bb-b44c-27256280626f</v>
      </c>
      <c r="C354" s="7">
        <f>IFERROR(__xludf.DUMMYFUNCTION("""COMPUTED_VALUE"""),0.0)</f>
        <v>0</v>
      </c>
      <c r="D354" s="6">
        <f>IFERROR(__xludf.DUMMYFUNCTION("""COMPUTED_VALUE"""),45705.0)</f>
        <v>45705</v>
      </c>
      <c r="E354" s="7" t="str">
        <f>IFERROR(__xludf.DUMMYFUNCTION("""COMPUTED_VALUE"""),"FRANQUIA_D&amp;G_SP")</f>
        <v>FRANQUIA_D&amp;G_SP</v>
      </c>
      <c r="F354" s="7" t="str">
        <f>IFERROR(__xludf.DUMMYFUNCTION("""COMPUTED_VALUE"""),"EMOTORCYCLE")</f>
        <v>EMOTORCYCLE</v>
      </c>
      <c r="G354" s="7" t="str">
        <f>IFERROR(__xludf.DUMMYFUNCTION("""COMPUTED_VALUE"""),"SAO PAULO")</f>
        <v>SAO PAULO</v>
      </c>
    </row>
    <row r="355">
      <c r="A355" s="6">
        <f>IFERROR(__xludf.DUMMYFUNCTION("""COMPUTED_VALUE"""),45705.0)</f>
        <v>45705</v>
      </c>
      <c r="B355" s="7" t="str">
        <f>IFERROR(__xludf.DUMMYFUNCTION("""COMPUTED_VALUE"""),"5d36ce59-d85f-40a9-848a-4c113018ffe4")</f>
        <v>5d36ce59-d85f-40a9-848a-4c113018ffe4</v>
      </c>
      <c r="C355" s="7">
        <f>IFERROR(__xludf.DUMMYFUNCTION("""COMPUTED_VALUE"""),2.0)</f>
        <v>2</v>
      </c>
      <c r="D355" s="6">
        <f>IFERROR(__xludf.DUMMYFUNCTION("""COMPUTED_VALUE"""),45703.0)</f>
        <v>45703</v>
      </c>
      <c r="E355" s="7" t="str">
        <f>IFERROR(__xludf.DUMMYFUNCTION("""COMPUTED_VALUE"""),"FRANQUIA_D&amp;G_SP")</f>
        <v>FRANQUIA_D&amp;G_SP</v>
      </c>
      <c r="F355" s="7" t="str">
        <f>IFERROR(__xludf.DUMMYFUNCTION("""COMPUTED_VALUE"""),"MOTORCYCLE")</f>
        <v>MOTORCYCLE</v>
      </c>
      <c r="G355" s="7" t="str">
        <f>IFERROR(__xludf.DUMMYFUNCTION("""COMPUTED_VALUE"""),"TABOAO DA SERRA")</f>
        <v>TABOAO DA SERRA</v>
      </c>
    </row>
    <row r="356">
      <c r="A356" s="6">
        <f>IFERROR(__xludf.DUMMYFUNCTION("""COMPUTED_VALUE"""),45705.0)</f>
        <v>45705</v>
      </c>
      <c r="B356" s="7" t="str">
        <f>IFERROR(__xludf.DUMMYFUNCTION("""COMPUTED_VALUE"""),"5fe64a61-c226-4a6e-85db-0e0cb8aa313e")</f>
        <v>5fe64a61-c226-4a6e-85db-0e0cb8aa313e</v>
      </c>
      <c r="C356" s="7">
        <f>IFERROR(__xludf.DUMMYFUNCTION("""COMPUTED_VALUE"""),31.0)</f>
        <v>31</v>
      </c>
      <c r="D356" s="6">
        <f>IFERROR(__xludf.DUMMYFUNCTION("""COMPUTED_VALUE"""),45674.0)</f>
        <v>45674</v>
      </c>
      <c r="E356" s="7" t="str">
        <f>IFERROR(__xludf.DUMMYFUNCTION("""COMPUTED_VALUE"""),"FRANQUIA_D&amp;G_SP")</f>
        <v>FRANQUIA_D&amp;G_SP</v>
      </c>
      <c r="F356" s="7" t="str">
        <f>IFERROR(__xludf.DUMMYFUNCTION("""COMPUTED_VALUE"""),"BICYCLE")</f>
        <v>BICYCLE</v>
      </c>
      <c r="G356" s="7" t="str">
        <f>IFERROR(__xludf.DUMMYFUNCTION("""COMPUTED_VALUE"""),"SAO PAULO")</f>
        <v>SAO PAULO</v>
      </c>
    </row>
    <row r="357">
      <c r="A357" s="6">
        <f>IFERROR(__xludf.DUMMYFUNCTION("""COMPUTED_VALUE"""),45705.0)</f>
        <v>45705</v>
      </c>
      <c r="B357" s="7" t="str">
        <f>IFERROR(__xludf.DUMMYFUNCTION("""COMPUTED_VALUE"""),"21ba2a29-79a8-47f3-90d8-4c0daa94a22b")</f>
        <v>21ba2a29-79a8-47f3-90d8-4c0daa94a22b</v>
      </c>
      <c r="C357" s="7">
        <f>IFERROR(__xludf.DUMMYFUNCTION("""COMPUTED_VALUE"""),339.0)</f>
        <v>339</v>
      </c>
      <c r="D357" s="6">
        <f>IFERROR(__xludf.DUMMYFUNCTION("""COMPUTED_VALUE"""),45366.0)</f>
        <v>45366</v>
      </c>
      <c r="E357" s="7" t="str">
        <f>IFERROR(__xludf.DUMMYFUNCTION("""COMPUTED_VALUE"""),"FRANQUIA_D&amp;G_SP")</f>
        <v>FRANQUIA_D&amp;G_SP</v>
      </c>
      <c r="F357" s="7" t="str">
        <f>IFERROR(__xludf.DUMMYFUNCTION("""COMPUTED_VALUE"""),"BICYCLE")</f>
        <v>BICYCLE</v>
      </c>
      <c r="G357" s="7" t="str">
        <f>IFERROR(__xludf.DUMMYFUNCTION("""COMPUTED_VALUE"""),"SAO PAULO")</f>
        <v>SAO PAULO</v>
      </c>
    </row>
    <row r="358">
      <c r="A358" s="6">
        <f>IFERROR(__xludf.DUMMYFUNCTION("""COMPUTED_VALUE"""),45705.0)</f>
        <v>45705</v>
      </c>
      <c r="B358" s="7" t="str">
        <f>IFERROR(__xludf.DUMMYFUNCTION("""COMPUTED_VALUE"""),"72a9ec09-d582-4ec5-b979-98811bf05d53")</f>
        <v>72a9ec09-d582-4ec5-b979-98811bf05d53</v>
      </c>
      <c r="C358" s="7">
        <f>IFERROR(__xludf.DUMMYFUNCTION("""COMPUTED_VALUE"""),497.0)</f>
        <v>497</v>
      </c>
      <c r="D358" s="6">
        <f>IFERROR(__xludf.DUMMYFUNCTION("""COMPUTED_VALUE"""),45208.0)</f>
        <v>45208</v>
      </c>
      <c r="E358" s="7" t="str">
        <f>IFERROR(__xludf.DUMMYFUNCTION("""COMPUTED_VALUE"""),"FRANQUIA_D&amp;G_SP")</f>
        <v>FRANQUIA_D&amp;G_SP</v>
      </c>
      <c r="F358" s="7" t="str">
        <f>IFERROR(__xludf.DUMMYFUNCTION("""COMPUTED_VALUE"""),"BICYCLE")</f>
        <v>BICYCLE</v>
      </c>
      <c r="G358" s="7" t="str">
        <f>IFERROR(__xludf.DUMMYFUNCTION("""COMPUTED_VALUE"""),"SAO PAULO")</f>
        <v>SAO PAULO</v>
      </c>
    </row>
    <row r="359">
      <c r="A359" s="6">
        <f>IFERROR(__xludf.DUMMYFUNCTION("""COMPUTED_VALUE"""),45705.0)</f>
        <v>45705</v>
      </c>
      <c r="B359" s="7" t="str">
        <f>IFERROR(__xludf.DUMMYFUNCTION("""COMPUTED_VALUE"""),"5e33c71c-0ee3-40ef-b7ed-30d627d5bb0e")</f>
        <v>5e33c71c-0ee3-40ef-b7ed-30d627d5bb0e</v>
      </c>
      <c r="C359" s="7">
        <f>IFERROR(__xludf.DUMMYFUNCTION("""COMPUTED_VALUE"""),2.0)</f>
        <v>2</v>
      </c>
      <c r="D359" s="6">
        <f>IFERROR(__xludf.DUMMYFUNCTION("""COMPUTED_VALUE"""),45703.0)</f>
        <v>45703</v>
      </c>
      <c r="E359" s="7" t="str">
        <f>IFERROR(__xludf.DUMMYFUNCTION("""COMPUTED_VALUE"""),"FRANQUIA_D&amp;G_SP")</f>
        <v>FRANQUIA_D&amp;G_SP</v>
      </c>
      <c r="F359" s="7" t="str">
        <f>IFERROR(__xludf.DUMMYFUNCTION("""COMPUTED_VALUE"""),"MOTORCYCLE")</f>
        <v>MOTORCYCLE</v>
      </c>
      <c r="G359" s="7" t="str">
        <f>IFERROR(__xludf.DUMMYFUNCTION("""COMPUTED_VALUE"""),"SAO PAULO")</f>
        <v>SAO PAULO</v>
      </c>
    </row>
    <row r="360">
      <c r="A360" s="6">
        <f>IFERROR(__xludf.DUMMYFUNCTION("""COMPUTED_VALUE"""),45705.0)</f>
        <v>45705</v>
      </c>
      <c r="B360" s="7" t="str">
        <f>IFERROR(__xludf.DUMMYFUNCTION("""COMPUTED_VALUE"""),"babaedcf-1a91-4d24-ac02-06bdbaa0986d")</f>
        <v>babaedcf-1a91-4d24-ac02-06bdbaa0986d</v>
      </c>
      <c r="C360" s="7">
        <f>IFERROR(__xludf.DUMMYFUNCTION("""COMPUTED_VALUE"""),210.0)</f>
        <v>210</v>
      </c>
      <c r="D360" s="6">
        <f>IFERROR(__xludf.DUMMYFUNCTION("""COMPUTED_VALUE"""),45495.0)</f>
        <v>45495</v>
      </c>
      <c r="E360" s="7" t="str">
        <f>IFERROR(__xludf.DUMMYFUNCTION("""COMPUTED_VALUE"""),"FRANQUIA_D&amp;G_SP")</f>
        <v>FRANQUIA_D&amp;G_SP</v>
      </c>
      <c r="F360" s="7" t="str">
        <f>IFERROR(__xludf.DUMMYFUNCTION("""COMPUTED_VALUE"""),"MOTORCYCLE")</f>
        <v>MOTORCYCLE</v>
      </c>
      <c r="G360" s="7" t="str">
        <f>IFERROR(__xludf.DUMMYFUNCTION("""COMPUTED_VALUE"""),"SAO PAULO")</f>
        <v>SAO PAULO</v>
      </c>
    </row>
    <row r="361">
      <c r="A361" s="6">
        <f>IFERROR(__xludf.DUMMYFUNCTION("""COMPUTED_VALUE"""),45705.0)</f>
        <v>45705</v>
      </c>
      <c r="B361" s="7" t="str">
        <f>IFERROR(__xludf.DUMMYFUNCTION("""COMPUTED_VALUE"""),"82cff28e-8156-4ed2-bc80-8958836b80b2")</f>
        <v>82cff28e-8156-4ed2-bc80-8958836b80b2</v>
      </c>
      <c r="C361" s="7">
        <f>IFERROR(__xludf.DUMMYFUNCTION("""COMPUTED_VALUE"""),39.0)</f>
        <v>39</v>
      </c>
      <c r="D361" s="6">
        <f>IFERROR(__xludf.DUMMYFUNCTION("""COMPUTED_VALUE"""),45666.0)</f>
        <v>45666</v>
      </c>
      <c r="E361" s="7" t="str">
        <f>IFERROR(__xludf.DUMMYFUNCTION("""COMPUTED_VALUE"""),"FRANQUIA_D&amp;G_SP")</f>
        <v>FRANQUIA_D&amp;G_SP</v>
      </c>
      <c r="F361" s="7" t="str">
        <f>IFERROR(__xludf.DUMMYFUNCTION("""COMPUTED_VALUE"""),"BICYCLE")</f>
        <v>BICYCLE</v>
      </c>
      <c r="G361" s="7" t="str">
        <f>IFERROR(__xludf.DUMMYFUNCTION("""COMPUTED_VALUE"""),"SAO PAULO")</f>
        <v>SAO PAULO</v>
      </c>
    </row>
    <row r="362">
      <c r="A362" s="6">
        <f>IFERROR(__xludf.DUMMYFUNCTION("""COMPUTED_VALUE"""),45705.0)</f>
        <v>45705</v>
      </c>
      <c r="B362" s="7" t="str">
        <f>IFERROR(__xludf.DUMMYFUNCTION("""COMPUTED_VALUE"""),"bb3bfdbc-766a-46ec-b02a-5982c7879623")</f>
        <v>bb3bfdbc-766a-46ec-b02a-5982c7879623</v>
      </c>
      <c r="C362" s="7">
        <f>IFERROR(__xludf.DUMMYFUNCTION("""COMPUTED_VALUE"""),0.0)</f>
        <v>0</v>
      </c>
      <c r="D362" s="6">
        <f>IFERROR(__xludf.DUMMYFUNCTION("""COMPUTED_VALUE"""),45705.0)</f>
        <v>45705</v>
      </c>
      <c r="E362" s="7" t="str">
        <f>IFERROR(__xludf.DUMMYFUNCTION("""COMPUTED_VALUE"""),"FRANQUIA_D&amp;G_SP")</f>
        <v>FRANQUIA_D&amp;G_SP</v>
      </c>
      <c r="F362" s="7" t="str">
        <f>IFERROR(__xludf.DUMMYFUNCTION("""COMPUTED_VALUE"""),"BICYCLE")</f>
        <v>BICYCLE</v>
      </c>
      <c r="G362" s="7" t="str">
        <f>IFERROR(__xludf.DUMMYFUNCTION("""COMPUTED_VALUE"""),"SAO PAULO")</f>
        <v>SAO PAULO</v>
      </c>
    </row>
    <row r="363">
      <c r="A363" s="6">
        <f>IFERROR(__xludf.DUMMYFUNCTION("""COMPUTED_VALUE"""),45705.0)</f>
        <v>45705</v>
      </c>
      <c r="B363" s="7" t="str">
        <f>IFERROR(__xludf.DUMMYFUNCTION("""COMPUTED_VALUE"""),"d1448da3-216c-49a8-a1d4-feba5789c40a")</f>
        <v>d1448da3-216c-49a8-a1d4-feba5789c40a</v>
      </c>
      <c r="C363" s="7">
        <f>IFERROR(__xludf.DUMMYFUNCTION("""COMPUTED_VALUE"""),0.0)</f>
        <v>0</v>
      </c>
      <c r="D363" s="6">
        <f>IFERROR(__xludf.DUMMYFUNCTION("""COMPUTED_VALUE"""),45705.0)</f>
        <v>45705</v>
      </c>
      <c r="E363" s="7" t="str">
        <f>IFERROR(__xludf.DUMMYFUNCTION("""COMPUTED_VALUE"""),"FRANQUIA_D&amp;G_SP")</f>
        <v>FRANQUIA_D&amp;G_SP</v>
      </c>
      <c r="F363" s="7" t="str">
        <f>IFERROR(__xludf.DUMMYFUNCTION("""COMPUTED_VALUE"""),"MOTORCYCLE")</f>
        <v>MOTORCYCLE</v>
      </c>
      <c r="G363" s="7" t="str">
        <f>IFERROR(__xludf.DUMMYFUNCTION("""COMPUTED_VALUE"""),"SAO PAULO")</f>
        <v>SAO PAULO</v>
      </c>
    </row>
    <row r="364">
      <c r="A364" s="6">
        <f>IFERROR(__xludf.DUMMYFUNCTION("""COMPUTED_VALUE"""),45705.0)</f>
        <v>45705</v>
      </c>
      <c r="B364" s="7" t="str">
        <f>IFERROR(__xludf.DUMMYFUNCTION("""COMPUTED_VALUE"""),"2b9040dd-2254-4a83-8982-f5b40698e5bc")</f>
        <v>2b9040dd-2254-4a83-8982-f5b40698e5bc</v>
      </c>
      <c r="C364" s="7">
        <f>IFERROR(__xludf.DUMMYFUNCTION("""COMPUTED_VALUE"""),2.0)</f>
        <v>2</v>
      </c>
      <c r="D364" s="6">
        <f>IFERROR(__xludf.DUMMYFUNCTION("""COMPUTED_VALUE"""),45703.0)</f>
        <v>45703</v>
      </c>
      <c r="E364" s="7" t="str">
        <f>IFERROR(__xludf.DUMMYFUNCTION("""COMPUTED_VALUE"""),"FRANQUIA_D&amp;G_SP")</f>
        <v>FRANQUIA_D&amp;G_SP</v>
      </c>
      <c r="F364" s="7" t="str">
        <f>IFERROR(__xludf.DUMMYFUNCTION("""COMPUTED_VALUE"""),"BICYCLE")</f>
        <v>BICYCLE</v>
      </c>
      <c r="G364" s="7" t="str">
        <f>IFERROR(__xludf.DUMMYFUNCTION("""COMPUTED_VALUE"""),"SAO PAULO")</f>
        <v>SAO PAULO</v>
      </c>
    </row>
    <row r="365">
      <c r="A365" s="6">
        <f>IFERROR(__xludf.DUMMYFUNCTION("""COMPUTED_VALUE"""),45705.0)</f>
        <v>45705</v>
      </c>
      <c r="B365" s="7" t="str">
        <f>IFERROR(__xludf.DUMMYFUNCTION("""COMPUTED_VALUE"""),"bffc3281-0ca6-44ac-8c9e-de11cfd95c1e")</f>
        <v>bffc3281-0ca6-44ac-8c9e-de11cfd95c1e</v>
      </c>
      <c r="C365" s="7">
        <f>IFERROR(__xludf.DUMMYFUNCTION("""COMPUTED_VALUE"""),67.0)</f>
        <v>67</v>
      </c>
      <c r="D365" s="6">
        <f>IFERROR(__xludf.DUMMYFUNCTION("""COMPUTED_VALUE"""),45638.0)</f>
        <v>45638</v>
      </c>
      <c r="E365" s="7" t="str">
        <f>IFERROR(__xludf.DUMMYFUNCTION("""COMPUTED_VALUE"""),"FRANQUIA_D&amp;G_SP")</f>
        <v>FRANQUIA_D&amp;G_SP</v>
      </c>
      <c r="F365" s="7" t="str">
        <f>IFERROR(__xludf.DUMMYFUNCTION("""COMPUTED_VALUE"""),"BICYCLE")</f>
        <v>BICYCLE</v>
      </c>
      <c r="G365" s="7" t="str">
        <f>IFERROR(__xludf.DUMMYFUNCTION("""COMPUTED_VALUE"""),"SAO PAULO")</f>
        <v>SAO PAULO</v>
      </c>
    </row>
    <row r="366">
      <c r="A366" s="6">
        <f>IFERROR(__xludf.DUMMYFUNCTION("""COMPUTED_VALUE"""),45705.0)</f>
        <v>45705</v>
      </c>
      <c r="B366" s="7" t="str">
        <f>IFERROR(__xludf.DUMMYFUNCTION("""COMPUTED_VALUE"""),"4af82930-5efd-43df-b2e2-a623acbff54f")</f>
        <v>4af82930-5efd-43df-b2e2-a623acbff54f</v>
      </c>
      <c r="C366" s="7">
        <f>IFERROR(__xludf.DUMMYFUNCTION("""COMPUTED_VALUE"""),1.0)</f>
        <v>1</v>
      </c>
      <c r="D366" s="6">
        <f>IFERROR(__xludf.DUMMYFUNCTION("""COMPUTED_VALUE"""),45704.0)</f>
        <v>45704</v>
      </c>
      <c r="E366" s="7" t="str">
        <f>IFERROR(__xludf.DUMMYFUNCTION("""COMPUTED_VALUE"""),"FRANQUIA_D&amp;G_SP")</f>
        <v>FRANQUIA_D&amp;G_SP</v>
      </c>
      <c r="F366" s="7" t="str">
        <f>IFERROR(__xludf.DUMMYFUNCTION("""COMPUTED_VALUE"""),"MOTORCYCLE")</f>
        <v>MOTORCYCLE</v>
      </c>
      <c r="G366" s="7" t="str">
        <f>IFERROR(__xludf.DUMMYFUNCTION("""COMPUTED_VALUE"""),"SAO PAULO")</f>
        <v>SAO PAULO</v>
      </c>
    </row>
    <row r="367">
      <c r="A367" s="6">
        <f>IFERROR(__xludf.DUMMYFUNCTION("""COMPUTED_VALUE"""),45705.0)</f>
        <v>45705</v>
      </c>
      <c r="B367" s="7" t="str">
        <f>IFERROR(__xludf.DUMMYFUNCTION("""COMPUTED_VALUE"""),"bedcbc1c-778a-4cf4-9363-52b274d6529e")</f>
        <v>bedcbc1c-778a-4cf4-9363-52b274d6529e</v>
      </c>
      <c r="C367" s="7">
        <f>IFERROR(__xludf.DUMMYFUNCTION("""COMPUTED_VALUE"""),2.0)</f>
        <v>2</v>
      </c>
      <c r="D367" s="6">
        <f>IFERROR(__xludf.DUMMYFUNCTION("""COMPUTED_VALUE"""),45703.0)</f>
        <v>45703</v>
      </c>
      <c r="E367" s="7" t="str">
        <f>IFERROR(__xludf.DUMMYFUNCTION("""COMPUTED_VALUE"""),"FRANQUIA_D&amp;G_SP")</f>
        <v>FRANQUIA_D&amp;G_SP</v>
      </c>
      <c r="F367" s="7" t="str">
        <f>IFERROR(__xludf.DUMMYFUNCTION("""COMPUTED_VALUE"""),"BICYCLE")</f>
        <v>BICYCLE</v>
      </c>
      <c r="G367" s="7" t="str">
        <f>IFERROR(__xludf.DUMMYFUNCTION("""COMPUTED_VALUE"""),"SAO PAULO")</f>
        <v>SAO PAULO</v>
      </c>
    </row>
    <row r="368">
      <c r="A368" s="6">
        <f>IFERROR(__xludf.DUMMYFUNCTION("""COMPUTED_VALUE"""),45705.0)</f>
        <v>45705</v>
      </c>
      <c r="B368" s="7" t="str">
        <f>IFERROR(__xludf.DUMMYFUNCTION("""COMPUTED_VALUE"""),"2ddf6b86-6c35-43a4-b75a-51d81c1623f7")</f>
        <v>2ddf6b86-6c35-43a4-b75a-51d81c1623f7</v>
      </c>
      <c r="C368" s="7">
        <f>IFERROR(__xludf.DUMMYFUNCTION("""COMPUTED_VALUE"""),5.0)</f>
        <v>5</v>
      </c>
      <c r="D368" s="6">
        <f>IFERROR(__xludf.DUMMYFUNCTION("""COMPUTED_VALUE"""),45700.0)</f>
        <v>45700</v>
      </c>
      <c r="E368" s="7" t="str">
        <f>IFERROR(__xludf.DUMMYFUNCTION("""COMPUTED_VALUE"""),"FRANQUIA_D&amp;G_SP")</f>
        <v>FRANQUIA_D&amp;G_SP</v>
      </c>
      <c r="F368" s="7" t="str">
        <f>IFERROR(__xludf.DUMMYFUNCTION("""COMPUTED_VALUE"""),"MOTORCYCLE")</f>
        <v>MOTORCYCLE</v>
      </c>
      <c r="G368" s="7" t="str">
        <f>IFERROR(__xludf.DUMMYFUNCTION("""COMPUTED_VALUE"""),"SAO PAULO")</f>
        <v>SAO PAULO</v>
      </c>
    </row>
    <row r="369">
      <c r="A369" s="6">
        <f>IFERROR(__xludf.DUMMYFUNCTION("""COMPUTED_VALUE"""),45705.0)</f>
        <v>45705</v>
      </c>
      <c r="B369" s="7" t="str">
        <f>IFERROR(__xludf.DUMMYFUNCTION("""COMPUTED_VALUE"""),"16523b51-a5e8-4e89-8799-996e3e29a3d0")</f>
        <v>16523b51-a5e8-4e89-8799-996e3e29a3d0</v>
      </c>
      <c r="C369" s="7">
        <f>IFERROR(__xludf.DUMMYFUNCTION("""COMPUTED_VALUE"""),250.0)</f>
        <v>250</v>
      </c>
      <c r="D369" s="6">
        <f>IFERROR(__xludf.DUMMYFUNCTION("""COMPUTED_VALUE"""),45455.0)</f>
        <v>45455</v>
      </c>
      <c r="E369" s="7" t="str">
        <f>IFERROR(__xludf.DUMMYFUNCTION("""COMPUTED_VALUE"""),"FRANQUIA_D&amp;G_SP")</f>
        <v>FRANQUIA_D&amp;G_SP</v>
      </c>
      <c r="F369" s="7" t="str">
        <f>IFERROR(__xludf.DUMMYFUNCTION("""COMPUTED_VALUE"""),"BICYCLE")</f>
        <v>BICYCLE</v>
      </c>
      <c r="G369" s="7" t="str">
        <f>IFERROR(__xludf.DUMMYFUNCTION("""COMPUTED_VALUE"""),"SAO PAULO")</f>
        <v>SAO PAULO</v>
      </c>
    </row>
    <row r="370">
      <c r="A370" s="6">
        <f>IFERROR(__xludf.DUMMYFUNCTION("""COMPUTED_VALUE"""),45705.0)</f>
        <v>45705</v>
      </c>
      <c r="B370" s="7" t="str">
        <f>IFERROR(__xludf.DUMMYFUNCTION("""COMPUTED_VALUE"""),"6e779148-0c99-4184-9be5-83110860facd")</f>
        <v>6e779148-0c99-4184-9be5-83110860facd</v>
      </c>
      <c r="C370" s="7">
        <f>IFERROR(__xludf.DUMMYFUNCTION("""COMPUTED_VALUE"""),0.0)</f>
        <v>0</v>
      </c>
      <c r="D370" s="6">
        <f>IFERROR(__xludf.DUMMYFUNCTION("""COMPUTED_VALUE"""),45705.0)</f>
        <v>45705</v>
      </c>
      <c r="E370" s="7" t="str">
        <f>IFERROR(__xludf.DUMMYFUNCTION("""COMPUTED_VALUE"""),"FRANQUIA_D&amp;G_SP")</f>
        <v>FRANQUIA_D&amp;G_SP</v>
      </c>
      <c r="F370" s="7" t="str">
        <f>IFERROR(__xludf.DUMMYFUNCTION("""COMPUTED_VALUE"""),"EBIKE")</f>
        <v>EBIKE</v>
      </c>
      <c r="G370" s="7" t="str">
        <f>IFERROR(__xludf.DUMMYFUNCTION("""COMPUTED_VALUE"""),"SAO PAULO")</f>
        <v>SAO PAULO</v>
      </c>
    </row>
    <row r="371">
      <c r="A371" s="6">
        <f>IFERROR(__xludf.DUMMYFUNCTION("""COMPUTED_VALUE"""),45705.0)</f>
        <v>45705</v>
      </c>
      <c r="B371" s="7" t="str">
        <f>IFERROR(__xludf.DUMMYFUNCTION("""COMPUTED_VALUE"""),"e78d1d64-c3c4-4c54-852f-7250993bafc6")</f>
        <v>e78d1d64-c3c4-4c54-852f-7250993bafc6</v>
      </c>
      <c r="C371" s="7">
        <f>IFERROR(__xludf.DUMMYFUNCTION("""COMPUTED_VALUE"""),3.0)</f>
        <v>3</v>
      </c>
      <c r="D371" s="6">
        <f>IFERROR(__xludf.DUMMYFUNCTION("""COMPUTED_VALUE"""),45702.0)</f>
        <v>45702</v>
      </c>
      <c r="E371" s="7" t="str">
        <f>IFERROR(__xludf.DUMMYFUNCTION("""COMPUTED_VALUE"""),"FRANQUIA_D&amp;G_SP")</f>
        <v>FRANQUIA_D&amp;G_SP</v>
      </c>
      <c r="F371" s="7" t="str">
        <f>IFERROR(__xludf.DUMMYFUNCTION("""COMPUTED_VALUE"""),"BICYCLE")</f>
        <v>BICYCLE</v>
      </c>
      <c r="G371" s="7" t="str">
        <f>IFERROR(__xludf.DUMMYFUNCTION("""COMPUTED_VALUE"""),"SAO PAULO")</f>
        <v>SAO PAULO</v>
      </c>
    </row>
    <row r="372">
      <c r="A372" s="6">
        <f>IFERROR(__xludf.DUMMYFUNCTION("""COMPUTED_VALUE"""),45705.0)</f>
        <v>45705</v>
      </c>
      <c r="B372" s="7" t="str">
        <f>IFERROR(__xludf.DUMMYFUNCTION("""COMPUTED_VALUE"""),"62a0ea78-0c85-410d-b563-8ff2d220ab57")</f>
        <v>62a0ea78-0c85-410d-b563-8ff2d220ab57</v>
      </c>
      <c r="C372" s="7">
        <f>IFERROR(__xludf.DUMMYFUNCTION("""COMPUTED_VALUE"""),2.0)</f>
        <v>2</v>
      </c>
      <c r="D372" s="6">
        <f>IFERROR(__xludf.DUMMYFUNCTION("""COMPUTED_VALUE"""),45703.0)</f>
        <v>45703</v>
      </c>
      <c r="E372" s="7" t="str">
        <f>IFERROR(__xludf.DUMMYFUNCTION("""COMPUTED_VALUE"""),"FRANQUIA_D&amp;G_SP")</f>
        <v>FRANQUIA_D&amp;G_SP</v>
      </c>
      <c r="F372" s="7" t="str">
        <f>IFERROR(__xludf.DUMMYFUNCTION("""COMPUTED_VALUE"""),"MOTORCYCLE")</f>
        <v>MOTORCYCLE</v>
      </c>
      <c r="G372" s="7" t="str">
        <f>IFERROR(__xludf.DUMMYFUNCTION("""COMPUTED_VALUE"""),"SAO PAULO")</f>
        <v>SAO PAULO</v>
      </c>
    </row>
    <row r="373">
      <c r="A373" s="6">
        <f>IFERROR(__xludf.DUMMYFUNCTION("""COMPUTED_VALUE"""),45705.0)</f>
        <v>45705</v>
      </c>
      <c r="B373" s="7" t="str">
        <f>IFERROR(__xludf.DUMMYFUNCTION("""COMPUTED_VALUE"""),"863a3989-840a-4748-b9cc-0642269de97d")</f>
        <v>863a3989-840a-4748-b9cc-0642269de97d</v>
      </c>
      <c r="C373" s="7">
        <f>IFERROR(__xludf.DUMMYFUNCTION("""COMPUTED_VALUE"""),0.0)</f>
        <v>0</v>
      </c>
      <c r="D373" s="6">
        <f>IFERROR(__xludf.DUMMYFUNCTION("""COMPUTED_VALUE"""),45705.0)</f>
        <v>45705</v>
      </c>
      <c r="E373" s="7" t="str">
        <f>IFERROR(__xludf.DUMMYFUNCTION("""COMPUTED_VALUE"""),"FRANQUIA_D&amp;G_SP")</f>
        <v>FRANQUIA_D&amp;G_SP</v>
      </c>
      <c r="F373" s="7" t="str">
        <f>IFERROR(__xludf.DUMMYFUNCTION("""COMPUTED_VALUE"""),"MOTORCYCLE")</f>
        <v>MOTORCYCLE</v>
      </c>
      <c r="G373" s="7" t="str">
        <f>IFERROR(__xludf.DUMMYFUNCTION("""COMPUTED_VALUE"""),"SAO PAULO")</f>
        <v>SAO PAULO</v>
      </c>
    </row>
    <row r="374">
      <c r="A374" s="6">
        <f>IFERROR(__xludf.DUMMYFUNCTION("""COMPUTED_VALUE"""),45705.0)</f>
        <v>45705</v>
      </c>
      <c r="B374" s="7" t="str">
        <f>IFERROR(__xludf.DUMMYFUNCTION("""COMPUTED_VALUE"""),"f46a4a10-6d5e-4f92-9fcf-3698d25def3d")</f>
        <v>f46a4a10-6d5e-4f92-9fcf-3698d25def3d</v>
      </c>
      <c r="C374" s="7">
        <f>IFERROR(__xludf.DUMMYFUNCTION("""COMPUTED_VALUE"""),69.0)</f>
        <v>69</v>
      </c>
      <c r="D374" s="6">
        <f>IFERROR(__xludf.DUMMYFUNCTION("""COMPUTED_VALUE"""),45636.0)</f>
        <v>45636</v>
      </c>
      <c r="E374" s="7" t="str">
        <f>IFERROR(__xludf.DUMMYFUNCTION("""COMPUTED_VALUE"""),"FRANQUIA_D&amp;G_SP")</f>
        <v>FRANQUIA_D&amp;G_SP</v>
      </c>
      <c r="F374" s="7" t="str">
        <f>IFERROR(__xludf.DUMMYFUNCTION("""COMPUTED_VALUE"""),"BICYCLE")</f>
        <v>BICYCLE</v>
      </c>
      <c r="G374" s="7" t="str">
        <f>IFERROR(__xludf.DUMMYFUNCTION("""COMPUTED_VALUE"""),"SAO PAULO")</f>
        <v>SAO PAULO</v>
      </c>
    </row>
    <row r="375">
      <c r="A375" s="6">
        <f>IFERROR(__xludf.DUMMYFUNCTION("""COMPUTED_VALUE"""),45705.0)</f>
        <v>45705</v>
      </c>
      <c r="B375" s="7" t="str">
        <f>IFERROR(__xludf.DUMMYFUNCTION("""COMPUTED_VALUE"""),"888ee657-2966-430c-a26f-0845550ebee1")</f>
        <v>888ee657-2966-430c-a26f-0845550ebee1</v>
      </c>
      <c r="C375" s="7">
        <f>IFERROR(__xludf.DUMMYFUNCTION("""COMPUTED_VALUE"""),2.0)</f>
        <v>2</v>
      </c>
      <c r="D375" s="6">
        <f>IFERROR(__xludf.DUMMYFUNCTION("""COMPUTED_VALUE"""),45703.0)</f>
        <v>45703</v>
      </c>
      <c r="E375" s="7" t="str">
        <f>IFERROR(__xludf.DUMMYFUNCTION("""COMPUTED_VALUE"""),"FRANQUIA_D&amp;G_SP")</f>
        <v>FRANQUIA_D&amp;G_SP</v>
      </c>
      <c r="F375" s="7" t="str">
        <f>IFERROR(__xludf.DUMMYFUNCTION("""COMPUTED_VALUE"""),"MOTORCYCLE")</f>
        <v>MOTORCYCLE</v>
      </c>
      <c r="G375" s="7" t="str">
        <f>IFERROR(__xludf.DUMMYFUNCTION("""COMPUTED_VALUE"""),"SAO PAULO")</f>
        <v>SAO PAULO</v>
      </c>
    </row>
    <row r="376">
      <c r="A376" s="6">
        <f>IFERROR(__xludf.DUMMYFUNCTION("""COMPUTED_VALUE"""),45705.0)</f>
        <v>45705</v>
      </c>
      <c r="B376" s="7" t="str">
        <f>IFERROR(__xludf.DUMMYFUNCTION("""COMPUTED_VALUE"""),"5c92c375-a519-4fe6-a770-1f272dc390cc")</f>
        <v>5c92c375-a519-4fe6-a770-1f272dc390cc</v>
      </c>
      <c r="C376" s="7">
        <f>IFERROR(__xludf.DUMMYFUNCTION("""COMPUTED_VALUE"""),17.0)</f>
        <v>17</v>
      </c>
      <c r="D376" s="6">
        <f>IFERROR(__xludf.DUMMYFUNCTION("""COMPUTED_VALUE"""),45688.0)</f>
        <v>45688</v>
      </c>
      <c r="E376" s="7" t="str">
        <f>IFERROR(__xludf.DUMMYFUNCTION("""COMPUTED_VALUE"""),"FRANQUIA_D&amp;G_SP")</f>
        <v>FRANQUIA_D&amp;G_SP</v>
      </c>
      <c r="F376" s="7" t="str">
        <f>IFERROR(__xludf.DUMMYFUNCTION("""COMPUTED_VALUE"""),"BICYCLE")</f>
        <v>BICYCLE</v>
      </c>
      <c r="G376" s="7" t="str">
        <f>IFERROR(__xludf.DUMMYFUNCTION("""COMPUTED_VALUE"""),"SAO PAULO")</f>
        <v>SAO PAULO</v>
      </c>
    </row>
    <row r="377">
      <c r="A377" s="6">
        <f>IFERROR(__xludf.DUMMYFUNCTION("""COMPUTED_VALUE"""),45705.0)</f>
        <v>45705</v>
      </c>
      <c r="B377" s="7" t="str">
        <f>IFERROR(__xludf.DUMMYFUNCTION("""COMPUTED_VALUE"""),"1eb79b33-6949-47b8-8752-e13873be716e")</f>
        <v>1eb79b33-6949-47b8-8752-e13873be716e</v>
      </c>
      <c r="C377" s="7">
        <f>IFERROR(__xludf.DUMMYFUNCTION("""COMPUTED_VALUE"""),0.0)</f>
        <v>0</v>
      </c>
      <c r="D377" s="6">
        <f>IFERROR(__xludf.DUMMYFUNCTION("""COMPUTED_VALUE"""),0.0)</f>
        <v>0</v>
      </c>
      <c r="E377" s="7" t="str">
        <f>IFERROR(__xludf.DUMMYFUNCTION("""COMPUTED_VALUE"""),"FRANQUIA_D&amp;G_SP")</f>
        <v>FRANQUIA_D&amp;G_SP</v>
      </c>
      <c r="F377" s="7" t="str">
        <f>IFERROR(__xludf.DUMMYFUNCTION("""COMPUTED_VALUE"""),"MOTORCYCLE")</f>
        <v>MOTORCYCLE</v>
      </c>
      <c r="G377" s="7" t="str">
        <f>IFERROR(__xludf.DUMMYFUNCTION("""COMPUTED_VALUE"""),"0")</f>
        <v>0</v>
      </c>
    </row>
    <row r="378">
      <c r="A378" s="6">
        <f>IFERROR(__xludf.DUMMYFUNCTION("""COMPUTED_VALUE"""),45705.0)</f>
        <v>45705</v>
      </c>
      <c r="B378" s="7" t="str">
        <f>IFERROR(__xludf.DUMMYFUNCTION("""COMPUTED_VALUE"""),"2dc735ad-cb8e-4449-af7a-5e4de729d12a")</f>
        <v>2dc735ad-cb8e-4449-af7a-5e4de729d12a</v>
      </c>
      <c r="C378" s="7">
        <f>IFERROR(__xludf.DUMMYFUNCTION("""COMPUTED_VALUE"""),1.0)</f>
        <v>1</v>
      </c>
      <c r="D378" s="6">
        <f>IFERROR(__xludf.DUMMYFUNCTION("""COMPUTED_VALUE"""),45704.0)</f>
        <v>45704</v>
      </c>
      <c r="E378" s="7" t="str">
        <f>IFERROR(__xludf.DUMMYFUNCTION("""COMPUTED_VALUE"""),"FRANQUIA_D&amp;G_SP")</f>
        <v>FRANQUIA_D&amp;G_SP</v>
      </c>
      <c r="F378" s="7" t="str">
        <f>IFERROR(__xludf.DUMMYFUNCTION("""COMPUTED_VALUE"""),"MOTORCYCLE")</f>
        <v>MOTORCYCLE</v>
      </c>
      <c r="G378" s="7" t="str">
        <f>IFERROR(__xludf.DUMMYFUNCTION("""COMPUTED_VALUE"""),"SAO PAULO")</f>
        <v>SAO PAULO</v>
      </c>
    </row>
    <row r="379">
      <c r="A379" s="6">
        <f>IFERROR(__xludf.DUMMYFUNCTION("""COMPUTED_VALUE"""),45705.0)</f>
        <v>45705</v>
      </c>
      <c r="B379" s="7" t="str">
        <f>IFERROR(__xludf.DUMMYFUNCTION("""COMPUTED_VALUE"""),"b1278ab7-38ae-4e7a-be7f-29525073bcd5")</f>
        <v>b1278ab7-38ae-4e7a-be7f-29525073bcd5</v>
      </c>
      <c r="C379" s="7">
        <f>IFERROR(__xludf.DUMMYFUNCTION("""COMPUTED_VALUE"""),2.0)</f>
        <v>2</v>
      </c>
      <c r="D379" s="6">
        <f>IFERROR(__xludf.DUMMYFUNCTION("""COMPUTED_VALUE"""),45703.0)</f>
        <v>45703</v>
      </c>
      <c r="E379" s="7" t="str">
        <f>IFERROR(__xludf.DUMMYFUNCTION("""COMPUTED_VALUE"""),"FRANQUIA_D&amp;G_SP")</f>
        <v>FRANQUIA_D&amp;G_SP</v>
      </c>
      <c r="F379" s="7" t="str">
        <f>IFERROR(__xludf.DUMMYFUNCTION("""COMPUTED_VALUE"""),"MOTORCYCLE")</f>
        <v>MOTORCYCLE</v>
      </c>
      <c r="G379" s="7" t="str">
        <f>IFERROR(__xludf.DUMMYFUNCTION("""COMPUTED_VALUE"""),"SAO PAULO")</f>
        <v>SAO PAULO</v>
      </c>
    </row>
    <row r="380">
      <c r="A380" s="6">
        <f>IFERROR(__xludf.DUMMYFUNCTION("""COMPUTED_VALUE"""),45705.0)</f>
        <v>45705</v>
      </c>
      <c r="B380" s="7" t="str">
        <f>IFERROR(__xludf.DUMMYFUNCTION("""COMPUTED_VALUE"""),"b58a28f4-6481-4b32-8a56-efa6e9f18cdf")</f>
        <v>b58a28f4-6481-4b32-8a56-efa6e9f18cdf</v>
      </c>
      <c r="C380" s="7">
        <f>IFERROR(__xludf.DUMMYFUNCTION("""COMPUTED_VALUE"""),0.0)</f>
        <v>0</v>
      </c>
      <c r="D380" s="6">
        <f>IFERROR(__xludf.DUMMYFUNCTION("""COMPUTED_VALUE"""),45705.0)</f>
        <v>45705</v>
      </c>
      <c r="E380" s="7" t="str">
        <f>IFERROR(__xludf.DUMMYFUNCTION("""COMPUTED_VALUE"""),"FRANQUIA_D&amp;G_SP")</f>
        <v>FRANQUIA_D&amp;G_SP</v>
      </c>
      <c r="F380" s="7" t="str">
        <f>IFERROR(__xludf.DUMMYFUNCTION("""COMPUTED_VALUE"""),"MOTORCYCLE")</f>
        <v>MOTORCYCLE</v>
      </c>
      <c r="G380" s="7" t="str">
        <f>IFERROR(__xludf.DUMMYFUNCTION("""COMPUTED_VALUE"""),"SAO PAULO")</f>
        <v>SAO PAULO</v>
      </c>
    </row>
    <row r="381">
      <c r="A381" s="6">
        <f>IFERROR(__xludf.DUMMYFUNCTION("""COMPUTED_VALUE"""),45705.0)</f>
        <v>45705</v>
      </c>
      <c r="B381" s="7" t="str">
        <f>IFERROR(__xludf.DUMMYFUNCTION("""COMPUTED_VALUE"""),"62b5ec03-bcaf-4fa7-8010-a5e521dea814")</f>
        <v>62b5ec03-bcaf-4fa7-8010-a5e521dea814</v>
      </c>
      <c r="C381" s="7">
        <f>IFERROR(__xludf.DUMMYFUNCTION("""COMPUTED_VALUE"""),14.0)</f>
        <v>14</v>
      </c>
      <c r="D381" s="6">
        <f>IFERROR(__xludf.DUMMYFUNCTION("""COMPUTED_VALUE"""),45691.0)</f>
        <v>45691</v>
      </c>
      <c r="E381" s="7" t="str">
        <f>IFERROR(__xludf.DUMMYFUNCTION("""COMPUTED_VALUE"""),"FRANQUIA_D&amp;G_SP")</f>
        <v>FRANQUIA_D&amp;G_SP</v>
      </c>
      <c r="F381" s="7" t="str">
        <f>IFERROR(__xludf.DUMMYFUNCTION("""COMPUTED_VALUE"""),"BICYCLE")</f>
        <v>BICYCLE</v>
      </c>
      <c r="G381" s="7" t="str">
        <f>IFERROR(__xludf.DUMMYFUNCTION("""COMPUTED_VALUE"""),"GUARULHOS")</f>
        <v>GUARULHOS</v>
      </c>
    </row>
    <row r="382">
      <c r="A382" s="6">
        <f>IFERROR(__xludf.DUMMYFUNCTION("""COMPUTED_VALUE"""),45705.0)</f>
        <v>45705</v>
      </c>
      <c r="B382" s="7" t="str">
        <f>IFERROR(__xludf.DUMMYFUNCTION("""COMPUTED_VALUE"""),"034a48b4-49da-4732-86fd-a67d8947dd85")</f>
        <v>034a48b4-49da-4732-86fd-a67d8947dd85</v>
      </c>
      <c r="C382" s="7">
        <f>IFERROR(__xludf.DUMMYFUNCTION("""COMPUTED_VALUE"""),17.0)</f>
        <v>17</v>
      </c>
      <c r="D382" s="6">
        <f>IFERROR(__xludf.DUMMYFUNCTION("""COMPUTED_VALUE"""),45688.0)</f>
        <v>45688</v>
      </c>
      <c r="E382" s="7" t="str">
        <f>IFERROR(__xludf.DUMMYFUNCTION("""COMPUTED_VALUE"""),"FRANQUIA_D&amp;G_SP")</f>
        <v>FRANQUIA_D&amp;G_SP</v>
      </c>
      <c r="F382" s="7" t="str">
        <f>IFERROR(__xludf.DUMMYFUNCTION("""COMPUTED_VALUE"""),"MOTORCYCLE")</f>
        <v>MOTORCYCLE</v>
      </c>
      <c r="G382" s="7" t="str">
        <f>IFERROR(__xludf.DUMMYFUNCTION("""COMPUTED_VALUE"""),"SAO PAULO")</f>
        <v>SAO PAULO</v>
      </c>
    </row>
    <row r="383">
      <c r="A383" s="6">
        <f>IFERROR(__xludf.DUMMYFUNCTION("""COMPUTED_VALUE"""),45705.0)</f>
        <v>45705</v>
      </c>
      <c r="B383" s="7" t="str">
        <f>IFERROR(__xludf.DUMMYFUNCTION("""COMPUTED_VALUE"""),"cd2b27e4-d354-4e23-a449-bbb1847bb1b7")</f>
        <v>cd2b27e4-d354-4e23-a449-bbb1847bb1b7</v>
      </c>
      <c r="C383" s="7">
        <f>IFERROR(__xludf.DUMMYFUNCTION("""COMPUTED_VALUE"""),4.0)</f>
        <v>4</v>
      </c>
      <c r="D383" s="6">
        <f>IFERROR(__xludf.DUMMYFUNCTION("""COMPUTED_VALUE"""),45701.0)</f>
        <v>45701</v>
      </c>
      <c r="E383" s="7" t="str">
        <f>IFERROR(__xludf.DUMMYFUNCTION("""COMPUTED_VALUE"""),"FRANQUIA_D&amp;G_SP")</f>
        <v>FRANQUIA_D&amp;G_SP</v>
      </c>
      <c r="F383" s="7" t="str">
        <f>IFERROR(__xludf.DUMMYFUNCTION("""COMPUTED_VALUE"""),"MOTORCYCLE")</f>
        <v>MOTORCYCLE</v>
      </c>
      <c r="G383" s="7" t="str">
        <f>IFERROR(__xludf.DUMMYFUNCTION("""COMPUTED_VALUE"""),"SAO PAULO")</f>
        <v>SAO PAULO</v>
      </c>
    </row>
    <row r="384">
      <c r="A384" s="6">
        <f>IFERROR(__xludf.DUMMYFUNCTION("""COMPUTED_VALUE"""),45705.0)</f>
        <v>45705</v>
      </c>
      <c r="B384" s="7" t="str">
        <f>IFERROR(__xludf.DUMMYFUNCTION("""COMPUTED_VALUE"""),"58e07f07-f404-4740-aff9-73e26256a31f")</f>
        <v>58e07f07-f404-4740-aff9-73e26256a31f</v>
      </c>
      <c r="C384" s="7">
        <f>IFERROR(__xludf.DUMMYFUNCTION("""COMPUTED_VALUE"""),3.0)</f>
        <v>3</v>
      </c>
      <c r="D384" s="6">
        <f>IFERROR(__xludf.DUMMYFUNCTION("""COMPUTED_VALUE"""),45702.0)</f>
        <v>45702</v>
      </c>
      <c r="E384" s="7" t="str">
        <f>IFERROR(__xludf.DUMMYFUNCTION("""COMPUTED_VALUE"""),"FRANQUIA_D&amp;G_SP")</f>
        <v>FRANQUIA_D&amp;G_SP</v>
      </c>
      <c r="F384" s="7" t="str">
        <f>IFERROR(__xludf.DUMMYFUNCTION("""COMPUTED_VALUE"""),"MOTORCYCLE")</f>
        <v>MOTORCYCLE</v>
      </c>
      <c r="G384" s="7" t="str">
        <f>IFERROR(__xludf.DUMMYFUNCTION("""COMPUTED_VALUE"""),"SAO PAULO")</f>
        <v>SAO PAULO</v>
      </c>
    </row>
    <row r="385">
      <c r="A385" s="6">
        <f>IFERROR(__xludf.DUMMYFUNCTION("""COMPUTED_VALUE"""),45705.0)</f>
        <v>45705</v>
      </c>
      <c r="B385" s="7" t="str">
        <f>IFERROR(__xludf.DUMMYFUNCTION("""COMPUTED_VALUE"""),"08078c95-854a-436c-858e-39bf0289b715")</f>
        <v>08078c95-854a-436c-858e-39bf0289b715</v>
      </c>
      <c r="C385" s="7">
        <f>IFERROR(__xludf.DUMMYFUNCTION("""COMPUTED_VALUE"""),6.0)</f>
        <v>6</v>
      </c>
      <c r="D385" s="6">
        <f>IFERROR(__xludf.DUMMYFUNCTION("""COMPUTED_VALUE"""),45699.0)</f>
        <v>45699</v>
      </c>
      <c r="E385" s="7" t="str">
        <f>IFERROR(__xludf.DUMMYFUNCTION("""COMPUTED_VALUE"""),"FRANQUIA_D&amp;G_SP")</f>
        <v>FRANQUIA_D&amp;G_SP</v>
      </c>
      <c r="F385" s="7" t="str">
        <f>IFERROR(__xludf.DUMMYFUNCTION("""COMPUTED_VALUE"""),"MOTORCYCLE")</f>
        <v>MOTORCYCLE</v>
      </c>
      <c r="G385" s="7" t="str">
        <f>IFERROR(__xludf.DUMMYFUNCTION("""COMPUTED_VALUE"""),"SAO PAULO")</f>
        <v>SAO PAULO</v>
      </c>
    </row>
    <row r="386">
      <c r="A386" s="6">
        <f>IFERROR(__xludf.DUMMYFUNCTION("""COMPUTED_VALUE"""),45705.0)</f>
        <v>45705</v>
      </c>
      <c r="B386" s="7" t="str">
        <f>IFERROR(__xludf.DUMMYFUNCTION("""COMPUTED_VALUE"""),"9526f877-60c5-46c7-aaf3-ab2dd1767b08")</f>
        <v>9526f877-60c5-46c7-aaf3-ab2dd1767b08</v>
      </c>
      <c r="C386" s="7">
        <f>IFERROR(__xludf.DUMMYFUNCTION("""COMPUTED_VALUE"""),0.0)</f>
        <v>0</v>
      </c>
      <c r="D386" s="6">
        <f>IFERROR(__xludf.DUMMYFUNCTION("""COMPUTED_VALUE"""),45705.0)</f>
        <v>45705</v>
      </c>
      <c r="E386" s="7" t="str">
        <f>IFERROR(__xludf.DUMMYFUNCTION("""COMPUTED_VALUE"""),"FRANQUIA_D&amp;G_SP")</f>
        <v>FRANQUIA_D&amp;G_SP</v>
      </c>
      <c r="F386" s="7" t="str">
        <f>IFERROR(__xludf.DUMMYFUNCTION("""COMPUTED_VALUE"""),"BICYCLE")</f>
        <v>BICYCLE</v>
      </c>
      <c r="G386" s="7" t="str">
        <f>IFERROR(__xludf.DUMMYFUNCTION("""COMPUTED_VALUE"""),"SAO PAULO")</f>
        <v>SAO PAULO</v>
      </c>
    </row>
    <row r="387">
      <c r="A387" s="6">
        <f>IFERROR(__xludf.DUMMYFUNCTION("""COMPUTED_VALUE"""),45705.0)</f>
        <v>45705</v>
      </c>
      <c r="B387" s="7" t="str">
        <f>IFERROR(__xludf.DUMMYFUNCTION("""COMPUTED_VALUE"""),"5ee0de9e-74bb-4547-9b8c-4a249ac4100f")</f>
        <v>5ee0de9e-74bb-4547-9b8c-4a249ac4100f</v>
      </c>
      <c r="C387" s="7">
        <f>IFERROR(__xludf.DUMMYFUNCTION("""COMPUTED_VALUE"""),14.0)</f>
        <v>14</v>
      </c>
      <c r="D387" s="6">
        <f>IFERROR(__xludf.DUMMYFUNCTION("""COMPUTED_VALUE"""),45691.0)</f>
        <v>45691</v>
      </c>
      <c r="E387" s="7" t="str">
        <f>IFERROR(__xludf.DUMMYFUNCTION("""COMPUTED_VALUE"""),"FRANQUIA_D&amp;G_SP")</f>
        <v>FRANQUIA_D&amp;G_SP</v>
      </c>
      <c r="F387" s="7" t="str">
        <f>IFERROR(__xludf.DUMMYFUNCTION("""COMPUTED_VALUE"""),"MOTORCYCLE")</f>
        <v>MOTORCYCLE</v>
      </c>
      <c r="G387" s="7" t="str">
        <f>IFERROR(__xludf.DUMMYFUNCTION("""COMPUTED_VALUE"""),"SAO PAULO")</f>
        <v>SAO PAULO</v>
      </c>
    </row>
    <row r="388">
      <c r="A388" s="6">
        <f>IFERROR(__xludf.DUMMYFUNCTION("""COMPUTED_VALUE"""),45705.0)</f>
        <v>45705</v>
      </c>
      <c r="B388" s="7" t="str">
        <f>IFERROR(__xludf.DUMMYFUNCTION("""COMPUTED_VALUE"""),"971c75cd-2e0e-406b-ae6e-adb88f0d451b")</f>
        <v>971c75cd-2e0e-406b-ae6e-adb88f0d451b</v>
      </c>
      <c r="C388" s="7">
        <f>IFERROR(__xludf.DUMMYFUNCTION("""COMPUTED_VALUE"""),65.0)</f>
        <v>65</v>
      </c>
      <c r="D388" s="6">
        <f>IFERROR(__xludf.DUMMYFUNCTION("""COMPUTED_VALUE"""),45640.0)</f>
        <v>45640</v>
      </c>
      <c r="E388" s="7" t="str">
        <f>IFERROR(__xludf.DUMMYFUNCTION("""COMPUTED_VALUE"""),"FRANQUIA_D&amp;G_SP")</f>
        <v>FRANQUIA_D&amp;G_SP</v>
      </c>
      <c r="F388" s="7" t="str">
        <f>IFERROR(__xludf.DUMMYFUNCTION("""COMPUTED_VALUE"""),"BICYCLE")</f>
        <v>BICYCLE</v>
      </c>
      <c r="G388" s="7" t="str">
        <f>IFERROR(__xludf.DUMMYFUNCTION("""COMPUTED_VALUE"""),"SAO PAULO")</f>
        <v>SAO PAULO</v>
      </c>
    </row>
    <row r="389">
      <c r="A389" s="6">
        <f>IFERROR(__xludf.DUMMYFUNCTION("""COMPUTED_VALUE"""),45705.0)</f>
        <v>45705</v>
      </c>
      <c r="B389" s="7" t="str">
        <f>IFERROR(__xludf.DUMMYFUNCTION("""COMPUTED_VALUE"""),"638f6f49-968f-47d5-8570-878254346c7b")</f>
        <v>638f6f49-968f-47d5-8570-878254346c7b</v>
      </c>
      <c r="C389" s="7">
        <f>IFERROR(__xludf.DUMMYFUNCTION("""COMPUTED_VALUE"""),143.0)</f>
        <v>143</v>
      </c>
      <c r="D389" s="6">
        <f>IFERROR(__xludf.DUMMYFUNCTION("""COMPUTED_VALUE"""),45562.0)</f>
        <v>45562</v>
      </c>
      <c r="E389" s="7" t="str">
        <f>IFERROR(__xludf.DUMMYFUNCTION("""COMPUTED_VALUE"""),"FRANQUIA_D&amp;G_SP")</f>
        <v>FRANQUIA_D&amp;G_SP</v>
      </c>
      <c r="F389" s="7" t="str">
        <f>IFERROR(__xludf.DUMMYFUNCTION("""COMPUTED_VALUE"""),"BICYCLE")</f>
        <v>BICYCLE</v>
      </c>
      <c r="G389" s="7" t="str">
        <f>IFERROR(__xludf.DUMMYFUNCTION("""COMPUTED_VALUE"""),"SAO PAULO")</f>
        <v>SAO PAULO</v>
      </c>
    </row>
    <row r="390">
      <c r="A390" s="6">
        <f>IFERROR(__xludf.DUMMYFUNCTION("""COMPUTED_VALUE"""),45705.0)</f>
        <v>45705</v>
      </c>
      <c r="B390" s="7" t="str">
        <f>IFERROR(__xludf.DUMMYFUNCTION("""COMPUTED_VALUE"""),"bde737f9-480a-4145-a03c-6240af54dc81")</f>
        <v>bde737f9-480a-4145-a03c-6240af54dc81</v>
      </c>
      <c r="C390" s="7">
        <f>IFERROR(__xludf.DUMMYFUNCTION("""COMPUTED_VALUE"""),17.0)</f>
        <v>17</v>
      </c>
      <c r="D390" s="6">
        <f>IFERROR(__xludf.DUMMYFUNCTION("""COMPUTED_VALUE"""),45688.0)</f>
        <v>45688</v>
      </c>
      <c r="E390" s="7" t="str">
        <f>IFERROR(__xludf.DUMMYFUNCTION("""COMPUTED_VALUE"""),"FRANQUIA_D&amp;G_SP")</f>
        <v>FRANQUIA_D&amp;G_SP</v>
      </c>
      <c r="F390" s="7" t="str">
        <f>IFERROR(__xludf.DUMMYFUNCTION("""COMPUTED_VALUE"""),"BICYCLE")</f>
        <v>BICYCLE</v>
      </c>
      <c r="G390" s="7" t="str">
        <f>IFERROR(__xludf.DUMMYFUNCTION("""COMPUTED_VALUE"""),"SAO PAULO")</f>
        <v>SAO PAULO</v>
      </c>
    </row>
    <row r="391">
      <c r="A391" s="6">
        <f>IFERROR(__xludf.DUMMYFUNCTION("""COMPUTED_VALUE"""),45705.0)</f>
        <v>45705</v>
      </c>
      <c r="B391" s="7" t="str">
        <f>IFERROR(__xludf.DUMMYFUNCTION("""COMPUTED_VALUE"""),"7a1bf223-44e5-47b9-847e-896080dafe02")</f>
        <v>7a1bf223-44e5-47b9-847e-896080dafe02</v>
      </c>
      <c r="C391" s="7">
        <f>IFERROR(__xludf.DUMMYFUNCTION("""COMPUTED_VALUE"""),0.0)</f>
        <v>0</v>
      </c>
      <c r="D391" s="6">
        <f>IFERROR(__xludf.DUMMYFUNCTION("""COMPUTED_VALUE"""),45705.0)</f>
        <v>45705</v>
      </c>
      <c r="E391" s="7" t="str">
        <f>IFERROR(__xludf.DUMMYFUNCTION("""COMPUTED_VALUE"""),"FRANQUIA_D&amp;G_SP")</f>
        <v>FRANQUIA_D&amp;G_SP</v>
      </c>
      <c r="F391" s="7" t="str">
        <f>IFERROR(__xludf.DUMMYFUNCTION("""COMPUTED_VALUE"""),"MOTORCYCLE")</f>
        <v>MOTORCYCLE</v>
      </c>
      <c r="G391" s="7" t="str">
        <f>IFERROR(__xludf.DUMMYFUNCTION("""COMPUTED_VALUE"""),"SAO PAULO")</f>
        <v>SAO PAULO</v>
      </c>
    </row>
    <row r="392">
      <c r="A392" s="6">
        <f>IFERROR(__xludf.DUMMYFUNCTION("""COMPUTED_VALUE"""),45705.0)</f>
        <v>45705</v>
      </c>
      <c r="B392" s="7" t="str">
        <f>IFERROR(__xludf.DUMMYFUNCTION("""COMPUTED_VALUE"""),"d328f88f-9243-4d0c-923f-043abbbc75b5")</f>
        <v>d328f88f-9243-4d0c-923f-043abbbc75b5</v>
      </c>
      <c r="C392" s="7">
        <f>IFERROR(__xludf.DUMMYFUNCTION("""COMPUTED_VALUE"""),0.0)</f>
        <v>0</v>
      </c>
      <c r="D392" s="6">
        <f>IFERROR(__xludf.DUMMYFUNCTION("""COMPUTED_VALUE"""),45705.0)</f>
        <v>45705</v>
      </c>
      <c r="E392" s="7" t="str">
        <f>IFERROR(__xludf.DUMMYFUNCTION("""COMPUTED_VALUE"""),"FRANQUIA_D&amp;G_SP")</f>
        <v>FRANQUIA_D&amp;G_SP</v>
      </c>
      <c r="F392" s="7" t="str">
        <f>IFERROR(__xludf.DUMMYFUNCTION("""COMPUTED_VALUE"""),"MOTORCYCLE")</f>
        <v>MOTORCYCLE</v>
      </c>
      <c r="G392" s="7" t="str">
        <f>IFERROR(__xludf.DUMMYFUNCTION("""COMPUTED_VALUE"""),"SAO PAULO")</f>
        <v>SAO PAULO</v>
      </c>
    </row>
    <row r="393">
      <c r="A393" s="6">
        <f>IFERROR(__xludf.DUMMYFUNCTION("""COMPUTED_VALUE"""),45705.0)</f>
        <v>45705</v>
      </c>
      <c r="B393" s="7" t="str">
        <f>IFERROR(__xludf.DUMMYFUNCTION("""COMPUTED_VALUE"""),"64ab1015-ba62-42e0-943b-ad376163ac53")</f>
        <v>64ab1015-ba62-42e0-943b-ad376163ac53</v>
      </c>
      <c r="C393" s="7">
        <f>IFERROR(__xludf.DUMMYFUNCTION("""COMPUTED_VALUE"""),84.0)</f>
        <v>84</v>
      </c>
      <c r="D393" s="6">
        <f>IFERROR(__xludf.DUMMYFUNCTION("""COMPUTED_VALUE"""),45621.0)</f>
        <v>45621</v>
      </c>
      <c r="E393" s="7" t="str">
        <f>IFERROR(__xludf.DUMMYFUNCTION("""COMPUTED_VALUE"""),"FRANQUIA_D&amp;G_SP")</f>
        <v>FRANQUIA_D&amp;G_SP</v>
      </c>
      <c r="F393" s="7" t="str">
        <f>IFERROR(__xludf.DUMMYFUNCTION("""COMPUTED_VALUE"""),"BICYCLE")</f>
        <v>BICYCLE</v>
      </c>
      <c r="G393" s="7" t="str">
        <f>IFERROR(__xludf.DUMMYFUNCTION("""COMPUTED_VALUE"""),"SAO PAULO")</f>
        <v>SAO PAULO</v>
      </c>
    </row>
    <row r="394">
      <c r="A394" s="6">
        <f>IFERROR(__xludf.DUMMYFUNCTION("""COMPUTED_VALUE"""),45705.0)</f>
        <v>45705</v>
      </c>
      <c r="B394" s="7" t="str">
        <f>IFERROR(__xludf.DUMMYFUNCTION("""COMPUTED_VALUE"""),"a01091ac-f673-47b4-827c-c3bdc5dc700a")</f>
        <v>a01091ac-f673-47b4-827c-c3bdc5dc700a</v>
      </c>
      <c r="C394" s="7">
        <f>IFERROR(__xludf.DUMMYFUNCTION("""COMPUTED_VALUE"""),77.0)</f>
        <v>77</v>
      </c>
      <c r="D394" s="6">
        <f>IFERROR(__xludf.DUMMYFUNCTION("""COMPUTED_VALUE"""),45628.0)</f>
        <v>45628</v>
      </c>
      <c r="E394" s="7" t="str">
        <f>IFERROR(__xludf.DUMMYFUNCTION("""COMPUTED_VALUE"""),"FRANQUIA_D&amp;G_SP")</f>
        <v>FRANQUIA_D&amp;G_SP</v>
      </c>
      <c r="F394" s="7" t="str">
        <f>IFERROR(__xludf.DUMMYFUNCTION("""COMPUTED_VALUE"""),"MOTORCYCLE")</f>
        <v>MOTORCYCLE</v>
      </c>
      <c r="G394" s="7" t="str">
        <f>IFERROR(__xludf.DUMMYFUNCTION("""COMPUTED_VALUE"""),"SAO PAULO")</f>
        <v>SAO PAULO</v>
      </c>
    </row>
    <row r="395">
      <c r="A395" s="6">
        <f>IFERROR(__xludf.DUMMYFUNCTION("""COMPUTED_VALUE"""),45705.0)</f>
        <v>45705</v>
      </c>
      <c r="B395" s="7" t="str">
        <f>IFERROR(__xludf.DUMMYFUNCTION("""COMPUTED_VALUE"""),"8e504e6b-e17d-4675-83dd-3e29f21e7067")</f>
        <v>8e504e6b-e17d-4675-83dd-3e29f21e7067</v>
      </c>
      <c r="C395" s="7">
        <f>IFERROR(__xludf.DUMMYFUNCTION("""COMPUTED_VALUE"""),329.0)</f>
        <v>329</v>
      </c>
      <c r="D395" s="6">
        <f>IFERROR(__xludf.DUMMYFUNCTION("""COMPUTED_VALUE"""),45376.0)</f>
        <v>45376</v>
      </c>
      <c r="E395" s="7" t="str">
        <f>IFERROR(__xludf.DUMMYFUNCTION("""COMPUTED_VALUE"""),"FRANQUIA_D&amp;G_SP")</f>
        <v>FRANQUIA_D&amp;G_SP</v>
      </c>
      <c r="F395" s="7" t="str">
        <f>IFERROR(__xludf.DUMMYFUNCTION("""COMPUTED_VALUE"""),"MOTORCYCLE")</f>
        <v>MOTORCYCLE</v>
      </c>
      <c r="G395" s="7" t="str">
        <f>IFERROR(__xludf.DUMMYFUNCTION("""COMPUTED_VALUE"""),"TABOAO DA SERRA")</f>
        <v>TABOAO DA SERRA</v>
      </c>
    </row>
    <row r="396">
      <c r="A396" s="6">
        <f>IFERROR(__xludf.DUMMYFUNCTION("""COMPUTED_VALUE"""),45705.0)</f>
        <v>45705</v>
      </c>
      <c r="B396" s="7" t="str">
        <f>IFERROR(__xludf.DUMMYFUNCTION("""COMPUTED_VALUE"""),"55afffa4-208a-4c68-b7aa-8f75d523130f")</f>
        <v>55afffa4-208a-4c68-b7aa-8f75d523130f</v>
      </c>
      <c r="C396" s="7">
        <f>IFERROR(__xludf.DUMMYFUNCTION("""COMPUTED_VALUE"""),0.0)</f>
        <v>0</v>
      </c>
      <c r="D396" s="6">
        <f>IFERROR(__xludf.DUMMYFUNCTION("""COMPUTED_VALUE"""),45705.0)</f>
        <v>45705</v>
      </c>
      <c r="E396" s="7" t="str">
        <f>IFERROR(__xludf.DUMMYFUNCTION("""COMPUTED_VALUE"""),"FRANQUIA_D&amp;G_SP")</f>
        <v>FRANQUIA_D&amp;G_SP</v>
      </c>
      <c r="F396" s="7" t="str">
        <f>IFERROR(__xludf.DUMMYFUNCTION("""COMPUTED_VALUE"""),"BICYCLE")</f>
        <v>BICYCLE</v>
      </c>
      <c r="G396" s="7" t="str">
        <f>IFERROR(__xludf.DUMMYFUNCTION("""COMPUTED_VALUE"""),"SAO PAULO")</f>
        <v>SAO PAULO</v>
      </c>
    </row>
    <row r="397">
      <c r="A397" s="6">
        <f>IFERROR(__xludf.DUMMYFUNCTION("""COMPUTED_VALUE"""),45705.0)</f>
        <v>45705</v>
      </c>
      <c r="B397" s="7" t="str">
        <f>IFERROR(__xludf.DUMMYFUNCTION("""COMPUTED_VALUE"""),"b8beda96-2d24-4334-9849-b2a8ba9b86c9")</f>
        <v>b8beda96-2d24-4334-9849-b2a8ba9b86c9</v>
      </c>
      <c r="C397" s="7">
        <f>IFERROR(__xludf.DUMMYFUNCTION("""COMPUTED_VALUE"""),0.0)</f>
        <v>0</v>
      </c>
      <c r="D397" s="6">
        <f>IFERROR(__xludf.DUMMYFUNCTION("""COMPUTED_VALUE"""),45705.0)</f>
        <v>45705</v>
      </c>
      <c r="E397" s="7" t="str">
        <f>IFERROR(__xludf.DUMMYFUNCTION("""COMPUTED_VALUE"""),"FRANQUIA_D&amp;G_SP")</f>
        <v>FRANQUIA_D&amp;G_SP</v>
      </c>
      <c r="F397" s="7" t="str">
        <f>IFERROR(__xludf.DUMMYFUNCTION("""COMPUTED_VALUE"""),"EBIKE")</f>
        <v>EBIKE</v>
      </c>
      <c r="G397" s="7" t="str">
        <f>IFERROR(__xludf.DUMMYFUNCTION("""COMPUTED_VALUE"""),"SAO PAULO")</f>
        <v>SAO PAULO</v>
      </c>
    </row>
    <row r="398">
      <c r="A398" s="6">
        <f>IFERROR(__xludf.DUMMYFUNCTION("""COMPUTED_VALUE"""),45705.0)</f>
        <v>45705</v>
      </c>
      <c r="B398" s="7" t="str">
        <f>IFERROR(__xludf.DUMMYFUNCTION("""COMPUTED_VALUE"""),"9a8edfb6-a95a-4461-ac26-17f193036b0d")</f>
        <v>9a8edfb6-a95a-4461-ac26-17f193036b0d</v>
      </c>
      <c r="C398" s="7">
        <f>IFERROR(__xludf.DUMMYFUNCTION("""COMPUTED_VALUE"""),2.0)</f>
        <v>2</v>
      </c>
      <c r="D398" s="6">
        <f>IFERROR(__xludf.DUMMYFUNCTION("""COMPUTED_VALUE"""),45703.0)</f>
        <v>45703</v>
      </c>
      <c r="E398" s="7" t="str">
        <f>IFERROR(__xludf.DUMMYFUNCTION("""COMPUTED_VALUE"""),"FRANQUIA_D&amp;G_SP")</f>
        <v>FRANQUIA_D&amp;G_SP</v>
      </c>
      <c r="F398" s="7" t="str">
        <f>IFERROR(__xludf.DUMMYFUNCTION("""COMPUTED_VALUE"""),"MOTORCYCLE")</f>
        <v>MOTORCYCLE</v>
      </c>
      <c r="G398" s="7" t="str">
        <f>IFERROR(__xludf.DUMMYFUNCTION("""COMPUTED_VALUE"""),"SAO PAULO")</f>
        <v>SAO PAULO</v>
      </c>
    </row>
    <row r="399">
      <c r="A399" s="6">
        <f>IFERROR(__xludf.DUMMYFUNCTION("""COMPUTED_VALUE"""),45705.0)</f>
        <v>45705</v>
      </c>
      <c r="B399" s="7" t="str">
        <f>IFERROR(__xludf.DUMMYFUNCTION("""COMPUTED_VALUE"""),"445410de-e236-42e8-80f2-8297f36e50ed")</f>
        <v>445410de-e236-42e8-80f2-8297f36e50ed</v>
      </c>
      <c r="C399" s="7">
        <f>IFERROR(__xludf.DUMMYFUNCTION("""COMPUTED_VALUE"""),0.0)</f>
        <v>0</v>
      </c>
      <c r="D399" s="6">
        <f>IFERROR(__xludf.DUMMYFUNCTION("""COMPUTED_VALUE"""),45705.0)</f>
        <v>45705</v>
      </c>
      <c r="E399" s="7" t="str">
        <f>IFERROR(__xludf.DUMMYFUNCTION("""COMPUTED_VALUE"""),"FRANQUIA_D&amp;G_SP")</f>
        <v>FRANQUIA_D&amp;G_SP</v>
      </c>
      <c r="F399" s="7" t="str">
        <f>IFERROR(__xludf.DUMMYFUNCTION("""COMPUTED_VALUE"""),"BICYCLE")</f>
        <v>BICYCLE</v>
      </c>
      <c r="G399" s="7" t="str">
        <f>IFERROR(__xludf.DUMMYFUNCTION("""COMPUTED_VALUE"""),"SAO PAULO")</f>
        <v>SAO PAULO</v>
      </c>
    </row>
    <row r="400">
      <c r="A400" s="6">
        <f>IFERROR(__xludf.DUMMYFUNCTION("""COMPUTED_VALUE"""),45705.0)</f>
        <v>45705</v>
      </c>
      <c r="B400" s="7" t="str">
        <f>IFERROR(__xludf.DUMMYFUNCTION("""COMPUTED_VALUE"""),"7b9c51c7-e4de-4cbc-ad7a-ae14f0156d60")</f>
        <v>7b9c51c7-e4de-4cbc-ad7a-ae14f0156d60</v>
      </c>
      <c r="C400" s="7">
        <f>IFERROR(__xludf.DUMMYFUNCTION("""COMPUTED_VALUE"""),41.0)</f>
        <v>41</v>
      </c>
      <c r="D400" s="6">
        <f>IFERROR(__xludf.DUMMYFUNCTION("""COMPUTED_VALUE"""),45664.0)</f>
        <v>45664</v>
      </c>
      <c r="E400" s="7" t="str">
        <f>IFERROR(__xludf.DUMMYFUNCTION("""COMPUTED_VALUE"""),"FRANQUIA_D&amp;G_SP")</f>
        <v>FRANQUIA_D&amp;G_SP</v>
      </c>
      <c r="F400" s="7" t="str">
        <f>IFERROR(__xludf.DUMMYFUNCTION("""COMPUTED_VALUE"""),"MOTORCYCLE")</f>
        <v>MOTORCYCLE</v>
      </c>
      <c r="G400" s="7" t="str">
        <f>IFERROR(__xludf.DUMMYFUNCTION("""COMPUTED_VALUE"""),"SAO PAULO")</f>
        <v>SAO PAULO</v>
      </c>
    </row>
    <row r="401">
      <c r="A401" s="6">
        <f>IFERROR(__xludf.DUMMYFUNCTION("""COMPUTED_VALUE"""),45705.0)</f>
        <v>45705</v>
      </c>
      <c r="B401" s="7" t="str">
        <f>IFERROR(__xludf.DUMMYFUNCTION("""COMPUTED_VALUE"""),"3b531dee-194e-4777-b5f9-136e82389d6f")</f>
        <v>3b531dee-194e-4777-b5f9-136e82389d6f</v>
      </c>
      <c r="C401" s="7">
        <f>IFERROR(__xludf.DUMMYFUNCTION("""COMPUTED_VALUE"""),0.0)</f>
        <v>0</v>
      </c>
      <c r="D401" s="6">
        <f>IFERROR(__xludf.DUMMYFUNCTION("""COMPUTED_VALUE"""),45705.0)</f>
        <v>45705</v>
      </c>
      <c r="E401" s="7" t="str">
        <f>IFERROR(__xludf.DUMMYFUNCTION("""COMPUTED_VALUE"""),"FRANQUIA_D&amp;G_SP")</f>
        <v>FRANQUIA_D&amp;G_SP</v>
      </c>
      <c r="F401" s="7" t="str">
        <f>IFERROR(__xludf.DUMMYFUNCTION("""COMPUTED_VALUE"""),"MOTORCYCLE")</f>
        <v>MOTORCYCLE</v>
      </c>
      <c r="G401" s="7" t="str">
        <f>IFERROR(__xludf.DUMMYFUNCTION("""COMPUTED_VALUE"""),"SAO PAULO")</f>
        <v>SAO PAULO</v>
      </c>
    </row>
    <row r="402">
      <c r="A402" s="6">
        <f>IFERROR(__xludf.DUMMYFUNCTION("""COMPUTED_VALUE"""),45705.0)</f>
        <v>45705</v>
      </c>
      <c r="B402" s="7" t="str">
        <f>IFERROR(__xludf.DUMMYFUNCTION("""COMPUTED_VALUE"""),"3d91f83e-e509-4c23-b714-44a180fda636")</f>
        <v>3d91f83e-e509-4c23-b714-44a180fda636</v>
      </c>
      <c r="C402" s="7">
        <f>IFERROR(__xludf.DUMMYFUNCTION("""COMPUTED_VALUE"""),751.0)</f>
        <v>751</v>
      </c>
      <c r="D402" s="6">
        <f>IFERROR(__xludf.DUMMYFUNCTION("""COMPUTED_VALUE"""),44954.0)</f>
        <v>44954</v>
      </c>
      <c r="E402" s="7" t="str">
        <f>IFERROR(__xludf.DUMMYFUNCTION("""COMPUTED_VALUE"""),"FRANQUIA_D&amp;G_SP")</f>
        <v>FRANQUIA_D&amp;G_SP</v>
      </c>
      <c r="F402" s="7" t="str">
        <f>IFERROR(__xludf.DUMMYFUNCTION("""COMPUTED_VALUE"""),"BICYCLE")</f>
        <v>BICYCLE</v>
      </c>
      <c r="G402" s="7" t="str">
        <f>IFERROR(__xludf.DUMMYFUNCTION("""COMPUTED_VALUE"""),"SAO PAULO")</f>
        <v>SAO PAULO</v>
      </c>
    </row>
    <row r="403">
      <c r="A403" s="6">
        <f>IFERROR(__xludf.DUMMYFUNCTION("""COMPUTED_VALUE"""),45705.0)</f>
        <v>45705</v>
      </c>
      <c r="B403" s="7" t="str">
        <f>IFERROR(__xludf.DUMMYFUNCTION("""COMPUTED_VALUE"""),"f773bdd4-19a4-424d-b2d3-a5df55f0206a")</f>
        <v>f773bdd4-19a4-424d-b2d3-a5df55f0206a</v>
      </c>
      <c r="C403" s="7">
        <f>IFERROR(__xludf.DUMMYFUNCTION("""COMPUTED_VALUE"""),8.0)</f>
        <v>8</v>
      </c>
      <c r="D403" s="6">
        <f>IFERROR(__xludf.DUMMYFUNCTION("""COMPUTED_VALUE"""),45697.0)</f>
        <v>45697</v>
      </c>
      <c r="E403" s="7" t="str">
        <f>IFERROR(__xludf.DUMMYFUNCTION("""COMPUTED_VALUE"""),"FRANQUIA_D&amp;G_SP")</f>
        <v>FRANQUIA_D&amp;G_SP</v>
      </c>
      <c r="F403" s="7" t="str">
        <f>IFERROR(__xludf.DUMMYFUNCTION("""COMPUTED_VALUE"""),"MOTORCYCLE")</f>
        <v>MOTORCYCLE</v>
      </c>
      <c r="G403" s="7" t="str">
        <f>IFERROR(__xludf.DUMMYFUNCTION("""COMPUTED_VALUE"""),"ABC")</f>
        <v>ABC</v>
      </c>
    </row>
    <row r="404">
      <c r="A404" s="6">
        <f>IFERROR(__xludf.DUMMYFUNCTION("""COMPUTED_VALUE"""),45705.0)</f>
        <v>45705</v>
      </c>
      <c r="B404" s="7" t="str">
        <f>IFERROR(__xludf.DUMMYFUNCTION("""COMPUTED_VALUE"""),"b925466a-1f4c-4643-b790-18bb9a94360e")</f>
        <v>b925466a-1f4c-4643-b790-18bb9a94360e</v>
      </c>
      <c r="C404" s="7">
        <f>IFERROR(__xludf.DUMMYFUNCTION("""COMPUTED_VALUE"""),3.0)</f>
        <v>3</v>
      </c>
      <c r="D404" s="6">
        <f>IFERROR(__xludf.DUMMYFUNCTION("""COMPUTED_VALUE"""),45702.0)</f>
        <v>45702</v>
      </c>
      <c r="E404" s="7" t="str">
        <f>IFERROR(__xludf.DUMMYFUNCTION("""COMPUTED_VALUE"""),"FRANQUIA_D&amp;G_SP")</f>
        <v>FRANQUIA_D&amp;G_SP</v>
      </c>
      <c r="F404" s="7" t="str">
        <f>IFERROR(__xludf.DUMMYFUNCTION("""COMPUTED_VALUE"""),"BICYCLE")</f>
        <v>BICYCLE</v>
      </c>
      <c r="G404" s="7" t="str">
        <f>IFERROR(__xludf.DUMMYFUNCTION("""COMPUTED_VALUE"""),"SAO PAULO")</f>
        <v>SAO PAULO</v>
      </c>
    </row>
    <row r="405">
      <c r="A405" s="6">
        <f>IFERROR(__xludf.DUMMYFUNCTION("""COMPUTED_VALUE"""),45705.0)</f>
        <v>45705</v>
      </c>
      <c r="B405" s="7" t="str">
        <f>IFERROR(__xludf.DUMMYFUNCTION("""COMPUTED_VALUE"""),"f44a2bb9-45ea-49d3-8998-b9e4884d8c67")</f>
        <v>f44a2bb9-45ea-49d3-8998-b9e4884d8c67</v>
      </c>
      <c r="C405" s="7">
        <f>IFERROR(__xludf.DUMMYFUNCTION("""COMPUTED_VALUE"""),0.0)</f>
        <v>0</v>
      </c>
      <c r="D405" s="6">
        <f>IFERROR(__xludf.DUMMYFUNCTION("""COMPUTED_VALUE"""),45705.0)</f>
        <v>45705</v>
      </c>
      <c r="E405" s="7" t="str">
        <f>IFERROR(__xludf.DUMMYFUNCTION("""COMPUTED_VALUE"""),"FRANQUIA_D&amp;G_SP")</f>
        <v>FRANQUIA_D&amp;G_SP</v>
      </c>
      <c r="F405" s="7" t="str">
        <f>IFERROR(__xludf.DUMMYFUNCTION("""COMPUTED_VALUE"""),"MOTORCYCLE")</f>
        <v>MOTORCYCLE</v>
      </c>
      <c r="G405" s="7" t="str">
        <f>IFERROR(__xludf.DUMMYFUNCTION("""COMPUTED_VALUE"""),"SAO PAULO")</f>
        <v>SAO PAULO</v>
      </c>
    </row>
    <row r="406">
      <c r="A406" s="6">
        <f>IFERROR(__xludf.DUMMYFUNCTION("""COMPUTED_VALUE"""),45705.0)</f>
        <v>45705</v>
      </c>
      <c r="B406" s="7" t="str">
        <f>IFERROR(__xludf.DUMMYFUNCTION("""COMPUTED_VALUE"""),"70a8c9a5-8420-41e1-8e5a-887f41097f74")</f>
        <v>70a8c9a5-8420-41e1-8e5a-887f41097f74</v>
      </c>
      <c r="C406" s="7">
        <f>IFERROR(__xludf.DUMMYFUNCTION("""COMPUTED_VALUE"""),0.0)</f>
        <v>0</v>
      </c>
      <c r="D406" s="6">
        <f>IFERROR(__xludf.DUMMYFUNCTION("""COMPUTED_VALUE"""),45705.0)</f>
        <v>45705</v>
      </c>
      <c r="E406" s="7" t="str">
        <f>IFERROR(__xludf.DUMMYFUNCTION("""COMPUTED_VALUE"""),"FRANQUIA_D&amp;G_SP")</f>
        <v>FRANQUIA_D&amp;G_SP</v>
      </c>
      <c r="F406" s="7" t="str">
        <f>IFERROR(__xludf.DUMMYFUNCTION("""COMPUTED_VALUE"""),"MOTORCYCLE")</f>
        <v>MOTORCYCLE</v>
      </c>
      <c r="G406" s="7" t="str">
        <f>IFERROR(__xludf.DUMMYFUNCTION("""COMPUTED_VALUE"""),"SAO PAULO")</f>
        <v>SAO PAULO</v>
      </c>
    </row>
    <row r="407">
      <c r="A407" s="6">
        <f>IFERROR(__xludf.DUMMYFUNCTION("""COMPUTED_VALUE"""),45705.0)</f>
        <v>45705</v>
      </c>
      <c r="B407" s="7" t="str">
        <f>IFERROR(__xludf.DUMMYFUNCTION("""COMPUTED_VALUE"""),"cf8cfbb1-237a-458c-a8e4-4ee86562e80c")</f>
        <v>cf8cfbb1-237a-458c-a8e4-4ee86562e80c</v>
      </c>
      <c r="C407" s="7">
        <f>IFERROR(__xludf.DUMMYFUNCTION("""COMPUTED_VALUE"""),125.0)</f>
        <v>125</v>
      </c>
      <c r="D407" s="6">
        <f>IFERROR(__xludf.DUMMYFUNCTION("""COMPUTED_VALUE"""),45580.0)</f>
        <v>45580</v>
      </c>
      <c r="E407" s="7" t="str">
        <f>IFERROR(__xludf.DUMMYFUNCTION("""COMPUTED_VALUE"""),"FRANQUIA_D&amp;G_SP")</f>
        <v>FRANQUIA_D&amp;G_SP</v>
      </c>
      <c r="F407" s="7" t="str">
        <f>IFERROR(__xludf.DUMMYFUNCTION("""COMPUTED_VALUE"""),"BICYCLE")</f>
        <v>BICYCLE</v>
      </c>
      <c r="G407" s="7" t="str">
        <f>IFERROR(__xludf.DUMMYFUNCTION("""COMPUTED_VALUE"""),"SAO PAULO")</f>
        <v>SAO PAULO</v>
      </c>
    </row>
    <row r="408">
      <c r="A408" s="6">
        <f>IFERROR(__xludf.DUMMYFUNCTION("""COMPUTED_VALUE"""),45705.0)</f>
        <v>45705</v>
      </c>
      <c r="B408" s="7" t="str">
        <f>IFERROR(__xludf.DUMMYFUNCTION("""COMPUTED_VALUE"""),"e3464183-0a55-4b32-9ec1-f6a104405249")</f>
        <v>e3464183-0a55-4b32-9ec1-f6a104405249</v>
      </c>
      <c r="C408" s="7">
        <f>IFERROR(__xludf.DUMMYFUNCTION("""COMPUTED_VALUE"""),1.0)</f>
        <v>1</v>
      </c>
      <c r="D408" s="6">
        <f>IFERROR(__xludf.DUMMYFUNCTION("""COMPUTED_VALUE"""),45704.0)</f>
        <v>45704</v>
      </c>
      <c r="E408" s="7" t="str">
        <f>IFERROR(__xludf.DUMMYFUNCTION("""COMPUTED_VALUE"""),"FRANQUIA_D&amp;G_SP")</f>
        <v>FRANQUIA_D&amp;G_SP</v>
      </c>
      <c r="F408" s="7" t="str">
        <f>IFERROR(__xludf.DUMMYFUNCTION("""COMPUTED_VALUE"""),"MOTORCYCLE")</f>
        <v>MOTORCYCLE</v>
      </c>
      <c r="G408" s="7" t="str">
        <f>IFERROR(__xludf.DUMMYFUNCTION("""COMPUTED_VALUE"""),"SAO PAULO")</f>
        <v>SAO PAULO</v>
      </c>
    </row>
    <row r="409">
      <c r="A409" s="6">
        <f>IFERROR(__xludf.DUMMYFUNCTION("""COMPUTED_VALUE"""),45705.0)</f>
        <v>45705</v>
      </c>
      <c r="B409" s="7" t="str">
        <f>IFERROR(__xludf.DUMMYFUNCTION("""COMPUTED_VALUE"""),"4d49bb72-ec49-4b66-979b-dd498dfa0690")</f>
        <v>4d49bb72-ec49-4b66-979b-dd498dfa0690</v>
      </c>
      <c r="C409" s="7">
        <f>IFERROR(__xludf.DUMMYFUNCTION("""COMPUTED_VALUE"""),578.0)</f>
        <v>578</v>
      </c>
      <c r="D409" s="6">
        <f>IFERROR(__xludf.DUMMYFUNCTION("""COMPUTED_VALUE"""),45127.0)</f>
        <v>45127</v>
      </c>
      <c r="E409" s="7" t="str">
        <f>IFERROR(__xludf.DUMMYFUNCTION("""COMPUTED_VALUE"""),"FRANQUIA_D&amp;G_SP")</f>
        <v>FRANQUIA_D&amp;G_SP</v>
      </c>
      <c r="F409" s="7" t="str">
        <f>IFERROR(__xludf.DUMMYFUNCTION("""COMPUTED_VALUE"""),"MOTORCYCLE")</f>
        <v>MOTORCYCLE</v>
      </c>
      <c r="G409" s="7" t="str">
        <f>IFERROR(__xludf.DUMMYFUNCTION("""COMPUTED_VALUE"""),"SAO PAULO")</f>
        <v>SAO PAULO</v>
      </c>
    </row>
    <row r="410">
      <c r="A410" s="6">
        <f>IFERROR(__xludf.DUMMYFUNCTION("""COMPUTED_VALUE"""),45705.0)</f>
        <v>45705</v>
      </c>
      <c r="B410" s="7" t="str">
        <f>IFERROR(__xludf.DUMMYFUNCTION("""COMPUTED_VALUE"""),"4b0c354c-641c-40e3-9e3b-f8f35681323e")</f>
        <v>4b0c354c-641c-40e3-9e3b-f8f35681323e</v>
      </c>
      <c r="C410" s="7">
        <f>IFERROR(__xludf.DUMMYFUNCTION("""COMPUTED_VALUE"""),0.0)</f>
        <v>0</v>
      </c>
      <c r="D410" s="6">
        <f>IFERROR(__xludf.DUMMYFUNCTION("""COMPUTED_VALUE"""),45705.0)</f>
        <v>45705</v>
      </c>
      <c r="E410" s="7" t="str">
        <f>IFERROR(__xludf.DUMMYFUNCTION("""COMPUTED_VALUE"""),"FRANQUIA_D&amp;G_SP")</f>
        <v>FRANQUIA_D&amp;G_SP</v>
      </c>
      <c r="F410" s="7" t="str">
        <f>IFERROR(__xludf.DUMMYFUNCTION("""COMPUTED_VALUE"""),"BICYCLE")</f>
        <v>BICYCLE</v>
      </c>
      <c r="G410" s="7" t="str">
        <f>IFERROR(__xludf.DUMMYFUNCTION("""COMPUTED_VALUE"""),"SAO PAULO")</f>
        <v>SAO PAULO</v>
      </c>
    </row>
    <row r="411">
      <c r="A411" s="6">
        <f>IFERROR(__xludf.DUMMYFUNCTION("""COMPUTED_VALUE"""),45705.0)</f>
        <v>45705</v>
      </c>
      <c r="B411" s="7" t="str">
        <f>IFERROR(__xludf.DUMMYFUNCTION("""COMPUTED_VALUE"""),"8765a5d6-3f94-41b4-8dd2-e456e4a01df3")</f>
        <v>8765a5d6-3f94-41b4-8dd2-e456e4a01df3</v>
      </c>
      <c r="C411" s="7">
        <f>IFERROR(__xludf.DUMMYFUNCTION("""COMPUTED_VALUE"""),96.0)</f>
        <v>96</v>
      </c>
      <c r="D411" s="6">
        <f>IFERROR(__xludf.DUMMYFUNCTION("""COMPUTED_VALUE"""),45609.0)</f>
        <v>45609</v>
      </c>
      <c r="E411" s="7" t="str">
        <f>IFERROR(__xludf.DUMMYFUNCTION("""COMPUTED_VALUE"""),"FRANQUIA_D&amp;G_SP")</f>
        <v>FRANQUIA_D&amp;G_SP</v>
      </c>
      <c r="F411" s="7" t="str">
        <f>IFERROR(__xludf.DUMMYFUNCTION("""COMPUTED_VALUE"""),"BICYCLE")</f>
        <v>BICYCLE</v>
      </c>
      <c r="G411" s="7" t="str">
        <f>IFERROR(__xludf.DUMMYFUNCTION("""COMPUTED_VALUE"""),"SAO PAULO")</f>
        <v>SAO PAULO</v>
      </c>
    </row>
    <row r="412">
      <c r="A412" s="6">
        <f>IFERROR(__xludf.DUMMYFUNCTION("""COMPUTED_VALUE"""),45705.0)</f>
        <v>45705</v>
      </c>
      <c r="B412" s="7" t="str">
        <f>IFERROR(__xludf.DUMMYFUNCTION("""COMPUTED_VALUE"""),"4e203984-9783-49aa-934c-ee5958174395")</f>
        <v>4e203984-9783-49aa-934c-ee5958174395</v>
      </c>
      <c r="C412" s="7">
        <f>IFERROR(__xludf.DUMMYFUNCTION("""COMPUTED_VALUE"""),1.0)</f>
        <v>1</v>
      </c>
      <c r="D412" s="6">
        <f>IFERROR(__xludf.DUMMYFUNCTION("""COMPUTED_VALUE"""),45704.0)</f>
        <v>45704</v>
      </c>
      <c r="E412" s="7" t="str">
        <f>IFERROR(__xludf.DUMMYFUNCTION("""COMPUTED_VALUE"""),"FRANQUIA_D&amp;G_SP")</f>
        <v>FRANQUIA_D&amp;G_SP</v>
      </c>
      <c r="F412" s="7" t="str">
        <f>IFERROR(__xludf.DUMMYFUNCTION("""COMPUTED_VALUE"""),"MOTORCYCLE")</f>
        <v>MOTORCYCLE</v>
      </c>
      <c r="G412" s="7" t="str">
        <f>IFERROR(__xludf.DUMMYFUNCTION("""COMPUTED_VALUE"""),"SAO PAULO")</f>
        <v>SAO PAULO</v>
      </c>
    </row>
    <row r="413">
      <c r="A413" s="6">
        <f>IFERROR(__xludf.DUMMYFUNCTION("""COMPUTED_VALUE"""),45705.0)</f>
        <v>45705</v>
      </c>
      <c r="B413" s="7" t="str">
        <f>IFERROR(__xludf.DUMMYFUNCTION("""COMPUTED_VALUE"""),"5c365128-20e3-47f8-ac7a-7ff92bc9e400")</f>
        <v>5c365128-20e3-47f8-ac7a-7ff92bc9e400</v>
      </c>
      <c r="C413" s="7">
        <f>IFERROR(__xludf.DUMMYFUNCTION("""COMPUTED_VALUE"""),0.0)</f>
        <v>0</v>
      </c>
      <c r="D413" s="6">
        <f>IFERROR(__xludf.DUMMYFUNCTION("""COMPUTED_VALUE"""),45705.0)</f>
        <v>45705</v>
      </c>
      <c r="E413" s="7" t="str">
        <f>IFERROR(__xludf.DUMMYFUNCTION("""COMPUTED_VALUE"""),"FRANQUIA_D&amp;G_SP")</f>
        <v>FRANQUIA_D&amp;G_SP</v>
      </c>
      <c r="F413" s="7" t="str">
        <f>IFERROR(__xludf.DUMMYFUNCTION("""COMPUTED_VALUE"""),"MOTORCYCLE")</f>
        <v>MOTORCYCLE</v>
      </c>
      <c r="G413" s="7" t="str">
        <f>IFERROR(__xludf.DUMMYFUNCTION("""COMPUTED_VALUE"""),"SAO PAULO")</f>
        <v>SAO PAULO</v>
      </c>
    </row>
    <row r="414">
      <c r="A414" s="6">
        <f>IFERROR(__xludf.DUMMYFUNCTION("""COMPUTED_VALUE"""),45705.0)</f>
        <v>45705</v>
      </c>
      <c r="B414" s="7" t="str">
        <f>IFERROR(__xludf.DUMMYFUNCTION("""COMPUTED_VALUE"""),"e87e9cc7-ead9-40d6-b4cd-a3df99ca4a5f")</f>
        <v>e87e9cc7-ead9-40d6-b4cd-a3df99ca4a5f</v>
      </c>
      <c r="C414" s="7">
        <f>IFERROR(__xludf.DUMMYFUNCTION("""COMPUTED_VALUE"""),11.0)</f>
        <v>11</v>
      </c>
      <c r="D414" s="6">
        <f>IFERROR(__xludf.DUMMYFUNCTION("""COMPUTED_VALUE"""),45694.0)</f>
        <v>45694</v>
      </c>
      <c r="E414" s="7" t="str">
        <f>IFERROR(__xludf.DUMMYFUNCTION("""COMPUTED_VALUE"""),"FRANQUIA_D&amp;G_SP")</f>
        <v>FRANQUIA_D&amp;G_SP</v>
      </c>
      <c r="F414" s="7" t="str">
        <f>IFERROR(__xludf.DUMMYFUNCTION("""COMPUTED_VALUE"""),"BICYCLE")</f>
        <v>BICYCLE</v>
      </c>
      <c r="G414" s="7" t="str">
        <f>IFERROR(__xludf.DUMMYFUNCTION("""COMPUTED_VALUE"""),"SAO PAULO")</f>
        <v>SAO PAULO</v>
      </c>
    </row>
    <row r="415">
      <c r="A415" s="6">
        <f>IFERROR(__xludf.DUMMYFUNCTION("""COMPUTED_VALUE"""),45705.0)</f>
        <v>45705</v>
      </c>
      <c r="B415" s="7" t="str">
        <f>IFERROR(__xludf.DUMMYFUNCTION("""COMPUTED_VALUE"""),"5ac4f60f-bf72-433a-aedf-5071f0cee1da")</f>
        <v>5ac4f60f-bf72-433a-aedf-5071f0cee1da</v>
      </c>
      <c r="C415" s="7">
        <f>IFERROR(__xludf.DUMMYFUNCTION("""COMPUTED_VALUE"""),250.0)</f>
        <v>250</v>
      </c>
      <c r="D415" s="6">
        <f>IFERROR(__xludf.DUMMYFUNCTION("""COMPUTED_VALUE"""),45455.0)</f>
        <v>45455</v>
      </c>
      <c r="E415" s="7" t="str">
        <f>IFERROR(__xludf.DUMMYFUNCTION("""COMPUTED_VALUE"""),"FRANQUIA_D&amp;G_SP")</f>
        <v>FRANQUIA_D&amp;G_SP</v>
      </c>
      <c r="F415" s="7" t="str">
        <f>IFERROR(__xludf.DUMMYFUNCTION("""COMPUTED_VALUE"""),"MOTORCYCLE")</f>
        <v>MOTORCYCLE</v>
      </c>
      <c r="G415" s="7" t="str">
        <f>IFERROR(__xludf.DUMMYFUNCTION("""COMPUTED_VALUE"""),"SAO PAULO")</f>
        <v>SAO PAULO</v>
      </c>
    </row>
    <row r="416">
      <c r="A416" s="6">
        <f>IFERROR(__xludf.DUMMYFUNCTION("""COMPUTED_VALUE"""),45705.0)</f>
        <v>45705</v>
      </c>
      <c r="B416" s="7" t="str">
        <f>IFERROR(__xludf.DUMMYFUNCTION("""COMPUTED_VALUE"""),"67e18ae0-2630-4e27-8264-736f85a4a989")</f>
        <v>67e18ae0-2630-4e27-8264-736f85a4a989</v>
      </c>
      <c r="C416" s="7">
        <f>IFERROR(__xludf.DUMMYFUNCTION("""COMPUTED_VALUE"""),124.0)</f>
        <v>124</v>
      </c>
      <c r="D416" s="6">
        <f>IFERROR(__xludf.DUMMYFUNCTION("""COMPUTED_VALUE"""),45581.0)</f>
        <v>45581</v>
      </c>
      <c r="E416" s="7" t="str">
        <f>IFERROR(__xludf.DUMMYFUNCTION("""COMPUTED_VALUE"""),"FRANQUIA_D&amp;G_SP")</f>
        <v>FRANQUIA_D&amp;G_SP</v>
      </c>
      <c r="F416" s="7" t="str">
        <f>IFERROR(__xludf.DUMMYFUNCTION("""COMPUTED_VALUE"""),"BICYCLE")</f>
        <v>BICYCLE</v>
      </c>
      <c r="G416" s="7" t="str">
        <f>IFERROR(__xludf.DUMMYFUNCTION("""COMPUTED_VALUE"""),"SAO PAULO")</f>
        <v>SAO PAULO</v>
      </c>
    </row>
    <row r="417">
      <c r="A417" s="6">
        <f>IFERROR(__xludf.DUMMYFUNCTION("""COMPUTED_VALUE"""),45705.0)</f>
        <v>45705</v>
      </c>
      <c r="B417" s="7" t="str">
        <f>IFERROR(__xludf.DUMMYFUNCTION("""COMPUTED_VALUE"""),"553c03ae-3329-41d7-91f2-c3b1897dc062")</f>
        <v>553c03ae-3329-41d7-91f2-c3b1897dc062</v>
      </c>
      <c r="C417" s="7">
        <f>IFERROR(__xludf.DUMMYFUNCTION("""COMPUTED_VALUE"""),3.0)</f>
        <v>3</v>
      </c>
      <c r="D417" s="6">
        <f>IFERROR(__xludf.DUMMYFUNCTION("""COMPUTED_VALUE"""),45702.0)</f>
        <v>45702</v>
      </c>
      <c r="E417" s="7" t="str">
        <f>IFERROR(__xludf.DUMMYFUNCTION("""COMPUTED_VALUE"""),"FRANQUIA_D&amp;G_SP")</f>
        <v>FRANQUIA_D&amp;G_SP</v>
      </c>
      <c r="F417" s="7" t="str">
        <f>IFERROR(__xludf.DUMMYFUNCTION("""COMPUTED_VALUE"""),"BICYCLE")</f>
        <v>BICYCLE</v>
      </c>
      <c r="G417" s="7" t="str">
        <f>IFERROR(__xludf.DUMMYFUNCTION("""COMPUTED_VALUE"""),"TABOAO DA SERRA")</f>
        <v>TABOAO DA SERRA</v>
      </c>
    </row>
    <row r="418">
      <c r="A418" s="6">
        <f>IFERROR(__xludf.DUMMYFUNCTION("""COMPUTED_VALUE"""),45705.0)</f>
        <v>45705</v>
      </c>
      <c r="B418" s="7" t="str">
        <f>IFERROR(__xludf.DUMMYFUNCTION("""COMPUTED_VALUE"""),"1f522730-6a89-4d52-8fe3-8b873e18a924")</f>
        <v>1f522730-6a89-4d52-8fe3-8b873e18a924</v>
      </c>
      <c r="C418" s="7">
        <f>IFERROR(__xludf.DUMMYFUNCTION("""COMPUTED_VALUE"""),0.0)</f>
        <v>0</v>
      </c>
      <c r="D418" s="6">
        <f>IFERROR(__xludf.DUMMYFUNCTION("""COMPUTED_VALUE"""),45705.0)</f>
        <v>45705</v>
      </c>
      <c r="E418" s="7" t="str">
        <f>IFERROR(__xludf.DUMMYFUNCTION("""COMPUTED_VALUE"""),"FRANQUIA_D&amp;G_SP")</f>
        <v>FRANQUIA_D&amp;G_SP</v>
      </c>
      <c r="F418" s="7" t="str">
        <f>IFERROR(__xludf.DUMMYFUNCTION("""COMPUTED_VALUE"""),"MOTORCYCLE")</f>
        <v>MOTORCYCLE</v>
      </c>
      <c r="G418" s="7" t="str">
        <f>IFERROR(__xludf.DUMMYFUNCTION("""COMPUTED_VALUE"""),"SAO PAULO")</f>
        <v>SAO PAULO</v>
      </c>
    </row>
    <row r="419">
      <c r="A419" s="6">
        <f>IFERROR(__xludf.DUMMYFUNCTION("""COMPUTED_VALUE"""),45705.0)</f>
        <v>45705</v>
      </c>
      <c r="B419" s="7" t="str">
        <f>IFERROR(__xludf.DUMMYFUNCTION("""COMPUTED_VALUE"""),"8f330416-75cb-4bec-83fa-0a263b080e2a")</f>
        <v>8f330416-75cb-4bec-83fa-0a263b080e2a</v>
      </c>
      <c r="C419" s="7">
        <f>IFERROR(__xludf.DUMMYFUNCTION("""COMPUTED_VALUE"""),370.0)</f>
        <v>370</v>
      </c>
      <c r="D419" s="6">
        <f>IFERROR(__xludf.DUMMYFUNCTION("""COMPUTED_VALUE"""),45335.0)</f>
        <v>45335</v>
      </c>
      <c r="E419" s="7" t="str">
        <f>IFERROR(__xludf.DUMMYFUNCTION("""COMPUTED_VALUE"""),"FRANQUIA_D&amp;G_SP")</f>
        <v>FRANQUIA_D&amp;G_SP</v>
      </c>
      <c r="F419" s="7" t="str">
        <f>IFERROR(__xludf.DUMMYFUNCTION("""COMPUTED_VALUE"""),"BICYCLE")</f>
        <v>BICYCLE</v>
      </c>
      <c r="G419" s="7" t="str">
        <f>IFERROR(__xludf.DUMMYFUNCTION("""COMPUTED_VALUE"""),"SAO PAULO")</f>
        <v>SAO PAULO</v>
      </c>
    </row>
    <row r="420">
      <c r="A420" s="6">
        <f>IFERROR(__xludf.DUMMYFUNCTION("""COMPUTED_VALUE"""),45705.0)</f>
        <v>45705</v>
      </c>
      <c r="B420" s="7" t="str">
        <f>IFERROR(__xludf.DUMMYFUNCTION("""COMPUTED_VALUE"""),"76731d7f-19e3-4482-9d97-dfb43b0ecab9")</f>
        <v>76731d7f-19e3-4482-9d97-dfb43b0ecab9</v>
      </c>
      <c r="C420" s="7">
        <f>IFERROR(__xludf.DUMMYFUNCTION("""COMPUTED_VALUE"""),1.0)</f>
        <v>1</v>
      </c>
      <c r="D420" s="6">
        <f>IFERROR(__xludf.DUMMYFUNCTION("""COMPUTED_VALUE"""),45704.0)</f>
        <v>45704</v>
      </c>
      <c r="E420" s="7" t="str">
        <f>IFERROR(__xludf.DUMMYFUNCTION("""COMPUTED_VALUE"""),"FRANQUIA_D&amp;G_SP")</f>
        <v>FRANQUIA_D&amp;G_SP</v>
      </c>
      <c r="F420" s="7" t="str">
        <f>IFERROR(__xludf.DUMMYFUNCTION("""COMPUTED_VALUE"""),"MOTORCYCLE")</f>
        <v>MOTORCYCLE</v>
      </c>
      <c r="G420" s="7" t="str">
        <f>IFERROR(__xludf.DUMMYFUNCTION("""COMPUTED_VALUE"""),"SAO PAULO")</f>
        <v>SAO PAULO</v>
      </c>
    </row>
    <row r="421">
      <c r="A421" s="6">
        <f>IFERROR(__xludf.DUMMYFUNCTION("""COMPUTED_VALUE"""),45705.0)</f>
        <v>45705</v>
      </c>
      <c r="B421" s="7" t="str">
        <f>IFERROR(__xludf.DUMMYFUNCTION("""COMPUTED_VALUE"""),"29ef5a6f-70e6-4643-99cf-415a84f68f26")</f>
        <v>29ef5a6f-70e6-4643-99cf-415a84f68f26</v>
      </c>
      <c r="C421" s="7">
        <f>IFERROR(__xludf.DUMMYFUNCTION("""COMPUTED_VALUE"""),21.0)</f>
        <v>21</v>
      </c>
      <c r="D421" s="6">
        <f>IFERROR(__xludf.DUMMYFUNCTION("""COMPUTED_VALUE"""),45684.0)</f>
        <v>45684</v>
      </c>
      <c r="E421" s="7" t="str">
        <f>IFERROR(__xludf.DUMMYFUNCTION("""COMPUTED_VALUE"""),"FRANQUIA_D&amp;G_SP")</f>
        <v>FRANQUIA_D&amp;G_SP</v>
      </c>
      <c r="F421" s="7" t="str">
        <f>IFERROR(__xludf.DUMMYFUNCTION("""COMPUTED_VALUE"""),"BICYCLE")</f>
        <v>BICYCLE</v>
      </c>
      <c r="G421" s="7" t="str">
        <f>IFERROR(__xludf.DUMMYFUNCTION("""COMPUTED_VALUE"""),"SAO PAULO")</f>
        <v>SAO PAULO</v>
      </c>
    </row>
    <row r="422">
      <c r="A422" s="6">
        <f>IFERROR(__xludf.DUMMYFUNCTION("""COMPUTED_VALUE"""),45705.0)</f>
        <v>45705</v>
      </c>
      <c r="B422" s="7" t="str">
        <f>IFERROR(__xludf.DUMMYFUNCTION("""COMPUTED_VALUE"""),"6219b0d6-4ccb-414f-b4ea-14b17b7b87ac")</f>
        <v>6219b0d6-4ccb-414f-b4ea-14b17b7b87ac</v>
      </c>
      <c r="C422" s="7">
        <f>IFERROR(__xludf.DUMMYFUNCTION("""COMPUTED_VALUE"""),1.0)</f>
        <v>1</v>
      </c>
      <c r="D422" s="6">
        <f>IFERROR(__xludf.DUMMYFUNCTION("""COMPUTED_VALUE"""),45704.0)</f>
        <v>45704</v>
      </c>
      <c r="E422" s="7" t="str">
        <f>IFERROR(__xludf.DUMMYFUNCTION("""COMPUTED_VALUE"""),"FRANQUIA_D&amp;G_SP")</f>
        <v>FRANQUIA_D&amp;G_SP</v>
      </c>
      <c r="F422" s="7" t="str">
        <f>IFERROR(__xludf.DUMMYFUNCTION("""COMPUTED_VALUE"""),"MOTORCYCLE")</f>
        <v>MOTORCYCLE</v>
      </c>
      <c r="G422" s="7" t="str">
        <f>IFERROR(__xludf.DUMMYFUNCTION("""COMPUTED_VALUE"""),"ABC")</f>
        <v>ABC</v>
      </c>
    </row>
    <row r="423">
      <c r="A423" s="6">
        <f>IFERROR(__xludf.DUMMYFUNCTION("""COMPUTED_VALUE"""),45705.0)</f>
        <v>45705</v>
      </c>
      <c r="B423" s="7" t="str">
        <f>IFERROR(__xludf.DUMMYFUNCTION("""COMPUTED_VALUE"""),"1d7ba461-67b0-4aaf-9cd4-fa410105ecc7")</f>
        <v>1d7ba461-67b0-4aaf-9cd4-fa410105ecc7</v>
      </c>
      <c r="C423" s="7">
        <f>IFERROR(__xludf.DUMMYFUNCTION("""COMPUTED_VALUE"""),2.0)</f>
        <v>2</v>
      </c>
      <c r="D423" s="6">
        <f>IFERROR(__xludf.DUMMYFUNCTION("""COMPUTED_VALUE"""),45703.0)</f>
        <v>45703</v>
      </c>
      <c r="E423" s="7" t="str">
        <f>IFERROR(__xludf.DUMMYFUNCTION("""COMPUTED_VALUE"""),"FRANQUIA_D&amp;G_SP")</f>
        <v>FRANQUIA_D&amp;G_SP</v>
      </c>
      <c r="F423" s="7" t="str">
        <f>IFERROR(__xludf.DUMMYFUNCTION("""COMPUTED_VALUE"""),"MOTORCYCLE")</f>
        <v>MOTORCYCLE</v>
      </c>
      <c r="G423" s="7" t="str">
        <f>IFERROR(__xludf.DUMMYFUNCTION("""COMPUTED_VALUE"""),"SAO PAULO")</f>
        <v>SAO PAULO</v>
      </c>
    </row>
    <row r="424">
      <c r="A424" s="6">
        <f>IFERROR(__xludf.DUMMYFUNCTION("""COMPUTED_VALUE"""),45705.0)</f>
        <v>45705</v>
      </c>
      <c r="B424" s="7" t="str">
        <f>IFERROR(__xludf.DUMMYFUNCTION("""COMPUTED_VALUE"""),"961df079-fb08-4b02-82f7-8cba9f113a14")</f>
        <v>961df079-fb08-4b02-82f7-8cba9f113a14</v>
      </c>
      <c r="C424" s="7">
        <f>IFERROR(__xludf.DUMMYFUNCTION("""COMPUTED_VALUE"""),14.0)</f>
        <v>14</v>
      </c>
      <c r="D424" s="6">
        <f>IFERROR(__xludf.DUMMYFUNCTION("""COMPUTED_VALUE"""),45691.0)</f>
        <v>45691</v>
      </c>
      <c r="E424" s="7" t="str">
        <f>IFERROR(__xludf.DUMMYFUNCTION("""COMPUTED_VALUE"""),"FRANQUIA_D&amp;G_SP")</f>
        <v>FRANQUIA_D&amp;G_SP</v>
      </c>
      <c r="F424" s="7" t="str">
        <f>IFERROR(__xludf.DUMMYFUNCTION("""COMPUTED_VALUE"""),"MOTORCYCLE")</f>
        <v>MOTORCYCLE</v>
      </c>
      <c r="G424" s="7" t="str">
        <f>IFERROR(__xludf.DUMMYFUNCTION("""COMPUTED_VALUE"""),"OSASCO")</f>
        <v>OSASCO</v>
      </c>
    </row>
    <row r="425">
      <c r="A425" s="6">
        <f>IFERROR(__xludf.DUMMYFUNCTION("""COMPUTED_VALUE"""),45705.0)</f>
        <v>45705</v>
      </c>
      <c r="B425" s="7" t="str">
        <f>IFERROR(__xludf.DUMMYFUNCTION("""COMPUTED_VALUE"""),"34c589cf-41a9-45b8-a3e4-24304f2244d7")</f>
        <v>34c589cf-41a9-45b8-a3e4-24304f2244d7</v>
      </c>
      <c r="C425" s="7">
        <f>IFERROR(__xludf.DUMMYFUNCTION("""COMPUTED_VALUE"""),15.0)</f>
        <v>15</v>
      </c>
      <c r="D425" s="6">
        <f>IFERROR(__xludf.DUMMYFUNCTION("""COMPUTED_VALUE"""),45690.0)</f>
        <v>45690</v>
      </c>
      <c r="E425" s="7" t="str">
        <f>IFERROR(__xludf.DUMMYFUNCTION("""COMPUTED_VALUE"""),"FRANQUIA_D&amp;G_SP")</f>
        <v>FRANQUIA_D&amp;G_SP</v>
      </c>
      <c r="F425" s="7" t="str">
        <f>IFERROR(__xludf.DUMMYFUNCTION("""COMPUTED_VALUE"""),"MOTORCYCLE")</f>
        <v>MOTORCYCLE</v>
      </c>
      <c r="G425" s="7" t="str">
        <f>IFERROR(__xludf.DUMMYFUNCTION("""COMPUTED_VALUE"""),"SAO PAULO")</f>
        <v>SAO PAULO</v>
      </c>
    </row>
    <row r="426">
      <c r="A426" s="6">
        <f>IFERROR(__xludf.DUMMYFUNCTION("""COMPUTED_VALUE"""),45705.0)</f>
        <v>45705</v>
      </c>
      <c r="B426" s="7" t="str">
        <f>IFERROR(__xludf.DUMMYFUNCTION("""COMPUTED_VALUE"""),"5131ad2d-b79f-4b2a-a75d-e1e8ae724616")</f>
        <v>5131ad2d-b79f-4b2a-a75d-e1e8ae724616</v>
      </c>
      <c r="C426" s="7">
        <f>IFERROR(__xludf.DUMMYFUNCTION("""COMPUTED_VALUE"""),158.0)</f>
        <v>158</v>
      </c>
      <c r="D426" s="6">
        <f>IFERROR(__xludf.DUMMYFUNCTION("""COMPUTED_VALUE"""),45547.0)</f>
        <v>45547</v>
      </c>
      <c r="E426" s="7" t="str">
        <f>IFERROR(__xludf.DUMMYFUNCTION("""COMPUTED_VALUE"""),"FRANQUIA_D&amp;G_SP")</f>
        <v>FRANQUIA_D&amp;G_SP</v>
      </c>
      <c r="F426" s="7" t="str">
        <f>IFERROR(__xludf.DUMMYFUNCTION("""COMPUTED_VALUE"""),"MOTORCYCLE")</f>
        <v>MOTORCYCLE</v>
      </c>
      <c r="G426" s="7" t="str">
        <f>IFERROR(__xludf.DUMMYFUNCTION("""COMPUTED_VALUE"""),"RECIFE")</f>
        <v>RECIFE</v>
      </c>
    </row>
    <row r="427">
      <c r="A427" s="6">
        <f>IFERROR(__xludf.DUMMYFUNCTION("""COMPUTED_VALUE"""),45705.0)</f>
        <v>45705</v>
      </c>
      <c r="B427" s="7" t="str">
        <f>IFERROR(__xludf.DUMMYFUNCTION("""COMPUTED_VALUE"""),"c40a50f5-c57a-42bb-881a-1bec52d8072a")</f>
        <v>c40a50f5-c57a-42bb-881a-1bec52d8072a</v>
      </c>
      <c r="C427" s="7">
        <f>IFERROR(__xludf.DUMMYFUNCTION("""COMPUTED_VALUE"""),1.0)</f>
        <v>1</v>
      </c>
      <c r="D427" s="6">
        <f>IFERROR(__xludf.DUMMYFUNCTION("""COMPUTED_VALUE"""),45704.0)</f>
        <v>45704</v>
      </c>
      <c r="E427" s="7" t="str">
        <f>IFERROR(__xludf.DUMMYFUNCTION("""COMPUTED_VALUE"""),"FRANQUIA_D&amp;G_SP")</f>
        <v>FRANQUIA_D&amp;G_SP</v>
      </c>
      <c r="F427" s="7" t="str">
        <f>IFERROR(__xludf.DUMMYFUNCTION("""COMPUTED_VALUE"""),"MOTORCYCLE")</f>
        <v>MOTORCYCLE</v>
      </c>
      <c r="G427" s="7" t="str">
        <f>IFERROR(__xludf.DUMMYFUNCTION("""COMPUTED_VALUE"""),"SAO PAULO")</f>
        <v>SAO PAULO</v>
      </c>
    </row>
    <row r="428">
      <c r="A428" s="6">
        <f>IFERROR(__xludf.DUMMYFUNCTION("""COMPUTED_VALUE"""),45705.0)</f>
        <v>45705</v>
      </c>
      <c r="B428" s="7" t="str">
        <f>IFERROR(__xludf.DUMMYFUNCTION("""COMPUTED_VALUE"""),"18c5b53a-e638-43b9-8a6d-1931f864dba2")</f>
        <v>18c5b53a-e638-43b9-8a6d-1931f864dba2</v>
      </c>
      <c r="C428" s="7">
        <f>IFERROR(__xludf.DUMMYFUNCTION("""COMPUTED_VALUE"""),0.0)</f>
        <v>0</v>
      </c>
      <c r="D428" s="6">
        <f>IFERROR(__xludf.DUMMYFUNCTION("""COMPUTED_VALUE"""),45705.0)</f>
        <v>45705</v>
      </c>
      <c r="E428" s="7" t="str">
        <f>IFERROR(__xludf.DUMMYFUNCTION("""COMPUTED_VALUE"""),"FRANQUIA_D&amp;G_SP")</f>
        <v>FRANQUIA_D&amp;G_SP</v>
      </c>
      <c r="F428" s="7" t="str">
        <f>IFERROR(__xludf.DUMMYFUNCTION("""COMPUTED_VALUE"""),"MOTORCYCLE")</f>
        <v>MOTORCYCLE</v>
      </c>
      <c r="G428" s="7" t="str">
        <f>IFERROR(__xludf.DUMMYFUNCTION("""COMPUTED_VALUE"""),"SAO PAULO")</f>
        <v>SAO PAULO</v>
      </c>
    </row>
    <row r="429">
      <c r="A429" s="6">
        <f>IFERROR(__xludf.DUMMYFUNCTION("""COMPUTED_VALUE"""),45705.0)</f>
        <v>45705</v>
      </c>
      <c r="B429" s="7" t="str">
        <f>IFERROR(__xludf.DUMMYFUNCTION("""COMPUTED_VALUE"""),"e37e04ee-69e8-45c8-9e02-050cc07e74b1")</f>
        <v>e37e04ee-69e8-45c8-9e02-050cc07e74b1</v>
      </c>
      <c r="C429" s="7">
        <f>IFERROR(__xludf.DUMMYFUNCTION("""COMPUTED_VALUE"""),0.0)</f>
        <v>0</v>
      </c>
      <c r="D429" s="6">
        <f>IFERROR(__xludf.DUMMYFUNCTION("""COMPUTED_VALUE"""),45705.0)</f>
        <v>45705</v>
      </c>
      <c r="E429" s="7" t="str">
        <f>IFERROR(__xludf.DUMMYFUNCTION("""COMPUTED_VALUE"""),"FRANQUIA_D&amp;G_SP")</f>
        <v>FRANQUIA_D&amp;G_SP</v>
      </c>
      <c r="F429" s="7" t="str">
        <f>IFERROR(__xludf.DUMMYFUNCTION("""COMPUTED_VALUE"""),"MOTORCYCLE")</f>
        <v>MOTORCYCLE</v>
      </c>
      <c r="G429" s="7" t="str">
        <f>IFERROR(__xludf.DUMMYFUNCTION("""COMPUTED_VALUE"""),"PARAUAPEBAS")</f>
        <v>PARAUAPEBAS</v>
      </c>
    </row>
    <row r="430">
      <c r="A430" s="6">
        <f>IFERROR(__xludf.DUMMYFUNCTION("""COMPUTED_VALUE"""),45705.0)</f>
        <v>45705</v>
      </c>
      <c r="B430" s="7" t="str">
        <f>IFERROR(__xludf.DUMMYFUNCTION("""COMPUTED_VALUE"""),"203152bc-f379-42a5-a0ee-cb70e0e9bf22")</f>
        <v>203152bc-f379-42a5-a0ee-cb70e0e9bf22</v>
      </c>
      <c r="C430" s="7">
        <f>IFERROR(__xludf.DUMMYFUNCTION("""COMPUTED_VALUE"""),0.0)</f>
        <v>0</v>
      </c>
      <c r="D430" s="6">
        <f>IFERROR(__xludf.DUMMYFUNCTION("""COMPUTED_VALUE"""),45705.0)</f>
        <v>45705</v>
      </c>
      <c r="E430" s="7" t="str">
        <f>IFERROR(__xludf.DUMMYFUNCTION("""COMPUTED_VALUE"""),"FRANQUIA_D&amp;G_SP")</f>
        <v>FRANQUIA_D&amp;G_SP</v>
      </c>
      <c r="F430" s="7" t="str">
        <f>IFERROR(__xludf.DUMMYFUNCTION("""COMPUTED_VALUE"""),"MOTORCYCLE")</f>
        <v>MOTORCYCLE</v>
      </c>
      <c r="G430" s="7" t="str">
        <f>IFERROR(__xludf.DUMMYFUNCTION("""COMPUTED_VALUE"""),"SAO PAULO")</f>
        <v>SAO PAULO</v>
      </c>
    </row>
    <row r="431">
      <c r="A431" s="6">
        <f>IFERROR(__xludf.DUMMYFUNCTION("""COMPUTED_VALUE"""),45705.0)</f>
        <v>45705</v>
      </c>
      <c r="B431" s="7" t="str">
        <f>IFERROR(__xludf.DUMMYFUNCTION("""COMPUTED_VALUE"""),"57fbb3e3-964d-4c28-a08f-3559175632e5")</f>
        <v>57fbb3e3-964d-4c28-a08f-3559175632e5</v>
      </c>
      <c r="C431" s="7">
        <f>IFERROR(__xludf.DUMMYFUNCTION("""COMPUTED_VALUE"""),491.0)</f>
        <v>491</v>
      </c>
      <c r="D431" s="6">
        <f>IFERROR(__xludf.DUMMYFUNCTION("""COMPUTED_VALUE"""),45214.0)</f>
        <v>45214</v>
      </c>
      <c r="E431" s="7" t="str">
        <f>IFERROR(__xludf.DUMMYFUNCTION("""COMPUTED_VALUE"""),"FRANQUIA_D&amp;G_SP")</f>
        <v>FRANQUIA_D&amp;G_SP</v>
      </c>
      <c r="F431" s="7" t="str">
        <f>IFERROR(__xludf.DUMMYFUNCTION("""COMPUTED_VALUE"""),"MOTORCYCLE")</f>
        <v>MOTORCYCLE</v>
      </c>
      <c r="G431" s="7" t="str">
        <f>IFERROR(__xludf.DUMMYFUNCTION("""COMPUTED_VALUE"""),"SAO PAULO")</f>
        <v>SAO PAULO</v>
      </c>
    </row>
    <row r="432">
      <c r="A432" s="6">
        <f>IFERROR(__xludf.DUMMYFUNCTION("""COMPUTED_VALUE"""),45705.0)</f>
        <v>45705</v>
      </c>
      <c r="B432" s="7" t="str">
        <f>IFERROR(__xludf.DUMMYFUNCTION("""COMPUTED_VALUE"""),"3cd0973a-2c2b-42c7-8003-21abe036edcb")</f>
        <v>3cd0973a-2c2b-42c7-8003-21abe036edcb</v>
      </c>
      <c r="C432" s="7">
        <f>IFERROR(__xludf.DUMMYFUNCTION("""COMPUTED_VALUE"""),0.0)</f>
        <v>0</v>
      </c>
      <c r="D432" s="6">
        <f>IFERROR(__xludf.DUMMYFUNCTION("""COMPUTED_VALUE"""),45705.0)</f>
        <v>45705</v>
      </c>
      <c r="E432" s="7" t="str">
        <f>IFERROR(__xludf.DUMMYFUNCTION("""COMPUTED_VALUE"""),"FRANQUIA_D&amp;G_SP")</f>
        <v>FRANQUIA_D&amp;G_SP</v>
      </c>
      <c r="F432" s="7" t="str">
        <f>IFERROR(__xludf.DUMMYFUNCTION("""COMPUTED_VALUE"""),"MOTORCYCLE")</f>
        <v>MOTORCYCLE</v>
      </c>
      <c r="G432" s="7" t="str">
        <f>IFERROR(__xludf.DUMMYFUNCTION("""COMPUTED_VALUE"""),"SAO PAULO")</f>
        <v>SAO PAULO</v>
      </c>
    </row>
    <row r="433">
      <c r="A433" s="6">
        <f>IFERROR(__xludf.DUMMYFUNCTION("""COMPUTED_VALUE"""),45705.0)</f>
        <v>45705</v>
      </c>
      <c r="B433" s="7" t="str">
        <f>IFERROR(__xludf.DUMMYFUNCTION("""COMPUTED_VALUE"""),"5c85ca73-c1c9-482f-aee8-3e69c72d6147")</f>
        <v>5c85ca73-c1c9-482f-aee8-3e69c72d6147</v>
      </c>
      <c r="C433" s="7">
        <f>IFERROR(__xludf.DUMMYFUNCTION("""COMPUTED_VALUE"""),206.0)</f>
        <v>206</v>
      </c>
      <c r="D433" s="6">
        <f>IFERROR(__xludf.DUMMYFUNCTION("""COMPUTED_VALUE"""),45499.0)</f>
        <v>45499</v>
      </c>
      <c r="E433" s="7" t="str">
        <f>IFERROR(__xludf.DUMMYFUNCTION("""COMPUTED_VALUE"""),"FRANQUIA_D&amp;G_SP")</f>
        <v>FRANQUIA_D&amp;G_SP</v>
      </c>
      <c r="F433" s="7" t="str">
        <f>IFERROR(__xludf.DUMMYFUNCTION("""COMPUTED_VALUE"""),"BICYCLE")</f>
        <v>BICYCLE</v>
      </c>
      <c r="G433" s="7" t="str">
        <f>IFERROR(__xludf.DUMMYFUNCTION("""COMPUTED_VALUE"""),"SAO PAULO")</f>
        <v>SAO PAULO</v>
      </c>
    </row>
    <row r="434">
      <c r="A434" s="6">
        <f>IFERROR(__xludf.DUMMYFUNCTION("""COMPUTED_VALUE"""),45705.0)</f>
        <v>45705</v>
      </c>
      <c r="B434" s="7" t="str">
        <f>IFERROR(__xludf.DUMMYFUNCTION("""COMPUTED_VALUE"""),"39692535-8ac5-4a74-a0a4-056bc7b79a12")</f>
        <v>39692535-8ac5-4a74-a0a4-056bc7b79a12</v>
      </c>
      <c r="C434" s="7">
        <f>IFERROR(__xludf.DUMMYFUNCTION("""COMPUTED_VALUE"""),0.0)</f>
        <v>0</v>
      </c>
      <c r="D434" s="6">
        <f>IFERROR(__xludf.DUMMYFUNCTION("""COMPUTED_VALUE"""),45705.0)</f>
        <v>45705</v>
      </c>
      <c r="E434" s="7" t="str">
        <f>IFERROR(__xludf.DUMMYFUNCTION("""COMPUTED_VALUE"""),"FRANQUIA_D&amp;G_SP")</f>
        <v>FRANQUIA_D&amp;G_SP</v>
      </c>
      <c r="F434" s="7" t="str">
        <f>IFERROR(__xludf.DUMMYFUNCTION("""COMPUTED_VALUE"""),"MOTORCYCLE")</f>
        <v>MOTORCYCLE</v>
      </c>
      <c r="G434" s="7" t="str">
        <f>IFERROR(__xludf.DUMMYFUNCTION("""COMPUTED_VALUE"""),"SAO PAULO")</f>
        <v>SAO PAULO</v>
      </c>
    </row>
    <row r="435">
      <c r="A435" s="6">
        <f>IFERROR(__xludf.DUMMYFUNCTION("""COMPUTED_VALUE"""),45705.0)</f>
        <v>45705</v>
      </c>
      <c r="B435" s="7" t="str">
        <f>IFERROR(__xludf.DUMMYFUNCTION("""COMPUTED_VALUE"""),"0fafcfc7-28e1-49d8-9ddb-7cdd2a5fd2ac")</f>
        <v>0fafcfc7-28e1-49d8-9ddb-7cdd2a5fd2ac</v>
      </c>
      <c r="C435" s="7">
        <f>IFERROR(__xludf.DUMMYFUNCTION("""COMPUTED_VALUE"""),31.0)</f>
        <v>31</v>
      </c>
      <c r="D435" s="6">
        <f>IFERROR(__xludf.DUMMYFUNCTION("""COMPUTED_VALUE"""),45674.0)</f>
        <v>45674</v>
      </c>
      <c r="E435" s="7" t="str">
        <f>IFERROR(__xludf.DUMMYFUNCTION("""COMPUTED_VALUE"""),"FRANQUIA_D&amp;G_SP")</f>
        <v>FRANQUIA_D&amp;G_SP</v>
      </c>
      <c r="F435" s="7" t="str">
        <f>IFERROR(__xludf.DUMMYFUNCTION("""COMPUTED_VALUE"""),"BICYCLE")</f>
        <v>BICYCLE</v>
      </c>
      <c r="G435" s="7" t="str">
        <f>IFERROR(__xludf.DUMMYFUNCTION("""COMPUTED_VALUE"""),"RESTAURANTE PARCEIRO")</f>
        <v>RESTAURANTE PARCEIRO</v>
      </c>
    </row>
    <row r="436">
      <c r="A436" s="6">
        <f>IFERROR(__xludf.DUMMYFUNCTION("""COMPUTED_VALUE"""),45705.0)</f>
        <v>45705</v>
      </c>
      <c r="B436" s="7" t="str">
        <f>IFERROR(__xludf.DUMMYFUNCTION("""COMPUTED_VALUE"""),"187edded-07ac-4d3d-b274-5cdc112edbdb")</f>
        <v>187edded-07ac-4d3d-b274-5cdc112edbdb</v>
      </c>
      <c r="C436" s="7">
        <f>IFERROR(__xludf.DUMMYFUNCTION("""COMPUTED_VALUE"""),645.0)</f>
        <v>645</v>
      </c>
      <c r="D436" s="6">
        <f>IFERROR(__xludf.DUMMYFUNCTION("""COMPUTED_VALUE"""),45060.0)</f>
        <v>45060</v>
      </c>
      <c r="E436" s="7" t="str">
        <f>IFERROR(__xludf.DUMMYFUNCTION("""COMPUTED_VALUE"""),"FRANQUIA_D&amp;G_SP")</f>
        <v>FRANQUIA_D&amp;G_SP</v>
      </c>
      <c r="F436" s="7" t="str">
        <f>IFERROR(__xludf.DUMMYFUNCTION("""COMPUTED_VALUE"""),"MOTORCYCLE")</f>
        <v>MOTORCYCLE</v>
      </c>
      <c r="G436" s="7" t="str">
        <f>IFERROR(__xludf.DUMMYFUNCTION("""COMPUTED_VALUE"""),"SAO PAULO")</f>
        <v>SAO PAULO</v>
      </c>
    </row>
    <row r="437">
      <c r="A437" s="6">
        <f>IFERROR(__xludf.DUMMYFUNCTION("""COMPUTED_VALUE"""),45705.0)</f>
        <v>45705</v>
      </c>
      <c r="B437" s="7" t="str">
        <f>IFERROR(__xludf.DUMMYFUNCTION("""COMPUTED_VALUE"""),"40323476-a87f-4a8f-b702-f3534f81f52b")</f>
        <v>40323476-a87f-4a8f-b702-f3534f81f52b</v>
      </c>
      <c r="C437" s="7">
        <f>IFERROR(__xludf.DUMMYFUNCTION("""COMPUTED_VALUE"""),0.0)</f>
        <v>0</v>
      </c>
      <c r="D437" s="6">
        <f>IFERROR(__xludf.DUMMYFUNCTION("""COMPUTED_VALUE"""),45705.0)</f>
        <v>45705</v>
      </c>
      <c r="E437" s="7" t="str">
        <f>IFERROR(__xludf.DUMMYFUNCTION("""COMPUTED_VALUE"""),"FRANQUIA_D&amp;G_SP")</f>
        <v>FRANQUIA_D&amp;G_SP</v>
      </c>
      <c r="F437" s="7" t="str">
        <f>IFERROR(__xludf.DUMMYFUNCTION("""COMPUTED_VALUE"""),"BICYCLE")</f>
        <v>BICYCLE</v>
      </c>
      <c r="G437" s="7" t="str">
        <f>IFERROR(__xludf.DUMMYFUNCTION("""COMPUTED_VALUE"""),"SAO PAULO")</f>
        <v>SAO PAULO</v>
      </c>
    </row>
    <row r="438">
      <c r="A438" s="6">
        <f>IFERROR(__xludf.DUMMYFUNCTION("""COMPUTED_VALUE"""),45705.0)</f>
        <v>45705</v>
      </c>
      <c r="B438" s="7" t="str">
        <f>IFERROR(__xludf.DUMMYFUNCTION("""COMPUTED_VALUE"""),"a27d5c0b-d83f-441d-8dfb-9881c266d158")</f>
        <v>a27d5c0b-d83f-441d-8dfb-9881c266d158</v>
      </c>
      <c r="C438" s="7">
        <f>IFERROR(__xludf.DUMMYFUNCTION("""COMPUTED_VALUE"""),58.0)</f>
        <v>58</v>
      </c>
      <c r="D438" s="6">
        <f>IFERROR(__xludf.DUMMYFUNCTION("""COMPUTED_VALUE"""),45647.0)</f>
        <v>45647</v>
      </c>
      <c r="E438" s="7" t="str">
        <f>IFERROR(__xludf.DUMMYFUNCTION("""COMPUTED_VALUE"""),"FRANQUIA_D&amp;G_SP")</f>
        <v>FRANQUIA_D&amp;G_SP</v>
      </c>
      <c r="F438" s="7" t="str">
        <f>IFERROR(__xludf.DUMMYFUNCTION("""COMPUTED_VALUE"""),"MOTORCYCLE")</f>
        <v>MOTORCYCLE</v>
      </c>
      <c r="G438" s="7" t="str">
        <f>IFERROR(__xludf.DUMMYFUNCTION("""COMPUTED_VALUE"""),"SAO PAULO")</f>
        <v>SAO PAULO</v>
      </c>
    </row>
    <row r="439">
      <c r="A439" s="6">
        <f>IFERROR(__xludf.DUMMYFUNCTION("""COMPUTED_VALUE"""),45705.0)</f>
        <v>45705</v>
      </c>
      <c r="B439" s="7" t="str">
        <f>IFERROR(__xludf.DUMMYFUNCTION("""COMPUTED_VALUE"""),"8769e1e5-5e75-4380-9892-d330ac5ada89")</f>
        <v>8769e1e5-5e75-4380-9892-d330ac5ada89</v>
      </c>
      <c r="C439" s="7">
        <f>IFERROR(__xludf.DUMMYFUNCTION("""COMPUTED_VALUE"""),6.0)</f>
        <v>6</v>
      </c>
      <c r="D439" s="6">
        <f>IFERROR(__xludf.DUMMYFUNCTION("""COMPUTED_VALUE"""),45699.0)</f>
        <v>45699</v>
      </c>
      <c r="E439" s="7" t="str">
        <f>IFERROR(__xludf.DUMMYFUNCTION("""COMPUTED_VALUE"""),"FRANQUIA_D&amp;G_SP")</f>
        <v>FRANQUIA_D&amp;G_SP</v>
      </c>
      <c r="F439" s="7" t="str">
        <f>IFERROR(__xludf.DUMMYFUNCTION("""COMPUTED_VALUE"""),"MOTORCYCLE")</f>
        <v>MOTORCYCLE</v>
      </c>
      <c r="G439" s="7" t="str">
        <f>IFERROR(__xludf.DUMMYFUNCTION("""COMPUTED_VALUE"""),"SAO PAULO")</f>
        <v>SAO PAULO</v>
      </c>
    </row>
    <row r="440">
      <c r="A440" s="6">
        <f>IFERROR(__xludf.DUMMYFUNCTION("""COMPUTED_VALUE"""),45705.0)</f>
        <v>45705</v>
      </c>
      <c r="B440" s="7" t="str">
        <f>IFERROR(__xludf.DUMMYFUNCTION("""COMPUTED_VALUE"""),"6e29b2a5-21eb-4c8f-9fce-2796bf01f80a")</f>
        <v>6e29b2a5-21eb-4c8f-9fce-2796bf01f80a</v>
      </c>
      <c r="C440" s="7">
        <f>IFERROR(__xludf.DUMMYFUNCTION("""COMPUTED_VALUE"""),0.0)</f>
        <v>0</v>
      </c>
      <c r="D440" s="6">
        <f>IFERROR(__xludf.DUMMYFUNCTION("""COMPUTED_VALUE"""),45705.0)</f>
        <v>45705</v>
      </c>
      <c r="E440" s="7" t="str">
        <f>IFERROR(__xludf.DUMMYFUNCTION("""COMPUTED_VALUE"""),"FRANQUIA_D&amp;G_SP")</f>
        <v>FRANQUIA_D&amp;G_SP</v>
      </c>
      <c r="F440" s="7" t="str">
        <f>IFERROR(__xludf.DUMMYFUNCTION("""COMPUTED_VALUE"""),"BICYCLE")</f>
        <v>BICYCLE</v>
      </c>
      <c r="G440" s="7" t="str">
        <f>IFERROR(__xludf.DUMMYFUNCTION("""COMPUTED_VALUE"""),"SAO PAULO")</f>
        <v>SAO PAULO</v>
      </c>
    </row>
    <row r="441">
      <c r="A441" s="6">
        <f>IFERROR(__xludf.DUMMYFUNCTION("""COMPUTED_VALUE"""),45705.0)</f>
        <v>45705</v>
      </c>
      <c r="B441" s="7" t="str">
        <f>IFERROR(__xludf.DUMMYFUNCTION("""COMPUTED_VALUE"""),"8e9a2c23-897e-40e3-9a8d-c45e6871e685")</f>
        <v>8e9a2c23-897e-40e3-9a8d-c45e6871e685</v>
      </c>
      <c r="C441" s="7">
        <f>IFERROR(__xludf.DUMMYFUNCTION("""COMPUTED_VALUE"""),0.0)</f>
        <v>0</v>
      </c>
      <c r="D441" s="6">
        <f>IFERROR(__xludf.DUMMYFUNCTION("""COMPUTED_VALUE"""),45705.0)</f>
        <v>45705</v>
      </c>
      <c r="E441" s="7" t="str">
        <f>IFERROR(__xludf.DUMMYFUNCTION("""COMPUTED_VALUE"""),"FRANQUIA_D&amp;G_SP")</f>
        <v>FRANQUIA_D&amp;G_SP</v>
      </c>
      <c r="F441" s="7" t="str">
        <f>IFERROR(__xludf.DUMMYFUNCTION("""COMPUTED_VALUE"""),"MOTORCYCLE")</f>
        <v>MOTORCYCLE</v>
      </c>
      <c r="G441" s="7" t="str">
        <f>IFERROR(__xludf.DUMMYFUNCTION("""COMPUTED_VALUE"""),"ABC")</f>
        <v>ABC</v>
      </c>
    </row>
    <row r="442">
      <c r="A442" s="6">
        <f>IFERROR(__xludf.DUMMYFUNCTION("""COMPUTED_VALUE"""),45705.0)</f>
        <v>45705</v>
      </c>
      <c r="B442" s="7" t="str">
        <f>IFERROR(__xludf.DUMMYFUNCTION("""COMPUTED_VALUE"""),"27e46342-ff2a-4f4a-927f-aec0b5a91a99")</f>
        <v>27e46342-ff2a-4f4a-927f-aec0b5a91a99</v>
      </c>
      <c r="C442" s="7">
        <f>IFERROR(__xludf.DUMMYFUNCTION("""COMPUTED_VALUE"""),383.0)</f>
        <v>383</v>
      </c>
      <c r="D442" s="6">
        <f>IFERROR(__xludf.DUMMYFUNCTION("""COMPUTED_VALUE"""),45322.0)</f>
        <v>45322</v>
      </c>
      <c r="E442" s="7" t="str">
        <f>IFERROR(__xludf.DUMMYFUNCTION("""COMPUTED_VALUE"""),"FRANQUIA_D&amp;G_SP")</f>
        <v>FRANQUIA_D&amp;G_SP</v>
      </c>
      <c r="F442" s="7" t="str">
        <f>IFERROR(__xludf.DUMMYFUNCTION("""COMPUTED_VALUE"""),"MOTORCYCLE")</f>
        <v>MOTORCYCLE</v>
      </c>
      <c r="G442" s="7" t="str">
        <f>IFERROR(__xludf.DUMMYFUNCTION("""COMPUTED_VALUE"""),"SAO PAULO")</f>
        <v>SAO PAULO</v>
      </c>
    </row>
    <row r="443">
      <c r="A443" s="6">
        <f>IFERROR(__xludf.DUMMYFUNCTION("""COMPUTED_VALUE"""),45705.0)</f>
        <v>45705</v>
      </c>
      <c r="B443" s="7" t="str">
        <f>IFERROR(__xludf.DUMMYFUNCTION("""COMPUTED_VALUE"""),"e4caf655-7629-47ae-8506-71427f1035cf")</f>
        <v>e4caf655-7629-47ae-8506-71427f1035cf</v>
      </c>
      <c r="C443" s="7">
        <f>IFERROR(__xludf.DUMMYFUNCTION("""COMPUTED_VALUE"""),114.0)</f>
        <v>114</v>
      </c>
      <c r="D443" s="6">
        <f>IFERROR(__xludf.DUMMYFUNCTION("""COMPUTED_VALUE"""),45591.0)</f>
        <v>45591</v>
      </c>
      <c r="E443" s="7" t="str">
        <f>IFERROR(__xludf.DUMMYFUNCTION("""COMPUTED_VALUE"""),"FRANQUIA_D&amp;G_SP")</f>
        <v>FRANQUIA_D&amp;G_SP</v>
      </c>
      <c r="F443" s="7" t="str">
        <f>IFERROR(__xludf.DUMMYFUNCTION("""COMPUTED_VALUE"""),"MOTORCYCLE")</f>
        <v>MOTORCYCLE</v>
      </c>
      <c r="G443" s="7" t="str">
        <f>IFERROR(__xludf.DUMMYFUNCTION("""COMPUTED_VALUE"""),"SAO PAULO")</f>
        <v>SAO PAULO</v>
      </c>
    </row>
    <row r="444">
      <c r="A444" s="6">
        <f>IFERROR(__xludf.DUMMYFUNCTION("""COMPUTED_VALUE"""),45705.0)</f>
        <v>45705</v>
      </c>
      <c r="B444" s="7" t="str">
        <f>IFERROR(__xludf.DUMMYFUNCTION("""COMPUTED_VALUE"""),"49fb9b85-66bc-4a63-919a-d09fb3d4c8e6")</f>
        <v>49fb9b85-66bc-4a63-919a-d09fb3d4c8e6</v>
      </c>
      <c r="C444" s="7">
        <f>IFERROR(__xludf.DUMMYFUNCTION("""COMPUTED_VALUE"""),41.0)</f>
        <v>41</v>
      </c>
      <c r="D444" s="6">
        <f>IFERROR(__xludf.DUMMYFUNCTION("""COMPUTED_VALUE"""),45664.0)</f>
        <v>45664</v>
      </c>
      <c r="E444" s="7" t="str">
        <f>IFERROR(__xludf.DUMMYFUNCTION("""COMPUTED_VALUE"""),"FRANQUIA_D&amp;G_SP")</f>
        <v>FRANQUIA_D&amp;G_SP</v>
      </c>
      <c r="F444" s="7" t="str">
        <f>IFERROR(__xludf.DUMMYFUNCTION("""COMPUTED_VALUE"""),"MOTORCYCLE")</f>
        <v>MOTORCYCLE</v>
      </c>
      <c r="G444" s="7" t="str">
        <f>IFERROR(__xludf.DUMMYFUNCTION("""COMPUTED_VALUE"""),"SAO PAULO")</f>
        <v>SAO PAULO</v>
      </c>
    </row>
    <row r="445">
      <c r="A445" s="6">
        <f>IFERROR(__xludf.DUMMYFUNCTION("""COMPUTED_VALUE"""),45705.0)</f>
        <v>45705</v>
      </c>
      <c r="B445" s="7" t="str">
        <f>IFERROR(__xludf.DUMMYFUNCTION("""COMPUTED_VALUE"""),"c715d97d-d825-4031-92a4-ade701109b6f")</f>
        <v>c715d97d-d825-4031-92a4-ade701109b6f</v>
      </c>
      <c r="C445" s="7">
        <f>IFERROR(__xludf.DUMMYFUNCTION("""COMPUTED_VALUE"""),187.0)</f>
        <v>187</v>
      </c>
      <c r="D445" s="6">
        <f>IFERROR(__xludf.DUMMYFUNCTION("""COMPUTED_VALUE"""),45518.0)</f>
        <v>45518</v>
      </c>
      <c r="E445" s="7" t="str">
        <f>IFERROR(__xludf.DUMMYFUNCTION("""COMPUTED_VALUE"""),"FRANQUIA_D&amp;G_SP")</f>
        <v>FRANQUIA_D&amp;G_SP</v>
      </c>
      <c r="F445" s="7" t="str">
        <f>IFERROR(__xludf.DUMMYFUNCTION("""COMPUTED_VALUE"""),"BICYCLE")</f>
        <v>BICYCLE</v>
      </c>
      <c r="G445" s="7" t="str">
        <f>IFERROR(__xludf.DUMMYFUNCTION("""COMPUTED_VALUE"""),"SAO PAULO")</f>
        <v>SAO PAULO</v>
      </c>
    </row>
    <row r="446">
      <c r="A446" s="6">
        <f>IFERROR(__xludf.DUMMYFUNCTION("""COMPUTED_VALUE"""),45705.0)</f>
        <v>45705</v>
      </c>
      <c r="B446" s="7" t="str">
        <f>IFERROR(__xludf.DUMMYFUNCTION("""COMPUTED_VALUE"""),"e6fb74d6-a0e3-4508-8d06-e14f3d214a52")</f>
        <v>e6fb74d6-a0e3-4508-8d06-e14f3d214a52</v>
      </c>
      <c r="C446" s="7">
        <f>IFERROR(__xludf.DUMMYFUNCTION("""COMPUTED_VALUE"""),0.0)</f>
        <v>0</v>
      </c>
      <c r="D446" s="6">
        <f>IFERROR(__xludf.DUMMYFUNCTION("""COMPUTED_VALUE"""),45705.0)</f>
        <v>45705</v>
      </c>
      <c r="E446" s="7" t="str">
        <f>IFERROR(__xludf.DUMMYFUNCTION("""COMPUTED_VALUE"""),"FRANQUIA_D&amp;G_SP")</f>
        <v>FRANQUIA_D&amp;G_SP</v>
      </c>
      <c r="F446" s="7" t="str">
        <f>IFERROR(__xludf.DUMMYFUNCTION("""COMPUTED_VALUE"""),"MOTORCYCLE")</f>
        <v>MOTORCYCLE</v>
      </c>
      <c r="G446" s="7" t="str">
        <f>IFERROR(__xludf.DUMMYFUNCTION("""COMPUTED_VALUE"""),"SAO PAULO")</f>
        <v>SAO PAULO</v>
      </c>
    </row>
    <row r="447">
      <c r="A447" s="6">
        <f>IFERROR(__xludf.DUMMYFUNCTION("""COMPUTED_VALUE"""),45705.0)</f>
        <v>45705</v>
      </c>
      <c r="B447" s="7" t="str">
        <f>IFERROR(__xludf.DUMMYFUNCTION("""COMPUTED_VALUE"""),"29b8c417-8fcb-49d2-a05c-f52f2233ec98")</f>
        <v>29b8c417-8fcb-49d2-a05c-f52f2233ec98</v>
      </c>
      <c r="C447" s="7">
        <f>IFERROR(__xludf.DUMMYFUNCTION("""COMPUTED_VALUE"""),12.0)</f>
        <v>12</v>
      </c>
      <c r="D447" s="6">
        <f>IFERROR(__xludf.DUMMYFUNCTION("""COMPUTED_VALUE"""),45693.0)</f>
        <v>45693</v>
      </c>
      <c r="E447" s="7" t="str">
        <f>IFERROR(__xludf.DUMMYFUNCTION("""COMPUTED_VALUE"""),"FRANQUIA_D&amp;G_SP")</f>
        <v>FRANQUIA_D&amp;G_SP</v>
      </c>
      <c r="F447" s="7" t="str">
        <f>IFERROR(__xludf.DUMMYFUNCTION("""COMPUTED_VALUE"""),"MOTORCYCLE")</f>
        <v>MOTORCYCLE</v>
      </c>
      <c r="G447" s="7" t="str">
        <f>IFERROR(__xludf.DUMMYFUNCTION("""COMPUTED_VALUE"""),"SAO PAULO")</f>
        <v>SAO PAULO</v>
      </c>
    </row>
    <row r="448">
      <c r="A448" s="6">
        <f>IFERROR(__xludf.DUMMYFUNCTION("""COMPUTED_VALUE"""),45705.0)</f>
        <v>45705</v>
      </c>
      <c r="B448" s="7" t="str">
        <f>IFERROR(__xludf.DUMMYFUNCTION("""COMPUTED_VALUE"""),"54f7e8b3-759a-4326-afc2-83879d958b45")</f>
        <v>54f7e8b3-759a-4326-afc2-83879d958b45</v>
      </c>
      <c r="C448" s="7">
        <f>IFERROR(__xludf.DUMMYFUNCTION("""COMPUTED_VALUE"""),2.0)</f>
        <v>2</v>
      </c>
      <c r="D448" s="6">
        <f>IFERROR(__xludf.DUMMYFUNCTION("""COMPUTED_VALUE"""),45703.0)</f>
        <v>45703</v>
      </c>
      <c r="E448" s="7" t="str">
        <f>IFERROR(__xludf.DUMMYFUNCTION("""COMPUTED_VALUE"""),"FRANQUIA_D&amp;G_SP")</f>
        <v>FRANQUIA_D&amp;G_SP</v>
      </c>
      <c r="F448" s="7" t="str">
        <f>IFERROR(__xludf.DUMMYFUNCTION("""COMPUTED_VALUE"""),"MOTORCYCLE")</f>
        <v>MOTORCYCLE</v>
      </c>
      <c r="G448" s="7" t="str">
        <f>IFERROR(__xludf.DUMMYFUNCTION("""COMPUTED_VALUE"""),"SAO PAULO")</f>
        <v>SAO PAULO</v>
      </c>
    </row>
    <row r="449">
      <c r="A449" s="6">
        <f>IFERROR(__xludf.DUMMYFUNCTION("""COMPUTED_VALUE"""),45705.0)</f>
        <v>45705</v>
      </c>
      <c r="B449" s="7" t="str">
        <f>IFERROR(__xludf.DUMMYFUNCTION("""COMPUTED_VALUE"""),"c399228a-d860-4f8f-8141-4b6281676917")</f>
        <v>c399228a-d860-4f8f-8141-4b6281676917</v>
      </c>
      <c r="C449" s="7">
        <f>IFERROR(__xludf.DUMMYFUNCTION("""COMPUTED_VALUE"""),5.0)</f>
        <v>5</v>
      </c>
      <c r="D449" s="6">
        <f>IFERROR(__xludf.DUMMYFUNCTION("""COMPUTED_VALUE"""),45700.0)</f>
        <v>45700</v>
      </c>
      <c r="E449" s="7" t="str">
        <f>IFERROR(__xludf.DUMMYFUNCTION("""COMPUTED_VALUE"""),"FRANQUIA_D&amp;G_SP")</f>
        <v>FRANQUIA_D&amp;G_SP</v>
      </c>
      <c r="F449" s="7" t="str">
        <f>IFERROR(__xludf.DUMMYFUNCTION("""COMPUTED_VALUE"""),"BICYCLE")</f>
        <v>BICYCLE</v>
      </c>
      <c r="G449" s="7" t="str">
        <f>IFERROR(__xludf.DUMMYFUNCTION("""COMPUTED_VALUE"""),"SAO PAULO")</f>
        <v>SAO PAULO</v>
      </c>
    </row>
    <row r="450">
      <c r="A450" s="6">
        <f>IFERROR(__xludf.DUMMYFUNCTION("""COMPUTED_VALUE"""),45705.0)</f>
        <v>45705</v>
      </c>
      <c r="B450" s="7" t="str">
        <f>IFERROR(__xludf.DUMMYFUNCTION("""COMPUTED_VALUE"""),"d9d1bf7c-b975-4c67-8b48-4eed0346a6bd")</f>
        <v>d9d1bf7c-b975-4c67-8b48-4eed0346a6bd</v>
      </c>
      <c r="C450" s="7">
        <f>IFERROR(__xludf.DUMMYFUNCTION("""COMPUTED_VALUE"""),506.0)</f>
        <v>506</v>
      </c>
      <c r="D450" s="6">
        <f>IFERROR(__xludf.DUMMYFUNCTION("""COMPUTED_VALUE"""),45199.0)</f>
        <v>45199</v>
      </c>
      <c r="E450" s="7" t="str">
        <f>IFERROR(__xludf.DUMMYFUNCTION("""COMPUTED_VALUE"""),"FRANQUIA_D&amp;G_SP")</f>
        <v>FRANQUIA_D&amp;G_SP</v>
      </c>
      <c r="F450" s="7" t="str">
        <f>IFERROR(__xludf.DUMMYFUNCTION("""COMPUTED_VALUE"""),"BICYCLE")</f>
        <v>BICYCLE</v>
      </c>
      <c r="G450" s="7" t="str">
        <f>IFERROR(__xludf.DUMMYFUNCTION("""COMPUTED_VALUE"""),"CARAPICUIBA")</f>
        <v>CARAPICUIBA</v>
      </c>
    </row>
    <row r="451">
      <c r="A451" s="6">
        <f>IFERROR(__xludf.DUMMYFUNCTION("""COMPUTED_VALUE"""),45705.0)</f>
        <v>45705</v>
      </c>
      <c r="B451" s="7" t="str">
        <f>IFERROR(__xludf.DUMMYFUNCTION("""COMPUTED_VALUE"""),"97fea68a-afdf-4e4f-9989-72828a1f3607")</f>
        <v>97fea68a-afdf-4e4f-9989-72828a1f3607</v>
      </c>
      <c r="C451" s="7">
        <f>IFERROR(__xludf.DUMMYFUNCTION("""COMPUTED_VALUE"""),337.0)</f>
        <v>337</v>
      </c>
      <c r="D451" s="6">
        <f>IFERROR(__xludf.DUMMYFUNCTION("""COMPUTED_VALUE"""),45368.0)</f>
        <v>45368</v>
      </c>
      <c r="E451" s="7" t="str">
        <f>IFERROR(__xludf.DUMMYFUNCTION("""COMPUTED_VALUE"""),"FRANQUIA_D&amp;G_SP")</f>
        <v>FRANQUIA_D&amp;G_SP</v>
      </c>
      <c r="F451" s="7" t="str">
        <f>IFERROR(__xludf.DUMMYFUNCTION("""COMPUTED_VALUE"""),"MOTORCYCLE")</f>
        <v>MOTORCYCLE</v>
      </c>
      <c r="G451" s="7" t="str">
        <f>IFERROR(__xludf.DUMMYFUNCTION("""COMPUTED_VALUE"""),"SAO PAULO")</f>
        <v>SAO PAULO</v>
      </c>
    </row>
    <row r="452">
      <c r="A452" s="6">
        <f>IFERROR(__xludf.DUMMYFUNCTION("""COMPUTED_VALUE"""),45705.0)</f>
        <v>45705</v>
      </c>
      <c r="B452" s="7" t="str">
        <f>IFERROR(__xludf.DUMMYFUNCTION("""COMPUTED_VALUE"""),"843be990-0ef7-443f-aadb-86b651ebf71c")</f>
        <v>843be990-0ef7-443f-aadb-86b651ebf71c</v>
      </c>
      <c r="C452" s="7">
        <f>IFERROR(__xludf.DUMMYFUNCTION("""COMPUTED_VALUE"""),1.0)</f>
        <v>1</v>
      </c>
      <c r="D452" s="6">
        <f>IFERROR(__xludf.DUMMYFUNCTION("""COMPUTED_VALUE"""),45704.0)</f>
        <v>45704</v>
      </c>
      <c r="E452" s="7" t="str">
        <f>IFERROR(__xludf.DUMMYFUNCTION("""COMPUTED_VALUE"""),"FRANQUIA_D&amp;G_SP")</f>
        <v>FRANQUIA_D&amp;G_SP</v>
      </c>
      <c r="F452" s="7" t="str">
        <f>IFERROR(__xludf.DUMMYFUNCTION("""COMPUTED_VALUE"""),"BICYCLE")</f>
        <v>BICYCLE</v>
      </c>
      <c r="G452" s="7" t="str">
        <f>IFERROR(__xludf.DUMMYFUNCTION("""COMPUTED_VALUE"""),"SAO PAULO")</f>
        <v>SAO PAULO</v>
      </c>
    </row>
    <row r="453">
      <c r="A453" s="6">
        <f>IFERROR(__xludf.DUMMYFUNCTION("""COMPUTED_VALUE"""),45705.0)</f>
        <v>45705</v>
      </c>
      <c r="B453" s="7" t="str">
        <f>IFERROR(__xludf.DUMMYFUNCTION("""COMPUTED_VALUE"""),"e05ceca5-5603-4148-98ed-73b56c18edd0")</f>
        <v>e05ceca5-5603-4148-98ed-73b56c18edd0</v>
      </c>
      <c r="C453" s="7">
        <f>IFERROR(__xludf.DUMMYFUNCTION("""COMPUTED_VALUE"""),0.0)</f>
        <v>0</v>
      </c>
      <c r="D453" s="6">
        <f>IFERROR(__xludf.DUMMYFUNCTION("""COMPUTED_VALUE"""),45705.0)</f>
        <v>45705</v>
      </c>
      <c r="E453" s="7" t="str">
        <f>IFERROR(__xludf.DUMMYFUNCTION("""COMPUTED_VALUE"""),"FRANQUIA_D&amp;G_SP")</f>
        <v>FRANQUIA_D&amp;G_SP</v>
      </c>
      <c r="F453" s="7" t="str">
        <f>IFERROR(__xludf.DUMMYFUNCTION("""COMPUTED_VALUE"""),"MOTORCYCLE")</f>
        <v>MOTORCYCLE</v>
      </c>
      <c r="G453" s="7" t="str">
        <f>IFERROR(__xludf.DUMMYFUNCTION("""COMPUTED_VALUE"""),"SAO PAULO")</f>
        <v>SAO PAULO</v>
      </c>
    </row>
    <row r="454">
      <c r="A454" s="6">
        <f>IFERROR(__xludf.DUMMYFUNCTION("""COMPUTED_VALUE"""),45705.0)</f>
        <v>45705</v>
      </c>
      <c r="B454" s="7" t="str">
        <f>IFERROR(__xludf.DUMMYFUNCTION("""COMPUTED_VALUE"""),"8b85eedd-c0de-46ac-8433-e660a0977369")</f>
        <v>8b85eedd-c0de-46ac-8433-e660a0977369</v>
      </c>
      <c r="C454" s="7">
        <f>IFERROR(__xludf.DUMMYFUNCTION("""COMPUTED_VALUE"""),97.0)</f>
        <v>97</v>
      </c>
      <c r="D454" s="6">
        <f>IFERROR(__xludf.DUMMYFUNCTION("""COMPUTED_VALUE"""),45608.0)</f>
        <v>45608</v>
      </c>
      <c r="E454" s="7" t="str">
        <f>IFERROR(__xludf.DUMMYFUNCTION("""COMPUTED_VALUE"""),"FRANQUIA_D&amp;G_SP")</f>
        <v>FRANQUIA_D&amp;G_SP</v>
      </c>
      <c r="F454" s="7" t="str">
        <f>IFERROR(__xludf.DUMMYFUNCTION("""COMPUTED_VALUE"""),"MOTORCYCLE")</f>
        <v>MOTORCYCLE</v>
      </c>
      <c r="G454" s="7" t="str">
        <f>IFERROR(__xludf.DUMMYFUNCTION("""COMPUTED_VALUE"""),"GUARULHOS")</f>
        <v>GUARULHOS</v>
      </c>
    </row>
    <row r="455">
      <c r="A455" s="6">
        <f>IFERROR(__xludf.DUMMYFUNCTION("""COMPUTED_VALUE"""),45705.0)</f>
        <v>45705</v>
      </c>
      <c r="B455" s="7" t="str">
        <f>IFERROR(__xludf.DUMMYFUNCTION("""COMPUTED_VALUE"""),"39d5a8cb-d011-48f0-9fa0-14d3fa791b02")</f>
        <v>39d5a8cb-d011-48f0-9fa0-14d3fa791b02</v>
      </c>
      <c r="C455" s="7">
        <f>IFERROR(__xludf.DUMMYFUNCTION("""COMPUTED_VALUE"""),2.0)</f>
        <v>2</v>
      </c>
      <c r="D455" s="6">
        <f>IFERROR(__xludf.DUMMYFUNCTION("""COMPUTED_VALUE"""),45703.0)</f>
        <v>45703</v>
      </c>
      <c r="E455" s="7" t="str">
        <f>IFERROR(__xludf.DUMMYFUNCTION("""COMPUTED_VALUE"""),"FRANQUIA_D&amp;G_SP")</f>
        <v>FRANQUIA_D&amp;G_SP</v>
      </c>
      <c r="F455" s="7" t="str">
        <f>IFERROR(__xludf.DUMMYFUNCTION("""COMPUTED_VALUE"""),"BICYCLE")</f>
        <v>BICYCLE</v>
      </c>
      <c r="G455" s="7" t="str">
        <f>IFERROR(__xludf.DUMMYFUNCTION("""COMPUTED_VALUE"""),"SAO PAULO")</f>
        <v>SAO PAULO</v>
      </c>
    </row>
    <row r="456">
      <c r="A456" s="6">
        <f>IFERROR(__xludf.DUMMYFUNCTION("""COMPUTED_VALUE"""),45705.0)</f>
        <v>45705</v>
      </c>
      <c r="B456" s="7" t="str">
        <f>IFERROR(__xludf.DUMMYFUNCTION("""COMPUTED_VALUE"""),"37688d91-2c1c-4672-8bec-3dd813809459")</f>
        <v>37688d91-2c1c-4672-8bec-3dd813809459</v>
      </c>
      <c r="C456" s="7">
        <f>IFERROR(__xludf.DUMMYFUNCTION("""COMPUTED_VALUE"""),461.0)</f>
        <v>461</v>
      </c>
      <c r="D456" s="6">
        <f>IFERROR(__xludf.DUMMYFUNCTION("""COMPUTED_VALUE"""),45244.0)</f>
        <v>45244</v>
      </c>
      <c r="E456" s="7" t="str">
        <f>IFERROR(__xludf.DUMMYFUNCTION("""COMPUTED_VALUE"""),"FRANQUIA_D&amp;G_SP")</f>
        <v>FRANQUIA_D&amp;G_SP</v>
      </c>
      <c r="F456" s="7" t="str">
        <f>IFERROR(__xludf.DUMMYFUNCTION("""COMPUTED_VALUE"""),"MOTORCYCLE")</f>
        <v>MOTORCYCLE</v>
      </c>
      <c r="G456" s="7" t="str">
        <f>IFERROR(__xludf.DUMMYFUNCTION("""COMPUTED_VALUE"""),"SAO PAULO")</f>
        <v>SAO PAULO</v>
      </c>
    </row>
    <row r="457">
      <c r="A457" s="6">
        <f>IFERROR(__xludf.DUMMYFUNCTION("""COMPUTED_VALUE"""),45705.0)</f>
        <v>45705</v>
      </c>
      <c r="B457" s="7" t="str">
        <f>IFERROR(__xludf.DUMMYFUNCTION("""COMPUTED_VALUE"""),"39ce5e83-6f75-4d20-b34c-74fab0b50d0e")</f>
        <v>39ce5e83-6f75-4d20-b34c-74fab0b50d0e</v>
      </c>
      <c r="C457" s="7">
        <f>IFERROR(__xludf.DUMMYFUNCTION("""COMPUTED_VALUE"""),0.0)</f>
        <v>0</v>
      </c>
      <c r="D457" s="6">
        <f>IFERROR(__xludf.DUMMYFUNCTION("""COMPUTED_VALUE"""),45705.0)</f>
        <v>45705</v>
      </c>
      <c r="E457" s="7" t="str">
        <f>IFERROR(__xludf.DUMMYFUNCTION("""COMPUTED_VALUE"""),"FRANQUIA_D&amp;G_SP")</f>
        <v>FRANQUIA_D&amp;G_SP</v>
      </c>
      <c r="F457" s="7" t="str">
        <f>IFERROR(__xludf.DUMMYFUNCTION("""COMPUTED_VALUE"""),"MOTORCYCLE")</f>
        <v>MOTORCYCLE</v>
      </c>
      <c r="G457" s="7" t="str">
        <f>IFERROR(__xludf.DUMMYFUNCTION("""COMPUTED_VALUE"""),"SAO PAULO")</f>
        <v>SAO PAULO</v>
      </c>
    </row>
    <row r="458">
      <c r="A458" s="6">
        <f>IFERROR(__xludf.DUMMYFUNCTION("""COMPUTED_VALUE"""),45705.0)</f>
        <v>45705</v>
      </c>
      <c r="B458" s="7" t="str">
        <f>IFERROR(__xludf.DUMMYFUNCTION("""COMPUTED_VALUE"""),"fb533558-3a0b-451a-8b4e-be6690b6e718")</f>
        <v>fb533558-3a0b-451a-8b4e-be6690b6e718</v>
      </c>
      <c r="C458" s="7">
        <f>IFERROR(__xludf.DUMMYFUNCTION("""COMPUTED_VALUE"""),48.0)</f>
        <v>48</v>
      </c>
      <c r="D458" s="6">
        <f>IFERROR(__xludf.DUMMYFUNCTION("""COMPUTED_VALUE"""),45657.0)</f>
        <v>45657</v>
      </c>
      <c r="E458" s="7" t="str">
        <f>IFERROR(__xludf.DUMMYFUNCTION("""COMPUTED_VALUE"""),"FRANQUIA_D&amp;G_SP")</f>
        <v>FRANQUIA_D&amp;G_SP</v>
      </c>
      <c r="F458" s="7" t="str">
        <f>IFERROR(__xludf.DUMMYFUNCTION("""COMPUTED_VALUE"""),"BICYCLE")</f>
        <v>BICYCLE</v>
      </c>
      <c r="G458" s="7" t="str">
        <f>IFERROR(__xludf.DUMMYFUNCTION("""COMPUTED_VALUE"""),"SAO PAULO")</f>
        <v>SAO PAULO</v>
      </c>
    </row>
    <row r="459">
      <c r="A459" s="6">
        <f>IFERROR(__xludf.DUMMYFUNCTION("""COMPUTED_VALUE"""),45705.0)</f>
        <v>45705</v>
      </c>
      <c r="B459" s="7" t="str">
        <f>IFERROR(__xludf.DUMMYFUNCTION("""COMPUTED_VALUE"""),"7a493d1a-4949-494b-95dd-b51f2fec2675")</f>
        <v>7a493d1a-4949-494b-95dd-b51f2fec2675</v>
      </c>
      <c r="C459" s="7">
        <f>IFERROR(__xludf.DUMMYFUNCTION("""COMPUTED_VALUE"""),0.0)</f>
        <v>0</v>
      </c>
      <c r="D459" s="6">
        <f>IFERROR(__xludf.DUMMYFUNCTION("""COMPUTED_VALUE"""),45705.0)</f>
        <v>45705</v>
      </c>
      <c r="E459" s="7" t="str">
        <f>IFERROR(__xludf.DUMMYFUNCTION("""COMPUTED_VALUE"""),"FRANQUIA_D&amp;G_SP")</f>
        <v>FRANQUIA_D&amp;G_SP</v>
      </c>
      <c r="F459" s="7" t="str">
        <f>IFERROR(__xludf.DUMMYFUNCTION("""COMPUTED_VALUE"""),"BICYCLE")</f>
        <v>BICYCLE</v>
      </c>
      <c r="G459" s="7" t="str">
        <f>IFERROR(__xludf.DUMMYFUNCTION("""COMPUTED_VALUE"""),"SAO PAULO")</f>
        <v>SAO PAULO</v>
      </c>
    </row>
    <row r="460">
      <c r="A460" s="6">
        <f>IFERROR(__xludf.DUMMYFUNCTION("""COMPUTED_VALUE"""),45705.0)</f>
        <v>45705</v>
      </c>
      <c r="B460" s="7" t="str">
        <f>IFERROR(__xludf.DUMMYFUNCTION("""COMPUTED_VALUE"""),"aa7eea23-49c3-4690-a15b-9d50f652e07e")</f>
        <v>aa7eea23-49c3-4690-a15b-9d50f652e07e</v>
      </c>
      <c r="C460" s="7">
        <f>IFERROR(__xludf.DUMMYFUNCTION("""COMPUTED_VALUE"""),61.0)</f>
        <v>61</v>
      </c>
      <c r="D460" s="6">
        <f>IFERROR(__xludf.DUMMYFUNCTION("""COMPUTED_VALUE"""),45644.0)</f>
        <v>45644</v>
      </c>
      <c r="E460" s="7" t="str">
        <f>IFERROR(__xludf.DUMMYFUNCTION("""COMPUTED_VALUE"""),"FRANQUIA_D&amp;G_SP")</f>
        <v>FRANQUIA_D&amp;G_SP</v>
      </c>
      <c r="F460" s="7" t="str">
        <f>IFERROR(__xludf.DUMMYFUNCTION("""COMPUTED_VALUE"""),"MOTORCYCLE")</f>
        <v>MOTORCYCLE</v>
      </c>
      <c r="G460" s="7" t="str">
        <f>IFERROR(__xludf.DUMMYFUNCTION("""COMPUTED_VALUE"""),"ABC")</f>
        <v>ABC</v>
      </c>
    </row>
    <row r="461">
      <c r="A461" s="6">
        <f>IFERROR(__xludf.DUMMYFUNCTION("""COMPUTED_VALUE"""),45705.0)</f>
        <v>45705</v>
      </c>
      <c r="B461" s="7" t="str">
        <f>IFERROR(__xludf.DUMMYFUNCTION("""COMPUTED_VALUE"""),"9faa1675-73cc-4713-87bf-dfae78f38cf3")</f>
        <v>9faa1675-73cc-4713-87bf-dfae78f38cf3</v>
      </c>
      <c r="C461" s="7">
        <f>IFERROR(__xludf.DUMMYFUNCTION("""COMPUTED_VALUE"""),0.0)</f>
        <v>0</v>
      </c>
      <c r="D461" s="6">
        <f>IFERROR(__xludf.DUMMYFUNCTION("""COMPUTED_VALUE"""),0.0)</f>
        <v>0</v>
      </c>
      <c r="E461" s="7" t="str">
        <f>IFERROR(__xludf.DUMMYFUNCTION("""COMPUTED_VALUE"""),"FRANQUIA_D&amp;G_SP")</f>
        <v>FRANQUIA_D&amp;G_SP</v>
      </c>
      <c r="F461" s="7" t="str">
        <f>IFERROR(__xludf.DUMMYFUNCTION("""COMPUTED_VALUE"""),"BICYCLE")</f>
        <v>BICYCLE</v>
      </c>
      <c r="G461" s="7" t="str">
        <f>IFERROR(__xludf.DUMMYFUNCTION("""COMPUTED_VALUE"""),"0")</f>
        <v>0</v>
      </c>
    </row>
    <row r="462">
      <c r="A462" s="6">
        <f>IFERROR(__xludf.DUMMYFUNCTION("""COMPUTED_VALUE"""),45705.0)</f>
        <v>45705</v>
      </c>
      <c r="B462" s="7" t="str">
        <f>IFERROR(__xludf.DUMMYFUNCTION("""COMPUTED_VALUE"""),"9567f676-95e1-4ab2-916e-6ed47cb1698d")</f>
        <v>9567f676-95e1-4ab2-916e-6ed47cb1698d</v>
      </c>
      <c r="C462" s="7">
        <f>IFERROR(__xludf.DUMMYFUNCTION("""COMPUTED_VALUE"""),129.0)</f>
        <v>129</v>
      </c>
      <c r="D462" s="6">
        <f>IFERROR(__xludf.DUMMYFUNCTION("""COMPUTED_VALUE"""),45576.0)</f>
        <v>45576</v>
      </c>
      <c r="E462" s="7" t="str">
        <f>IFERROR(__xludf.DUMMYFUNCTION("""COMPUTED_VALUE"""),"FRANQUIA_D&amp;G_SP")</f>
        <v>FRANQUIA_D&amp;G_SP</v>
      </c>
      <c r="F462" s="7" t="str">
        <f>IFERROR(__xludf.DUMMYFUNCTION("""COMPUTED_VALUE"""),"MOTORCYCLE")</f>
        <v>MOTORCYCLE</v>
      </c>
      <c r="G462" s="7" t="str">
        <f>IFERROR(__xludf.DUMMYFUNCTION("""COMPUTED_VALUE"""),"SAO PAULO")</f>
        <v>SAO PAULO</v>
      </c>
    </row>
    <row r="463">
      <c r="A463" s="6">
        <f>IFERROR(__xludf.DUMMYFUNCTION("""COMPUTED_VALUE"""),45705.0)</f>
        <v>45705</v>
      </c>
      <c r="B463" s="7" t="str">
        <f>IFERROR(__xludf.DUMMYFUNCTION("""COMPUTED_VALUE"""),"8c1d8bf3-ead4-4ec1-98ff-70c87f37c72c")</f>
        <v>8c1d8bf3-ead4-4ec1-98ff-70c87f37c72c</v>
      </c>
      <c r="C463" s="7">
        <f>IFERROR(__xludf.DUMMYFUNCTION("""COMPUTED_VALUE"""),0.0)</f>
        <v>0</v>
      </c>
      <c r="D463" s="6">
        <f>IFERROR(__xludf.DUMMYFUNCTION("""COMPUTED_VALUE"""),45705.0)</f>
        <v>45705</v>
      </c>
      <c r="E463" s="7" t="str">
        <f>IFERROR(__xludf.DUMMYFUNCTION("""COMPUTED_VALUE"""),"FRANQUIA_D&amp;G_SP")</f>
        <v>FRANQUIA_D&amp;G_SP</v>
      </c>
      <c r="F463" s="7" t="str">
        <f>IFERROR(__xludf.DUMMYFUNCTION("""COMPUTED_VALUE"""),"MOTORCYCLE")</f>
        <v>MOTORCYCLE</v>
      </c>
      <c r="G463" s="7" t="str">
        <f>IFERROR(__xludf.DUMMYFUNCTION("""COMPUTED_VALUE"""),"SAO PAULO")</f>
        <v>SAO PAULO</v>
      </c>
    </row>
    <row r="464">
      <c r="A464" s="6">
        <f>IFERROR(__xludf.DUMMYFUNCTION("""COMPUTED_VALUE"""),45705.0)</f>
        <v>45705</v>
      </c>
      <c r="B464" s="7" t="str">
        <f>IFERROR(__xludf.DUMMYFUNCTION("""COMPUTED_VALUE"""),"18c40ff8-1aa2-4aa0-a634-7c031eb8fcec")</f>
        <v>18c40ff8-1aa2-4aa0-a634-7c031eb8fcec</v>
      </c>
      <c r="C464" s="7">
        <f>IFERROR(__xludf.DUMMYFUNCTION("""COMPUTED_VALUE"""),0.0)</f>
        <v>0</v>
      </c>
      <c r="D464" s="6">
        <f>IFERROR(__xludf.DUMMYFUNCTION("""COMPUTED_VALUE"""),45705.0)</f>
        <v>45705</v>
      </c>
      <c r="E464" s="7" t="str">
        <f>IFERROR(__xludf.DUMMYFUNCTION("""COMPUTED_VALUE"""),"FRANQUIA_D&amp;G_SP")</f>
        <v>FRANQUIA_D&amp;G_SP</v>
      </c>
      <c r="F464" s="7" t="str">
        <f>IFERROR(__xludf.DUMMYFUNCTION("""COMPUTED_VALUE"""),"MOTORCYCLE")</f>
        <v>MOTORCYCLE</v>
      </c>
      <c r="G464" s="7" t="str">
        <f>IFERROR(__xludf.DUMMYFUNCTION("""COMPUTED_VALUE"""),"SAO PAULO")</f>
        <v>SAO PAULO</v>
      </c>
    </row>
    <row r="465">
      <c r="A465" s="6">
        <f>IFERROR(__xludf.DUMMYFUNCTION("""COMPUTED_VALUE"""),45705.0)</f>
        <v>45705</v>
      </c>
      <c r="B465" s="7" t="str">
        <f>IFERROR(__xludf.DUMMYFUNCTION("""COMPUTED_VALUE"""),"600bd967-8e2c-44e5-8031-1aa893cf73b6")</f>
        <v>600bd967-8e2c-44e5-8031-1aa893cf73b6</v>
      </c>
      <c r="C465" s="7">
        <f>IFERROR(__xludf.DUMMYFUNCTION("""COMPUTED_VALUE"""),24.0)</f>
        <v>24</v>
      </c>
      <c r="D465" s="6">
        <f>IFERROR(__xludf.DUMMYFUNCTION("""COMPUTED_VALUE"""),45681.0)</f>
        <v>45681</v>
      </c>
      <c r="E465" s="7" t="str">
        <f>IFERROR(__xludf.DUMMYFUNCTION("""COMPUTED_VALUE"""),"FRANQUIA_D&amp;G_SP")</f>
        <v>FRANQUIA_D&amp;G_SP</v>
      </c>
      <c r="F465" s="7" t="str">
        <f>IFERROR(__xludf.DUMMYFUNCTION("""COMPUTED_VALUE"""),"BICYCLE")</f>
        <v>BICYCLE</v>
      </c>
      <c r="G465" s="7" t="str">
        <f>IFERROR(__xludf.DUMMYFUNCTION("""COMPUTED_VALUE"""),"SAO PAULO")</f>
        <v>SAO PAULO</v>
      </c>
    </row>
    <row r="466">
      <c r="A466" s="6">
        <f>IFERROR(__xludf.DUMMYFUNCTION("""COMPUTED_VALUE"""),45705.0)</f>
        <v>45705</v>
      </c>
      <c r="B466" s="7" t="str">
        <f>IFERROR(__xludf.DUMMYFUNCTION("""COMPUTED_VALUE"""),"17c4da5d-5254-4d56-ad58-567763810e7b")</f>
        <v>17c4da5d-5254-4d56-ad58-567763810e7b</v>
      </c>
      <c r="C466" s="7">
        <f>IFERROR(__xludf.DUMMYFUNCTION("""COMPUTED_VALUE"""),17.0)</f>
        <v>17</v>
      </c>
      <c r="D466" s="6">
        <f>IFERROR(__xludf.DUMMYFUNCTION("""COMPUTED_VALUE"""),45688.0)</f>
        <v>45688</v>
      </c>
      <c r="E466" s="7" t="str">
        <f>IFERROR(__xludf.DUMMYFUNCTION("""COMPUTED_VALUE"""),"FRANQUIA_D&amp;G_SP")</f>
        <v>FRANQUIA_D&amp;G_SP</v>
      </c>
      <c r="F466" s="7" t="str">
        <f>IFERROR(__xludf.DUMMYFUNCTION("""COMPUTED_VALUE"""),"BICYCLE")</f>
        <v>BICYCLE</v>
      </c>
      <c r="G466" s="7" t="str">
        <f>IFERROR(__xludf.DUMMYFUNCTION("""COMPUTED_VALUE"""),"SAO PAULO")</f>
        <v>SAO PAULO</v>
      </c>
    </row>
    <row r="467">
      <c r="A467" s="6">
        <f>IFERROR(__xludf.DUMMYFUNCTION("""COMPUTED_VALUE"""),45705.0)</f>
        <v>45705</v>
      </c>
      <c r="B467" s="7" t="str">
        <f>IFERROR(__xludf.DUMMYFUNCTION("""COMPUTED_VALUE"""),"29059858-2222-4b96-8beb-2482c6793739")</f>
        <v>29059858-2222-4b96-8beb-2482c6793739</v>
      </c>
      <c r="C467" s="7">
        <f>IFERROR(__xludf.DUMMYFUNCTION("""COMPUTED_VALUE"""),31.0)</f>
        <v>31</v>
      </c>
      <c r="D467" s="6">
        <f>IFERROR(__xludf.DUMMYFUNCTION("""COMPUTED_VALUE"""),45674.0)</f>
        <v>45674</v>
      </c>
      <c r="E467" s="7" t="str">
        <f>IFERROR(__xludf.DUMMYFUNCTION("""COMPUTED_VALUE"""),"FRANQUIA_D&amp;G_SP")</f>
        <v>FRANQUIA_D&amp;G_SP</v>
      </c>
      <c r="F467" s="7" t="str">
        <f>IFERROR(__xludf.DUMMYFUNCTION("""COMPUTED_VALUE"""),"MOTORCYCLE")</f>
        <v>MOTORCYCLE</v>
      </c>
      <c r="G467" s="7" t="str">
        <f>IFERROR(__xludf.DUMMYFUNCTION("""COMPUTED_VALUE"""),"SAO PAULO")</f>
        <v>SAO PAULO</v>
      </c>
    </row>
    <row r="468">
      <c r="A468" s="6">
        <f>IFERROR(__xludf.DUMMYFUNCTION("""COMPUTED_VALUE"""),45705.0)</f>
        <v>45705</v>
      </c>
      <c r="B468" s="7" t="str">
        <f>IFERROR(__xludf.DUMMYFUNCTION("""COMPUTED_VALUE"""),"a8c73f02-863b-483d-b2ca-79bc7ffb9685")</f>
        <v>a8c73f02-863b-483d-b2ca-79bc7ffb9685</v>
      </c>
      <c r="C468" s="7">
        <f>IFERROR(__xludf.DUMMYFUNCTION("""COMPUTED_VALUE"""),381.0)</f>
        <v>381</v>
      </c>
      <c r="D468" s="6">
        <f>IFERROR(__xludf.DUMMYFUNCTION("""COMPUTED_VALUE"""),45324.0)</f>
        <v>45324</v>
      </c>
      <c r="E468" s="7" t="str">
        <f>IFERROR(__xludf.DUMMYFUNCTION("""COMPUTED_VALUE"""),"FRANQUIA_D&amp;G_SP")</f>
        <v>FRANQUIA_D&amp;G_SP</v>
      </c>
      <c r="F468" s="7" t="str">
        <f>IFERROR(__xludf.DUMMYFUNCTION("""COMPUTED_VALUE"""),"BICYCLE")</f>
        <v>BICYCLE</v>
      </c>
      <c r="G468" s="7" t="str">
        <f>IFERROR(__xludf.DUMMYFUNCTION("""COMPUTED_VALUE"""),"SAO PAULO")</f>
        <v>SAO PAULO</v>
      </c>
    </row>
    <row r="469">
      <c r="A469" s="6">
        <f>IFERROR(__xludf.DUMMYFUNCTION("""COMPUTED_VALUE"""),45705.0)</f>
        <v>45705</v>
      </c>
      <c r="B469" s="7" t="str">
        <f>IFERROR(__xludf.DUMMYFUNCTION("""COMPUTED_VALUE"""),"6bee54d9-5f56-49fb-b3ec-a6b6df122328")</f>
        <v>6bee54d9-5f56-49fb-b3ec-a6b6df122328</v>
      </c>
      <c r="C469" s="7">
        <f>IFERROR(__xludf.DUMMYFUNCTION("""COMPUTED_VALUE"""),88.0)</f>
        <v>88</v>
      </c>
      <c r="D469" s="6">
        <f>IFERROR(__xludf.DUMMYFUNCTION("""COMPUTED_VALUE"""),45617.0)</f>
        <v>45617</v>
      </c>
      <c r="E469" s="7" t="str">
        <f>IFERROR(__xludf.DUMMYFUNCTION("""COMPUTED_VALUE"""),"FRANQUIA_D&amp;G_SP")</f>
        <v>FRANQUIA_D&amp;G_SP</v>
      </c>
      <c r="F469" s="7" t="str">
        <f>IFERROR(__xludf.DUMMYFUNCTION("""COMPUTED_VALUE"""),"MOTORCYCLE")</f>
        <v>MOTORCYCLE</v>
      </c>
      <c r="G469" s="7" t="str">
        <f>IFERROR(__xludf.DUMMYFUNCTION("""COMPUTED_VALUE"""),"SAO PAULO")</f>
        <v>SAO PAULO</v>
      </c>
    </row>
    <row r="470">
      <c r="A470" s="6">
        <f>IFERROR(__xludf.DUMMYFUNCTION("""COMPUTED_VALUE"""),45705.0)</f>
        <v>45705</v>
      </c>
      <c r="B470" s="7" t="str">
        <f>IFERROR(__xludf.DUMMYFUNCTION("""COMPUTED_VALUE"""),"1b86a47f-c0f6-4efb-b124-1d3df26bac7f")</f>
        <v>1b86a47f-c0f6-4efb-b124-1d3df26bac7f</v>
      </c>
      <c r="C470" s="7">
        <f>IFERROR(__xludf.DUMMYFUNCTION("""COMPUTED_VALUE"""),0.0)</f>
        <v>0</v>
      </c>
      <c r="D470" s="6">
        <f>IFERROR(__xludf.DUMMYFUNCTION("""COMPUTED_VALUE"""),45705.0)</f>
        <v>45705</v>
      </c>
      <c r="E470" s="7" t="str">
        <f>IFERROR(__xludf.DUMMYFUNCTION("""COMPUTED_VALUE"""),"FRANQUIA_D&amp;G_SP")</f>
        <v>FRANQUIA_D&amp;G_SP</v>
      </c>
      <c r="F470" s="7" t="str">
        <f>IFERROR(__xludf.DUMMYFUNCTION("""COMPUTED_VALUE"""),"BICYCLE")</f>
        <v>BICYCLE</v>
      </c>
      <c r="G470" s="7" t="str">
        <f>IFERROR(__xludf.DUMMYFUNCTION("""COMPUTED_VALUE"""),"SAO PAULO")</f>
        <v>SAO PAULO</v>
      </c>
    </row>
    <row r="471">
      <c r="A471" s="6">
        <f>IFERROR(__xludf.DUMMYFUNCTION("""COMPUTED_VALUE"""),45705.0)</f>
        <v>45705</v>
      </c>
      <c r="B471" s="7" t="str">
        <f>IFERROR(__xludf.DUMMYFUNCTION("""COMPUTED_VALUE"""),"10f36f97-f0aa-42eb-99db-fec055ec63c4")</f>
        <v>10f36f97-f0aa-42eb-99db-fec055ec63c4</v>
      </c>
      <c r="C471" s="7">
        <f>IFERROR(__xludf.DUMMYFUNCTION("""COMPUTED_VALUE"""),0.0)</f>
        <v>0</v>
      </c>
      <c r="D471" s="6">
        <f>IFERROR(__xludf.DUMMYFUNCTION("""COMPUTED_VALUE"""),45705.0)</f>
        <v>45705</v>
      </c>
      <c r="E471" s="7" t="str">
        <f>IFERROR(__xludf.DUMMYFUNCTION("""COMPUTED_VALUE"""),"FRANQUIA_D&amp;G_SP")</f>
        <v>FRANQUIA_D&amp;G_SP</v>
      </c>
      <c r="F471" s="7" t="str">
        <f>IFERROR(__xludf.DUMMYFUNCTION("""COMPUTED_VALUE"""),"BICYCLE")</f>
        <v>BICYCLE</v>
      </c>
      <c r="G471" s="7" t="str">
        <f>IFERROR(__xludf.DUMMYFUNCTION("""COMPUTED_VALUE"""),"SAO PAULO")</f>
        <v>SAO PAULO</v>
      </c>
    </row>
    <row r="472">
      <c r="A472" s="6">
        <f>IFERROR(__xludf.DUMMYFUNCTION("""COMPUTED_VALUE"""),45705.0)</f>
        <v>45705</v>
      </c>
      <c r="B472" s="7" t="str">
        <f>IFERROR(__xludf.DUMMYFUNCTION("""COMPUTED_VALUE"""),"9a5ae353-8c1a-4d12-8a5c-2d718ddebf98")</f>
        <v>9a5ae353-8c1a-4d12-8a5c-2d718ddebf98</v>
      </c>
      <c r="C472" s="7">
        <f>IFERROR(__xludf.DUMMYFUNCTION("""COMPUTED_VALUE"""),19.0)</f>
        <v>19</v>
      </c>
      <c r="D472" s="6">
        <f>IFERROR(__xludf.DUMMYFUNCTION("""COMPUTED_VALUE"""),45686.0)</f>
        <v>45686</v>
      </c>
      <c r="E472" s="7" t="str">
        <f>IFERROR(__xludf.DUMMYFUNCTION("""COMPUTED_VALUE"""),"FRANQUIA_D&amp;G_SP")</f>
        <v>FRANQUIA_D&amp;G_SP</v>
      </c>
      <c r="F472" s="7" t="str">
        <f>IFERROR(__xludf.DUMMYFUNCTION("""COMPUTED_VALUE"""),"MOTORCYCLE")</f>
        <v>MOTORCYCLE</v>
      </c>
      <c r="G472" s="7" t="str">
        <f>IFERROR(__xludf.DUMMYFUNCTION("""COMPUTED_VALUE"""),"SAO PAULO")</f>
        <v>SAO PAULO</v>
      </c>
    </row>
    <row r="473">
      <c r="A473" s="6">
        <f>IFERROR(__xludf.DUMMYFUNCTION("""COMPUTED_VALUE"""),45705.0)</f>
        <v>45705</v>
      </c>
      <c r="B473" s="7" t="str">
        <f>IFERROR(__xludf.DUMMYFUNCTION("""COMPUTED_VALUE"""),"5f2fa4f2-5abc-4b54-af37-a3b2963e2eb1")</f>
        <v>5f2fa4f2-5abc-4b54-af37-a3b2963e2eb1</v>
      </c>
      <c r="C473" s="7">
        <f>IFERROR(__xludf.DUMMYFUNCTION("""COMPUTED_VALUE"""),1.0)</f>
        <v>1</v>
      </c>
      <c r="D473" s="6">
        <f>IFERROR(__xludf.DUMMYFUNCTION("""COMPUTED_VALUE"""),45704.0)</f>
        <v>45704</v>
      </c>
      <c r="E473" s="7" t="str">
        <f>IFERROR(__xludf.DUMMYFUNCTION("""COMPUTED_VALUE"""),"FRANQUIA_D&amp;G_SP")</f>
        <v>FRANQUIA_D&amp;G_SP</v>
      </c>
      <c r="F473" s="7" t="str">
        <f>IFERROR(__xludf.DUMMYFUNCTION("""COMPUTED_VALUE"""),"MOTORCYCLE")</f>
        <v>MOTORCYCLE</v>
      </c>
      <c r="G473" s="7" t="str">
        <f>IFERROR(__xludf.DUMMYFUNCTION("""COMPUTED_VALUE"""),"SAO PAULO")</f>
        <v>SAO PAULO</v>
      </c>
    </row>
    <row r="474">
      <c r="A474" s="6">
        <f>IFERROR(__xludf.DUMMYFUNCTION("""COMPUTED_VALUE"""),45705.0)</f>
        <v>45705</v>
      </c>
      <c r="B474" s="7" t="str">
        <f>IFERROR(__xludf.DUMMYFUNCTION("""COMPUTED_VALUE"""),"e661397f-b623-437c-a465-f1825363e988")</f>
        <v>e661397f-b623-437c-a465-f1825363e988</v>
      </c>
      <c r="C474" s="7">
        <f>IFERROR(__xludf.DUMMYFUNCTION("""COMPUTED_VALUE"""),0.0)</f>
        <v>0</v>
      </c>
      <c r="D474" s="6">
        <f>IFERROR(__xludf.DUMMYFUNCTION("""COMPUTED_VALUE"""),45705.0)</f>
        <v>45705</v>
      </c>
      <c r="E474" s="7" t="str">
        <f>IFERROR(__xludf.DUMMYFUNCTION("""COMPUTED_VALUE"""),"FRANQUIA_D&amp;G_SP")</f>
        <v>FRANQUIA_D&amp;G_SP</v>
      </c>
      <c r="F474" s="7" t="str">
        <f>IFERROR(__xludf.DUMMYFUNCTION("""COMPUTED_VALUE"""),"MOTORCYCLE")</f>
        <v>MOTORCYCLE</v>
      </c>
      <c r="G474" s="7" t="str">
        <f>IFERROR(__xludf.DUMMYFUNCTION("""COMPUTED_VALUE"""),"SAO PAULO")</f>
        <v>SAO PAULO</v>
      </c>
    </row>
    <row r="475">
      <c r="A475" s="6">
        <f>IFERROR(__xludf.DUMMYFUNCTION("""COMPUTED_VALUE"""),45705.0)</f>
        <v>45705</v>
      </c>
      <c r="B475" s="7" t="str">
        <f>IFERROR(__xludf.DUMMYFUNCTION("""COMPUTED_VALUE"""),"a470904d-bede-435d-92ea-5796897e61d8")</f>
        <v>a470904d-bede-435d-92ea-5796897e61d8</v>
      </c>
      <c r="C475" s="7">
        <f>IFERROR(__xludf.DUMMYFUNCTION("""COMPUTED_VALUE"""),124.0)</f>
        <v>124</v>
      </c>
      <c r="D475" s="6">
        <f>IFERROR(__xludf.DUMMYFUNCTION("""COMPUTED_VALUE"""),45581.0)</f>
        <v>45581</v>
      </c>
      <c r="E475" s="7" t="str">
        <f>IFERROR(__xludf.DUMMYFUNCTION("""COMPUTED_VALUE"""),"FRANQUIA_D&amp;G_SP")</f>
        <v>FRANQUIA_D&amp;G_SP</v>
      </c>
      <c r="F475" s="7" t="str">
        <f>IFERROR(__xludf.DUMMYFUNCTION("""COMPUTED_VALUE"""),"BICYCLE")</f>
        <v>BICYCLE</v>
      </c>
      <c r="G475" s="7" t="str">
        <f>IFERROR(__xludf.DUMMYFUNCTION("""COMPUTED_VALUE"""),"SUZANO")</f>
        <v>SUZANO</v>
      </c>
    </row>
    <row r="476">
      <c r="A476" s="6">
        <f>IFERROR(__xludf.DUMMYFUNCTION("""COMPUTED_VALUE"""),45705.0)</f>
        <v>45705</v>
      </c>
      <c r="B476" s="7" t="str">
        <f>IFERROR(__xludf.DUMMYFUNCTION("""COMPUTED_VALUE"""),"b65ccd85-30b5-4786-81eb-fcdc30aa85d9")</f>
        <v>b65ccd85-30b5-4786-81eb-fcdc30aa85d9</v>
      </c>
      <c r="C476" s="7">
        <f>IFERROR(__xludf.DUMMYFUNCTION("""COMPUTED_VALUE"""),0.0)</f>
        <v>0</v>
      </c>
      <c r="D476" s="6">
        <f>IFERROR(__xludf.DUMMYFUNCTION("""COMPUTED_VALUE"""),45705.0)</f>
        <v>45705</v>
      </c>
      <c r="E476" s="7" t="str">
        <f>IFERROR(__xludf.DUMMYFUNCTION("""COMPUTED_VALUE"""),"FRANQUIA_D&amp;G_SP")</f>
        <v>FRANQUIA_D&amp;G_SP</v>
      </c>
      <c r="F476" s="7" t="str">
        <f>IFERROR(__xludf.DUMMYFUNCTION("""COMPUTED_VALUE"""),"MOTORCYCLE")</f>
        <v>MOTORCYCLE</v>
      </c>
      <c r="G476" s="7" t="str">
        <f>IFERROR(__xludf.DUMMYFUNCTION("""COMPUTED_VALUE"""),"SAO PAULO")</f>
        <v>SAO PAULO</v>
      </c>
    </row>
    <row r="477">
      <c r="A477" s="6">
        <f>IFERROR(__xludf.DUMMYFUNCTION("""COMPUTED_VALUE"""),45705.0)</f>
        <v>45705</v>
      </c>
      <c r="B477" s="7" t="str">
        <f>IFERROR(__xludf.DUMMYFUNCTION("""COMPUTED_VALUE"""),"4dad79a8-dbf5-4857-98dd-ce7ecc9fece5")</f>
        <v>4dad79a8-dbf5-4857-98dd-ce7ecc9fece5</v>
      </c>
      <c r="C477" s="7">
        <f>IFERROR(__xludf.DUMMYFUNCTION("""COMPUTED_VALUE"""),0.0)</f>
        <v>0</v>
      </c>
      <c r="D477" s="6">
        <f>IFERROR(__xludf.DUMMYFUNCTION("""COMPUTED_VALUE"""),45705.0)</f>
        <v>45705</v>
      </c>
      <c r="E477" s="7" t="str">
        <f>IFERROR(__xludf.DUMMYFUNCTION("""COMPUTED_VALUE"""),"FRANQUIA_D&amp;G_SP")</f>
        <v>FRANQUIA_D&amp;G_SP</v>
      </c>
      <c r="F477" s="7" t="str">
        <f>IFERROR(__xludf.DUMMYFUNCTION("""COMPUTED_VALUE"""),"MOTORCYCLE")</f>
        <v>MOTORCYCLE</v>
      </c>
      <c r="G477" s="7" t="str">
        <f>IFERROR(__xludf.DUMMYFUNCTION("""COMPUTED_VALUE"""),"SAO PAULO")</f>
        <v>SAO PAULO</v>
      </c>
    </row>
    <row r="478">
      <c r="A478" s="6">
        <f>IFERROR(__xludf.DUMMYFUNCTION("""COMPUTED_VALUE"""),45705.0)</f>
        <v>45705</v>
      </c>
      <c r="B478" s="7" t="str">
        <f>IFERROR(__xludf.DUMMYFUNCTION("""COMPUTED_VALUE"""),"b24b3a3e-a369-4d0e-b819-08938cfee586")</f>
        <v>b24b3a3e-a369-4d0e-b819-08938cfee586</v>
      </c>
      <c r="C478" s="7">
        <f>IFERROR(__xludf.DUMMYFUNCTION("""COMPUTED_VALUE"""),2.0)</f>
        <v>2</v>
      </c>
      <c r="D478" s="6">
        <f>IFERROR(__xludf.DUMMYFUNCTION("""COMPUTED_VALUE"""),45703.0)</f>
        <v>45703</v>
      </c>
      <c r="E478" s="7" t="str">
        <f>IFERROR(__xludf.DUMMYFUNCTION("""COMPUTED_VALUE"""),"FRANQUIA_D&amp;G_SP")</f>
        <v>FRANQUIA_D&amp;G_SP</v>
      </c>
      <c r="F478" s="7" t="str">
        <f>IFERROR(__xludf.DUMMYFUNCTION("""COMPUTED_VALUE"""),"BICYCLE")</f>
        <v>BICYCLE</v>
      </c>
      <c r="G478" s="7" t="str">
        <f>IFERROR(__xludf.DUMMYFUNCTION("""COMPUTED_VALUE"""),"SAO PAULO")</f>
        <v>SAO PAULO</v>
      </c>
    </row>
    <row r="479">
      <c r="A479" s="6">
        <f>IFERROR(__xludf.DUMMYFUNCTION("""COMPUTED_VALUE"""),45705.0)</f>
        <v>45705</v>
      </c>
      <c r="B479" s="7" t="str">
        <f>IFERROR(__xludf.DUMMYFUNCTION("""COMPUTED_VALUE"""),"53c23ea7-fe19-4be9-8120-100c842e1854")</f>
        <v>53c23ea7-fe19-4be9-8120-100c842e1854</v>
      </c>
      <c r="C479" s="7">
        <f>IFERROR(__xludf.DUMMYFUNCTION("""COMPUTED_VALUE"""),2.0)</f>
        <v>2</v>
      </c>
      <c r="D479" s="6">
        <f>IFERROR(__xludf.DUMMYFUNCTION("""COMPUTED_VALUE"""),45703.0)</f>
        <v>45703</v>
      </c>
      <c r="E479" s="7" t="str">
        <f>IFERROR(__xludf.DUMMYFUNCTION("""COMPUTED_VALUE"""),"FRANQUIA_D&amp;G_SP")</f>
        <v>FRANQUIA_D&amp;G_SP</v>
      </c>
      <c r="F479" s="7" t="str">
        <f>IFERROR(__xludf.DUMMYFUNCTION("""COMPUTED_VALUE"""),"EMOTORCYCLE")</f>
        <v>EMOTORCYCLE</v>
      </c>
      <c r="G479" s="7" t="str">
        <f>IFERROR(__xludf.DUMMYFUNCTION("""COMPUTED_VALUE"""),"SAO PAULO")</f>
        <v>SAO PAULO</v>
      </c>
    </row>
    <row r="480">
      <c r="A480" s="6">
        <f>IFERROR(__xludf.DUMMYFUNCTION("""COMPUTED_VALUE"""),45705.0)</f>
        <v>45705</v>
      </c>
      <c r="B480" s="7" t="str">
        <f>IFERROR(__xludf.DUMMYFUNCTION("""COMPUTED_VALUE"""),"09c9409d-6ea5-4734-afb0-1eafb7aff5c9")</f>
        <v>09c9409d-6ea5-4734-afb0-1eafb7aff5c9</v>
      </c>
      <c r="C480" s="7">
        <f>IFERROR(__xludf.DUMMYFUNCTION("""COMPUTED_VALUE"""),1.0)</f>
        <v>1</v>
      </c>
      <c r="D480" s="6">
        <f>IFERROR(__xludf.DUMMYFUNCTION("""COMPUTED_VALUE"""),45704.0)</f>
        <v>45704</v>
      </c>
      <c r="E480" s="7" t="str">
        <f>IFERROR(__xludf.DUMMYFUNCTION("""COMPUTED_VALUE"""),"FRANQUIA_D&amp;G_SP")</f>
        <v>FRANQUIA_D&amp;G_SP</v>
      </c>
      <c r="F480" s="7" t="str">
        <f>IFERROR(__xludf.DUMMYFUNCTION("""COMPUTED_VALUE"""),"MOTORCYCLE")</f>
        <v>MOTORCYCLE</v>
      </c>
      <c r="G480" s="7" t="str">
        <f>IFERROR(__xludf.DUMMYFUNCTION("""COMPUTED_VALUE"""),"SAO PAULO")</f>
        <v>SAO PAULO</v>
      </c>
    </row>
    <row r="481">
      <c r="A481" s="6">
        <f>IFERROR(__xludf.DUMMYFUNCTION("""COMPUTED_VALUE"""),45705.0)</f>
        <v>45705</v>
      </c>
      <c r="B481" s="7" t="str">
        <f>IFERROR(__xludf.DUMMYFUNCTION("""COMPUTED_VALUE"""),"8501468f-71d9-4c8c-9907-b93d2bfe9df6")</f>
        <v>8501468f-71d9-4c8c-9907-b93d2bfe9df6</v>
      </c>
      <c r="C481" s="7">
        <f>IFERROR(__xludf.DUMMYFUNCTION("""COMPUTED_VALUE"""),1.0)</f>
        <v>1</v>
      </c>
      <c r="D481" s="6">
        <f>IFERROR(__xludf.DUMMYFUNCTION("""COMPUTED_VALUE"""),45704.0)</f>
        <v>45704</v>
      </c>
      <c r="E481" s="7" t="str">
        <f>IFERROR(__xludf.DUMMYFUNCTION("""COMPUTED_VALUE"""),"FRANQUIA_D&amp;G_SP")</f>
        <v>FRANQUIA_D&amp;G_SP</v>
      </c>
      <c r="F481" s="7" t="str">
        <f>IFERROR(__xludf.DUMMYFUNCTION("""COMPUTED_VALUE"""),"MOTORCYCLE")</f>
        <v>MOTORCYCLE</v>
      </c>
      <c r="G481" s="7" t="str">
        <f>IFERROR(__xludf.DUMMYFUNCTION("""COMPUTED_VALUE"""),"SAO PAULO")</f>
        <v>SAO PAULO</v>
      </c>
    </row>
    <row r="482">
      <c r="A482" s="6">
        <f>IFERROR(__xludf.DUMMYFUNCTION("""COMPUTED_VALUE"""),45705.0)</f>
        <v>45705</v>
      </c>
      <c r="B482" s="7" t="str">
        <f>IFERROR(__xludf.DUMMYFUNCTION("""COMPUTED_VALUE"""),"f3482d0e-897e-4706-8bc9-584b013b5916")</f>
        <v>f3482d0e-897e-4706-8bc9-584b013b5916</v>
      </c>
      <c r="C482" s="7">
        <f>IFERROR(__xludf.DUMMYFUNCTION("""COMPUTED_VALUE"""),0.0)</f>
        <v>0</v>
      </c>
      <c r="D482" s="6">
        <f>IFERROR(__xludf.DUMMYFUNCTION("""COMPUTED_VALUE"""),45705.0)</f>
        <v>45705</v>
      </c>
      <c r="E482" s="7" t="str">
        <f>IFERROR(__xludf.DUMMYFUNCTION("""COMPUTED_VALUE"""),"FRANQUIA_D&amp;G_SP")</f>
        <v>FRANQUIA_D&amp;G_SP</v>
      </c>
      <c r="F482" s="7" t="str">
        <f>IFERROR(__xludf.DUMMYFUNCTION("""COMPUTED_VALUE"""),"MOTORCYCLE")</f>
        <v>MOTORCYCLE</v>
      </c>
      <c r="G482" s="7" t="str">
        <f>IFERROR(__xludf.DUMMYFUNCTION("""COMPUTED_VALUE"""),"SAO PAULO")</f>
        <v>SAO PAULO</v>
      </c>
    </row>
    <row r="483">
      <c r="A483" s="6">
        <f>IFERROR(__xludf.DUMMYFUNCTION("""COMPUTED_VALUE"""),45705.0)</f>
        <v>45705</v>
      </c>
      <c r="B483" s="7" t="str">
        <f>IFERROR(__xludf.DUMMYFUNCTION("""COMPUTED_VALUE"""),"12d3bd01-4424-43a4-b05b-827a172516c4")</f>
        <v>12d3bd01-4424-43a4-b05b-827a172516c4</v>
      </c>
      <c r="C483" s="7">
        <f>IFERROR(__xludf.DUMMYFUNCTION("""COMPUTED_VALUE"""),4.0)</f>
        <v>4</v>
      </c>
      <c r="D483" s="6">
        <f>IFERROR(__xludf.DUMMYFUNCTION("""COMPUTED_VALUE"""),45701.0)</f>
        <v>45701</v>
      </c>
      <c r="E483" s="7" t="str">
        <f>IFERROR(__xludf.DUMMYFUNCTION("""COMPUTED_VALUE"""),"FRANQUIA_D&amp;G_SP")</f>
        <v>FRANQUIA_D&amp;G_SP</v>
      </c>
      <c r="F483" s="7" t="str">
        <f>IFERROR(__xludf.DUMMYFUNCTION("""COMPUTED_VALUE"""),"MOTORCYCLE")</f>
        <v>MOTORCYCLE</v>
      </c>
      <c r="G483" s="7" t="str">
        <f>IFERROR(__xludf.DUMMYFUNCTION("""COMPUTED_VALUE"""),"SAO PAULO")</f>
        <v>SAO PAULO</v>
      </c>
    </row>
    <row r="484">
      <c r="A484" s="6">
        <f>IFERROR(__xludf.DUMMYFUNCTION("""COMPUTED_VALUE"""),45705.0)</f>
        <v>45705</v>
      </c>
      <c r="B484" s="7" t="str">
        <f>IFERROR(__xludf.DUMMYFUNCTION("""COMPUTED_VALUE"""),"51e7025e-e96f-4f93-b294-2719e0544916")</f>
        <v>51e7025e-e96f-4f93-b294-2719e0544916</v>
      </c>
      <c r="C484" s="7">
        <f>IFERROR(__xludf.DUMMYFUNCTION("""COMPUTED_VALUE"""),164.0)</f>
        <v>164</v>
      </c>
      <c r="D484" s="6">
        <f>IFERROR(__xludf.DUMMYFUNCTION("""COMPUTED_VALUE"""),45541.0)</f>
        <v>45541</v>
      </c>
      <c r="E484" s="7" t="str">
        <f>IFERROR(__xludf.DUMMYFUNCTION("""COMPUTED_VALUE"""),"FRANQUIA_D&amp;G_SP")</f>
        <v>FRANQUIA_D&amp;G_SP</v>
      </c>
      <c r="F484" s="7" t="str">
        <f>IFERROR(__xludf.DUMMYFUNCTION("""COMPUTED_VALUE"""),"BICYCLE")</f>
        <v>BICYCLE</v>
      </c>
      <c r="G484" s="7" t="str">
        <f>IFERROR(__xludf.DUMMYFUNCTION("""COMPUTED_VALUE"""),"SAO PAULO")</f>
        <v>SAO PAULO</v>
      </c>
    </row>
    <row r="485">
      <c r="A485" s="6">
        <f>IFERROR(__xludf.DUMMYFUNCTION("""COMPUTED_VALUE"""),45705.0)</f>
        <v>45705</v>
      </c>
      <c r="B485" s="7" t="str">
        <f>IFERROR(__xludf.DUMMYFUNCTION("""COMPUTED_VALUE"""),"ab88aa80-4675-44f6-82ad-98219374c366")</f>
        <v>ab88aa80-4675-44f6-82ad-98219374c366</v>
      </c>
      <c r="C485" s="7">
        <f>IFERROR(__xludf.DUMMYFUNCTION("""COMPUTED_VALUE"""),11.0)</f>
        <v>11</v>
      </c>
      <c r="D485" s="6">
        <f>IFERROR(__xludf.DUMMYFUNCTION("""COMPUTED_VALUE"""),45694.0)</f>
        <v>45694</v>
      </c>
      <c r="E485" s="7" t="str">
        <f>IFERROR(__xludf.DUMMYFUNCTION("""COMPUTED_VALUE"""),"FRANQUIA_D&amp;G_SP")</f>
        <v>FRANQUIA_D&amp;G_SP</v>
      </c>
      <c r="F485" s="7" t="str">
        <f>IFERROR(__xludf.DUMMYFUNCTION("""COMPUTED_VALUE"""),"BICYCLE")</f>
        <v>BICYCLE</v>
      </c>
      <c r="G485" s="7" t="str">
        <f>IFERROR(__xludf.DUMMYFUNCTION("""COMPUTED_VALUE"""),"SAO PAULO")</f>
        <v>SAO PAULO</v>
      </c>
    </row>
    <row r="486">
      <c r="A486" s="6">
        <f>IFERROR(__xludf.DUMMYFUNCTION("""COMPUTED_VALUE"""),45705.0)</f>
        <v>45705</v>
      </c>
      <c r="B486" s="7" t="str">
        <f>IFERROR(__xludf.DUMMYFUNCTION("""COMPUTED_VALUE"""),"a16e0204-542a-42e8-9087-5f668c65e5cf")</f>
        <v>a16e0204-542a-42e8-9087-5f668c65e5cf</v>
      </c>
      <c r="C486" s="7">
        <f>IFERROR(__xludf.DUMMYFUNCTION("""COMPUTED_VALUE"""),0.0)</f>
        <v>0</v>
      </c>
      <c r="D486" s="6">
        <f>IFERROR(__xludf.DUMMYFUNCTION("""COMPUTED_VALUE"""),45705.0)</f>
        <v>45705</v>
      </c>
      <c r="E486" s="7" t="str">
        <f>IFERROR(__xludf.DUMMYFUNCTION("""COMPUTED_VALUE"""),"FRANQUIA_D&amp;G_SP")</f>
        <v>FRANQUIA_D&amp;G_SP</v>
      </c>
      <c r="F486" s="7" t="str">
        <f>IFERROR(__xludf.DUMMYFUNCTION("""COMPUTED_VALUE"""),"MOTORCYCLE")</f>
        <v>MOTORCYCLE</v>
      </c>
      <c r="G486" s="7" t="str">
        <f>IFERROR(__xludf.DUMMYFUNCTION("""COMPUTED_VALUE"""),"SAO PAULO")</f>
        <v>SAO PAULO</v>
      </c>
    </row>
    <row r="487">
      <c r="A487" s="6">
        <f>IFERROR(__xludf.DUMMYFUNCTION("""COMPUTED_VALUE"""),45705.0)</f>
        <v>45705</v>
      </c>
      <c r="B487" s="7" t="str">
        <f>IFERROR(__xludf.DUMMYFUNCTION("""COMPUTED_VALUE"""),"ee83e808-447e-4aae-a677-c750e2d15598")</f>
        <v>ee83e808-447e-4aae-a677-c750e2d15598</v>
      </c>
      <c r="C487" s="7">
        <f>IFERROR(__xludf.DUMMYFUNCTION("""COMPUTED_VALUE"""),287.0)</f>
        <v>287</v>
      </c>
      <c r="D487" s="6">
        <f>IFERROR(__xludf.DUMMYFUNCTION("""COMPUTED_VALUE"""),45418.0)</f>
        <v>45418</v>
      </c>
      <c r="E487" s="7" t="str">
        <f>IFERROR(__xludf.DUMMYFUNCTION("""COMPUTED_VALUE"""),"FRANQUIA_D&amp;G_SP")</f>
        <v>FRANQUIA_D&amp;G_SP</v>
      </c>
      <c r="F487" s="7" t="str">
        <f>IFERROR(__xludf.DUMMYFUNCTION("""COMPUTED_VALUE"""),"BICYCLE")</f>
        <v>BICYCLE</v>
      </c>
      <c r="G487" s="7" t="str">
        <f>IFERROR(__xludf.DUMMYFUNCTION("""COMPUTED_VALUE"""),"SAO PAULO")</f>
        <v>SAO PAULO</v>
      </c>
    </row>
    <row r="488">
      <c r="A488" s="6">
        <f>IFERROR(__xludf.DUMMYFUNCTION("""COMPUTED_VALUE"""),45705.0)</f>
        <v>45705</v>
      </c>
      <c r="B488" s="7" t="str">
        <f>IFERROR(__xludf.DUMMYFUNCTION("""COMPUTED_VALUE"""),"d92ed53e-80b3-43b2-87a7-680c9c8dd606")</f>
        <v>d92ed53e-80b3-43b2-87a7-680c9c8dd606</v>
      </c>
      <c r="C488" s="7">
        <f>IFERROR(__xludf.DUMMYFUNCTION("""COMPUTED_VALUE"""),369.0)</f>
        <v>369</v>
      </c>
      <c r="D488" s="6">
        <f>IFERROR(__xludf.DUMMYFUNCTION("""COMPUTED_VALUE"""),45336.0)</f>
        <v>45336</v>
      </c>
      <c r="E488" s="7" t="str">
        <f>IFERROR(__xludf.DUMMYFUNCTION("""COMPUTED_VALUE"""),"FRANQUIA_D&amp;G_SP")</f>
        <v>FRANQUIA_D&amp;G_SP</v>
      </c>
      <c r="F488" s="7" t="str">
        <f>IFERROR(__xludf.DUMMYFUNCTION("""COMPUTED_VALUE"""),"MOTORCYCLE")</f>
        <v>MOTORCYCLE</v>
      </c>
      <c r="G488" s="7" t="str">
        <f>IFERROR(__xludf.DUMMYFUNCTION("""COMPUTED_VALUE"""),"SAO PAULO")</f>
        <v>SAO PAULO</v>
      </c>
    </row>
    <row r="489">
      <c r="A489" s="6">
        <f>IFERROR(__xludf.DUMMYFUNCTION("""COMPUTED_VALUE"""),45705.0)</f>
        <v>45705</v>
      </c>
      <c r="B489" s="7" t="str">
        <f>IFERROR(__xludf.DUMMYFUNCTION("""COMPUTED_VALUE"""),"0018f1b3-2e7d-42e2-a208-64c6d8fda20a")</f>
        <v>0018f1b3-2e7d-42e2-a208-64c6d8fda20a</v>
      </c>
      <c r="C489" s="7">
        <f>IFERROR(__xludf.DUMMYFUNCTION("""COMPUTED_VALUE"""),0.0)</f>
        <v>0</v>
      </c>
      <c r="D489" s="6">
        <f>IFERROR(__xludf.DUMMYFUNCTION("""COMPUTED_VALUE"""),45705.0)</f>
        <v>45705</v>
      </c>
      <c r="E489" s="7" t="str">
        <f>IFERROR(__xludf.DUMMYFUNCTION("""COMPUTED_VALUE"""),"FRANQUIA_D&amp;G_SP")</f>
        <v>FRANQUIA_D&amp;G_SP</v>
      </c>
      <c r="F489" s="7" t="str">
        <f>IFERROR(__xludf.DUMMYFUNCTION("""COMPUTED_VALUE"""),"MOTORCYCLE")</f>
        <v>MOTORCYCLE</v>
      </c>
      <c r="G489" s="7" t="str">
        <f>IFERROR(__xludf.DUMMYFUNCTION("""COMPUTED_VALUE"""),"SAO PAULO")</f>
        <v>SAO PAULO</v>
      </c>
    </row>
    <row r="490">
      <c r="A490" s="6">
        <f>IFERROR(__xludf.DUMMYFUNCTION("""COMPUTED_VALUE"""),45705.0)</f>
        <v>45705</v>
      </c>
      <c r="B490" s="7" t="str">
        <f>IFERROR(__xludf.DUMMYFUNCTION("""COMPUTED_VALUE"""),"6169aa57-4222-4c81-a8f8-7edc16742904")</f>
        <v>6169aa57-4222-4c81-a8f8-7edc16742904</v>
      </c>
      <c r="C490" s="7">
        <f>IFERROR(__xludf.DUMMYFUNCTION("""COMPUTED_VALUE"""),0.0)</f>
        <v>0</v>
      </c>
      <c r="D490" s="6">
        <f>IFERROR(__xludf.DUMMYFUNCTION("""COMPUTED_VALUE"""),45705.0)</f>
        <v>45705</v>
      </c>
      <c r="E490" s="7" t="str">
        <f>IFERROR(__xludf.DUMMYFUNCTION("""COMPUTED_VALUE"""),"FRANQUIA_D&amp;G_SP")</f>
        <v>FRANQUIA_D&amp;G_SP</v>
      </c>
      <c r="F490" s="7" t="str">
        <f>IFERROR(__xludf.DUMMYFUNCTION("""COMPUTED_VALUE"""),"MOTORCYCLE")</f>
        <v>MOTORCYCLE</v>
      </c>
      <c r="G490" s="7" t="str">
        <f>IFERROR(__xludf.DUMMYFUNCTION("""COMPUTED_VALUE"""),"SAO PAULO")</f>
        <v>SAO PAULO</v>
      </c>
    </row>
    <row r="491">
      <c r="A491" s="6">
        <f>IFERROR(__xludf.DUMMYFUNCTION("""COMPUTED_VALUE"""),45705.0)</f>
        <v>45705</v>
      </c>
      <c r="B491" s="7" t="str">
        <f>IFERROR(__xludf.DUMMYFUNCTION("""COMPUTED_VALUE"""),"5ca6b800-9c43-46a2-9a7c-83988aff9b85")</f>
        <v>5ca6b800-9c43-46a2-9a7c-83988aff9b85</v>
      </c>
      <c r="C491" s="7">
        <f>IFERROR(__xludf.DUMMYFUNCTION("""COMPUTED_VALUE"""),1.0)</f>
        <v>1</v>
      </c>
      <c r="D491" s="6">
        <f>IFERROR(__xludf.DUMMYFUNCTION("""COMPUTED_VALUE"""),45704.0)</f>
        <v>45704</v>
      </c>
      <c r="E491" s="7" t="str">
        <f>IFERROR(__xludf.DUMMYFUNCTION("""COMPUTED_VALUE"""),"FRANQUIA_D&amp;G_SP")</f>
        <v>FRANQUIA_D&amp;G_SP</v>
      </c>
      <c r="F491" s="7" t="str">
        <f>IFERROR(__xludf.DUMMYFUNCTION("""COMPUTED_VALUE"""),"BICYCLE")</f>
        <v>BICYCLE</v>
      </c>
      <c r="G491" s="7" t="str">
        <f>IFERROR(__xludf.DUMMYFUNCTION("""COMPUTED_VALUE"""),"SAO PAULO")</f>
        <v>SAO PAULO</v>
      </c>
    </row>
    <row r="492">
      <c r="A492" s="6">
        <f>IFERROR(__xludf.DUMMYFUNCTION("""COMPUTED_VALUE"""),45705.0)</f>
        <v>45705</v>
      </c>
      <c r="B492" s="7" t="str">
        <f>IFERROR(__xludf.DUMMYFUNCTION("""COMPUTED_VALUE"""),"531494a1-31b5-47dd-8fb1-8776181e4268")</f>
        <v>531494a1-31b5-47dd-8fb1-8776181e4268</v>
      </c>
      <c r="C492" s="7">
        <f>IFERROR(__xludf.DUMMYFUNCTION("""COMPUTED_VALUE"""),0.0)</f>
        <v>0</v>
      </c>
      <c r="D492" s="6">
        <f>IFERROR(__xludf.DUMMYFUNCTION("""COMPUTED_VALUE"""),45705.0)</f>
        <v>45705</v>
      </c>
      <c r="E492" s="7" t="str">
        <f>IFERROR(__xludf.DUMMYFUNCTION("""COMPUTED_VALUE"""),"FRANQUIA_D&amp;G_SP")</f>
        <v>FRANQUIA_D&amp;G_SP</v>
      </c>
      <c r="F492" s="7" t="str">
        <f>IFERROR(__xludf.DUMMYFUNCTION("""COMPUTED_VALUE"""),"MOTORCYCLE")</f>
        <v>MOTORCYCLE</v>
      </c>
      <c r="G492" s="7" t="str">
        <f>IFERROR(__xludf.DUMMYFUNCTION("""COMPUTED_VALUE"""),"SAO PAULO")</f>
        <v>SAO PAULO</v>
      </c>
    </row>
    <row r="493">
      <c r="A493" s="6">
        <f>IFERROR(__xludf.DUMMYFUNCTION("""COMPUTED_VALUE"""),45705.0)</f>
        <v>45705</v>
      </c>
      <c r="B493" s="7" t="str">
        <f>IFERROR(__xludf.DUMMYFUNCTION("""COMPUTED_VALUE"""),"5f0ee5b1-4a72-4494-bfe1-665c490c3a64")</f>
        <v>5f0ee5b1-4a72-4494-bfe1-665c490c3a64</v>
      </c>
      <c r="C493" s="7">
        <f>IFERROR(__xludf.DUMMYFUNCTION("""COMPUTED_VALUE"""),636.0)</f>
        <v>636</v>
      </c>
      <c r="D493" s="6">
        <f>IFERROR(__xludf.DUMMYFUNCTION("""COMPUTED_VALUE"""),45069.0)</f>
        <v>45069</v>
      </c>
      <c r="E493" s="7" t="str">
        <f>IFERROR(__xludf.DUMMYFUNCTION("""COMPUTED_VALUE"""),"FRANQUIA_D&amp;G_SP")</f>
        <v>FRANQUIA_D&amp;G_SP</v>
      </c>
      <c r="F493" s="7" t="str">
        <f>IFERROR(__xludf.DUMMYFUNCTION("""COMPUTED_VALUE"""),"MOTORCYCLE")</f>
        <v>MOTORCYCLE</v>
      </c>
      <c r="G493" s="7" t="str">
        <f>IFERROR(__xludf.DUMMYFUNCTION("""COMPUTED_VALUE"""),"SAO PAULO")</f>
        <v>SAO PAULO</v>
      </c>
    </row>
    <row r="494">
      <c r="A494" s="6">
        <f>IFERROR(__xludf.DUMMYFUNCTION("""COMPUTED_VALUE"""),45705.0)</f>
        <v>45705</v>
      </c>
      <c r="B494" s="7" t="str">
        <f>IFERROR(__xludf.DUMMYFUNCTION("""COMPUTED_VALUE"""),"84228bd1-787a-4557-85e3-68fda2d6304f")</f>
        <v>84228bd1-787a-4557-85e3-68fda2d6304f</v>
      </c>
      <c r="C494" s="7">
        <f>IFERROR(__xludf.DUMMYFUNCTION("""COMPUTED_VALUE"""),1.0)</f>
        <v>1</v>
      </c>
      <c r="D494" s="6">
        <f>IFERROR(__xludf.DUMMYFUNCTION("""COMPUTED_VALUE"""),45704.0)</f>
        <v>45704</v>
      </c>
      <c r="E494" s="7" t="str">
        <f>IFERROR(__xludf.DUMMYFUNCTION("""COMPUTED_VALUE"""),"FRANQUIA_D&amp;G_SP")</f>
        <v>FRANQUIA_D&amp;G_SP</v>
      </c>
      <c r="F494" s="7" t="str">
        <f>IFERROR(__xludf.DUMMYFUNCTION("""COMPUTED_VALUE"""),"BICYCLE")</f>
        <v>BICYCLE</v>
      </c>
      <c r="G494" s="7" t="str">
        <f>IFERROR(__xludf.DUMMYFUNCTION("""COMPUTED_VALUE"""),"SAO PAULO")</f>
        <v>SAO PAULO</v>
      </c>
    </row>
    <row r="495">
      <c r="A495" s="6">
        <f>IFERROR(__xludf.DUMMYFUNCTION("""COMPUTED_VALUE"""),45705.0)</f>
        <v>45705</v>
      </c>
      <c r="B495" s="7" t="str">
        <f>IFERROR(__xludf.DUMMYFUNCTION("""COMPUTED_VALUE"""),"f7da5cee-70f5-44f2-9abd-0b3cb967ae76")</f>
        <v>f7da5cee-70f5-44f2-9abd-0b3cb967ae76</v>
      </c>
      <c r="C495" s="7">
        <f>IFERROR(__xludf.DUMMYFUNCTION("""COMPUTED_VALUE"""),0.0)</f>
        <v>0</v>
      </c>
      <c r="D495" s="6">
        <f>IFERROR(__xludf.DUMMYFUNCTION("""COMPUTED_VALUE"""),45705.0)</f>
        <v>45705</v>
      </c>
      <c r="E495" s="7" t="str">
        <f>IFERROR(__xludf.DUMMYFUNCTION("""COMPUTED_VALUE"""),"FRANQUIA_D&amp;G_SP")</f>
        <v>FRANQUIA_D&amp;G_SP</v>
      </c>
      <c r="F495" s="7" t="str">
        <f>IFERROR(__xludf.DUMMYFUNCTION("""COMPUTED_VALUE"""),"MOTORCYCLE")</f>
        <v>MOTORCYCLE</v>
      </c>
      <c r="G495" s="7" t="str">
        <f>IFERROR(__xludf.DUMMYFUNCTION("""COMPUTED_VALUE"""),"SAO PAULO")</f>
        <v>SAO PAULO</v>
      </c>
    </row>
    <row r="496">
      <c r="A496" s="6">
        <f>IFERROR(__xludf.DUMMYFUNCTION("""COMPUTED_VALUE"""),45705.0)</f>
        <v>45705</v>
      </c>
      <c r="B496" s="7" t="str">
        <f>IFERROR(__xludf.DUMMYFUNCTION("""COMPUTED_VALUE"""),"39026e2c-7fe9-4514-b024-7ff391e9151c")</f>
        <v>39026e2c-7fe9-4514-b024-7ff391e9151c</v>
      </c>
      <c r="C496" s="7">
        <f>IFERROR(__xludf.DUMMYFUNCTION("""COMPUTED_VALUE"""),38.0)</f>
        <v>38</v>
      </c>
      <c r="D496" s="6">
        <f>IFERROR(__xludf.DUMMYFUNCTION("""COMPUTED_VALUE"""),45667.0)</f>
        <v>45667</v>
      </c>
      <c r="E496" s="7" t="str">
        <f>IFERROR(__xludf.DUMMYFUNCTION("""COMPUTED_VALUE"""),"FRANQUIA_D&amp;G_SP")</f>
        <v>FRANQUIA_D&amp;G_SP</v>
      </c>
      <c r="F496" s="7" t="str">
        <f>IFERROR(__xludf.DUMMYFUNCTION("""COMPUTED_VALUE"""),"BICYCLE")</f>
        <v>BICYCLE</v>
      </c>
      <c r="G496" s="7" t="str">
        <f>IFERROR(__xludf.DUMMYFUNCTION("""COMPUTED_VALUE"""),"SAO PAULO")</f>
        <v>SAO PAULO</v>
      </c>
    </row>
    <row r="497">
      <c r="A497" s="6">
        <f>IFERROR(__xludf.DUMMYFUNCTION("""COMPUTED_VALUE"""),45705.0)</f>
        <v>45705</v>
      </c>
      <c r="B497" s="7" t="str">
        <f>IFERROR(__xludf.DUMMYFUNCTION("""COMPUTED_VALUE"""),"03986d85-a039-4e34-8aa1-9272daa8b735")</f>
        <v>03986d85-a039-4e34-8aa1-9272daa8b735</v>
      </c>
      <c r="C497" s="7">
        <f>IFERROR(__xludf.DUMMYFUNCTION("""COMPUTED_VALUE"""),0.0)</f>
        <v>0</v>
      </c>
      <c r="D497" s="6">
        <f>IFERROR(__xludf.DUMMYFUNCTION("""COMPUTED_VALUE"""),45705.0)</f>
        <v>45705</v>
      </c>
      <c r="E497" s="7" t="str">
        <f>IFERROR(__xludf.DUMMYFUNCTION("""COMPUTED_VALUE"""),"FRANQUIA_D&amp;G_SP")</f>
        <v>FRANQUIA_D&amp;G_SP</v>
      </c>
      <c r="F497" s="7" t="str">
        <f>IFERROR(__xludf.DUMMYFUNCTION("""COMPUTED_VALUE"""),"BICYCLE")</f>
        <v>BICYCLE</v>
      </c>
      <c r="G497" s="7" t="str">
        <f>IFERROR(__xludf.DUMMYFUNCTION("""COMPUTED_VALUE"""),"SAO PAULO")</f>
        <v>SAO PAULO</v>
      </c>
    </row>
    <row r="498">
      <c r="A498" s="6">
        <f>IFERROR(__xludf.DUMMYFUNCTION("""COMPUTED_VALUE"""),45705.0)</f>
        <v>45705</v>
      </c>
      <c r="B498" s="7" t="str">
        <f>IFERROR(__xludf.DUMMYFUNCTION("""COMPUTED_VALUE"""),"8f942077-acf6-4d8f-9769-09ee6debecf1")</f>
        <v>8f942077-acf6-4d8f-9769-09ee6debecf1</v>
      </c>
      <c r="C498" s="7">
        <f>IFERROR(__xludf.DUMMYFUNCTION("""COMPUTED_VALUE"""),0.0)</f>
        <v>0</v>
      </c>
      <c r="D498" s="6">
        <f>IFERROR(__xludf.DUMMYFUNCTION("""COMPUTED_VALUE"""),45705.0)</f>
        <v>45705</v>
      </c>
      <c r="E498" s="7" t="str">
        <f>IFERROR(__xludf.DUMMYFUNCTION("""COMPUTED_VALUE"""),"FRANQUIA_D&amp;G_SP")</f>
        <v>FRANQUIA_D&amp;G_SP</v>
      </c>
      <c r="F498" s="7" t="str">
        <f>IFERROR(__xludf.DUMMYFUNCTION("""COMPUTED_VALUE"""),"MOTORCYCLE")</f>
        <v>MOTORCYCLE</v>
      </c>
      <c r="G498" s="7" t="str">
        <f>IFERROR(__xludf.DUMMYFUNCTION("""COMPUTED_VALUE"""),"SAO PAULO")</f>
        <v>SAO PAULO</v>
      </c>
    </row>
    <row r="499">
      <c r="A499" s="6">
        <f>IFERROR(__xludf.DUMMYFUNCTION("""COMPUTED_VALUE"""),45705.0)</f>
        <v>45705</v>
      </c>
      <c r="B499" s="7" t="str">
        <f>IFERROR(__xludf.DUMMYFUNCTION("""COMPUTED_VALUE"""),"8ae848e3-1307-49aa-b37b-1001365c7c89")</f>
        <v>8ae848e3-1307-49aa-b37b-1001365c7c89</v>
      </c>
      <c r="C499" s="7">
        <f>IFERROR(__xludf.DUMMYFUNCTION("""COMPUTED_VALUE"""),60.0)</f>
        <v>60</v>
      </c>
      <c r="D499" s="6">
        <f>IFERROR(__xludf.DUMMYFUNCTION("""COMPUTED_VALUE"""),45645.0)</f>
        <v>45645</v>
      </c>
      <c r="E499" s="7" t="str">
        <f>IFERROR(__xludf.DUMMYFUNCTION("""COMPUTED_VALUE"""),"FRANQUIA_D&amp;G_SP")</f>
        <v>FRANQUIA_D&amp;G_SP</v>
      </c>
      <c r="F499" s="7" t="str">
        <f>IFERROR(__xludf.DUMMYFUNCTION("""COMPUTED_VALUE"""),"MOTORCYCLE")</f>
        <v>MOTORCYCLE</v>
      </c>
      <c r="G499" s="7" t="str">
        <f>IFERROR(__xludf.DUMMYFUNCTION("""COMPUTED_VALUE"""),"ABC")</f>
        <v>ABC</v>
      </c>
    </row>
    <row r="500">
      <c r="A500" s="6">
        <f>IFERROR(__xludf.DUMMYFUNCTION("""COMPUTED_VALUE"""),45705.0)</f>
        <v>45705</v>
      </c>
      <c r="B500" s="7" t="str">
        <f>IFERROR(__xludf.DUMMYFUNCTION("""COMPUTED_VALUE"""),"dba9448e-53e9-4884-a39b-201fee872726")</f>
        <v>dba9448e-53e9-4884-a39b-201fee872726</v>
      </c>
      <c r="C500" s="7">
        <f>IFERROR(__xludf.DUMMYFUNCTION("""COMPUTED_VALUE"""),1.0)</f>
        <v>1</v>
      </c>
      <c r="D500" s="6">
        <f>IFERROR(__xludf.DUMMYFUNCTION("""COMPUTED_VALUE"""),45704.0)</f>
        <v>45704</v>
      </c>
      <c r="E500" s="7" t="str">
        <f>IFERROR(__xludf.DUMMYFUNCTION("""COMPUTED_VALUE"""),"FRANQUIA_D&amp;G_SP")</f>
        <v>FRANQUIA_D&amp;G_SP</v>
      </c>
      <c r="F500" s="7" t="str">
        <f>IFERROR(__xludf.DUMMYFUNCTION("""COMPUTED_VALUE"""),"MOTORCYCLE")</f>
        <v>MOTORCYCLE</v>
      </c>
      <c r="G500" s="7" t="str">
        <f>IFERROR(__xludf.DUMMYFUNCTION("""COMPUTED_VALUE"""),"SAO PAULO")</f>
        <v>SAO PAULO</v>
      </c>
    </row>
    <row r="501">
      <c r="A501" s="6">
        <f>IFERROR(__xludf.DUMMYFUNCTION("""COMPUTED_VALUE"""),45705.0)</f>
        <v>45705</v>
      </c>
      <c r="B501" s="7" t="str">
        <f>IFERROR(__xludf.DUMMYFUNCTION("""COMPUTED_VALUE"""),"34b5f48b-5348-4adf-86a8-7453d29719e2")</f>
        <v>34b5f48b-5348-4adf-86a8-7453d29719e2</v>
      </c>
      <c r="C501" s="7">
        <f>IFERROR(__xludf.DUMMYFUNCTION("""COMPUTED_VALUE"""),0.0)</f>
        <v>0</v>
      </c>
      <c r="D501" s="6">
        <f>IFERROR(__xludf.DUMMYFUNCTION("""COMPUTED_VALUE"""),45705.0)</f>
        <v>45705</v>
      </c>
      <c r="E501" s="7" t="str">
        <f>IFERROR(__xludf.DUMMYFUNCTION("""COMPUTED_VALUE"""),"FRANQUIA_D&amp;G_SP")</f>
        <v>FRANQUIA_D&amp;G_SP</v>
      </c>
      <c r="F501" s="7" t="str">
        <f>IFERROR(__xludf.DUMMYFUNCTION("""COMPUTED_VALUE"""),"MOTORCYCLE")</f>
        <v>MOTORCYCLE</v>
      </c>
      <c r="G501" s="7" t="str">
        <f>IFERROR(__xludf.DUMMYFUNCTION("""COMPUTED_VALUE"""),"SUZANO")</f>
        <v>SUZANO</v>
      </c>
    </row>
    <row r="502">
      <c r="A502" s="6">
        <f>IFERROR(__xludf.DUMMYFUNCTION("""COMPUTED_VALUE"""),45705.0)</f>
        <v>45705</v>
      </c>
      <c r="B502" s="7" t="str">
        <f>IFERROR(__xludf.DUMMYFUNCTION("""COMPUTED_VALUE"""),"5b730bbb-acbd-4a66-908f-fdb89295d1fe")</f>
        <v>5b730bbb-acbd-4a66-908f-fdb89295d1fe</v>
      </c>
      <c r="C502" s="7">
        <f>IFERROR(__xludf.DUMMYFUNCTION("""COMPUTED_VALUE"""),73.0)</f>
        <v>73</v>
      </c>
      <c r="D502" s="6">
        <f>IFERROR(__xludf.DUMMYFUNCTION("""COMPUTED_VALUE"""),45632.0)</f>
        <v>45632</v>
      </c>
      <c r="E502" s="7" t="str">
        <f>IFERROR(__xludf.DUMMYFUNCTION("""COMPUTED_VALUE"""),"FRANQUIA_D&amp;G_SP")</f>
        <v>FRANQUIA_D&amp;G_SP</v>
      </c>
      <c r="F502" s="7" t="str">
        <f>IFERROR(__xludf.DUMMYFUNCTION("""COMPUTED_VALUE"""),"MOTORCYCLE")</f>
        <v>MOTORCYCLE</v>
      </c>
      <c r="G502" s="7" t="str">
        <f>IFERROR(__xludf.DUMMYFUNCTION("""COMPUTED_VALUE"""),"SAO PAULO")</f>
        <v>SAO PAULO</v>
      </c>
    </row>
    <row r="503">
      <c r="A503" s="6">
        <f>IFERROR(__xludf.DUMMYFUNCTION("""COMPUTED_VALUE"""),45705.0)</f>
        <v>45705</v>
      </c>
      <c r="B503" s="7" t="str">
        <f>IFERROR(__xludf.DUMMYFUNCTION("""COMPUTED_VALUE"""),"d0242208-ec25-419d-b3a0-b855c6421fc7")</f>
        <v>d0242208-ec25-419d-b3a0-b855c6421fc7</v>
      </c>
      <c r="C503" s="7">
        <f>IFERROR(__xludf.DUMMYFUNCTION("""COMPUTED_VALUE"""),0.0)</f>
        <v>0</v>
      </c>
      <c r="D503" s="6">
        <f>IFERROR(__xludf.DUMMYFUNCTION("""COMPUTED_VALUE"""),45705.0)</f>
        <v>45705</v>
      </c>
      <c r="E503" s="7" t="str">
        <f>IFERROR(__xludf.DUMMYFUNCTION("""COMPUTED_VALUE"""),"FRANQUIA_D&amp;G_SP")</f>
        <v>FRANQUIA_D&amp;G_SP</v>
      </c>
      <c r="F503" s="7" t="str">
        <f>IFERROR(__xludf.DUMMYFUNCTION("""COMPUTED_VALUE"""),"BICYCLE")</f>
        <v>BICYCLE</v>
      </c>
      <c r="G503" s="7" t="str">
        <f>IFERROR(__xludf.DUMMYFUNCTION("""COMPUTED_VALUE"""),"SAO PAULO")</f>
        <v>SAO PAULO</v>
      </c>
    </row>
    <row r="504">
      <c r="A504" s="6">
        <f>IFERROR(__xludf.DUMMYFUNCTION("""COMPUTED_VALUE"""),45705.0)</f>
        <v>45705</v>
      </c>
      <c r="B504" s="7" t="str">
        <f>IFERROR(__xludf.DUMMYFUNCTION("""COMPUTED_VALUE"""),"634b081a-6493-466d-80fe-34d5c91ccbf5")</f>
        <v>634b081a-6493-466d-80fe-34d5c91ccbf5</v>
      </c>
      <c r="C504" s="7">
        <f>IFERROR(__xludf.DUMMYFUNCTION("""COMPUTED_VALUE"""),6.0)</f>
        <v>6</v>
      </c>
      <c r="D504" s="6">
        <f>IFERROR(__xludf.DUMMYFUNCTION("""COMPUTED_VALUE"""),45699.0)</f>
        <v>45699</v>
      </c>
      <c r="E504" s="7" t="str">
        <f>IFERROR(__xludf.DUMMYFUNCTION("""COMPUTED_VALUE"""),"FRANQUIA_D&amp;G_SP")</f>
        <v>FRANQUIA_D&amp;G_SP</v>
      </c>
      <c r="F504" s="7" t="str">
        <f>IFERROR(__xludf.DUMMYFUNCTION("""COMPUTED_VALUE"""),"BICYCLE")</f>
        <v>BICYCLE</v>
      </c>
      <c r="G504" s="7" t="str">
        <f>IFERROR(__xludf.DUMMYFUNCTION("""COMPUTED_VALUE"""),"SAO PAULO")</f>
        <v>SAO PAULO</v>
      </c>
    </row>
    <row r="505">
      <c r="A505" s="6">
        <f>IFERROR(__xludf.DUMMYFUNCTION("""COMPUTED_VALUE"""),45705.0)</f>
        <v>45705</v>
      </c>
      <c r="B505" s="7" t="str">
        <f>IFERROR(__xludf.DUMMYFUNCTION("""COMPUTED_VALUE"""),"3052fb73-d8fd-4f7a-87ea-966760f38214")</f>
        <v>3052fb73-d8fd-4f7a-87ea-966760f38214</v>
      </c>
      <c r="C505" s="7">
        <f>IFERROR(__xludf.DUMMYFUNCTION("""COMPUTED_VALUE"""),0.0)</f>
        <v>0</v>
      </c>
      <c r="D505" s="6">
        <f>IFERROR(__xludf.DUMMYFUNCTION("""COMPUTED_VALUE"""),45705.0)</f>
        <v>45705</v>
      </c>
      <c r="E505" s="7" t="str">
        <f>IFERROR(__xludf.DUMMYFUNCTION("""COMPUTED_VALUE"""),"FRANQUIA_D&amp;G_SP")</f>
        <v>FRANQUIA_D&amp;G_SP</v>
      </c>
      <c r="F505" s="7" t="str">
        <f>IFERROR(__xludf.DUMMYFUNCTION("""COMPUTED_VALUE"""),"MOTORCYCLE")</f>
        <v>MOTORCYCLE</v>
      </c>
      <c r="G505" s="7" t="str">
        <f>IFERROR(__xludf.DUMMYFUNCTION("""COMPUTED_VALUE"""),"SAO PAULO")</f>
        <v>SAO PAULO</v>
      </c>
    </row>
    <row r="506">
      <c r="A506" s="6">
        <f>IFERROR(__xludf.DUMMYFUNCTION("""COMPUTED_VALUE"""),45705.0)</f>
        <v>45705</v>
      </c>
      <c r="B506" s="7" t="str">
        <f>IFERROR(__xludf.DUMMYFUNCTION("""COMPUTED_VALUE"""),"56252eb4-a21e-472b-a114-4177bf9aa134")</f>
        <v>56252eb4-a21e-472b-a114-4177bf9aa134</v>
      </c>
      <c r="C506" s="7">
        <f>IFERROR(__xludf.DUMMYFUNCTION("""COMPUTED_VALUE"""),0.0)</f>
        <v>0</v>
      </c>
      <c r="D506" s="6">
        <f>IFERROR(__xludf.DUMMYFUNCTION("""COMPUTED_VALUE"""),45705.0)</f>
        <v>45705</v>
      </c>
      <c r="E506" s="7" t="str">
        <f>IFERROR(__xludf.DUMMYFUNCTION("""COMPUTED_VALUE"""),"FRANQUIA_D&amp;G_SP")</f>
        <v>FRANQUIA_D&amp;G_SP</v>
      </c>
      <c r="F506" s="7" t="str">
        <f>IFERROR(__xludf.DUMMYFUNCTION("""COMPUTED_VALUE"""),"EBIKE")</f>
        <v>EBIKE</v>
      </c>
      <c r="G506" s="7" t="str">
        <f>IFERROR(__xludf.DUMMYFUNCTION("""COMPUTED_VALUE"""),"SAO PAULO")</f>
        <v>SAO PAULO</v>
      </c>
    </row>
    <row r="507">
      <c r="A507" s="6">
        <f>IFERROR(__xludf.DUMMYFUNCTION("""COMPUTED_VALUE"""),45705.0)</f>
        <v>45705</v>
      </c>
      <c r="B507" s="7" t="str">
        <f>IFERROR(__xludf.DUMMYFUNCTION("""COMPUTED_VALUE"""),"d3919fe5-822f-4853-8693-f7b61141bb15")</f>
        <v>d3919fe5-822f-4853-8693-f7b61141bb15</v>
      </c>
      <c r="C507" s="7">
        <f>IFERROR(__xludf.DUMMYFUNCTION("""COMPUTED_VALUE"""),20.0)</f>
        <v>20</v>
      </c>
      <c r="D507" s="6">
        <f>IFERROR(__xludf.DUMMYFUNCTION("""COMPUTED_VALUE"""),45685.0)</f>
        <v>45685</v>
      </c>
      <c r="E507" s="7" t="str">
        <f>IFERROR(__xludf.DUMMYFUNCTION("""COMPUTED_VALUE"""),"FRANQUIA_D&amp;G_SP")</f>
        <v>FRANQUIA_D&amp;G_SP</v>
      </c>
      <c r="F507" s="7" t="str">
        <f>IFERROR(__xludf.DUMMYFUNCTION("""COMPUTED_VALUE"""),"MOTORCYCLE")</f>
        <v>MOTORCYCLE</v>
      </c>
      <c r="G507" s="7" t="str">
        <f>IFERROR(__xludf.DUMMYFUNCTION("""COMPUTED_VALUE"""),"SAO PAULO")</f>
        <v>SAO PAULO</v>
      </c>
    </row>
    <row r="508">
      <c r="A508" s="6">
        <f>IFERROR(__xludf.DUMMYFUNCTION("""COMPUTED_VALUE"""),45705.0)</f>
        <v>45705</v>
      </c>
      <c r="B508" s="7" t="str">
        <f>IFERROR(__xludf.DUMMYFUNCTION("""COMPUTED_VALUE"""),"a7fde664-7c7a-42a2-abea-31f54f70edbf")</f>
        <v>a7fde664-7c7a-42a2-abea-31f54f70edbf</v>
      </c>
      <c r="C508" s="7">
        <f>IFERROR(__xludf.DUMMYFUNCTION("""COMPUTED_VALUE"""),8.0)</f>
        <v>8</v>
      </c>
      <c r="D508" s="6">
        <f>IFERROR(__xludf.DUMMYFUNCTION("""COMPUTED_VALUE"""),45697.0)</f>
        <v>45697</v>
      </c>
      <c r="E508" s="7" t="str">
        <f>IFERROR(__xludf.DUMMYFUNCTION("""COMPUTED_VALUE"""),"FRANQUIA_D&amp;G_SP")</f>
        <v>FRANQUIA_D&amp;G_SP</v>
      </c>
      <c r="F508" s="7" t="str">
        <f>IFERROR(__xludf.DUMMYFUNCTION("""COMPUTED_VALUE"""),"EMOTORCYCLE")</f>
        <v>EMOTORCYCLE</v>
      </c>
      <c r="G508" s="7" t="str">
        <f>IFERROR(__xludf.DUMMYFUNCTION("""COMPUTED_VALUE"""),"SAO PAULO")</f>
        <v>SAO PAULO</v>
      </c>
    </row>
    <row r="509">
      <c r="A509" s="6">
        <f>IFERROR(__xludf.DUMMYFUNCTION("""COMPUTED_VALUE"""),45705.0)</f>
        <v>45705</v>
      </c>
      <c r="B509" s="7" t="str">
        <f>IFERROR(__xludf.DUMMYFUNCTION("""COMPUTED_VALUE"""),"af6d7401-cc0f-413c-b03f-3a5a8636eecc")</f>
        <v>af6d7401-cc0f-413c-b03f-3a5a8636eecc</v>
      </c>
      <c r="C509" s="7">
        <f>IFERROR(__xludf.DUMMYFUNCTION("""COMPUTED_VALUE"""),0.0)</f>
        <v>0</v>
      </c>
      <c r="D509" s="6">
        <f>IFERROR(__xludf.DUMMYFUNCTION("""COMPUTED_VALUE"""),45705.0)</f>
        <v>45705</v>
      </c>
      <c r="E509" s="7" t="str">
        <f>IFERROR(__xludf.DUMMYFUNCTION("""COMPUTED_VALUE"""),"FRANQUIA_D&amp;G_SP")</f>
        <v>FRANQUIA_D&amp;G_SP</v>
      </c>
      <c r="F509" s="7" t="str">
        <f>IFERROR(__xludf.DUMMYFUNCTION("""COMPUTED_VALUE"""),"BICYCLE")</f>
        <v>BICYCLE</v>
      </c>
      <c r="G509" s="7" t="str">
        <f>IFERROR(__xludf.DUMMYFUNCTION("""COMPUTED_VALUE"""),"SAO PAULO")</f>
        <v>SAO PAULO</v>
      </c>
    </row>
    <row r="510">
      <c r="A510" s="6">
        <f>IFERROR(__xludf.DUMMYFUNCTION("""COMPUTED_VALUE"""),45705.0)</f>
        <v>45705</v>
      </c>
      <c r="B510" s="7" t="str">
        <f>IFERROR(__xludf.DUMMYFUNCTION("""COMPUTED_VALUE"""),"de9b02e5-8686-4e34-9525-78bc3ca36b05")</f>
        <v>de9b02e5-8686-4e34-9525-78bc3ca36b05</v>
      </c>
      <c r="C510" s="7">
        <f>IFERROR(__xludf.DUMMYFUNCTION("""COMPUTED_VALUE"""),0.0)</f>
        <v>0</v>
      </c>
      <c r="D510" s="6">
        <f>IFERROR(__xludf.DUMMYFUNCTION("""COMPUTED_VALUE"""),45705.0)</f>
        <v>45705</v>
      </c>
      <c r="E510" s="7" t="str">
        <f>IFERROR(__xludf.DUMMYFUNCTION("""COMPUTED_VALUE"""),"FRANQUIA_D&amp;G_SP")</f>
        <v>FRANQUIA_D&amp;G_SP</v>
      </c>
      <c r="F510" s="7" t="str">
        <f>IFERROR(__xludf.DUMMYFUNCTION("""COMPUTED_VALUE"""),"MOTORCYCLE")</f>
        <v>MOTORCYCLE</v>
      </c>
      <c r="G510" s="7" t="str">
        <f>IFERROR(__xludf.DUMMYFUNCTION("""COMPUTED_VALUE"""),"SAO PAULO")</f>
        <v>SAO PAULO</v>
      </c>
    </row>
    <row r="511">
      <c r="A511" s="6">
        <f>IFERROR(__xludf.DUMMYFUNCTION("""COMPUTED_VALUE"""),45705.0)</f>
        <v>45705</v>
      </c>
      <c r="B511" s="7" t="str">
        <f>IFERROR(__xludf.DUMMYFUNCTION("""COMPUTED_VALUE"""),"4c26f6f4-f0f7-4d72-a5b9-539d1768f6d9")</f>
        <v>4c26f6f4-f0f7-4d72-a5b9-539d1768f6d9</v>
      </c>
      <c r="C511" s="7">
        <f>IFERROR(__xludf.DUMMYFUNCTION("""COMPUTED_VALUE"""),13.0)</f>
        <v>13</v>
      </c>
      <c r="D511" s="6">
        <f>IFERROR(__xludf.DUMMYFUNCTION("""COMPUTED_VALUE"""),45692.0)</f>
        <v>45692</v>
      </c>
      <c r="E511" s="7" t="str">
        <f>IFERROR(__xludf.DUMMYFUNCTION("""COMPUTED_VALUE"""),"FRANQUIA_D&amp;G_SP")</f>
        <v>FRANQUIA_D&amp;G_SP</v>
      </c>
      <c r="F511" s="7" t="str">
        <f>IFERROR(__xludf.DUMMYFUNCTION("""COMPUTED_VALUE"""),"BICYCLE")</f>
        <v>BICYCLE</v>
      </c>
      <c r="G511" s="7" t="str">
        <f>IFERROR(__xludf.DUMMYFUNCTION("""COMPUTED_VALUE"""),"SAO PAULO")</f>
        <v>SAO PAULO</v>
      </c>
    </row>
    <row r="512">
      <c r="A512" s="6">
        <f>IFERROR(__xludf.DUMMYFUNCTION("""COMPUTED_VALUE"""),45705.0)</f>
        <v>45705</v>
      </c>
      <c r="B512" s="7" t="str">
        <f>IFERROR(__xludf.DUMMYFUNCTION("""COMPUTED_VALUE"""),"4d645602-c2f1-4576-9a56-0f02b97d09b7")</f>
        <v>4d645602-c2f1-4576-9a56-0f02b97d09b7</v>
      </c>
      <c r="C512" s="7">
        <f>IFERROR(__xludf.DUMMYFUNCTION("""COMPUTED_VALUE"""),0.0)</f>
        <v>0</v>
      </c>
      <c r="D512" s="6">
        <f>IFERROR(__xludf.DUMMYFUNCTION("""COMPUTED_VALUE"""),45705.0)</f>
        <v>45705</v>
      </c>
      <c r="E512" s="7" t="str">
        <f>IFERROR(__xludf.DUMMYFUNCTION("""COMPUTED_VALUE"""),"FRANQUIA_D&amp;G_SP")</f>
        <v>FRANQUIA_D&amp;G_SP</v>
      </c>
      <c r="F512" s="7" t="str">
        <f>IFERROR(__xludf.DUMMYFUNCTION("""COMPUTED_VALUE"""),"EMOTORCYCLE")</f>
        <v>EMOTORCYCLE</v>
      </c>
      <c r="G512" s="7" t="str">
        <f>IFERROR(__xludf.DUMMYFUNCTION("""COMPUTED_VALUE"""),"SAO PAULO")</f>
        <v>SAO PAULO</v>
      </c>
    </row>
    <row r="513">
      <c r="A513" s="6">
        <f>IFERROR(__xludf.DUMMYFUNCTION("""COMPUTED_VALUE"""),45705.0)</f>
        <v>45705</v>
      </c>
      <c r="B513" s="7" t="str">
        <f>IFERROR(__xludf.DUMMYFUNCTION("""COMPUTED_VALUE"""),"58d101ff-a31e-4bc3-8061-de99950cebf2")</f>
        <v>58d101ff-a31e-4bc3-8061-de99950cebf2</v>
      </c>
      <c r="C513" s="7">
        <f>IFERROR(__xludf.DUMMYFUNCTION("""COMPUTED_VALUE"""),0.0)</f>
        <v>0</v>
      </c>
      <c r="D513" s="6">
        <f>IFERROR(__xludf.DUMMYFUNCTION("""COMPUTED_VALUE"""),45705.0)</f>
        <v>45705</v>
      </c>
      <c r="E513" s="7" t="str">
        <f>IFERROR(__xludf.DUMMYFUNCTION("""COMPUTED_VALUE"""),"FRANQUIA_D&amp;G_SP")</f>
        <v>FRANQUIA_D&amp;G_SP</v>
      </c>
      <c r="F513" s="7" t="str">
        <f>IFERROR(__xludf.DUMMYFUNCTION("""COMPUTED_VALUE"""),"MOTORCYCLE")</f>
        <v>MOTORCYCLE</v>
      </c>
      <c r="G513" s="7" t="str">
        <f>IFERROR(__xludf.DUMMYFUNCTION("""COMPUTED_VALUE"""),"SAO PAULO")</f>
        <v>SAO PAULO</v>
      </c>
    </row>
    <row r="514">
      <c r="A514" s="6">
        <f>IFERROR(__xludf.DUMMYFUNCTION("""COMPUTED_VALUE"""),45705.0)</f>
        <v>45705</v>
      </c>
      <c r="B514" s="7" t="str">
        <f>IFERROR(__xludf.DUMMYFUNCTION("""COMPUTED_VALUE"""),"adca0742-3daf-4076-97ab-28578894d39f")</f>
        <v>adca0742-3daf-4076-97ab-28578894d39f</v>
      </c>
      <c r="C514" s="7">
        <f>IFERROR(__xludf.DUMMYFUNCTION("""COMPUTED_VALUE"""),0.0)</f>
        <v>0</v>
      </c>
      <c r="D514" s="6">
        <f>IFERROR(__xludf.DUMMYFUNCTION("""COMPUTED_VALUE"""),45705.0)</f>
        <v>45705</v>
      </c>
      <c r="E514" s="7" t="str">
        <f>IFERROR(__xludf.DUMMYFUNCTION("""COMPUTED_VALUE"""),"FRANQUIA_D&amp;G_SP")</f>
        <v>FRANQUIA_D&amp;G_SP</v>
      </c>
      <c r="F514" s="7" t="str">
        <f>IFERROR(__xludf.DUMMYFUNCTION("""COMPUTED_VALUE"""),"MOTORCYCLE")</f>
        <v>MOTORCYCLE</v>
      </c>
      <c r="G514" s="7" t="str">
        <f>IFERROR(__xludf.DUMMYFUNCTION("""COMPUTED_VALUE"""),"SAO PAULO")</f>
        <v>SAO PAULO</v>
      </c>
    </row>
    <row r="515">
      <c r="A515" s="6">
        <f>IFERROR(__xludf.DUMMYFUNCTION("""COMPUTED_VALUE"""),45705.0)</f>
        <v>45705</v>
      </c>
      <c r="B515" s="7" t="str">
        <f>IFERROR(__xludf.DUMMYFUNCTION("""COMPUTED_VALUE"""),"b1de15af-cc72-444b-a38a-7a2ed6c7a0f1")</f>
        <v>b1de15af-cc72-444b-a38a-7a2ed6c7a0f1</v>
      </c>
      <c r="C515" s="7">
        <f>IFERROR(__xludf.DUMMYFUNCTION("""COMPUTED_VALUE"""),0.0)</f>
        <v>0</v>
      </c>
      <c r="D515" s="6">
        <f>IFERROR(__xludf.DUMMYFUNCTION("""COMPUTED_VALUE"""),45705.0)</f>
        <v>45705</v>
      </c>
      <c r="E515" s="7" t="str">
        <f>IFERROR(__xludf.DUMMYFUNCTION("""COMPUTED_VALUE"""),"FRANQUIA_D&amp;G_SP")</f>
        <v>FRANQUIA_D&amp;G_SP</v>
      </c>
      <c r="F515" s="7" t="str">
        <f>IFERROR(__xludf.DUMMYFUNCTION("""COMPUTED_VALUE"""),"MOTORCYCLE")</f>
        <v>MOTORCYCLE</v>
      </c>
      <c r="G515" s="7" t="str">
        <f>IFERROR(__xludf.DUMMYFUNCTION("""COMPUTED_VALUE"""),"SAO PAULO")</f>
        <v>SAO PAULO</v>
      </c>
    </row>
    <row r="516">
      <c r="A516" s="6">
        <f>IFERROR(__xludf.DUMMYFUNCTION("""COMPUTED_VALUE"""),45705.0)</f>
        <v>45705</v>
      </c>
      <c r="B516" s="7" t="str">
        <f>IFERROR(__xludf.DUMMYFUNCTION("""COMPUTED_VALUE"""),"a145ad55-f7f4-4cdd-a785-79625d979e14")</f>
        <v>a145ad55-f7f4-4cdd-a785-79625d979e14</v>
      </c>
      <c r="C516" s="7">
        <f>IFERROR(__xludf.DUMMYFUNCTION("""COMPUTED_VALUE"""),209.0)</f>
        <v>209</v>
      </c>
      <c r="D516" s="6">
        <f>IFERROR(__xludf.DUMMYFUNCTION("""COMPUTED_VALUE"""),45496.0)</f>
        <v>45496</v>
      </c>
      <c r="E516" s="7" t="str">
        <f>IFERROR(__xludf.DUMMYFUNCTION("""COMPUTED_VALUE"""),"FRANQUIA_D&amp;G_SP")</f>
        <v>FRANQUIA_D&amp;G_SP</v>
      </c>
      <c r="F516" s="7" t="str">
        <f>IFERROR(__xludf.DUMMYFUNCTION("""COMPUTED_VALUE"""),"MOTORCYCLE")</f>
        <v>MOTORCYCLE</v>
      </c>
      <c r="G516" s="7" t="str">
        <f>IFERROR(__xludf.DUMMYFUNCTION("""COMPUTED_VALUE"""),"SAO PAULO")</f>
        <v>SAO PAULO</v>
      </c>
    </row>
    <row r="517">
      <c r="A517" s="6">
        <f>IFERROR(__xludf.DUMMYFUNCTION("""COMPUTED_VALUE"""),45705.0)</f>
        <v>45705</v>
      </c>
      <c r="B517" s="7" t="str">
        <f>IFERROR(__xludf.DUMMYFUNCTION("""COMPUTED_VALUE"""),"eaa1690c-f5c4-46c8-a7f6-b8a6f13b8785")</f>
        <v>eaa1690c-f5c4-46c8-a7f6-b8a6f13b8785</v>
      </c>
      <c r="C517" s="7">
        <f>IFERROR(__xludf.DUMMYFUNCTION("""COMPUTED_VALUE"""),0.0)</f>
        <v>0</v>
      </c>
      <c r="D517" s="6">
        <f>IFERROR(__xludf.DUMMYFUNCTION("""COMPUTED_VALUE"""),45705.0)</f>
        <v>45705</v>
      </c>
      <c r="E517" s="7" t="str">
        <f>IFERROR(__xludf.DUMMYFUNCTION("""COMPUTED_VALUE"""),"FRANQUIA_D&amp;G_SP")</f>
        <v>FRANQUIA_D&amp;G_SP</v>
      </c>
      <c r="F517" s="7" t="str">
        <f>IFERROR(__xludf.DUMMYFUNCTION("""COMPUTED_VALUE"""),"MOTORCYCLE")</f>
        <v>MOTORCYCLE</v>
      </c>
      <c r="G517" s="7" t="str">
        <f>IFERROR(__xludf.DUMMYFUNCTION("""COMPUTED_VALUE"""),"SAO PAULO")</f>
        <v>SAO PAULO</v>
      </c>
    </row>
    <row r="518">
      <c r="A518" s="6">
        <f>IFERROR(__xludf.DUMMYFUNCTION("""COMPUTED_VALUE"""),45705.0)</f>
        <v>45705</v>
      </c>
      <c r="B518" s="7" t="str">
        <f>IFERROR(__xludf.DUMMYFUNCTION("""COMPUTED_VALUE"""),"9e7d87cc-e202-4c66-bc17-d52ea277f7c7")</f>
        <v>9e7d87cc-e202-4c66-bc17-d52ea277f7c7</v>
      </c>
      <c r="C518" s="7">
        <f>IFERROR(__xludf.DUMMYFUNCTION("""COMPUTED_VALUE"""),115.0)</f>
        <v>115</v>
      </c>
      <c r="D518" s="6">
        <f>IFERROR(__xludf.DUMMYFUNCTION("""COMPUTED_VALUE"""),45590.0)</f>
        <v>45590</v>
      </c>
      <c r="E518" s="7" t="str">
        <f>IFERROR(__xludf.DUMMYFUNCTION("""COMPUTED_VALUE"""),"FRANQUIA_D&amp;G_SP")</f>
        <v>FRANQUIA_D&amp;G_SP</v>
      </c>
      <c r="F518" s="7" t="str">
        <f>IFERROR(__xludf.DUMMYFUNCTION("""COMPUTED_VALUE"""),"MOTORCYCLE")</f>
        <v>MOTORCYCLE</v>
      </c>
      <c r="G518" s="7" t="str">
        <f>IFERROR(__xludf.DUMMYFUNCTION("""COMPUTED_VALUE"""),"SAO PAULO")</f>
        <v>SAO PAULO</v>
      </c>
    </row>
    <row r="519">
      <c r="A519" s="6">
        <f>IFERROR(__xludf.DUMMYFUNCTION("""COMPUTED_VALUE"""),45705.0)</f>
        <v>45705</v>
      </c>
      <c r="B519" s="7" t="str">
        <f>IFERROR(__xludf.DUMMYFUNCTION("""COMPUTED_VALUE"""),"b5d5ba84-7afa-422d-9523-c1e1c4a1a25b")</f>
        <v>b5d5ba84-7afa-422d-9523-c1e1c4a1a25b</v>
      </c>
      <c r="C519" s="7">
        <f>IFERROR(__xludf.DUMMYFUNCTION("""COMPUTED_VALUE"""),2.0)</f>
        <v>2</v>
      </c>
      <c r="D519" s="6">
        <f>IFERROR(__xludf.DUMMYFUNCTION("""COMPUTED_VALUE"""),45703.0)</f>
        <v>45703</v>
      </c>
      <c r="E519" s="7" t="str">
        <f>IFERROR(__xludf.DUMMYFUNCTION("""COMPUTED_VALUE"""),"FRANQUIA_D&amp;G_SP")</f>
        <v>FRANQUIA_D&amp;G_SP</v>
      </c>
      <c r="F519" s="7" t="str">
        <f>IFERROR(__xludf.DUMMYFUNCTION("""COMPUTED_VALUE"""),"MOTORCYCLE")</f>
        <v>MOTORCYCLE</v>
      </c>
      <c r="G519" s="7" t="str">
        <f>IFERROR(__xludf.DUMMYFUNCTION("""COMPUTED_VALUE"""),"SAO PAULO")</f>
        <v>SAO PAULO</v>
      </c>
    </row>
    <row r="520">
      <c r="A520" s="6">
        <f>IFERROR(__xludf.DUMMYFUNCTION("""COMPUTED_VALUE"""),45705.0)</f>
        <v>45705</v>
      </c>
      <c r="B520" s="7" t="str">
        <f>IFERROR(__xludf.DUMMYFUNCTION("""COMPUTED_VALUE"""),"9968490d-4e27-440d-bc02-4bd683e9a4e0")</f>
        <v>9968490d-4e27-440d-bc02-4bd683e9a4e0</v>
      </c>
      <c r="C520" s="7">
        <f>IFERROR(__xludf.DUMMYFUNCTION("""COMPUTED_VALUE"""),12.0)</f>
        <v>12</v>
      </c>
      <c r="D520" s="6">
        <f>IFERROR(__xludf.DUMMYFUNCTION("""COMPUTED_VALUE"""),45693.0)</f>
        <v>45693</v>
      </c>
      <c r="E520" s="7" t="str">
        <f>IFERROR(__xludf.DUMMYFUNCTION("""COMPUTED_VALUE"""),"FRANQUIA_D&amp;G_SP")</f>
        <v>FRANQUIA_D&amp;G_SP</v>
      </c>
      <c r="F520" s="7" t="str">
        <f>IFERROR(__xludf.DUMMYFUNCTION("""COMPUTED_VALUE"""),"BICYCLE")</f>
        <v>BICYCLE</v>
      </c>
      <c r="G520" s="7" t="str">
        <f>IFERROR(__xludf.DUMMYFUNCTION("""COMPUTED_VALUE"""),"SAO PAULO")</f>
        <v>SAO PAULO</v>
      </c>
    </row>
    <row r="521">
      <c r="A521" s="6">
        <f>IFERROR(__xludf.DUMMYFUNCTION("""COMPUTED_VALUE"""),45705.0)</f>
        <v>45705</v>
      </c>
      <c r="B521" s="7" t="str">
        <f>IFERROR(__xludf.DUMMYFUNCTION("""COMPUTED_VALUE"""),"0bfe6c3f-c30c-45dd-a0dd-4d01e44947d0")</f>
        <v>0bfe6c3f-c30c-45dd-a0dd-4d01e44947d0</v>
      </c>
      <c r="C521" s="7">
        <f>IFERROR(__xludf.DUMMYFUNCTION("""COMPUTED_VALUE"""),0.0)</f>
        <v>0</v>
      </c>
      <c r="D521" s="6">
        <f>IFERROR(__xludf.DUMMYFUNCTION("""COMPUTED_VALUE"""),45705.0)</f>
        <v>45705</v>
      </c>
      <c r="E521" s="7" t="str">
        <f>IFERROR(__xludf.DUMMYFUNCTION("""COMPUTED_VALUE"""),"FRANQUIA_D&amp;G_SP")</f>
        <v>FRANQUIA_D&amp;G_SP</v>
      </c>
      <c r="F521" s="7" t="str">
        <f>IFERROR(__xludf.DUMMYFUNCTION("""COMPUTED_VALUE"""),"EMOTORCYCLE")</f>
        <v>EMOTORCYCLE</v>
      </c>
      <c r="G521" s="7" t="str">
        <f>IFERROR(__xludf.DUMMYFUNCTION("""COMPUTED_VALUE"""),"SAO PAULO")</f>
        <v>SAO PAULO</v>
      </c>
    </row>
    <row r="522">
      <c r="A522" s="6">
        <f>IFERROR(__xludf.DUMMYFUNCTION("""COMPUTED_VALUE"""),45705.0)</f>
        <v>45705</v>
      </c>
      <c r="B522" s="7" t="str">
        <f>IFERROR(__xludf.DUMMYFUNCTION("""COMPUTED_VALUE"""),"55cfdddb-4179-4ef7-8d8d-5f49f4f328ed")</f>
        <v>55cfdddb-4179-4ef7-8d8d-5f49f4f328ed</v>
      </c>
      <c r="C522" s="7">
        <f>IFERROR(__xludf.DUMMYFUNCTION("""COMPUTED_VALUE"""),18.0)</f>
        <v>18</v>
      </c>
      <c r="D522" s="6">
        <f>IFERROR(__xludf.DUMMYFUNCTION("""COMPUTED_VALUE"""),45687.0)</f>
        <v>45687</v>
      </c>
      <c r="E522" s="7" t="str">
        <f>IFERROR(__xludf.DUMMYFUNCTION("""COMPUTED_VALUE"""),"FRANQUIA_D&amp;G_SP")</f>
        <v>FRANQUIA_D&amp;G_SP</v>
      </c>
      <c r="F522" s="7" t="str">
        <f>IFERROR(__xludf.DUMMYFUNCTION("""COMPUTED_VALUE"""),"MOTORCYCLE")</f>
        <v>MOTORCYCLE</v>
      </c>
      <c r="G522" s="7" t="str">
        <f>IFERROR(__xludf.DUMMYFUNCTION("""COMPUTED_VALUE"""),"SAO PAULO")</f>
        <v>SAO PAULO</v>
      </c>
    </row>
    <row r="523">
      <c r="A523" s="6">
        <f>IFERROR(__xludf.DUMMYFUNCTION("""COMPUTED_VALUE"""),45705.0)</f>
        <v>45705</v>
      </c>
      <c r="B523" s="7" t="str">
        <f>IFERROR(__xludf.DUMMYFUNCTION("""COMPUTED_VALUE"""),"86a22795-af41-4681-a630-7804e4a78bd2")</f>
        <v>86a22795-af41-4681-a630-7804e4a78bd2</v>
      </c>
      <c r="C523" s="7">
        <f>IFERROR(__xludf.DUMMYFUNCTION("""COMPUTED_VALUE"""),10.0)</f>
        <v>10</v>
      </c>
      <c r="D523" s="6">
        <f>IFERROR(__xludf.DUMMYFUNCTION("""COMPUTED_VALUE"""),45695.0)</f>
        <v>45695</v>
      </c>
      <c r="E523" s="7" t="str">
        <f>IFERROR(__xludf.DUMMYFUNCTION("""COMPUTED_VALUE"""),"FRANQUIA_D&amp;G_SP")</f>
        <v>FRANQUIA_D&amp;G_SP</v>
      </c>
      <c r="F523" s="7" t="str">
        <f>IFERROR(__xludf.DUMMYFUNCTION("""COMPUTED_VALUE"""),"BICYCLE")</f>
        <v>BICYCLE</v>
      </c>
      <c r="G523" s="7" t="str">
        <f>IFERROR(__xludf.DUMMYFUNCTION("""COMPUTED_VALUE"""),"SAO PAULO")</f>
        <v>SAO PAULO</v>
      </c>
    </row>
    <row r="524">
      <c r="A524" s="6">
        <f>IFERROR(__xludf.DUMMYFUNCTION("""COMPUTED_VALUE"""),45705.0)</f>
        <v>45705</v>
      </c>
      <c r="B524" s="7" t="str">
        <f>IFERROR(__xludf.DUMMYFUNCTION("""COMPUTED_VALUE"""),"bc68abfc-d38b-41d0-9f84-fe99178f42d1")</f>
        <v>bc68abfc-d38b-41d0-9f84-fe99178f42d1</v>
      </c>
      <c r="C524" s="7">
        <f>IFERROR(__xludf.DUMMYFUNCTION("""COMPUTED_VALUE"""),172.0)</f>
        <v>172</v>
      </c>
      <c r="D524" s="6">
        <f>IFERROR(__xludf.DUMMYFUNCTION("""COMPUTED_VALUE"""),45533.0)</f>
        <v>45533</v>
      </c>
      <c r="E524" s="7" t="str">
        <f>IFERROR(__xludf.DUMMYFUNCTION("""COMPUTED_VALUE"""),"FRANQUIA_D&amp;G_SP")</f>
        <v>FRANQUIA_D&amp;G_SP</v>
      </c>
      <c r="F524" s="7" t="str">
        <f>IFERROR(__xludf.DUMMYFUNCTION("""COMPUTED_VALUE"""),"MOTORCYCLE")</f>
        <v>MOTORCYCLE</v>
      </c>
      <c r="G524" s="7" t="str">
        <f>IFERROR(__xludf.DUMMYFUNCTION("""COMPUTED_VALUE"""),"SAO PAULO")</f>
        <v>SAO PAULO</v>
      </c>
    </row>
    <row r="525">
      <c r="A525" s="6">
        <f>IFERROR(__xludf.DUMMYFUNCTION("""COMPUTED_VALUE"""),45705.0)</f>
        <v>45705</v>
      </c>
      <c r="B525" s="7" t="str">
        <f>IFERROR(__xludf.DUMMYFUNCTION("""COMPUTED_VALUE"""),"74c7da60-cc2f-45e1-a0bd-8bb4971525d7")</f>
        <v>74c7da60-cc2f-45e1-a0bd-8bb4971525d7</v>
      </c>
      <c r="C525" s="7">
        <f>IFERROR(__xludf.DUMMYFUNCTION("""COMPUTED_VALUE"""),620.0)</f>
        <v>620</v>
      </c>
      <c r="D525" s="6">
        <f>IFERROR(__xludf.DUMMYFUNCTION("""COMPUTED_VALUE"""),45085.0)</f>
        <v>45085</v>
      </c>
      <c r="E525" s="7" t="str">
        <f>IFERROR(__xludf.DUMMYFUNCTION("""COMPUTED_VALUE"""),"FRANQUIA_D&amp;G_SP")</f>
        <v>FRANQUIA_D&amp;G_SP</v>
      </c>
      <c r="F525" s="7" t="str">
        <f>IFERROR(__xludf.DUMMYFUNCTION("""COMPUTED_VALUE"""),"BICYCLE")</f>
        <v>BICYCLE</v>
      </c>
      <c r="G525" s="7" t="str">
        <f>IFERROR(__xludf.DUMMYFUNCTION("""COMPUTED_VALUE"""),"SAO PAULO")</f>
        <v>SAO PAULO</v>
      </c>
    </row>
    <row r="526">
      <c r="A526" s="6">
        <f>IFERROR(__xludf.DUMMYFUNCTION("""COMPUTED_VALUE"""),45705.0)</f>
        <v>45705</v>
      </c>
      <c r="B526" s="7" t="str">
        <f>IFERROR(__xludf.DUMMYFUNCTION("""COMPUTED_VALUE"""),"5ef0b6f7-92b1-4e68-b505-968bbfc1ccbd")</f>
        <v>5ef0b6f7-92b1-4e68-b505-968bbfc1ccbd</v>
      </c>
      <c r="C526" s="7">
        <f>IFERROR(__xludf.DUMMYFUNCTION("""COMPUTED_VALUE"""),0.0)</f>
        <v>0</v>
      </c>
      <c r="D526" s="6">
        <f>IFERROR(__xludf.DUMMYFUNCTION("""COMPUTED_VALUE"""),45705.0)</f>
        <v>45705</v>
      </c>
      <c r="E526" s="7" t="str">
        <f>IFERROR(__xludf.DUMMYFUNCTION("""COMPUTED_VALUE"""),"FRANQUIA_D&amp;G_SP")</f>
        <v>FRANQUIA_D&amp;G_SP</v>
      </c>
      <c r="F526" s="7" t="str">
        <f>IFERROR(__xludf.DUMMYFUNCTION("""COMPUTED_VALUE"""),"MOTORCYCLE")</f>
        <v>MOTORCYCLE</v>
      </c>
      <c r="G526" s="7" t="str">
        <f>IFERROR(__xludf.DUMMYFUNCTION("""COMPUTED_VALUE"""),"SAO PAULO")</f>
        <v>SAO PAULO</v>
      </c>
    </row>
    <row r="527">
      <c r="A527" s="6">
        <f>IFERROR(__xludf.DUMMYFUNCTION("""COMPUTED_VALUE"""),45705.0)</f>
        <v>45705</v>
      </c>
      <c r="B527" s="7" t="str">
        <f>IFERROR(__xludf.DUMMYFUNCTION("""COMPUTED_VALUE"""),"20f3fc6f-39f2-4a04-ba8d-82f8ea1a4a70")</f>
        <v>20f3fc6f-39f2-4a04-ba8d-82f8ea1a4a70</v>
      </c>
      <c r="C527" s="7">
        <f>IFERROR(__xludf.DUMMYFUNCTION("""COMPUTED_VALUE"""),0.0)</f>
        <v>0</v>
      </c>
      <c r="D527" s="6">
        <f>IFERROR(__xludf.DUMMYFUNCTION("""COMPUTED_VALUE"""),45705.0)</f>
        <v>45705</v>
      </c>
      <c r="E527" s="7" t="str">
        <f>IFERROR(__xludf.DUMMYFUNCTION("""COMPUTED_VALUE"""),"FRANQUIA_D&amp;G_SP")</f>
        <v>FRANQUIA_D&amp;G_SP</v>
      </c>
      <c r="F527" s="7" t="str">
        <f>IFERROR(__xludf.DUMMYFUNCTION("""COMPUTED_VALUE"""),"BICYCLE")</f>
        <v>BICYCLE</v>
      </c>
      <c r="G527" s="7" t="str">
        <f>IFERROR(__xludf.DUMMYFUNCTION("""COMPUTED_VALUE"""),"SAO PAULO")</f>
        <v>SAO PAULO</v>
      </c>
    </row>
    <row r="528">
      <c r="A528" s="6">
        <f>IFERROR(__xludf.DUMMYFUNCTION("""COMPUTED_VALUE"""),45705.0)</f>
        <v>45705</v>
      </c>
      <c r="B528" s="7" t="str">
        <f>IFERROR(__xludf.DUMMYFUNCTION("""COMPUTED_VALUE"""),"ea407009-dad3-4ca0-a6ed-b27a79b28789")</f>
        <v>ea407009-dad3-4ca0-a6ed-b27a79b28789</v>
      </c>
      <c r="C528" s="7">
        <f>IFERROR(__xludf.DUMMYFUNCTION("""COMPUTED_VALUE"""),43.0)</f>
        <v>43</v>
      </c>
      <c r="D528" s="6">
        <f>IFERROR(__xludf.DUMMYFUNCTION("""COMPUTED_VALUE"""),45662.0)</f>
        <v>45662</v>
      </c>
      <c r="E528" s="7" t="str">
        <f>IFERROR(__xludf.DUMMYFUNCTION("""COMPUTED_VALUE"""),"FRANQUIA_D&amp;G_SP")</f>
        <v>FRANQUIA_D&amp;G_SP</v>
      </c>
      <c r="F528" s="7" t="str">
        <f>IFERROR(__xludf.DUMMYFUNCTION("""COMPUTED_VALUE"""),"MOTORCYCLE")</f>
        <v>MOTORCYCLE</v>
      </c>
      <c r="G528" s="7" t="str">
        <f>IFERROR(__xludf.DUMMYFUNCTION("""COMPUTED_VALUE"""),"SAO PAULO")</f>
        <v>SAO PAULO</v>
      </c>
    </row>
    <row r="529">
      <c r="A529" s="6">
        <f>IFERROR(__xludf.DUMMYFUNCTION("""COMPUTED_VALUE"""),45705.0)</f>
        <v>45705</v>
      </c>
      <c r="B529" s="7" t="str">
        <f>IFERROR(__xludf.DUMMYFUNCTION("""COMPUTED_VALUE"""),"64a8b42c-b9e3-44f8-a693-dc38c7292671")</f>
        <v>64a8b42c-b9e3-44f8-a693-dc38c7292671</v>
      </c>
      <c r="C529" s="7">
        <f>IFERROR(__xludf.DUMMYFUNCTION("""COMPUTED_VALUE"""),12.0)</f>
        <v>12</v>
      </c>
      <c r="D529" s="6">
        <f>IFERROR(__xludf.DUMMYFUNCTION("""COMPUTED_VALUE"""),45693.0)</f>
        <v>45693</v>
      </c>
      <c r="E529" s="7" t="str">
        <f>IFERROR(__xludf.DUMMYFUNCTION("""COMPUTED_VALUE"""),"FRANQUIA_D&amp;G_SP")</f>
        <v>FRANQUIA_D&amp;G_SP</v>
      </c>
      <c r="F529" s="7" t="str">
        <f>IFERROR(__xludf.DUMMYFUNCTION("""COMPUTED_VALUE"""),"MOTORCYCLE")</f>
        <v>MOTORCYCLE</v>
      </c>
      <c r="G529" s="7" t="str">
        <f>IFERROR(__xludf.DUMMYFUNCTION("""COMPUTED_VALUE"""),"SAO PAULO")</f>
        <v>SAO PAULO</v>
      </c>
    </row>
    <row r="530">
      <c r="A530" s="6">
        <f>IFERROR(__xludf.DUMMYFUNCTION("""COMPUTED_VALUE"""),45705.0)</f>
        <v>45705</v>
      </c>
      <c r="B530" s="7" t="str">
        <f>IFERROR(__xludf.DUMMYFUNCTION("""COMPUTED_VALUE"""),"63d173df-8c6a-4c49-b81f-6293b81d7d1c")</f>
        <v>63d173df-8c6a-4c49-b81f-6293b81d7d1c</v>
      </c>
      <c r="C530" s="7">
        <f>IFERROR(__xludf.DUMMYFUNCTION("""COMPUTED_VALUE"""),3.0)</f>
        <v>3</v>
      </c>
      <c r="D530" s="6">
        <f>IFERROR(__xludf.DUMMYFUNCTION("""COMPUTED_VALUE"""),45702.0)</f>
        <v>45702</v>
      </c>
      <c r="E530" s="7" t="str">
        <f>IFERROR(__xludf.DUMMYFUNCTION("""COMPUTED_VALUE"""),"FRANQUIA_D&amp;G_SP")</f>
        <v>FRANQUIA_D&amp;G_SP</v>
      </c>
      <c r="F530" s="7" t="str">
        <f>IFERROR(__xludf.DUMMYFUNCTION("""COMPUTED_VALUE"""),"MOTORCYCLE")</f>
        <v>MOTORCYCLE</v>
      </c>
      <c r="G530" s="7" t="str">
        <f>IFERROR(__xludf.DUMMYFUNCTION("""COMPUTED_VALUE"""),"ABC")</f>
        <v>ABC</v>
      </c>
    </row>
    <row r="531">
      <c r="A531" s="6">
        <f>IFERROR(__xludf.DUMMYFUNCTION("""COMPUTED_VALUE"""),45705.0)</f>
        <v>45705</v>
      </c>
      <c r="B531" s="7" t="str">
        <f>IFERROR(__xludf.DUMMYFUNCTION("""COMPUTED_VALUE"""),"f0f81bd2-e0d8-4a33-b62d-f1f429e3c225")</f>
        <v>f0f81bd2-e0d8-4a33-b62d-f1f429e3c225</v>
      </c>
      <c r="C531" s="7">
        <f>IFERROR(__xludf.DUMMYFUNCTION("""COMPUTED_VALUE"""),0.0)</f>
        <v>0</v>
      </c>
      <c r="D531" s="6">
        <f>IFERROR(__xludf.DUMMYFUNCTION("""COMPUTED_VALUE"""),45705.0)</f>
        <v>45705</v>
      </c>
      <c r="E531" s="7" t="str">
        <f>IFERROR(__xludf.DUMMYFUNCTION("""COMPUTED_VALUE"""),"FRANQUIA_D&amp;G_SP")</f>
        <v>FRANQUIA_D&amp;G_SP</v>
      </c>
      <c r="F531" s="7" t="str">
        <f>IFERROR(__xludf.DUMMYFUNCTION("""COMPUTED_VALUE"""),"BICYCLE")</f>
        <v>BICYCLE</v>
      </c>
      <c r="G531" s="7" t="str">
        <f>IFERROR(__xludf.DUMMYFUNCTION("""COMPUTED_VALUE"""),"SAO PAULO")</f>
        <v>SAO PAULO</v>
      </c>
    </row>
    <row r="532">
      <c r="A532" s="6">
        <f>IFERROR(__xludf.DUMMYFUNCTION("""COMPUTED_VALUE"""),45705.0)</f>
        <v>45705</v>
      </c>
      <c r="B532" s="7" t="str">
        <f>IFERROR(__xludf.DUMMYFUNCTION("""COMPUTED_VALUE"""),"48a8fc70-6932-4599-8764-2252357a03a4")</f>
        <v>48a8fc70-6932-4599-8764-2252357a03a4</v>
      </c>
      <c r="C532" s="7">
        <f>IFERROR(__xludf.DUMMYFUNCTION("""COMPUTED_VALUE"""),0.0)</f>
        <v>0</v>
      </c>
      <c r="D532" s="6">
        <f>IFERROR(__xludf.DUMMYFUNCTION("""COMPUTED_VALUE"""),45705.0)</f>
        <v>45705</v>
      </c>
      <c r="E532" s="7" t="str">
        <f>IFERROR(__xludf.DUMMYFUNCTION("""COMPUTED_VALUE"""),"FRANQUIA_D&amp;G_SP")</f>
        <v>FRANQUIA_D&amp;G_SP</v>
      </c>
      <c r="F532" s="7" t="str">
        <f>IFERROR(__xludf.DUMMYFUNCTION("""COMPUTED_VALUE"""),"MOTORCYCLE")</f>
        <v>MOTORCYCLE</v>
      </c>
      <c r="G532" s="7" t="str">
        <f>IFERROR(__xludf.DUMMYFUNCTION("""COMPUTED_VALUE"""),"RECIFE")</f>
        <v>RECIFE</v>
      </c>
    </row>
    <row r="533">
      <c r="A533" s="6">
        <f>IFERROR(__xludf.DUMMYFUNCTION("""COMPUTED_VALUE"""),45705.0)</f>
        <v>45705</v>
      </c>
      <c r="B533" s="7" t="str">
        <f>IFERROR(__xludf.DUMMYFUNCTION("""COMPUTED_VALUE"""),"0df6734f-58c9-4c3d-9b41-0ff9d9b2d261")</f>
        <v>0df6734f-58c9-4c3d-9b41-0ff9d9b2d261</v>
      </c>
      <c r="C533" s="7">
        <f>IFERROR(__xludf.DUMMYFUNCTION("""COMPUTED_VALUE"""),187.0)</f>
        <v>187</v>
      </c>
      <c r="D533" s="6">
        <f>IFERROR(__xludf.DUMMYFUNCTION("""COMPUTED_VALUE"""),45518.0)</f>
        <v>45518</v>
      </c>
      <c r="E533" s="7" t="str">
        <f>IFERROR(__xludf.DUMMYFUNCTION("""COMPUTED_VALUE"""),"FRANQUIA_D&amp;G_SP")</f>
        <v>FRANQUIA_D&amp;G_SP</v>
      </c>
      <c r="F533" s="7" t="str">
        <f>IFERROR(__xludf.DUMMYFUNCTION("""COMPUTED_VALUE"""),"MOTORCYCLE")</f>
        <v>MOTORCYCLE</v>
      </c>
      <c r="G533" s="7" t="str">
        <f>IFERROR(__xludf.DUMMYFUNCTION("""COMPUTED_VALUE"""),"SAO PAULO")</f>
        <v>SAO PAULO</v>
      </c>
    </row>
    <row r="534">
      <c r="A534" s="6">
        <f>IFERROR(__xludf.DUMMYFUNCTION("""COMPUTED_VALUE"""),45705.0)</f>
        <v>45705</v>
      </c>
      <c r="B534" s="7" t="str">
        <f>IFERROR(__xludf.DUMMYFUNCTION("""COMPUTED_VALUE"""),"65f60830-f82c-4543-b298-063f8f97850a")</f>
        <v>65f60830-f82c-4543-b298-063f8f97850a</v>
      </c>
      <c r="C534" s="7">
        <f>IFERROR(__xludf.DUMMYFUNCTION("""COMPUTED_VALUE"""),20.0)</f>
        <v>20</v>
      </c>
      <c r="D534" s="6">
        <f>IFERROR(__xludf.DUMMYFUNCTION("""COMPUTED_VALUE"""),45685.0)</f>
        <v>45685</v>
      </c>
      <c r="E534" s="7" t="str">
        <f>IFERROR(__xludf.DUMMYFUNCTION("""COMPUTED_VALUE"""),"FRANQUIA_D&amp;G_SP")</f>
        <v>FRANQUIA_D&amp;G_SP</v>
      </c>
      <c r="F534" s="7" t="str">
        <f>IFERROR(__xludf.DUMMYFUNCTION("""COMPUTED_VALUE"""),"MOTORCYCLE")</f>
        <v>MOTORCYCLE</v>
      </c>
      <c r="G534" s="7" t="str">
        <f>IFERROR(__xludf.DUMMYFUNCTION("""COMPUTED_VALUE"""),"SAO PAULO")</f>
        <v>SAO PAULO</v>
      </c>
    </row>
    <row r="535">
      <c r="A535" s="6">
        <f>IFERROR(__xludf.DUMMYFUNCTION("""COMPUTED_VALUE"""),45705.0)</f>
        <v>45705</v>
      </c>
      <c r="B535" s="7" t="str">
        <f>IFERROR(__xludf.DUMMYFUNCTION("""COMPUTED_VALUE"""),"1c9dd6c6-51c3-41bb-87fd-34f9b3eea607")</f>
        <v>1c9dd6c6-51c3-41bb-87fd-34f9b3eea607</v>
      </c>
      <c r="C535" s="7">
        <f>IFERROR(__xludf.DUMMYFUNCTION("""COMPUTED_VALUE"""),0.0)</f>
        <v>0</v>
      </c>
      <c r="D535" s="6">
        <f>IFERROR(__xludf.DUMMYFUNCTION("""COMPUTED_VALUE"""),0.0)</f>
        <v>0</v>
      </c>
      <c r="E535" s="7" t="str">
        <f>IFERROR(__xludf.DUMMYFUNCTION("""COMPUTED_VALUE"""),"FRANQUIA_D&amp;G_SP")</f>
        <v>FRANQUIA_D&amp;G_SP</v>
      </c>
      <c r="F535" s="7" t="str">
        <f>IFERROR(__xludf.DUMMYFUNCTION("""COMPUTED_VALUE"""),"MOTORCYCLE")</f>
        <v>MOTORCYCLE</v>
      </c>
      <c r="G535" s="7" t="str">
        <f>IFERROR(__xludf.DUMMYFUNCTION("""COMPUTED_VALUE"""),"0")</f>
        <v>0</v>
      </c>
    </row>
    <row r="536">
      <c r="A536" s="6">
        <f>IFERROR(__xludf.DUMMYFUNCTION("""COMPUTED_VALUE"""),45705.0)</f>
        <v>45705</v>
      </c>
      <c r="B536" s="7" t="str">
        <f>IFERROR(__xludf.DUMMYFUNCTION("""COMPUTED_VALUE"""),"db8cdc0e-86b6-468d-ae19-9c94328aad08")</f>
        <v>db8cdc0e-86b6-468d-ae19-9c94328aad08</v>
      </c>
      <c r="C536" s="7">
        <f>IFERROR(__xludf.DUMMYFUNCTION("""COMPUTED_VALUE"""),0.0)</f>
        <v>0</v>
      </c>
      <c r="D536" s="6">
        <f>IFERROR(__xludf.DUMMYFUNCTION("""COMPUTED_VALUE"""),45705.0)</f>
        <v>45705</v>
      </c>
      <c r="E536" s="7" t="str">
        <f>IFERROR(__xludf.DUMMYFUNCTION("""COMPUTED_VALUE"""),"FRANQUIA_D&amp;G_SP")</f>
        <v>FRANQUIA_D&amp;G_SP</v>
      </c>
      <c r="F536" s="7" t="str">
        <f>IFERROR(__xludf.DUMMYFUNCTION("""COMPUTED_VALUE"""),"MOTORCYCLE")</f>
        <v>MOTORCYCLE</v>
      </c>
      <c r="G536" s="7" t="str">
        <f>IFERROR(__xludf.DUMMYFUNCTION("""COMPUTED_VALUE"""),"SAO PAULO")</f>
        <v>SAO PAULO</v>
      </c>
    </row>
    <row r="537">
      <c r="A537" s="6">
        <f>IFERROR(__xludf.DUMMYFUNCTION("""COMPUTED_VALUE"""),45705.0)</f>
        <v>45705</v>
      </c>
      <c r="B537" s="7" t="str">
        <f>IFERROR(__xludf.DUMMYFUNCTION("""COMPUTED_VALUE"""),"1c142fcd-3b6d-45b0-a87e-5cdccf20edce")</f>
        <v>1c142fcd-3b6d-45b0-a87e-5cdccf20edce</v>
      </c>
      <c r="C537" s="7">
        <f>IFERROR(__xludf.DUMMYFUNCTION("""COMPUTED_VALUE"""),0.0)</f>
        <v>0</v>
      </c>
      <c r="D537" s="6">
        <f>IFERROR(__xludf.DUMMYFUNCTION("""COMPUTED_VALUE"""),0.0)</f>
        <v>0</v>
      </c>
      <c r="E537" s="7" t="str">
        <f>IFERROR(__xludf.DUMMYFUNCTION("""COMPUTED_VALUE"""),"FRANQUIA_D&amp;G_SP")</f>
        <v>FRANQUIA_D&amp;G_SP</v>
      </c>
      <c r="F537" s="7" t="str">
        <f>IFERROR(__xludf.DUMMYFUNCTION("""COMPUTED_VALUE"""),"MOTORCYCLE")</f>
        <v>MOTORCYCLE</v>
      </c>
      <c r="G537" s="7" t="str">
        <f>IFERROR(__xludf.DUMMYFUNCTION("""COMPUTED_VALUE"""),"0")</f>
        <v>0</v>
      </c>
    </row>
    <row r="538">
      <c r="A538" s="6">
        <f>IFERROR(__xludf.DUMMYFUNCTION("""COMPUTED_VALUE"""),45705.0)</f>
        <v>45705</v>
      </c>
      <c r="B538" s="7" t="str">
        <f>IFERROR(__xludf.DUMMYFUNCTION("""COMPUTED_VALUE"""),"cd7a1542-d9ba-4948-afeb-2818695c9619")</f>
        <v>cd7a1542-d9ba-4948-afeb-2818695c9619</v>
      </c>
      <c r="C538" s="7">
        <f>IFERROR(__xludf.DUMMYFUNCTION("""COMPUTED_VALUE"""),0.0)</f>
        <v>0</v>
      </c>
      <c r="D538" s="6">
        <f>IFERROR(__xludf.DUMMYFUNCTION("""COMPUTED_VALUE"""),45705.0)</f>
        <v>45705</v>
      </c>
      <c r="E538" s="7" t="str">
        <f>IFERROR(__xludf.DUMMYFUNCTION("""COMPUTED_VALUE"""),"FRANQUIA_D&amp;G_SP")</f>
        <v>FRANQUIA_D&amp;G_SP</v>
      </c>
      <c r="F538" s="7" t="str">
        <f>IFERROR(__xludf.DUMMYFUNCTION("""COMPUTED_VALUE"""),"BICYCLE")</f>
        <v>BICYCLE</v>
      </c>
      <c r="G538" s="7" t="str">
        <f>IFERROR(__xludf.DUMMYFUNCTION("""COMPUTED_VALUE"""),"SAO PAULO")</f>
        <v>SAO PAULO</v>
      </c>
    </row>
    <row r="539">
      <c r="A539" s="6">
        <f>IFERROR(__xludf.DUMMYFUNCTION("""COMPUTED_VALUE"""),45705.0)</f>
        <v>45705</v>
      </c>
      <c r="B539" s="7" t="str">
        <f>IFERROR(__xludf.DUMMYFUNCTION("""COMPUTED_VALUE"""),"776daeeb-517e-4bfc-9a80-39f0d5c96e28")</f>
        <v>776daeeb-517e-4bfc-9a80-39f0d5c96e28</v>
      </c>
      <c r="C539" s="7">
        <f>IFERROR(__xludf.DUMMYFUNCTION("""COMPUTED_VALUE"""),0.0)</f>
        <v>0</v>
      </c>
      <c r="D539" s="6">
        <f>IFERROR(__xludf.DUMMYFUNCTION("""COMPUTED_VALUE"""),45705.0)</f>
        <v>45705</v>
      </c>
      <c r="E539" s="7" t="str">
        <f>IFERROR(__xludf.DUMMYFUNCTION("""COMPUTED_VALUE"""),"FRANQUIA_D&amp;G_SP")</f>
        <v>FRANQUIA_D&amp;G_SP</v>
      </c>
      <c r="F539" s="7" t="str">
        <f>IFERROR(__xludf.DUMMYFUNCTION("""COMPUTED_VALUE"""),"BICYCLE")</f>
        <v>BICYCLE</v>
      </c>
      <c r="G539" s="7" t="str">
        <f>IFERROR(__xludf.DUMMYFUNCTION("""COMPUTED_VALUE"""),"SAO PAULO")</f>
        <v>SAO PAULO</v>
      </c>
    </row>
    <row r="540">
      <c r="A540" s="6">
        <f>IFERROR(__xludf.DUMMYFUNCTION("""COMPUTED_VALUE"""),45705.0)</f>
        <v>45705</v>
      </c>
      <c r="B540" s="7" t="str">
        <f>IFERROR(__xludf.DUMMYFUNCTION("""COMPUTED_VALUE"""),"4d02b72a-0323-41bc-afac-c5bab96c2dd8")</f>
        <v>4d02b72a-0323-41bc-afac-c5bab96c2dd8</v>
      </c>
      <c r="C540" s="7">
        <f>IFERROR(__xludf.DUMMYFUNCTION("""COMPUTED_VALUE"""),0.0)</f>
        <v>0</v>
      </c>
      <c r="D540" s="6">
        <f>IFERROR(__xludf.DUMMYFUNCTION("""COMPUTED_VALUE"""),45705.0)</f>
        <v>45705</v>
      </c>
      <c r="E540" s="7" t="str">
        <f>IFERROR(__xludf.DUMMYFUNCTION("""COMPUTED_VALUE"""),"FRANQUIA_D&amp;G_SP")</f>
        <v>FRANQUIA_D&amp;G_SP</v>
      </c>
      <c r="F540" s="7" t="str">
        <f>IFERROR(__xludf.DUMMYFUNCTION("""COMPUTED_VALUE"""),"MOTORCYCLE")</f>
        <v>MOTORCYCLE</v>
      </c>
      <c r="G540" s="7" t="str">
        <f>IFERROR(__xludf.DUMMYFUNCTION("""COMPUTED_VALUE"""),"SAO PAULO")</f>
        <v>SAO PAULO</v>
      </c>
    </row>
    <row r="541">
      <c r="A541" s="6">
        <f>IFERROR(__xludf.DUMMYFUNCTION("""COMPUTED_VALUE"""),45705.0)</f>
        <v>45705</v>
      </c>
      <c r="B541" s="7" t="str">
        <f>IFERROR(__xludf.DUMMYFUNCTION("""COMPUTED_VALUE"""),"de836e90-e99c-4993-93ab-8e6bbd001475")</f>
        <v>de836e90-e99c-4993-93ab-8e6bbd001475</v>
      </c>
      <c r="C541" s="7">
        <f>IFERROR(__xludf.DUMMYFUNCTION("""COMPUTED_VALUE"""),137.0)</f>
        <v>137</v>
      </c>
      <c r="D541" s="6">
        <f>IFERROR(__xludf.DUMMYFUNCTION("""COMPUTED_VALUE"""),45568.0)</f>
        <v>45568</v>
      </c>
      <c r="E541" s="7" t="str">
        <f>IFERROR(__xludf.DUMMYFUNCTION("""COMPUTED_VALUE"""),"FRANQUIA_D&amp;G_SP")</f>
        <v>FRANQUIA_D&amp;G_SP</v>
      </c>
      <c r="F541" s="7" t="str">
        <f>IFERROR(__xludf.DUMMYFUNCTION("""COMPUTED_VALUE"""),"MOTORCYCLE")</f>
        <v>MOTORCYCLE</v>
      </c>
      <c r="G541" s="7" t="str">
        <f>IFERROR(__xludf.DUMMYFUNCTION("""COMPUTED_VALUE"""),"SAO PAULO")</f>
        <v>SAO PAULO</v>
      </c>
    </row>
    <row r="542">
      <c r="A542" s="6">
        <f>IFERROR(__xludf.DUMMYFUNCTION("""COMPUTED_VALUE"""),45705.0)</f>
        <v>45705</v>
      </c>
      <c r="B542" s="7" t="str">
        <f>IFERROR(__xludf.DUMMYFUNCTION("""COMPUTED_VALUE"""),"b2f06ccf-350c-4db9-b9bf-ccc132b913d2")</f>
        <v>b2f06ccf-350c-4db9-b9bf-ccc132b913d2</v>
      </c>
      <c r="C542" s="7">
        <f>IFERROR(__xludf.DUMMYFUNCTION("""COMPUTED_VALUE"""),35.0)</f>
        <v>35</v>
      </c>
      <c r="D542" s="6">
        <f>IFERROR(__xludf.DUMMYFUNCTION("""COMPUTED_VALUE"""),45670.0)</f>
        <v>45670</v>
      </c>
      <c r="E542" s="7" t="str">
        <f>IFERROR(__xludf.DUMMYFUNCTION("""COMPUTED_VALUE"""),"FRANQUIA_D&amp;G_SP")</f>
        <v>FRANQUIA_D&amp;G_SP</v>
      </c>
      <c r="F542" s="7" t="str">
        <f>IFERROR(__xludf.DUMMYFUNCTION("""COMPUTED_VALUE"""),"MOTORCYCLE")</f>
        <v>MOTORCYCLE</v>
      </c>
      <c r="G542" s="7" t="str">
        <f>IFERROR(__xludf.DUMMYFUNCTION("""COMPUTED_VALUE"""),"ABC")</f>
        <v>ABC</v>
      </c>
    </row>
    <row r="543">
      <c r="A543" s="6">
        <f>IFERROR(__xludf.DUMMYFUNCTION("""COMPUTED_VALUE"""),45705.0)</f>
        <v>45705</v>
      </c>
      <c r="B543" s="7" t="str">
        <f>IFERROR(__xludf.DUMMYFUNCTION("""COMPUTED_VALUE"""),"67d58e8e-3a69-4529-9a40-ef6be8aaf73b")</f>
        <v>67d58e8e-3a69-4529-9a40-ef6be8aaf73b</v>
      </c>
      <c r="C543" s="7">
        <f>IFERROR(__xludf.DUMMYFUNCTION("""COMPUTED_VALUE"""),512.0)</f>
        <v>512</v>
      </c>
      <c r="D543" s="6">
        <f>IFERROR(__xludf.DUMMYFUNCTION("""COMPUTED_VALUE"""),45193.0)</f>
        <v>45193</v>
      </c>
      <c r="E543" s="7" t="str">
        <f>IFERROR(__xludf.DUMMYFUNCTION("""COMPUTED_VALUE"""),"FRANQUIA_D&amp;G_SP")</f>
        <v>FRANQUIA_D&amp;G_SP</v>
      </c>
      <c r="F543" s="7" t="str">
        <f>IFERROR(__xludf.DUMMYFUNCTION("""COMPUTED_VALUE"""),"BICYCLE")</f>
        <v>BICYCLE</v>
      </c>
      <c r="G543" s="7" t="str">
        <f>IFERROR(__xludf.DUMMYFUNCTION("""COMPUTED_VALUE"""),"SAO PAULO")</f>
        <v>SAO PAULO</v>
      </c>
    </row>
    <row r="544">
      <c r="A544" s="6">
        <f>IFERROR(__xludf.DUMMYFUNCTION("""COMPUTED_VALUE"""),45705.0)</f>
        <v>45705</v>
      </c>
      <c r="B544" s="7" t="str">
        <f>IFERROR(__xludf.DUMMYFUNCTION("""COMPUTED_VALUE"""),"d355b918-ce61-47ce-b8dd-6547baf1cba8")</f>
        <v>d355b918-ce61-47ce-b8dd-6547baf1cba8</v>
      </c>
      <c r="C544" s="7">
        <f>IFERROR(__xludf.DUMMYFUNCTION("""COMPUTED_VALUE"""),0.0)</f>
        <v>0</v>
      </c>
      <c r="D544" s="6">
        <f>IFERROR(__xludf.DUMMYFUNCTION("""COMPUTED_VALUE"""),45705.0)</f>
        <v>45705</v>
      </c>
      <c r="E544" s="7" t="str">
        <f>IFERROR(__xludf.DUMMYFUNCTION("""COMPUTED_VALUE"""),"FRANQUIA_D&amp;G_SP")</f>
        <v>FRANQUIA_D&amp;G_SP</v>
      </c>
      <c r="F544" s="7" t="str">
        <f>IFERROR(__xludf.DUMMYFUNCTION("""COMPUTED_VALUE"""),"BICYCLE")</f>
        <v>BICYCLE</v>
      </c>
      <c r="G544" s="7" t="str">
        <f>IFERROR(__xludf.DUMMYFUNCTION("""COMPUTED_VALUE"""),"SANTOS")</f>
        <v>SANTOS</v>
      </c>
    </row>
    <row r="545">
      <c r="A545" s="6">
        <f>IFERROR(__xludf.DUMMYFUNCTION("""COMPUTED_VALUE"""),45705.0)</f>
        <v>45705</v>
      </c>
      <c r="B545" s="7" t="str">
        <f>IFERROR(__xludf.DUMMYFUNCTION("""COMPUTED_VALUE"""),"117d64f1-5c14-4d60-af47-7a31d1fcd5a2")</f>
        <v>117d64f1-5c14-4d60-af47-7a31d1fcd5a2</v>
      </c>
      <c r="C545" s="7">
        <f>IFERROR(__xludf.DUMMYFUNCTION("""COMPUTED_VALUE"""),162.0)</f>
        <v>162</v>
      </c>
      <c r="D545" s="6">
        <f>IFERROR(__xludf.DUMMYFUNCTION("""COMPUTED_VALUE"""),45543.0)</f>
        <v>45543</v>
      </c>
      <c r="E545" s="7" t="str">
        <f>IFERROR(__xludf.DUMMYFUNCTION("""COMPUTED_VALUE"""),"FRANQUIA_D&amp;G_SP")</f>
        <v>FRANQUIA_D&amp;G_SP</v>
      </c>
      <c r="F545" s="7" t="str">
        <f>IFERROR(__xludf.DUMMYFUNCTION("""COMPUTED_VALUE"""),"BICYCLE")</f>
        <v>BICYCLE</v>
      </c>
      <c r="G545" s="7" t="str">
        <f>IFERROR(__xludf.DUMMYFUNCTION("""COMPUTED_VALUE"""),"SAO PAULO")</f>
        <v>SAO PAULO</v>
      </c>
    </row>
    <row r="546">
      <c r="A546" s="6">
        <f>IFERROR(__xludf.DUMMYFUNCTION("""COMPUTED_VALUE"""),45705.0)</f>
        <v>45705</v>
      </c>
      <c r="B546" s="7" t="str">
        <f>IFERROR(__xludf.DUMMYFUNCTION("""COMPUTED_VALUE"""),"d7a2f398-834c-4bc6-a9fe-fbf6f23825ab")</f>
        <v>d7a2f398-834c-4bc6-a9fe-fbf6f23825ab</v>
      </c>
      <c r="C546" s="7">
        <f>IFERROR(__xludf.DUMMYFUNCTION("""COMPUTED_VALUE"""),189.0)</f>
        <v>189</v>
      </c>
      <c r="D546" s="6">
        <f>IFERROR(__xludf.DUMMYFUNCTION("""COMPUTED_VALUE"""),45516.0)</f>
        <v>45516</v>
      </c>
      <c r="E546" s="7" t="str">
        <f>IFERROR(__xludf.DUMMYFUNCTION("""COMPUTED_VALUE"""),"FRANQUIA_D&amp;G_SP")</f>
        <v>FRANQUIA_D&amp;G_SP</v>
      </c>
      <c r="F546" s="7" t="str">
        <f>IFERROR(__xludf.DUMMYFUNCTION("""COMPUTED_VALUE"""),"BICYCLE")</f>
        <v>BICYCLE</v>
      </c>
      <c r="G546" s="7" t="str">
        <f>IFERROR(__xludf.DUMMYFUNCTION("""COMPUTED_VALUE"""),"SAO PAULO")</f>
        <v>SAO PAULO</v>
      </c>
    </row>
    <row r="547">
      <c r="A547" s="6">
        <f>IFERROR(__xludf.DUMMYFUNCTION("""COMPUTED_VALUE"""),45705.0)</f>
        <v>45705</v>
      </c>
      <c r="B547" s="7" t="str">
        <f>IFERROR(__xludf.DUMMYFUNCTION("""COMPUTED_VALUE"""),"cd00fe13-3869-47f2-8b1c-fb489459f3ad")</f>
        <v>cd00fe13-3869-47f2-8b1c-fb489459f3ad</v>
      </c>
      <c r="C547" s="7">
        <f>IFERROR(__xludf.DUMMYFUNCTION("""COMPUTED_VALUE"""),851.0)</f>
        <v>851</v>
      </c>
      <c r="D547" s="6">
        <f>IFERROR(__xludf.DUMMYFUNCTION("""COMPUTED_VALUE"""),44854.0)</f>
        <v>44854</v>
      </c>
      <c r="E547" s="7" t="str">
        <f>IFERROR(__xludf.DUMMYFUNCTION("""COMPUTED_VALUE"""),"FRANQUIA_D&amp;G_SP")</f>
        <v>FRANQUIA_D&amp;G_SP</v>
      </c>
      <c r="F547" s="7" t="str">
        <f>IFERROR(__xludf.DUMMYFUNCTION("""COMPUTED_VALUE"""),"BICYCLE")</f>
        <v>BICYCLE</v>
      </c>
      <c r="G547" s="7" t="str">
        <f>IFERROR(__xludf.DUMMYFUNCTION("""COMPUTED_VALUE"""),"SAO PAULO")</f>
        <v>SAO PAULO</v>
      </c>
    </row>
    <row r="548">
      <c r="A548" s="6">
        <f>IFERROR(__xludf.DUMMYFUNCTION("""COMPUTED_VALUE"""),45705.0)</f>
        <v>45705</v>
      </c>
      <c r="B548" s="7" t="str">
        <f>IFERROR(__xludf.DUMMYFUNCTION("""COMPUTED_VALUE"""),"c70913ff-4a19-4b81-a616-987725e14678")</f>
        <v>c70913ff-4a19-4b81-a616-987725e14678</v>
      </c>
      <c r="C548" s="7">
        <f>IFERROR(__xludf.DUMMYFUNCTION("""COMPUTED_VALUE"""),0.0)</f>
        <v>0</v>
      </c>
      <c r="D548" s="6">
        <f>IFERROR(__xludf.DUMMYFUNCTION("""COMPUTED_VALUE"""),0.0)</f>
        <v>0</v>
      </c>
      <c r="E548" s="7" t="str">
        <f>IFERROR(__xludf.DUMMYFUNCTION("""COMPUTED_VALUE"""),"FRANQUIA_D&amp;G_SP")</f>
        <v>FRANQUIA_D&amp;G_SP</v>
      </c>
      <c r="F548" s="7" t="str">
        <f>IFERROR(__xludf.DUMMYFUNCTION("""COMPUTED_VALUE"""),"MOTORCYCLE")</f>
        <v>MOTORCYCLE</v>
      </c>
      <c r="G548" s="7" t="str">
        <f>IFERROR(__xludf.DUMMYFUNCTION("""COMPUTED_VALUE"""),"0")</f>
        <v>0</v>
      </c>
    </row>
    <row r="549">
      <c r="A549" s="6">
        <f>IFERROR(__xludf.DUMMYFUNCTION("""COMPUTED_VALUE"""),45705.0)</f>
        <v>45705</v>
      </c>
      <c r="B549" s="7" t="str">
        <f>IFERROR(__xludf.DUMMYFUNCTION("""COMPUTED_VALUE"""),"e18a4b61-311a-4845-a14c-7b3caaf42d22")</f>
        <v>e18a4b61-311a-4845-a14c-7b3caaf42d22</v>
      </c>
      <c r="C549" s="7">
        <f>IFERROR(__xludf.DUMMYFUNCTION("""COMPUTED_VALUE"""),2.0)</f>
        <v>2</v>
      </c>
      <c r="D549" s="6">
        <f>IFERROR(__xludf.DUMMYFUNCTION("""COMPUTED_VALUE"""),45703.0)</f>
        <v>45703</v>
      </c>
      <c r="E549" s="7" t="str">
        <f>IFERROR(__xludf.DUMMYFUNCTION("""COMPUTED_VALUE"""),"FRANQUIA_D&amp;G_SP")</f>
        <v>FRANQUIA_D&amp;G_SP</v>
      </c>
      <c r="F549" s="7" t="str">
        <f>IFERROR(__xludf.DUMMYFUNCTION("""COMPUTED_VALUE"""),"BICYCLE")</f>
        <v>BICYCLE</v>
      </c>
      <c r="G549" s="7" t="str">
        <f>IFERROR(__xludf.DUMMYFUNCTION("""COMPUTED_VALUE"""),"SAO PAULO")</f>
        <v>SAO PAULO</v>
      </c>
    </row>
    <row r="550">
      <c r="A550" s="6">
        <f>IFERROR(__xludf.DUMMYFUNCTION("""COMPUTED_VALUE"""),45705.0)</f>
        <v>45705</v>
      </c>
      <c r="B550" s="7" t="str">
        <f>IFERROR(__xludf.DUMMYFUNCTION("""COMPUTED_VALUE"""),"21b6a5ca-9354-4d0c-bb16-962b98f9017a")</f>
        <v>21b6a5ca-9354-4d0c-bb16-962b98f9017a</v>
      </c>
      <c r="C550" s="7">
        <f>IFERROR(__xludf.DUMMYFUNCTION("""COMPUTED_VALUE"""),91.0)</f>
        <v>91</v>
      </c>
      <c r="D550" s="6">
        <f>IFERROR(__xludf.DUMMYFUNCTION("""COMPUTED_VALUE"""),45614.0)</f>
        <v>45614</v>
      </c>
      <c r="E550" s="7" t="str">
        <f>IFERROR(__xludf.DUMMYFUNCTION("""COMPUTED_VALUE"""),"FRANQUIA_D&amp;G_SP")</f>
        <v>FRANQUIA_D&amp;G_SP</v>
      </c>
      <c r="F550" s="7" t="str">
        <f>IFERROR(__xludf.DUMMYFUNCTION("""COMPUTED_VALUE"""),"MOTORCYCLE")</f>
        <v>MOTORCYCLE</v>
      </c>
      <c r="G550" s="7" t="str">
        <f>IFERROR(__xludf.DUMMYFUNCTION("""COMPUTED_VALUE"""),"SAO PAULO")</f>
        <v>SAO PAULO</v>
      </c>
    </row>
    <row r="551">
      <c r="A551" s="6">
        <f>IFERROR(__xludf.DUMMYFUNCTION("""COMPUTED_VALUE"""),45705.0)</f>
        <v>45705</v>
      </c>
      <c r="B551" s="7" t="str">
        <f>IFERROR(__xludf.DUMMYFUNCTION("""COMPUTED_VALUE"""),"bd5ec4e2-1c8d-4f30-baa8-a49290608590")</f>
        <v>bd5ec4e2-1c8d-4f30-baa8-a49290608590</v>
      </c>
      <c r="C551" s="7">
        <f>IFERROR(__xludf.DUMMYFUNCTION("""COMPUTED_VALUE"""),0.0)</f>
        <v>0</v>
      </c>
      <c r="D551" s="6">
        <f>IFERROR(__xludf.DUMMYFUNCTION("""COMPUTED_VALUE"""),0.0)</f>
        <v>0</v>
      </c>
      <c r="E551" s="7" t="str">
        <f>IFERROR(__xludf.DUMMYFUNCTION("""COMPUTED_VALUE"""),"FRANQUIA_D&amp;G_SP")</f>
        <v>FRANQUIA_D&amp;G_SP</v>
      </c>
      <c r="F551" s="7" t="str">
        <f>IFERROR(__xludf.DUMMYFUNCTION("""COMPUTED_VALUE"""),"MOTORCYCLE")</f>
        <v>MOTORCYCLE</v>
      </c>
      <c r="G551" s="7" t="str">
        <f>IFERROR(__xludf.DUMMYFUNCTION("""COMPUTED_VALUE"""),"0")</f>
        <v>0</v>
      </c>
    </row>
    <row r="552">
      <c r="A552" s="6">
        <f>IFERROR(__xludf.DUMMYFUNCTION("""COMPUTED_VALUE"""),45705.0)</f>
        <v>45705</v>
      </c>
      <c r="B552" s="7" t="str">
        <f>IFERROR(__xludf.DUMMYFUNCTION("""COMPUTED_VALUE"""),"0e5bfa7e-7e48-43b8-ba6d-35fa10c45d4b")</f>
        <v>0e5bfa7e-7e48-43b8-ba6d-35fa10c45d4b</v>
      </c>
      <c r="C552" s="7">
        <f>IFERROR(__xludf.DUMMYFUNCTION("""COMPUTED_VALUE"""),2.0)</f>
        <v>2</v>
      </c>
      <c r="D552" s="6">
        <f>IFERROR(__xludf.DUMMYFUNCTION("""COMPUTED_VALUE"""),45703.0)</f>
        <v>45703</v>
      </c>
      <c r="E552" s="7" t="str">
        <f>IFERROR(__xludf.DUMMYFUNCTION("""COMPUTED_VALUE"""),"FRANQUIA_D&amp;G_SP")</f>
        <v>FRANQUIA_D&amp;G_SP</v>
      </c>
      <c r="F552" s="7" t="str">
        <f>IFERROR(__xludf.DUMMYFUNCTION("""COMPUTED_VALUE"""),"MOTORCYCLE")</f>
        <v>MOTORCYCLE</v>
      </c>
      <c r="G552" s="7" t="str">
        <f>IFERROR(__xludf.DUMMYFUNCTION("""COMPUTED_VALUE"""),"SAO PAULO")</f>
        <v>SAO PAULO</v>
      </c>
    </row>
    <row r="553">
      <c r="A553" s="6">
        <f>IFERROR(__xludf.DUMMYFUNCTION("""COMPUTED_VALUE"""),45705.0)</f>
        <v>45705</v>
      </c>
      <c r="B553" s="7" t="str">
        <f>IFERROR(__xludf.DUMMYFUNCTION("""COMPUTED_VALUE"""),"b4ec05cb-fae7-402f-bf32-ad0cc8420f6b")</f>
        <v>b4ec05cb-fae7-402f-bf32-ad0cc8420f6b</v>
      </c>
      <c r="C553" s="7">
        <f>IFERROR(__xludf.DUMMYFUNCTION("""COMPUTED_VALUE"""),0.0)</f>
        <v>0</v>
      </c>
      <c r="D553" s="6">
        <f>IFERROR(__xludf.DUMMYFUNCTION("""COMPUTED_VALUE"""),45705.0)</f>
        <v>45705</v>
      </c>
      <c r="E553" s="7" t="str">
        <f>IFERROR(__xludf.DUMMYFUNCTION("""COMPUTED_VALUE"""),"FRANQUIA_D&amp;G_SP")</f>
        <v>FRANQUIA_D&amp;G_SP</v>
      </c>
      <c r="F553" s="7" t="str">
        <f>IFERROR(__xludf.DUMMYFUNCTION("""COMPUTED_VALUE"""),"BICYCLE")</f>
        <v>BICYCLE</v>
      </c>
      <c r="G553" s="7" t="str">
        <f>IFERROR(__xludf.DUMMYFUNCTION("""COMPUTED_VALUE"""),"SAO PAULO")</f>
        <v>SAO PAULO</v>
      </c>
    </row>
    <row r="554">
      <c r="A554" s="6">
        <f>IFERROR(__xludf.DUMMYFUNCTION("""COMPUTED_VALUE"""),45705.0)</f>
        <v>45705</v>
      </c>
      <c r="B554" s="7" t="str">
        <f>IFERROR(__xludf.DUMMYFUNCTION("""COMPUTED_VALUE"""),"1d143adf-1be9-4f3d-94e1-426e31d5db1f")</f>
        <v>1d143adf-1be9-4f3d-94e1-426e31d5db1f</v>
      </c>
      <c r="C554" s="7">
        <f>IFERROR(__xludf.DUMMYFUNCTION("""COMPUTED_VALUE"""),17.0)</f>
        <v>17</v>
      </c>
      <c r="D554" s="6">
        <f>IFERROR(__xludf.DUMMYFUNCTION("""COMPUTED_VALUE"""),45688.0)</f>
        <v>45688</v>
      </c>
      <c r="E554" s="7" t="str">
        <f>IFERROR(__xludf.DUMMYFUNCTION("""COMPUTED_VALUE"""),"FRANQUIA_D&amp;G_SP")</f>
        <v>FRANQUIA_D&amp;G_SP</v>
      </c>
      <c r="F554" s="7" t="str">
        <f>IFERROR(__xludf.DUMMYFUNCTION("""COMPUTED_VALUE"""),"BICYCLE")</f>
        <v>BICYCLE</v>
      </c>
      <c r="G554" s="7" t="str">
        <f>IFERROR(__xludf.DUMMYFUNCTION("""COMPUTED_VALUE"""),"SAO PAULO")</f>
        <v>SAO PAULO</v>
      </c>
    </row>
    <row r="555">
      <c r="A555" s="6">
        <f>IFERROR(__xludf.DUMMYFUNCTION("""COMPUTED_VALUE"""),45705.0)</f>
        <v>45705</v>
      </c>
      <c r="B555" s="7" t="str">
        <f>IFERROR(__xludf.DUMMYFUNCTION("""COMPUTED_VALUE"""),"6eb301d8-74e2-45b0-8db9-12ef2237fe33")</f>
        <v>6eb301d8-74e2-45b0-8db9-12ef2237fe33</v>
      </c>
      <c r="C555" s="7">
        <f>IFERROR(__xludf.DUMMYFUNCTION("""COMPUTED_VALUE"""),189.0)</f>
        <v>189</v>
      </c>
      <c r="D555" s="6">
        <f>IFERROR(__xludf.DUMMYFUNCTION("""COMPUTED_VALUE"""),45516.0)</f>
        <v>45516</v>
      </c>
      <c r="E555" s="7" t="str">
        <f>IFERROR(__xludf.DUMMYFUNCTION("""COMPUTED_VALUE"""),"FRANQUIA_D&amp;G_SP")</f>
        <v>FRANQUIA_D&amp;G_SP</v>
      </c>
      <c r="F555" s="7" t="str">
        <f>IFERROR(__xludf.DUMMYFUNCTION("""COMPUTED_VALUE"""),"BICYCLE")</f>
        <v>BICYCLE</v>
      </c>
      <c r="G555" s="7" t="str">
        <f>IFERROR(__xludf.DUMMYFUNCTION("""COMPUTED_VALUE"""),"SAO PAULO")</f>
        <v>SAO PAULO</v>
      </c>
    </row>
    <row r="556">
      <c r="A556" s="6">
        <f>IFERROR(__xludf.DUMMYFUNCTION("""COMPUTED_VALUE"""),45705.0)</f>
        <v>45705</v>
      </c>
      <c r="B556" s="7" t="str">
        <f>IFERROR(__xludf.DUMMYFUNCTION("""COMPUTED_VALUE"""),"6dd192e2-f183-4dcf-b44c-99ebba06c49f")</f>
        <v>6dd192e2-f183-4dcf-b44c-99ebba06c49f</v>
      </c>
      <c r="C556" s="7">
        <f>IFERROR(__xludf.DUMMYFUNCTION("""COMPUTED_VALUE"""),0.0)</f>
        <v>0</v>
      </c>
      <c r="D556" s="6">
        <f>IFERROR(__xludf.DUMMYFUNCTION("""COMPUTED_VALUE"""),45705.0)</f>
        <v>45705</v>
      </c>
      <c r="E556" s="7" t="str">
        <f>IFERROR(__xludf.DUMMYFUNCTION("""COMPUTED_VALUE"""),"FRANQUIA_D&amp;G_SP")</f>
        <v>FRANQUIA_D&amp;G_SP</v>
      </c>
      <c r="F556" s="7" t="str">
        <f>IFERROR(__xludf.DUMMYFUNCTION("""COMPUTED_VALUE"""),"MOTORCYCLE")</f>
        <v>MOTORCYCLE</v>
      </c>
      <c r="G556" s="7" t="str">
        <f>IFERROR(__xludf.DUMMYFUNCTION("""COMPUTED_VALUE"""),"SAO PAULO")</f>
        <v>SAO PAULO</v>
      </c>
    </row>
    <row r="557">
      <c r="A557" s="6">
        <f>IFERROR(__xludf.DUMMYFUNCTION("""COMPUTED_VALUE"""),45705.0)</f>
        <v>45705</v>
      </c>
      <c r="B557" s="7" t="str">
        <f>IFERROR(__xludf.DUMMYFUNCTION("""COMPUTED_VALUE"""),"acdf0fbc-306a-4b7e-a2b6-8337b22f48a9")</f>
        <v>acdf0fbc-306a-4b7e-a2b6-8337b22f48a9</v>
      </c>
      <c r="C557" s="7">
        <f>IFERROR(__xludf.DUMMYFUNCTION("""COMPUTED_VALUE"""),0.0)</f>
        <v>0</v>
      </c>
      <c r="D557" s="6">
        <f>IFERROR(__xludf.DUMMYFUNCTION("""COMPUTED_VALUE"""),45705.0)</f>
        <v>45705</v>
      </c>
      <c r="E557" s="7" t="str">
        <f>IFERROR(__xludf.DUMMYFUNCTION("""COMPUTED_VALUE"""),"FRANQUIA_D&amp;G_SP")</f>
        <v>FRANQUIA_D&amp;G_SP</v>
      </c>
      <c r="F557" s="7" t="str">
        <f>IFERROR(__xludf.DUMMYFUNCTION("""COMPUTED_VALUE"""),"MOTORCYCLE")</f>
        <v>MOTORCYCLE</v>
      </c>
      <c r="G557" s="7" t="str">
        <f>IFERROR(__xludf.DUMMYFUNCTION("""COMPUTED_VALUE"""),"SAO PAULO")</f>
        <v>SAO PAULO</v>
      </c>
    </row>
    <row r="558">
      <c r="A558" s="6">
        <f>IFERROR(__xludf.DUMMYFUNCTION("""COMPUTED_VALUE"""),45705.0)</f>
        <v>45705</v>
      </c>
      <c r="B558" s="7" t="str">
        <f>IFERROR(__xludf.DUMMYFUNCTION("""COMPUTED_VALUE"""),"e31ff879-e423-4860-a654-e9cf4e03ef00")</f>
        <v>e31ff879-e423-4860-a654-e9cf4e03ef00</v>
      </c>
      <c r="C558" s="7">
        <f>IFERROR(__xludf.DUMMYFUNCTION("""COMPUTED_VALUE"""),0.0)</f>
        <v>0</v>
      </c>
      <c r="D558" s="6">
        <f>IFERROR(__xludf.DUMMYFUNCTION("""COMPUTED_VALUE"""),45705.0)</f>
        <v>45705</v>
      </c>
      <c r="E558" s="7" t="str">
        <f>IFERROR(__xludf.DUMMYFUNCTION("""COMPUTED_VALUE"""),"FRANQUIA_D&amp;G_SP")</f>
        <v>FRANQUIA_D&amp;G_SP</v>
      </c>
      <c r="F558" s="7" t="str">
        <f>IFERROR(__xludf.DUMMYFUNCTION("""COMPUTED_VALUE"""),"BICYCLE")</f>
        <v>BICYCLE</v>
      </c>
      <c r="G558" s="7" t="str">
        <f>IFERROR(__xludf.DUMMYFUNCTION("""COMPUTED_VALUE"""),"SAO PAULO")</f>
        <v>SAO PAULO</v>
      </c>
    </row>
    <row r="559">
      <c r="A559" s="6">
        <f>IFERROR(__xludf.DUMMYFUNCTION("""COMPUTED_VALUE"""),45705.0)</f>
        <v>45705</v>
      </c>
      <c r="B559" s="7" t="str">
        <f>IFERROR(__xludf.DUMMYFUNCTION("""COMPUTED_VALUE"""),"656e66ef-1d2a-494a-8db1-13d8ccb3ef70")</f>
        <v>656e66ef-1d2a-494a-8db1-13d8ccb3ef70</v>
      </c>
      <c r="C559" s="7">
        <f>IFERROR(__xludf.DUMMYFUNCTION("""COMPUTED_VALUE"""),56.0)</f>
        <v>56</v>
      </c>
      <c r="D559" s="6">
        <f>IFERROR(__xludf.DUMMYFUNCTION("""COMPUTED_VALUE"""),45649.0)</f>
        <v>45649</v>
      </c>
      <c r="E559" s="7" t="str">
        <f>IFERROR(__xludf.DUMMYFUNCTION("""COMPUTED_VALUE"""),"FRANQUIA_D&amp;G_SP")</f>
        <v>FRANQUIA_D&amp;G_SP</v>
      </c>
      <c r="F559" s="7" t="str">
        <f>IFERROR(__xludf.DUMMYFUNCTION("""COMPUTED_VALUE"""),"BICYCLE")</f>
        <v>BICYCLE</v>
      </c>
      <c r="G559" s="7" t="str">
        <f>IFERROR(__xludf.DUMMYFUNCTION("""COMPUTED_VALUE"""),"SAO PAULO")</f>
        <v>SAO PAULO</v>
      </c>
    </row>
    <row r="560">
      <c r="A560" s="6">
        <f>IFERROR(__xludf.DUMMYFUNCTION("""COMPUTED_VALUE"""),45705.0)</f>
        <v>45705</v>
      </c>
      <c r="B560" s="7" t="str">
        <f>IFERROR(__xludf.DUMMYFUNCTION("""COMPUTED_VALUE"""),"f34f3508-d366-400a-8e94-b62e0307c2f8")</f>
        <v>f34f3508-d366-400a-8e94-b62e0307c2f8</v>
      </c>
      <c r="C560" s="7">
        <f>IFERROR(__xludf.DUMMYFUNCTION("""COMPUTED_VALUE"""),0.0)</f>
        <v>0</v>
      </c>
      <c r="D560" s="6">
        <f>IFERROR(__xludf.DUMMYFUNCTION("""COMPUTED_VALUE"""),45705.0)</f>
        <v>45705</v>
      </c>
      <c r="E560" s="7" t="str">
        <f>IFERROR(__xludf.DUMMYFUNCTION("""COMPUTED_VALUE"""),"FRANQUIA_D&amp;G_SP")</f>
        <v>FRANQUIA_D&amp;G_SP</v>
      </c>
      <c r="F560" s="7" t="str">
        <f>IFERROR(__xludf.DUMMYFUNCTION("""COMPUTED_VALUE"""),"MOTORCYCLE")</f>
        <v>MOTORCYCLE</v>
      </c>
      <c r="G560" s="7" t="str">
        <f>IFERROR(__xludf.DUMMYFUNCTION("""COMPUTED_VALUE"""),"SAO PAULO")</f>
        <v>SAO PAULO</v>
      </c>
    </row>
    <row r="561">
      <c r="A561" s="6">
        <f>IFERROR(__xludf.DUMMYFUNCTION("""COMPUTED_VALUE"""),45705.0)</f>
        <v>45705</v>
      </c>
      <c r="B561" s="7" t="str">
        <f>IFERROR(__xludf.DUMMYFUNCTION("""COMPUTED_VALUE"""),"75d63bab-e24e-4f73-ab22-b39659abade4")</f>
        <v>75d63bab-e24e-4f73-ab22-b39659abade4</v>
      </c>
      <c r="C561" s="7">
        <f>IFERROR(__xludf.DUMMYFUNCTION("""COMPUTED_VALUE"""),0.0)</f>
        <v>0</v>
      </c>
      <c r="D561" s="6">
        <f>IFERROR(__xludf.DUMMYFUNCTION("""COMPUTED_VALUE"""),45705.0)</f>
        <v>45705</v>
      </c>
      <c r="E561" s="7" t="str">
        <f>IFERROR(__xludf.DUMMYFUNCTION("""COMPUTED_VALUE"""),"FRANQUIA_D&amp;G_SP")</f>
        <v>FRANQUIA_D&amp;G_SP</v>
      </c>
      <c r="F561" s="7" t="str">
        <f>IFERROR(__xludf.DUMMYFUNCTION("""COMPUTED_VALUE"""),"MOTORCYCLE")</f>
        <v>MOTORCYCLE</v>
      </c>
      <c r="G561" s="7" t="str">
        <f>IFERROR(__xludf.DUMMYFUNCTION("""COMPUTED_VALUE"""),"SAO PAULO")</f>
        <v>SAO PAULO</v>
      </c>
    </row>
    <row r="562">
      <c r="A562" s="6">
        <f>IFERROR(__xludf.DUMMYFUNCTION("""COMPUTED_VALUE"""),45705.0)</f>
        <v>45705</v>
      </c>
      <c r="B562" s="7" t="str">
        <f>IFERROR(__xludf.DUMMYFUNCTION("""COMPUTED_VALUE"""),"d8270a8b-2b1c-40aa-8bb1-4c61c9381f07")</f>
        <v>d8270a8b-2b1c-40aa-8bb1-4c61c9381f07</v>
      </c>
      <c r="C562" s="7">
        <f>IFERROR(__xludf.DUMMYFUNCTION("""COMPUTED_VALUE"""),34.0)</f>
        <v>34</v>
      </c>
      <c r="D562" s="6">
        <f>IFERROR(__xludf.DUMMYFUNCTION("""COMPUTED_VALUE"""),45671.0)</f>
        <v>45671</v>
      </c>
      <c r="E562" s="7" t="str">
        <f>IFERROR(__xludf.DUMMYFUNCTION("""COMPUTED_VALUE"""),"FRANQUIA_D&amp;G_SP")</f>
        <v>FRANQUIA_D&amp;G_SP</v>
      </c>
      <c r="F562" s="7" t="str">
        <f>IFERROR(__xludf.DUMMYFUNCTION("""COMPUTED_VALUE"""),"BICYCLE")</f>
        <v>BICYCLE</v>
      </c>
      <c r="G562" s="7" t="str">
        <f>IFERROR(__xludf.DUMMYFUNCTION("""COMPUTED_VALUE"""),"SAO PAULO")</f>
        <v>SAO PAULO</v>
      </c>
    </row>
    <row r="563">
      <c r="A563" s="6">
        <f>IFERROR(__xludf.DUMMYFUNCTION("""COMPUTED_VALUE"""),45705.0)</f>
        <v>45705</v>
      </c>
      <c r="B563" s="7" t="str">
        <f>IFERROR(__xludf.DUMMYFUNCTION("""COMPUTED_VALUE"""),"376e1a76-d8c8-47de-ae8d-d2ce92171061")</f>
        <v>376e1a76-d8c8-47de-ae8d-d2ce92171061</v>
      </c>
      <c r="C563" s="7">
        <f>IFERROR(__xludf.DUMMYFUNCTION("""COMPUTED_VALUE"""),0.0)</f>
        <v>0</v>
      </c>
      <c r="D563" s="6">
        <f>IFERROR(__xludf.DUMMYFUNCTION("""COMPUTED_VALUE"""),45705.0)</f>
        <v>45705</v>
      </c>
      <c r="E563" s="7" t="str">
        <f>IFERROR(__xludf.DUMMYFUNCTION("""COMPUTED_VALUE"""),"FRANQUIA_D&amp;G_SP")</f>
        <v>FRANQUIA_D&amp;G_SP</v>
      </c>
      <c r="F563" s="7" t="str">
        <f>IFERROR(__xludf.DUMMYFUNCTION("""COMPUTED_VALUE"""),"MOTORCYCLE")</f>
        <v>MOTORCYCLE</v>
      </c>
      <c r="G563" s="7" t="str">
        <f>IFERROR(__xludf.DUMMYFUNCTION("""COMPUTED_VALUE"""),"SAO PAULO")</f>
        <v>SAO PAULO</v>
      </c>
    </row>
    <row r="564">
      <c r="A564" s="6">
        <f>IFERROR(__xludf.DUMMYFUNCTION("""COMPUTED_VALUE"""),45705.0)</f>
        <v>45705</v>
      </c>
      <c r="B564" s="7" t="str">
        <f>IFERROR(__xludf.DUMMYFUNCTION("""COMPUTED_VALUE"""),"4e702cf4-9bf4-4ec8-9d15-e5a26b54f45c")</f>
        <v>4e702cf4-9bf4-4ec8-9d15-e5a26b54f45c</v>
      </c>
      <c r="C564" s="7">
        <f>IFERROR(__xludf.DUMMYFUNCTION("""COMPUTED_VALUE"""),0.0)</f>
        <v>0</v>
      </c>
      <c r="D564" s="6">
        <f>IFERROR(__xludf.DUMMYFUNCTION("""COMPUTED_VALUE"""),45705.0)</f>
        <v>45705</v>
      </c>
      <c r="E564" s="7" t="str">
        <f>IFERROR(__xludf.DUMMYFUNCTION("""COMPUTED_VALUE"""),"FRANQUIA_D&amp;G_SP")</f>
        <v>FRANQUIA_D&amp;G_SP</v>
      </c>
      <c r="F564" s="7" t="str">
        <f>IFERROR(__xludf.DUMMYFUNCTION("""COMPUTED_VALUE"""),"MOTORCYCLE")</f>
        <v>MOTORCYCLE</v>
      </c>
      <c r="G564" s="7" t="str">
        <f>IFERROR(__xludf.DUMMYFUNCTION("""COMPUTED_VALUE"""),"SAO PAULO")</f>
        <v>SAO PAULO</v>
      </c>
    </row>
    <row r="565">
      <c r="A565" s="6">
        <f>IFERROR(__xludf.DUMMYFUNCTION("""COMPUTED_VALUE"""),45705.0)</f>
        <v>45705</v>
      </c>
      <c r="B565" s="7" t="str">
        <f>IFERROR(__xludf.DUMMYFUNCTION("""COMPUTED_VALUE"""),"5b9f838e-e5d3-485e-90d5-186230bb4187")</f>
        <v>5b9f838e-e5d3-485e-90d5-186230bb4187</v>
      </c>
      <c r="C565" s="7">
        <f>IFERROR(__xludf.DUMMYFUNCTION("""COMPUTED_VALUE"""),78.0)</f>
        <v>78</v>
      </c>
      <c r="D565" s="6">
        <f>IFERROR(__xludf.DUMMYFUNCTION("""COMPUTED_VALUE"""),45627.0)</f>
        <v>45627</v>
      </c>
      <c r="E565" s="7" t="str">
        <f>IFERROR(__xludf.DUMMYFUNCTION("""COMPUTED_VALUE"""),"FRANQUIA_D&amp;G_SP")</f>
        <v>FRANQUIA_D&amp;G_SP</v>
      </c>
      <c r="F565" s="7" t="str">
        <f>IFERROR(__xludf.DUMMYFUNCTION("""COMPUTED_VALUE"""),"MOTORCYCLE")</f>
        <v>MOTORCYCLE</v>
      </c>
      <c r="G565" s="7" t="str">
        <f>IFERROR(__xludf.DUMMYFUNCTION("""COMPUTED_VALUE"""),"SAO PAULO")</f>
        <v>SAO PAULO</v>
      </c>
    </row>
    <row r="566">
      <c r="A566" s="6">
        <f>IFERROR(__xludf.DUMMYFUNCTION("""COMPUTED_VALUE"""),45705.0)</f>
        <v>45705</v>
      </c>
      <c r="B566" s="7" t="str">
        <f>IFERROR(__xludf.DUMMYFUNCTION("""COMPUTED_VALUE"""),"f5891ea8-1a50-4df9-be7e-c9fa59c14e51")</f>
        <v>f5891ea8-1a50-4df9-be7e-c9fa59c14e51</v>
      </c>
      <c r="C566" s="7">
        <f>IFERROR(__xludf.DUMMYFUNCTION("""COMPUTED_VALUE"""),0.0)</f>
        <v>0</v>
      </c>
      <c r="D566" s="6">
        <f>IFERROR(__xludf.DUMMYFUNCTION("""COMPUTED_VALUE"""),45705.0)</f>
        <v>45705</v>
      </c>
      <c r="E566" s="7" t="str">
        <f>IFERROR(__xludf.DUMMYFUNCTION("""COMPUTED_VALUE"""),"FRANQUIA_D&amp;G_SP")</f>
        <v>FRANQUIA_D&amp;G_SP</v>
      </c>
      <c r="F566" s="7" t="str">
        <f>IFERROR(__xludf.DUMMYFUNCTION("""COMPUTED_VALUE"""),"EBIKE")</f>
        <v>EBIKE</v>
      </c>
      <c r="G566" s="7" t="str">
        <f>IFERROR(__xludf.DUMMYFUNCTION("""COMPUTED_VALUE"""),"SAO PAULO")</f>
        <v>SAO PAULO</v>
      </c>
    </row>
    <row r="567">
      <c r="A567" s="6">
        <f>IFERROR(__xludf.DUMMYFUNCTION("""COMPUTED_VALUE"""),45705.0)</f>
        <v>45705</v>
      </c>
      <c r="B567" s="7" t="str">
        <f>IFERROR(__xludf.DUMMYFUNCTION("""COMPUTED_VALUE"""),"44b23000-b0e1-4881-b11a-85c71eee2640")</f>
        <v>44b23000-b0e1-4881-b11a-85c71eee2640</v>
      </c>
      <c r="C567" s="7">
        <f>IFERROR(__xludf.DUMMYFUNCTION("""COMPUTED_VALUE"""),0.0)</f>
        <v>0</v>
      </c>
      <c r="D567" s="6">
        <f>IFERROR(__xludf.DUMMYFUNCTION("""COMPUTED_VALUE"""),45705.0)</f>
        <v>45705</v>
      </c>
      <c r="E567" s="7" t="str">
        <f>IFERROR(__xludf.DUMMYFUNCTION("""COMPUTED_VALUE"""),"FRANQUIA_D&amp;G_SP")</f>
        <v>FRANQUIA_D&amp;G_SP</v>
      </c>
      <c r="F567" s="7" t="str">
        <f>IFERROR(__xludf.DUMMYFUNCTION("""COMPUTED_VALUE"""),"MOTORCYCLE")</f>
        <v>MOTORCYCLE</v>
      </c>
      <c r="G567" s="7" t="str">
        <f>IFERROR(__xludf.DUMMYFUNCTION("""COMPUTED_VALUE"""),"SAO PAULO")</f>
        <v>SAO PAULO</v>
      </c>
    </row>
    <row r="568">
      <c r="A568" s="6">
        <f>IFERROR(__xludf.DUMMYFUNCTION("""COMPUTED_VALUE"""),45705.0)</f>
        <v>45705</v>
      </c>
      <c r="B568" s="7" t="str">
        <f>IFERROR(__xludf.DUMMYFUNCTION("""COMPUTED_VALUE"""),"66126f07-abc2-4651-8239-052918329d1e")</f>
        <v>66126f07-abc2-4651-8239-052918329d1e</v>
      </c>
      <c r="C568" s="7">
        <f>IFERROR(__xludf.DUMMYFUNCTION("""COMPUTED_VALUE"""),248.0)</f>
        <v>248</v>
      </c>
      <c r="D568" s="6">
        <f>IFERROR(__xludf.DUMMYFUNCTION("""COMPUTED_VALUE"""),45457.0)</f>
        <v>45457</v>
      </c>
      <c r="E568" s="7" t="str">
        <f>IFERROR(__xludf.DUMMYFUNCTION("""COMPUTED_VALUE"""),"FRANQUIA_D&amp;G_SP")</f>
        <v>FRANQUIA_D&amp;G_SP</v>
      </c>
      <c r="F568" s="7" t="str">
        <f>IFERROR(__xludf.DUMMYFUNCTION("""COMPUTED_VALUE"""),"MOTORCYCLE")</f>
        <v>MOTORCYCLE</v>
      </c>
      <c r="G568" s="7" t="str">
        <f>IFERROR(__xludf.DUMMYFUNCTION("""COMPUTED_VALUE"""),"SAO PAULO")</f>
        <v>SAO PAULO</v>
      </c>
    </row>
    <row r="569">
      <c r="A569" s="6">
        <f>IFERROR(__xludf.DUMMYFUNCTION("""COMPUTED_VALUE"""),45705.0)</f>
        <v>45705</v>
      </c>
      <c r="B569" s="7" t="str">
        <f>IFERROR(__xludf.DUMMYFUNCTION("""COMPUTED_VALUE"""),"f89900fd-edcb-4e25-b460-1d202342e741")</f>
        <v>f89900fd-edcb-4e25-b460-1d202342e741</v>
      </c>
      <c r="C569" s="7">
        <f>IFERROR(__xludf.DUMMYFUNCTION("""COMPUTED_VALUE"""),0.0)</f>
        <v>0</v>
      </c>
      <c r="D569" s="6">
        <f>IFERROR(__xludf.DUMMYFUNCTION("""COMPUTED_VALUE"""),45705.0)</f>
        <v>45705</v>
      </c>
      <c r="E569" s="7" t="str">
        <f>IFERROR(__xludf.DUMMYFUNCTION("""COMPUTED_VALUE"""),"FRANQUIA_D&amp;G_SP")</f>
        <v>FRANQUIA_D&amp;G_SP</v>
      </c>
      <c r="F569" s="7" t="str">
        <f>IFERROR(__xludf.DUMMYFUNCTION("""COMPUTED_VALUE"""),"MOTORCYCLE")</f>
        <v>MOTORCYCLE</v>
      </c>
      <c r="G569" s="7" t="str">
        <f>IFERROR(__xludf.DUMMYFUNCTION("""COMPUTED_VALUE"""),"SAO PAULO")</f>
        <v>SAO PAULO</v>
      </c>
    </row>
    <row r="570">
      <c r="A570" s="6">
        <f>IFERROR(__xludf.DUMMYFUNCTION("""COMPUTED_VALUE"""),45705.0)</f>
        <v>45705</v>
      </c>
      <c r="B570" s="7" t="str">
        <f>IFERROR(__xludf.DUMMYFUNCTION("""COMPUTED_VALUE"""),"c0eaa12e-a9e4-49c4-8388-fa18c40b1f03")</f>
        <v>c0eaa12e-a9e4-49c4-8388-fa18c40b1f03</v>
      </c>
      <c r="C570" s="7">
        <f>IFERROR(__xludf.DUMMYFUNCTION("""COMPUTED_VALUE"""),39.0)</f>
        <v>39</v>
      </c>
      <c r="D570" s="6">
        <f>IFERROR(__xludf.DUMMYFUNCTION("""COMPUTED_VALUE"""),45666.0)</f>
        <v>45666</v>
      </c>
      <c r="E570" s="7" t="str">
        <f>IFERROR(__xludf.DUMMYFUNCTION("""COMPUTED_VALUE"""),"FRANQUIA_D&amp;G_SP")</f>
        <v>FRANQUIA_D&amp;G_SP</v>
      </c>
      <c r="F570" s="7" t="str">
        <f>IFERROR(__xludf.DUMMYFUNCTION("""COMPUTED_VALUE"""),"MOTORCYCLE")</f>
        <v>MOTORCYCLE</v>
      </c>
      <c r="G570" s="7" t="str">
        <f>IFERROR(__xludf.DUMMYFUNCTION("""COMPUTED_VALUE"""),"SAO PAULO")</f>
        <v>SAO PAULO</v>
      </c>
    </row>
    <row r="571">
      <c r="A571" s="6">
        <f>IFERROR(__xludf.DUMMYFUNCTION("""COMPUTED_VALUE"""),45705.0)</f>
        <v>45705</v>
      </c>
      <c r="B571" s="7" t="str">
        <f>IFERROR(__xludf.DUMMYFUNCTION("""COMPUTED_VALUE"""),"944aeb6f-97b0-4606-a4a2-3b390bdb8dd9")</f>
        <v>944aeb6f-97b0-4606-a4a2-3b390bdb8dd9</v>
      </c>
      <c r="C571" s="7">
        <f>IFERROR(__xludf.DUMMYFUNCTION("""COMPUTED_VALUE"""),165.0)</f>
        <v>165</v>
      </c>
      <c r="D571" s="6">
        <f>IFERROR(__xludf.DUMMYFUNCTION("""COMPUTED_VALUE"""),45540.0)</f>
        <v>45540</v>
      </c>
      <c r="E571" s="7" t="str">
        <f>IFERROR(__xludf.DUMMYFUNCTION("""COMPUTED_VALUE"""),"FRANQUIA_D&amp;G_SP")</f>
        <v>FRANQUIA_D&amp;G_SP</v>
      </c>
      <c r="F571" s="7" t="str">
        <f>IFERROR(__xludf.DUMMYFUNCTION("""COMPUTED_VALUE"""),"BICYCLE")</f>
        <v>BICYCLE</v>
      </c>
      <c r="G571" s="7" t="str">
        <f>IFERROR(__xludf.DUMMYFUNCTION("""COMPUTED_VALUE"""),"SAO PAULO")</f>
        <v>SAO PAULO</v>
      </c>
    </row>
    <row r="572">
      <c r="A572" s="6">
        <f>IFERROR(__xludf.DUMMYFUNCTION("""COMPUTED_VALUE"""),45705.0)</f>
        <v>45705</v>
      </c>
      <c r="B572" s="7" t="str">
        <f>IFERROR(__xludf.DUMMYFUNCTION("""COMPUTED_VALUE"""),"ccf6f882-9f25-4c52-9671-e81cc17e88d9")</f>
        <v>ccf6f882-9f25-4c52-9671-e81cc17e88d9</v>
      </c>
      <c r="C572" s="7">
        <f>IFERROR(__xludf.DUMMYFUNCTION("""COMPUTED_VALUE"""),0.0)</f>
        <v>0</v>
      </c>
      <c r="D572" s="6">
        <f>IFERROR(__xludf.DUMMYFUNCTION("""COMPUTED_VALUE"""),45705.0)</f>
        <v>45705</v>
      </c>
      <c r="E572" s="7" t="str">
        <f>IFERROR(__xludf.DUMMYFUNCTION("""COMPUTED_VALUE"""),"FRANQUIA_D&amp;G_SP")</f>
        <v>FRANQUIA_D&amp;G_SP</v>
      </c>
      <c r="F572" s="7" t="str">
        <f>IFERROR(__xludf.DUMMYFUNCTION("""COMPUTED_VALUE"""),"MOTORCYCLE")</f>
        <v>MOTORCYCLE</v>
      </c>
      <c r="G572" s="7" t="str">
        <f>IFERROR(__xludf.DUMMYFUNCTION("""COMPUTED_VALUE"""),"SAO PAULO")</f>
        <v>SAO PAULO</v>
      </c>
    </row>
    <row r="573">
      <c r="A573" s="6">
        <f>IFERROR(__xludf.DUMMYFUNCTION("""COMPUTED_VALUE"""),45705.0)</f>
        <v>45705</v>
      </c>
      <c r="B573" s="7" t="str">
        <f>IFERROR(__xludf.DUMMYFUNCTION("""COMPUTED_VALUE"""),"d9bc1103-32c6-4aa9-a545-00cddddcf8ec")</f>
        <v>d9bc1103-32c6-4aa9-a545-00cddddcf8ec</v>
      </c>
      <c r="C573" s="7">
        <f>IFERROR(__xludf.DUMMYFUNCTION("""COMPUTED_VALUE"""),0.0)</f>
        <v>0</v>
      </c>
      <c r="D573" s="6">
        <f>IFERROR(__xludf.DUMMYFUNCTION("""COMPUTED_VALUE"""),45705.0)</f>
        <v>45705</v>
      </c>
      <c r="E573" s="7" t="str">
        <f>IFERROR(__xludf.DUMMYFUNCTION("""COMPUTED_VALUE"""),"FRANQUIA_D&amp;G_SP")</f>
        <v>FRANQUIA_D&amp;G_SP</v>
      </c>
      <c r="F573" s="7" t="str">
        <f>IFERROR(__xludf.DUMMYFUNCTION("""COMPUTED_VALUE"""),"MOTORCYCLE")</f>
        <v>MOTORCYCLE</v>
      </c>
      <c r="G573" s="7" t="str">
        <f>IFERROR(__xludf.DUMMYFUNCTION("""COMPUTED_VALUE"""),"SAO PAULO")</f>
        <v>SAO PAULO</v>
      </c>
    </row>
    <row r="574">
      <c r="A574" s="6">
        <f>IFERROR(__xludf.DUMMYFUNCTION("""COMPUTED_VALUE"""),45705.0)</f>
        <v>45705</v>
      </c>
      <c r="B574" s="7" t="str">
        <f>IFERROR(__xludf.DUMMYFUNCTION("""COMPUTED_VALUE"""),"537fb44c-55ea-436d-b449-19ab8ecca2b1")</f>
        <v>537fb44c-55ea-436d-b449-19ab8ecca2b1</v>
      </c>
      <c r="C574" s="7">
        <f>IFERROR(__xludf.DUMMYFUNCTION("""COMPUTED_VALUE"""),0.0)</f>
        <v>0</v>
      </c>
      <c r="D574" s="6">
        <f>IFERROR(__xludf.DUMMYFUNCTION("""COMPUTED_VALUE"""),45705.0)</f>
        <v>45705</v>
      </c>
      <c r="E574" s="7" t="str">
        <f>IFERROR(__xludf.DUMMYFUNCTION("""COMPUTED_VALUE"""),"FRANQUIA_D&amp;G_SP")</f>
        <v>FRANQUIA_D&amp;G_SP</v>
      </c>
      <c r="F574" s="7" t="str">
        <f>IFERROR(__xludf.DUMMYFUNCTION("""COMPUTED_VALUE"""),"MOTORCYCLE")</f>
        <v>MOTORCYCLE</v>
      </c>
      <c r="G574" s="7" t="str">
        <f>IFERROR(__xludf.DUMMYFUNCTION("""COMPUTED_VALUE"""),"SAO PAULO")</f>
        <v>SAO PAULO</v>
      </c>
    </row>
    <row r="575">
      <c r="A575" s="6">
        <f>IFERROR(__xludf.DUMMYFUNCTION("""COMPUTED_VALUE"""),45705.0)</f>
        <v>45705</v>
      </c>
      <c r="B575" s="7" t="str">
        <f>IFERROR(__xludf.DUMMYFUNCTION("""COMPUTED_VALUE"""),"441807bf-a73a-41f2-a060-a77356c8bdcc")</f>
        <v>441807bf-a73a-41f2-a060-a77356c8bdcc</v>
      </c>
      <c r="C575" s="7">
        <f>IFERROR(__xludf.DUMMYFUNCTION("""COMPUTED_VALUE"""),2.0)</f>
        <v>2</v>
      </c>
      <c r="D575" s="6">
        <f>IFERROR(__xludf.DUMMYFUNCTION("""COMPUTED_VALUE"""),45703.0)</f>
        <v>45703</v>
      </c>
      <c r="E575" s="7" t="str">
        <f>IFERROR(__xludf.DUMMYFUNCTION("""COMPUTED_VALUE"""),"FRANQUIA_D&amp;G_SP")</f>
        <v>FRANQUIA_D&amp;G_SP</v>
      </c>
      <c r="F575" s="7" t="str">
        <f>IFERROR(__xludf.DUMMYFUNCTION("""COMPUTED_VALUE"""),"BICYCLE")</f>
        <v>BICYCLE</v>
      </c>
      <c r="G575" s="7" t="str">
        <f>IFERROR(__xludf.DUMMYFUNCTION("""COMPUTED_VALUE"""),"SAO PAULO")</f>
        <v>SAO PAULO</v>
      </c>
    </row>
    <row r="576">
      <c r="A576" s="6">
        <f>IFERROR(__xludf.DUMMYFUNCTION("""COMPUTED_VALUE"""),45705.0)</f>
        <v>45705</v>
      </c>
      <c r="B576" s="7" t="str">
        <f>IFERROR(__xludf.DUMMYFUNCTION("""COMPUTED_VALUE"""),"236bfd12-a7e8-4f07-85d4-2404678d2d1d")</f>
        <v>236bfd12-a7e8-4f07-85d4-2404678d2d1d</v>
      </c>
      <c r="C576" s="7">
        <f>IFERROR(__xludf.DUMMYFUNCTION("""COMPUTED_VALUE"""),0.0)</f>
        <v>0</v>
      </c>
      <c r="D576" s="6">
        <f>IFERROR(__xludf.DUMMYFUNCTION("""COMPUTED_VALUE"""),45705.0)</f>
        <v>45705</v>
      </c>
      <c r="E576" s="7" t="str">
        <f>IFERROR(__xludf.DUMMYFUNCTION("""COMPUTED_VALUE"""),"FRANQUIA_D&amp;G_SP")</f>
        <v>FRANQUIA_D&amp;G_SP</v>
      </c>
      <c r="F576" s="7" t="str">
        <f>IFERROR(__xludf.DUMMYFUNCTION("""COMPUTED_VALUE"""),"BICYCLE")</f>
        <v>BICYCLE</v>
      </c>
      <c r="G576" s="7" t="str">
        <f>IFERROR(__xludf.DUMMYFUNCTION("""COMPUTED_VALUE"""),"SUZANO")</f>
        <v>SUZANO</v>
      </c>
    </row>
    <row r="577">
      <c r="A577" s="6">
        <f>IFERROR(__xludf.DUMMYFUNCTION("""COMPUTED_VALUE"""),45705.0)</f>
        <v>45705</v>
      </c>
      <c r="B577" s="7" t="str">
        <f>IFERROR(__xludf.DUMMYFUNCTION("""COMPUTED_VALUE"""),"b314ca18-4a20-497d-86c3-81cc6ff344f0")</f>
        <v>b314ca18-4a20-497d-86c3-81cc6ff344f0</v>
      </c>
      <c r="C577" s="7">
        <f>IFERROR(__xludf.DUMMYFUNCTION("""COMPUTED_VALUE"""),3.0)</f>
        <v>3</v>
      </c>
      <c r="D577" s="6">
        <f>IFERROR(__xludf.DUMMYFUNCTION("""COMPUTED_VALUE"""),45702.0)</f>
        <v>45702</v>
      </c>
      <c r="E577" s="7" t="str">
        <f>IFERROR(__xludf.DUMMYFUNCTION("""COMPUTED_VALUE"""),"FRANQUIA_D&amp;G_SP")</f>
        <v>FRANQUIA_D&amp;G_SP</v>
      </c>
      <c r="F577" s="7" t="str">
        <f>IFERROR(__xludf.DUMMYFUNCTION("""COMPUTED_VALUE"""),"BICYCLE - GRCS")</f>
        <v>BICYCLE - GRCS</v>
      </c>
      <c r="G577" s="7" t="str">
        <f>IFERROR(__xludf.DUMMYFUNCTION("""COMPUTED_VALUE"""),"SAO PAULO")</f>
        <v>SAO PAULO</v>
      </c>
    </row>
    <row r="578">
      <c r="A578" s="6">
        <f>IFERROR(__xludf.DUMMYFUNCTION("""COMPUTED_VALUE"""),45705.0)</f>
        <v>45705</v>
      </c>
      <c r="B578" s="7" t="str">
        <f>IFERROR(__xludf.DUMMYFUNCTION("""COMPUTED_VALUE"""),"e1f076cf-d8ee-4743-a6c8-fc95b1e007e9")</f>
        <v>e1f076cf-d8ee-4743-a6c8-fc95b1e007e9</v>
      </c>
      <c r="C578" s="7">
        <f>IFERROR(__xludf.DUMMYFUNCTION("""COMPUTED_VALUE"""),0.0)</f>
        <v>0</v>
      </c>
      <c r="D578" s="6">
        <f>IFERROR(__xludf.DUMMYFUNCTION("""COMPUTED_VALUE"""),45705.0)</f>
        <v>45705</v>
      </c>
      <c r="E578" s="7" t="str">
        <f>IFERROR(__xludf.DUMMYFUNCTION("""COMPUTED_VALUE"""),"FRANQUIA_D&amp;G_SP")</f>
        <v>FRANQUIA_D&amp;G_SP</v>
      </c>
      <c r="F578" s="7" t="str">
        <f>IFERROR(__xludf.DUMMYFUNCTION("""COMPUTED_VALUE"""),"MOTORCYCLE")</f>
        <v>MOTORCYCLE</v>
      </c>
      <c r="G578" s="7" t="str">
        <f>IFERROR(__xludf.DUMMYFUNCTION("""COMPUTED_VALUE"""),"SAO PAULO")</f>
        <v>SAO PAULO</v>
      </c>
    </row>
    <row r="579">
      <c r="A579" s="6">
        <f>IFERROR(__xludf.DUMMYFUNCTION("""COMPUTED_VALUE"""),45705.0)</f>
        <v>45705</v>
      </c>
      <c r="B579" s="7" t="str">
        <f>IFERROR(__xludf.DUMMYFUNCTION("""COMPUTED_VALUE"""),"86af87e6-aeb2-4806-a7c7-1679cd2732a0")</f>
        <v>86af87e6-aeb2-4806-a7c7-1679cd2732a0</v>
      </c>
      <c r="C579" s="7">
        <f>IFERROR(__xludf.DUMMYFUNCTION("""COMPUTED_VALUE"""),0.0)</f>
        <v>0</v>
      </c>
      <c r="D579" s="6">
        <f>IFERROR(__xludf.DUMMYFUNCTION("""COMPUTED_VALUE"""),45705.0)</f>
        <v>45705</v>
      </c>
      <c r="E579" s="7" t="str">
        <f>IFERROR(__xludf.DUMMYFUNCTION("""COMPUTED_VALUE"""),"FRANQUIA_D&amp;G_SP")</f>
        <v>FRANQUIA_D&amp;G_SP</v>
      </c>
      <c r="F579" s="7" t="str">
        <f>IFERROR(__xludf.DUMMYFUNCTION("""COMPUTED_VALUE"""),"BICYCLE")</f>
        <v>BICYCLE</v>
      </c>
      <c r="G579" s="7" t="str">
        <f>IFERROR(__xludf.DUMMYFUNCTION("""COMPUTED_VALUE"""),"SAO PAULO")</f>
        <v>SAO PAULO</v>
      </c>
    </row>
    <row r="580">
      <c r="A580" s="6">
        <f>IFERROR(__xludf.DUMMYFUNCTION("""COMPUTED_VALUE"""),45705.0)</f>
        <v>45705</v>
      </c>
      <c r="B580" s="7" t="str">
        <f>IFERROR(__xludf.DUMMYFUNCTION("""COMPUTED_VALUE"""),"91a58e6c-37b1-4e59-bfb6-9623ab0a29c5")</f>
        <v>91a58e6c-37b1-4e59-bfb6-9623ab0a29c5</v>
      </c>
      <c r="C580" s="7">
        <f>IFERROR(__xludf.DUMMYFUNCTION("""COMPUTED_VALUE"""),0.0)</f>
        <v>0</v>
      </c>
      <c r="D580" s="6">
        <f>IFERROR(__xludf.DUMMYFUNCTION("""COMPUTED_VALUE"""),45705.0)</f>
        <v>45705</v>
      </c>
      <c r="E580" s="7" t="str">
        <f>IFERROR(__xludf.DUMMYFUNCTION("""COMPUTED_VALUE"""),"FRANQUIA_D&amp;G_SP")</f>
        <v>FRANQUIA_D&amp;G_SP</v>
      </c>
      <c r="F580" s="7" t="str">
        <f>IFERROR(__xludf.DUMMYFUNCTION("""COMPUTED_VALUE"""),"MOTORCYCLE")</f>
        <v>MOTORCYCLE</v>
      </c>
      <c r="G580" s="7" t="str">
        <f>IFERROR(__xludf.DUMMYFUNCTION("""COMPUTED_VALUE"""),"SAO PAULO")</f>
        <v>SAO PAULO</v>
      </c>
    </row>
    <row r="581">
      <c r="A581" s="6">
        <f>IFERROR(__xludf.DUMMYFUNCTION("""COMPUTED_VALUE"""),45705.0)</f>
        <v>45705</v>
      </c>
      <c r="B581" s="7" t="str">
        <f>IFERROR(__xludf.DUMMYFUNCTION("""COMPUTED_VALUE"""),"1df3d214-82d2-45c8-b2bc-d2201e2f99b5")</f>
        <v>1df3d214-82d2-45c8-b2bc-d2201e2f99b5</v>
      </c>
      <c r="C581" s="7">
        <f>IFERROR(__xludf.DUMMYFUNCTION("""COMPUTED_VALUE"""),58.0)</f>
        <v>58</v>
      </c>
      <c r="D581" s="6">
        <f>IFERROR(__xludf.DUMMYFUNCTION("""COMPUTED_VALUE"""),45647.0)</f>
        <v>45647</v>
      </c>
      <c r="E581" s="7" t="str">
        <f>IFERROR(__xludf.DUMMYFUNCTION("""COMPUTED_VALUE"""),"FRANQUIA_D&amp;G_SP")</f>
        <v>FRANQUIA_D&amp;G_SP</v>
      </c>
      <c r="F581" s="7" t="str">
        <f>IFERROR(__xludf.DUMMYFUNCTION("""COMPUTED_VALUE"""),"MOTORCYCLE")</f>
        <v>MOTORCYCLE</v>
      </c>
      <c r="G581" s="7" t="str">
        <f>IFERROR(__xludf.DUMMYFUNCTION("""COMPUTED_VALUE"""),"SAO PAULO")</f>
        <v>SAO PAULO</v>
      </c>
    </row>
    <row r="582">
      <c r="A582" s="6">
        <f>IFERROR(__xludf.DUMMYFUNCTION("""COMPUTED_VALUE"""),45705.0)</f>
        <v>45705</v>
      </c>
      <c r="B582" s="7" t="str">
        <f>IFERROR(__xludf.DUMMYFUNCTION("""COMPUTED_VALUE"""),"2e1a0e13-c8ed-4280-804c-f6a698970e3f")</f>
        <v>2e1a0e13-c8ed-4280-804c-f6a698970e3f</v>
      </c>
      <c r="C582" s="7">
        <f>IFERROR(__xludf.DUMMYFUNCTION("""COMPUTED_VALUE"""),0.0)</f>
        <v>0</v>
      </c>
      <c r="D582" s="6">
        <f>IFERROR(__xludf.DUMMYFUNCTION("""COMPUTED_VALUE"""),45705.0)</f>
        <v>45705</v>
      </c>
      <c r="E582" s="7" t="str">
        <f>IFERROR(__xludf.DUMMYFUNCTION("""COMPUTED_VALUE"""),"FRANQUIA_D&amp;G_SP")</f>
        <v>FRANQUIA_D&amp;G_SP</v>
      </c>
      <c r="F582" s="7" t="str">
        <f>IFERROR(__xludf.DUMMYFUNCTION("""COMPUTED_VALUE"""),"MOTORCYCLE")</f>
        <v>MOTORCYCLE</v>
      </c>
      <c r="G582" s="7" t="str">
        <f>IFERROR(__xludf.DUMMYFUNCTION("""COMPUTED_VALUE"""),"SAO PAULO")</f>
        <v>SAO PAULO</v>
      </c>
    </row>
    <row r="583">
      <c r="A583" s="6">
        <f>IFERROR(__xludf.DUMMYFUNCTION("""COMPUTED_VALUE"""),45705.0)</f>
        <v>45705</v>
      </c>
      <c r="B583" s="7" t="str">
        <f>IFERROR(__xludf.DUMMYFUNCTION("""COMPUTED_VALUE"""),"c72ade6a-0b98-48c5-af5a-331cac1e33f5")</f>
        <v>c72ade6a-0b98-48c5-af5a-331cac1e33f5</v>
      </c>
      <c r="C583" s="7">
        <f>IFERROR(__xludf.DUMMYFUNCTION("""COMPUTED_VALUE"""),13.0)</f>
        <v>13</v>
      </c>
      <c r="D583" s="6">
        <f>IFERROR(__xludf.DUMMYFUNCTION("""COMPUTED_VALUE"""),45692.0)</f>
        <v>45692</v>
      </c>
      <c r="E583" s="7" t="str">
        <f>IFERROR(__xludf.DUMMYFUNCTION("""COMPUTED_VALUE"""),"FRANQUIA_D&amp;G_SP")</f>
        <v>FRANQUIA_D&amp;G_SP</v>
      </c>
      <c r="F583" s="7" t="str">
        <f>IFERROR(__xludf.DUMMYFUNCTION("""COMPUTED_VALUE"""),"BICYCLE")</f>
        <v>BICYCLE</v>
      </c>
      <c r="G583" s="7" t="str">
        <f>IFERROR(__xludf.DUMMYFUNCTION("""COMPUTED_VALUE"""),"SAO PAULO")</f>
        <v>SAO PAULO</v>
      </c>
    </row>
    <row r="584">
      <c r="A584" s="6">
        <f>IFERROR(__xludf.DUMMYFUNCTION("""COMPUTED_VALUE"""),45705.0)</f>
        <v>45705</v>
      </c>
      <c r="B584" s="7" t="str">
        <f>IFERROR(__xludf.DUMMYFUNCTION("""COMPUTED_VALUE"""),"0e0d0895-2487-4f1c-bd18-763031e9783e")</f>
        <v>0e0d0895-2487-4f1c-bd18-763031e9783e</v>
      </c>
      <c r="C584" s="7">
        <f>IFERROR(__xludf.DUMMYFUNCTION("""COMPUTED_VALUE"""),0.0)</f>
        <v>0</v>
      </c>
      <c r="D584" s="6">
        <f>IFERROR(__xludf.DUMMYFUNCTION("""COMPUTED_VALUE"""),45705.0)</f>
        <v>45705</v>
      </c>
      <c r="E584" s="7" t="str">
        <f>IFERROR(__xludf.DUMMYFUNCTION("""COMPUTED_VALUE"""),"FRANQUIA_D&amp;G_SP")</f>
        <v>FRANQUIA_D&amp;G_SP</v>
      </c>
      <c r="F584" s="7" t="str">
        <f>IFERROR(__xludf.DUMMYFUNCTION("""COMPUTED_VALUE"""),"BICYCLE")</f>
        <v>BICYCLE</v>
      </c>
      <c r="G584" s="7" t="str">
        <f>IFERROR(__xludf.DUMMYFUNCTION("""COMPUTED_VALUE"""),"SAO PAULO")</f>
        <v>SAO PAULO</v>
      </c>
    </row>
    <row r="585">
      <c r="A585" s="6">
        <f>IFERROR(__xludf.DUMMYFUNCTION("""COMPUTED_VALUE"""),45705.0)</f>
        <v>45705</v>
      </c>
      <c r="B585" s="7" t="str">
        <f>IFERROR(__xludf.DUMMYFUNCTION("""COMPUTED_VALUE"""),"b6f0c2a7-6772-4dd7-8a9e-63d0aa737794")</f>
        <v>b6f0c2a7-6772-4dd7-8a9e-63d0aa737794</v>
      </c>
      <c r="C585" s="7">
        <f>IFERROR(__xludf.DUMMYFUNCTION("""COMPUTED_VALUE"""),0.0)</f>
        <v>0</v>
      </c>
      <c r="D585" s="6">
        <f>IFERROR(__xludf.DUMMYFUNCTION("""COMPUTED_VALUE"""),45705.0)</f>
        <v>45705</v>
      </c>
      <c r="E585" s="7" t="str">
        <f>IFERROR(__xludf.DUMMYFUNCTION("""COMPUTED_VALUE"""),"FRANQUIA_D&amp;G_SP")</f>
        <v>FRANQUIA_D&amp;G_SP</v>
      </c>
      <c r="F585" s="7" t="str">
        <f>IFERROR(__xludf.DUMMYFUNCTION("""COMPUTED_VALUE"""),"EBIKE")</f>
        <v>EBIKE</v>
      </c>
      <c r="G585" s="7" t="str">
        <f>IFERROR(__xludf.DUMMYFUNCTION("""COMPUTED_VALUE"""),"SAO PAULO")</f>
        <v>SAO PAULO</v>
      </c>
    </row>
    <row r="586">
      <c r="A586" s="6">
        <f>IFERROR(__xludf.DUMMYFUNCTION("""COMPUTED_VALUE"""),45705.0)</f>
        <v>45705</v>
      </c>
      <c r="B586" s="7" t="str">
        <f>IFERROR(__xludf.DUMMYFUNCTION("""COMPUTED_VALUE"""),"c65b88a5-7dd4-4b22-9fc0-eb9bfd08a72f")</f>
        <v>c65b88a5-7dd4-4b22-9fc0-eb9bfd08a72f</v>
      </c>
      <c r="C586" s="7">
        <f>IFERROR(__xludf.DUMMYFUNCTION("""COMPUTED_VALUE"""),0.0)</f>
        <v>0</v>
      </c>
      <c r="D586" s="6">
        <f>IFERROR(__xludf.DUMMYFUNCTION("""COMPUTED_VALUE"""),45705.0)</f>
        <v>45705</v>
      </c>
      <c r="E586" s="7" t="str">
        <f>IFERROR(__xludf.DUMMYFUNCTION("""COMPUTED_VALUE"""),"FRANQUIA_D&amp;G_SP")</f>
        <v>FRANQUIA_D&amp;G_SP</v>
      </c>
      <c r="F586" s="7" t="str">
        <f>IFERROR(__xludf.DUMMYFUNCTION("""COMPUTED_VALUE"""),"EMOTORCYCLE")</f>
        <v>EMOTORCYCLE</v>
      </c>
      <c r="G586" s="7" t="str">
        <f>IFERROR(__xludf.DUMMYFUNCTION("""COMPUTED_VALUE"""),"SAO PAULO")</f>
        <v>SAO PAULO</v>
      </c>
    </row>
    <row r="587">
      <c r="A587" s="6">
        <f>IFERROR(__xludf.DUMMYFUNCTION("""COMPUTED_VALUE"""),45705.0)</f>
        <v>45705</v>
      </c>
      <c r="B587" s="7" t="str">
        <f>IFERROR(__xludf.DUMMYFUNCTION("""COMPUTED_VALUE"""),"c8f4fde3-aa25-43e0-8320-a87b118385be")</f>
        <v>c8f4fde3-aa25-43e0-8320-a87b118385be</v>
      </c>
      <c r="C587" s="7">
        <f>IFERROR(__xludf.DUMMYFUNCTION("""COMPUTED_VALUE"""),1.0)</f>
        <v>1</v>
      </c>
      <c r="D587" s="6">
        <f>IFERROR(__xludf.DUMMYFUNCTION("""COMPUTED_VALUE"""),45704.0)</f>
        <v>45704</v>
      </c>
      <c r="E587" s="7" t="str">
        <f>IFERROR(__xludf.DUMMYFUNCTION("""COMPUTED_VALUE"""),"FRANQUIA_D&amp;G_SP")</f>
        <v>FRANQUIA_D&amp;G_SP</v>
      </c>
      <c r="F587" s="7" t="str">
        <f>IFERROR(__xludf.DUMMYFUNCTION("""COMPUTED_VALUE"""),"MOTORCYCLE")</f>
        <v>MOTORCYCLE</v>
      </c>
      <c r="G587" s="7" t="str">
        <f>IFERROR(__xludf.DUMMYFUNCTION("""COMPUTED_VALUE"""),"SAO PAULO")</f>
        <v>SAO PAULO</v>
      </c>
    </row>
    <row r="588">
      <c r="A588" s="6">
        <f>IFERROR(__xludf.DUMMYFUNCTION("""COMPUTED_VALUE"""),45705.0)</f>
        <v>45705</v>
      </c>
      <c r="B588" s="7" t="str">
        <f>IFERROR(__xludf.DUMMYFUNCTION("""COMPUTED_VALUE"""),"30d9bbde-4860-47a6-a2aa-d469329d3603")</f>
        <v>30d9bbde-4860-47a6-a2aa-d469329d3603</v>
      </c>
      <c r="C588" s="7">
        <f>IFERROR(__xludf.DUMMYFUNCTION("""COMPUTED_VALUE"""),37.0)</f>
        <v>37</v>
      </c>
      <c r="D588" s="6">
        <f>IFERROR(__xludf.DUMMYFUNCTION("""COMPUTED_VALUE"""),45668.0)</f>
        <v>45668</v>
      </c>
      <c r="E588" s="7" t="str">
        <f>IFERROR(__xludf.DUMMYFUNCTION("""COMPUTED_VALUE"""),"FRANQUIA_D&amp;G_SP")</f>
        <v>FRANQUIA_D&amp;G_SP</v>
      </c>
      <c r="F588" s="7" t="str">
        <f>IFERROR(__xludf.DUMMYFUNCTION("""COMPUTED_VALUE"""),"BICYCLE")</f>
        <v>BICYCLE</v>
      </c>
      <c r="G588" s="7" t="str">
        <f>IFERROR(__xludf.DUMMYFUNCTION("""COMPUTED_VALUE"""),"SAO PAULO")</f>
        <v>SAO PAULO</v>
      </c>
    </row>
    <row r="589">
      <c r="A589" s="6">
        <f>IFERROR(__xludf.DUMMYFUNCTION("""COMPUTED_VALUE"""),45705.0)</f>
        <v>45705</v>
      </c>
      <c r="B589" s="7" t="str">
        <f>IFERROR(__xludf.DUMMYFUNCTION("""COMPUTED_VALUE"""),"95ba2fad-0a60-4067-a293-29d6764d6aab")</f>
        <v>95ba2fad-0a60-4067-a293-29d6764d6aab</v>
      </c>
      <c r="C589" s="7">
        <f>IFERROR(__xludf.DUMMYFUNCTION("""COMPUTED_VALUE"""),0.0)</f>
        <v>0</v>
      </c>
      <c r="D589" s="6">
        <f>IFERROR(__xludf.DUMMYFUNCTION("""COMPUTED_VALUE"""),45705.0)</f>
        <v>45705</v>
      </c>
      <c r="E589" s="7" t="str">
        <f>IFERROR(__xludf.DUMMYFUNCTION("""COMPUTED_VALUE"""),"FRANQUIA_D&amp;G_SP")</f>
        <v>FRANQUIA_D&amp;G_SP</v>
      </c>
      <c r="F589" s="7" t="str">
        <f>IFERROR(__xludf.DUMMYFUNCTION("""COMPUTED_VALUE"""),"MOTORCYCLE")</f>
        <v>MOTORCYCLE</v>
      </c>
      <c r="G589" s="7" t="str">
        <f>IFERROR(__xludf.DUMMYFUNCTION("""COMPUTED_VALUE"""),"SAO PAULO")</f>
        <v>SAO PAULO</v>
      </c>
    </row>
    <row r="590">
      <c r="A590" s="6">
        <f>IFERROR(__xludf.DUMMYFUNCTION("""COMPUTED_VALUE"""),45705.0)</f>
        <v>45705</v>
      </c>
      <c r="B590" s="7" t="str">
        <f>IFERROR(__xludf.DUMMYFUNCTION("""COMPUTED_VALUE"""),"6f9788e8-c303-43b0-8fd1-58100510f55f")</f>
        <v>6f9788e8-c303-43b0-8fd1-58100510f55f</v>
      </c>
      <c r="C590" s="7">
        <f>IFERROR(__xludf.DUMMYFUNCTION("""COMPUTED_VALUE"""),49.0)</f>
        <v>49</v>
      </c>
      <c r="D590" s="6">
        <f>IFERROR(__xludf.DUMMYFUNCTION("""COMPUTED_VALUE"""),45656.0)</f>
        <v>45656</v>
      </c>
      <c r="E590" s="7" t="str">
        <f>IFERROR(__xludf.DUMMYFUNCTION("""COMPUTED_VALUE"""),"FRANQUIA_D&amp;G_SP")</f>
        <v>FRANQUIA_D&amp;G_SP</v>
      </c>
      <c r="F590" s="7" t="str">
        <f>IFERROR(__xludf.DUMMYFUNCTION("""COMPUTED_VALUE"""),"MOTORCYCLE")</f>
        <v>MOTORCYCLE</v>
      </c>
      <c r="G590" s="7" t="str">
        <f>IFERROR(__xludf.DUMMYFUNCTION("""COMPUTED_VALUE"""),"SAO PAULO")</f>
        <v>SAO PAULO</v>
      </c>
    </row>
    <row r="591">
      <c r="A591" s="6">
        <f>IFERROR(__xludf.DUMMYFUNCTION("""COMPUTED_VALUE"""),45705.0)</f>
        <v>45705</v>
      </c>
      <c r="B591" s="7" t="str">
        <f>IFERROR(__xludf.DUMMYFUNCTION("""COMPUTED_VALUE"""),"1a2f7431-72bc-4eef-afe9-3560a6921c23")</f>
        <v>1a2f7431-72bc-4eef-afe9-3560a6921c23</v>
      </c>
      <c r="C591" s="7">
        <f>IFERROR(__xludf.DUMMYFUNCTION("""COMPUTED_VALUE"""),0.0)</f>
        <v>0</v>
      </c>
      <c r="D591" s="6">
        <f>IFERROR(__xludf.DUMMYFUNCTION("""COMPUTED_VALUE"""),45705.0)</f>
        <v>45705</v>
      </c>
      <c r="E591" s="7" t="str">
        <f>IFERROR(__xludf.DUMMYFUNCTION("""COMPUTED_VALUE"""),"FRANQUIA_D&amp;G_SP")</f>
        <v>FRANQUIA_D&amp;G_SP</v>
      </c>
      <c r="F591" s="7" t="str">
        <f>IFERROR(__xludf.DUMMYFUNCTION("""COMPUTED_VALUE"""),"MOTORCYCLE")</f>
        <v>MOTORCYCLE</v>
      </c>
      <c r="G591" s="7" t="str">
        <f>IFERROR(__xludf.DUMMYFUNCTION("""COMPUTED_VALUE"""),"SAO PAULO")</f>
        <v>SAO PAULO</v>
      </c>
    </row>
    <row r="592">
      <c r="A592" s="6">
        <f>IFERROR(__xludf.DUMMYFUNCTION("""COMPUTED_VALUE"""),45705.0)</f>
        <v>45705</v>
      </c>
      <c r="B592" s="7" t="str">
        <f>IFERROR(__xludf.DUMMYFUNCTION("""COMPUTED_VALUE"""),"9697bb1c-813a-4680-af38-907e3eb15b11")</f>
        <v>9697bb1c-813a-4680-af38-907e3eb15b11</v>
      </c>
      <c r="C592" s="7">
        <f>IFERROR(__xludf.DUMMYFUNCTION("""COMPUTED_VALUE"""),2.0)</f>
        <v>2</v>
      </c>
      <c r="D592" s="6">
        <f>IFERROR(__xludf.DUMMYFUNCTION("""COMPUTED_VALUE"""),45703.0)</f>
        <v>45703</v>
      </c>
      <c r="E592" s="7" t="str">
        <f>IFERROR(__xludf.DUMMYFUNCTION("""COMPUTED_VALUE"""),"FRANQUIA_D&amp;G_SP")</f>
        <v>FRANQUIA_D&amp;G_SP</v>
      </c>
      <c r="F592" s="7" t="str">
        <f>IFERROR(__xludf.DUMMYFUNCTION("""COMPUTED_VALUE"""),"MOTORCYCLE")</f>
        <v>MOTORCYCLE</v>
      </c>
      <c r="G592" s="7" t="str">
        <f>IFERROR(__xludf.DUMMYFUNCTION("""COMPUTED_VALUE"""),"SAO PAULO")</f>
        <v>SAO PAULO</v>
      </c>
    </row>
    <row r="593">
      <c r="A593" s="6">
        <f>IFERROR(__xludf.DUMMYFUNCTION("""COMPUTED_VALUE"""),45705.0)</f>
        <v>45705</v>
      </c>
      <c r="B593" s="7" t="str">
        <f>IFERROR(__xludf.DUMMYFUNCTION("""COMPUTED_VALUE"""),"a3bdc9f9-a1c1-4f3d-981d-61be0202038a")</f>
        <v>a3bdc9f9-a1c1-4f3d-981d-61be0202038a</v>
      </c>
      <c r="C593" s="7">
        <f>IFERROR(__xludf.DUMMYFUNCTION("""COMPUTED_VALUE"""),210.0)</f>
        <v>210</v>
      </c>
      <c r="D593" s="6">
        <f>IFERROR(__xludf.DUMMYFUNCTION("""COMPUTED_VALUE"""),45495.0)</f>
        <v>45495</v>
      </c>
      <c r="E593" s="7" t="str">
        <f>IFERROR(__xludf.DUMMYFUNCTION("""COMPUTED_VALUE"""),"FRANQUIA_D&amp;G_SP")</f>
        <v>FRANQUIA_D&amp;G_SP</v>
      </c>
      <c r="F593" s="7" t="str">
        <f>IFERROR(__xludf.DUMMYFUNCTION("""COMPUTED_VALUE"""),"BICYCLE")</f>
        <v>BICYCLE</v>
      </c>
      <c r="G593" s="7" t="str">
        <f>IFERROR(__xludf.DUMMYFUNCTION("""COMPUTED_VALUE"""),"SAO PAULO")</f>
        <v>SAO PAULO</v>
      </c>
    </row>
    <row r="594">
      <c r="A594" s="6">
        <f>IFERROR(__xludf.DUMMYFUNCTION("""COMPUTED_VALUE"""),45705.0)</f>
        <v>45705</v>
      </c>
      <c r="B594" s="7" t="str">
        <f>IFERROR(__xludf.DUMMYFUNCTION("""COMPUTED_VALUE"""),"807bbee7-31f6-493c-bee2-c31f68e3b1b3")</f>
        <v>807bbee7-31f6-493c-bee2-c31f68e3b1b3</v>
      </c>
      <c r="C594" s="7">
        <f>IFERROR(__xludf.DUMMYFUNCTION("""COMPUTED_VALUE"""),1.0)</f>
        <v>1</v>
      </c>
      <c r="D594" s="6">
        <f>IFERROR(__xludf.DUMMYFUNCTION("""COMPUTED_VALUE"""),45704.0)</f>
        <v>45704</v>
      </c>
      <c r="E594" s="7" t="str">
        <f>IFERROR(__xludf.DUMMYFUNCTION("""COMPUTED_VALUE"""),"FRANQUIA_D&amp;G_SP")</f>
        <v>FRANQUIA_D&amp;G_SP</v>
      </c>
      <c r="F594" s="7" t="str">
        <f>IFERROR(__xludf.DUMMYFUNCTION("""COMPUTED_VALUE"""),"EBIKE")</f>
        <v>EBIKE</v>
      </c>
      <c r="G594" s="7" t="str">
        <f>IFERROR(__xludf.DUMMYFUNCTION("""COMPUTED_VALUE"""),"SAO PAULO")</f>
        <v>SAO PAULO</v>
      </c>
    </row>
    <row r="595">
      <c r="A595" s="6">
        <f>IFERROR(__xludf.DUMMYFUNCTION("""COMPUTED_VALUE"""),45705.0)</f>
        <v>45705</v>
      </c>
      <c r="B595" s="7" t="str">
        <f>IFERROR(__xludf.DUMMYFUNCTION("""COMPUTED_VALUE"""),"6e4dc018-0cce-4c28-bf74-754ee3d646da")</f>
        <v>6e4dc018-0cce-4c28-bf74-754ee3d646da</v>
      </c>
      <c r="C595" s="7">
        <f>IFERROR(__xludf.DUMMYFUNCTION("""COMPUTED_VALUE"""),0.0)</f>
        <v>0</v>
      </c>
      <c r="D595" s="6">
        <f>IFERROR(__xludf.DUMMYFUNCTION("""COMPUTED_VALUE"""),45705.0)</f>
        <v>45705</v>
      </c>
      <c r="E595" s="7" t="str">
        <f>IFERROR(__xludf.DUMMYFUNCTION("""COMPUTED_VALUE"""),"FRANQUIA_D&amp;G_SP")</f>
        <v>FRANQUIA_D&amp;G_SP</v>
      </c>
      <c r="F595" s="7" t="str">
        <f>IFERROR(__xludf.DUMMYFUNCTION("""COMPUTED_VALUE"""),"MOTORCYCLE")</f>
        <v>MOTORCYCLE</v>
      </c>
      <c r="G595" s="7" t="str">
        <f>IFERROR(__xludf.DUMMYFUNCTION("""COMPUTED_VALUE"""),"SAO PAULO")</f>
        <v>SAO PAULO</v>
      </c>
    </row>
    <row r="596">
      <c r="A596" s="6">
        <f>IFERROR(__xludf.DUMMYFUNCTION("""COMPUTED_VALUE"""),45705.0)</f>
        <v>45705</v>
      </c>
      <c r="B596" s="7" t="str">
        <f>IFERROR(__xludf.DUMMYFUNCTION("""COMPUTED_VALUE"""),"db233b68-dd1d-4980-9e81-0e184b5aae36")</f>
        <v>db233b68-dd1d-4980-9e81-0e184b5aae36</v>
      </c>
      <c r="C596" s="7">
        <f>IFERROR(__xludf.DUMMYFUNCTION("""COMPUTED_VALUE"""),1.0)</f>
        <v>1</v>
      </c>
      <c r="D596" s="6">
        <f>IFERROR(__xludf.DUMMYFUNCTION("""COMPUTED_VALUE"""),45704.0)</f>
        <v>45704</v>
      </c>
      <c r="E596" s="7" t="str">
        <f>IFERROR(__xludf.DUMMYFUNCTION("""COMPUTED_VALUE"""),"FRANQUIA_D&amp;G_SP")</f>
        <v>FRANQUIA_D&amp;G_SP</v>
      </c>
      <c r="F596" s="7" t="str">
        <f>IFERROR(__xludf.DUMMYFUNCTION("""COMPUTED_VALUE"""),"MOTORCYCLE")</f>
        <v>MOTORCYCLE</v>
      </c>
      <c r="G596" s="7" t="str">
        <f>IFERROR(__xludf.DUMMYFUNCTION("""COMPUTED_VALUE"""),"SAO PAULO")</f>
        <v>SAO PAULO</v>
      </c>
    </row>
    <row r="597">
      <c r="A597" s="6">
        <f>IFERROR(__xludf.DUMMYFUNCTION("""COMPUTED_VALUE"""),45705.0)</f>
        <v>45705</v>
      </c>
      <c r="B597" s="7" t="str">
        <f>IFERROR(__xludf.DUMMYFUNCTION("""COMPUTED_VALUE"""),"6c09810c-2cbe-4cde-8019-3efb63e670af")</f>
        <v>6c09810c-2cbe-4cde-8019-3efb63e670af</v>
      </c>
      <c r="C597" s="7">
        <f>IFERROR(__xludf.DUMMYFUNCTION("""COMPUTED_VALUE"""),203.0)</f>
        <v>203</v>
      </c>
      <c r="D597" s="6">
        <f>IFERROR(__xludf.DUMMYFUNCTION("""COMPUTED_VALUE"""),45502.0)</f>
        <v>45502</v>
      </c>
      <c r="E597" s="7" t="str">
        <f>IFERROR(__xludf.DUMMYFUNCTION("""COMPUTED_VALUE"""),"FRANQUIA_D&amp;G_SP")</f>
        <v>FRANQUIA_D&amp;G_SP</v>
      </c>
      <c r="F597" s="7" t="str">
        <f>IFERROR(__xludf.DUMMYFUNCTION("""COMPUTED_VALUE"""),"BICYCLE")</f>
        <v>BICYCLE</v>
      </c>
      <c r="G597" s="7" t="str">
        <f>IFERROR(__xludf.DUMMYFUNCTION("""COMPUTED_VALUE"""),"SAO PAULO")</f>
        <v>SAO PAULO</v>
      </c>
    </row>
    <row r="598">
      <c r="A598" s="6">
        <f>IFERROR(__xludf.DUMMYFUNCTION("""COMPUTED_VALUE"""),45705.0)</f>
        <v>45705</v>
      </c>
      <c r="B598" s="7" t="str">
        <f>IFERROR(__xludf.DUMMYFUNCTION("""COMPUTED_VALUE"""),"1942598c-97c4-4e02-a1a1-9e0f78c71f5b")</f>
        <v>1942598c-97c4-4e02-a1a1-9e0f78c71f5b</v>
      </c>
      <c r="C598" s="7">
        <f>IFERROR(__xludf.DUMMYFUNCTION("""COMPUTED_VALUE"""),1292.0)</f>
        <v>1292</v>
      </c>
      <c r="D598" s="6">
        <f>IFERROR(__xludf.DUMMYFUNCTION("""COMPUTED_VALUE"""),44413.0)</f>
        <v>44413</v>
      </c>
      <c r="E598" s="7" t="str">
        <f>IFERROR(__xludf.DUMMYFUNCTION("""COMPUTED_VALUE"""),"FRANQUIA_D&amp;G_SP")</f>
        <v>FRANQUIA_D&amp;G_SP</v>
      </c>
      <c r="F598" s="7" t="str">
        <f>IFERROR(__xludf.DUMMYFUNCTION("""COMPUTED_VALUE"""),"BICYCLE")</f>
        <v>BICYCLE</v>
      </c>
      <c r="G598" s="7" t="str">
        <f>IFERROR(__xludf.DUMMYFUNCTION("""COMPUTED_VALUE"""),"ABC")</f>
        <v>ABC</v>
      </c>
    </row>
    <row r="599">
      <c r="A599" s="6">
        <f>IFERROR(__xludf.DUMMYFUNCTION("""COMPUTED_VALUE"""),45705.0)</f>
        <v>45705</v>
      </c>
      <c r="B599" s="7" t="str">
        <f>IFERROR(__xludf.DUMMYFUNCTION("""COMPUTED_VALUE"""),"9ab77d11-4ed0-45de-9b01-62cde7380381")</f>
        <v>9ab77d11-4ed0-45de-9b01-62cde7380381</v>
      </c>
      <c r="C599" s="7">
        <f>IFERROR(__xludf.DUMMYFUNCTION("""COMPUTED_VALUE"""),36.0)</f>
        <v>36</v>
      </c>
      <c r="D599" s="6">
        <f>IFERROR(__xludf.DUMMYFUNCTION("""COMPUTED_VALUE"""),45669.0)</f>
        <v>45669</v>
      </c>
      <c r="E599" s="7" t="str">
        <f>IFERROR(__xludf.DUMMYFUNCTION("""COMPUTED_VALUE"""),"FRANQUIA_D&amp;G_SP")</f>
        <v>FRANQUIA_D&amp;G_SP</v>
      </c>
      <c r="F599" s="7" t="str">
        <f>IFERROR(__xludf.DUMMYFUNCTION("""COMPUTED_VALUE"""),"MOTORCYCLE")</f>
        <v>MOTORCYCLE</v>
      </c>
      <c r="G599" s="7" t="str">
        <f>IFERROR(__xludf.DUMMYFUNCTION("""COMPUTED_VALUE"""),"BOA VISTA")</f>
        <v>BOA VISTA</v>
      </c>
    </row>
    <row r="600">
      <c r="A600" s="6">
        <f>IFERROR(__xludf.DUMMYFUNCTION("""COMPUTED_VALUE"""),45705.0)</f>
        <v>45705</v>
      </c>
      <c r="B600" s="7" t="str">
        <f>IFERROR(__xludf.DUMMYFUNCTION("""COMPUTED_VALUE"""),"66f5b7db-b609-4c5a-af74-2f91c765aa32")</f>
        <v>66f5b7db-b609-4c5a-af74-2f91c765aa32</v>
      </c>
      <c r="C600" s="7">
        <f>IFERROR(__xludf.DUMMYFUNCTION("""COMPUTED_VALUE"""),7.0)</f>
        <v>7</v>
      </c>
      <c r="D600" s="6">
        <f>IFERROR(__xludf.DUMMYFUNCTION("""COMPUTED_VALUE"""),45698.0)</f>
        <v>45698</v>
      </c>
      <c r="E600" s="7" t="str">
        <f>IFERROR(__xludf.DUMMYFUNCTION("""COMPUTED_VALUE"""),"FRANQUIA_D&amp;G_SP")</f>
        <v>FRANQUIA_D&amp;G_SP</v>
      </c>
      <c r="F600" s="7" t="str">
        <f>IFERROR(__xludf.DUMMYFUNCTION("""COMPUTED_VALUE"""),"MOTORCYCLE")</f>
        <v>MOTORCYCLE</v>
      </c>
      <c r="G600" s="7" t="str">
        <f>IFERROR(__xludf.DUMMYFUNCTION("""COMPUTED_VALUE"""),"SAO PAULO")</f>
        <v>SAO PAULO</v>
      </c>
    </row>
    <row r="601">
      <c r="A601" s="6">
        <f>IFERROR(__xludf.DUMMYFUNCTION("""COMPUTED_VALUE"""),45705.0)</f>
        <v>45705</v>
      </c>
      <c r="B601" s="7" t="str">
        <f>IFERROR(__xludf.DUMMYFUNCTION("""COMPUTED_VALUE"""),"4e9ab398-ee20-40cd-93c0-a11a0c5c11d9")</f>
        <v>4e9ab398-ee20-40cd-93c0-a11a0c5c11d9</v>
      </c>
      <c r="C601" s="7">
        <f>IFERROR(__xludf.DUMMYFUNCTION("""COMPUTED_VALUE"""),83.0)</f>
        <v>83</v>
      </c>
      <c r="D601" s="6">
        <f>IFERROR(__xludf.DUMMYFUNCTION("""COMPUTED_VALUE"""),45622.0)</f>
        <v>45622</v>
      </c>
      <c r="E601" s="7" t="str">
        <f>IFERROR(__xludf.DUMMYFUNCTION("""COMPUTED_VALUE"""),"FRANQUIA_D&amp;G_SP")</f>
        <v>FRANQUIA_D&amp;G_SP</v>
      </c>
      <c r="F601" s="7" t="str">
        <f>IFERROR(__xludf.DUMMYFUNCTION("""COMPUTED_VALUE"""),"MOTORCYCLE")</f>
        <v>MOTORCYCLE</v>
      </c>
      <c r="G601" s="7" t="str">
        <f>IFERROR(__xludf.DUMMYFUNCTION("""COMPUTED_VALUE"""),"SAO PAULO")</f>
        <v>SAO PAULO</v>
      </c>
    </row>
    <row r="602">
      <c r="A602" s="6">
        <f>IFERROR(__xludf.DUMMYFUNCTION("""COMPUTED_VALUE"""),45705.0)</f>
        <v>45705</v>
      </c>
      <c r="B602" s="7" t="str">
        <f>IFERROR(__xludf.DUMMYFUNCTION("""COMPUTED_VALUE"""),"0ae123f6-0894-49b8-a86c-c5c557726b1f")</f>
        <v>0ae123f6-0894-49b8-a86c-c5c557726b1f</v>
      </c>
      <c r="C602" s="7">
        <f>IFERROR(__xludf.DUMMYFUNCTION("""COMPUTED_VALUE"""),0.0)</f>
        <v>0</v>
      </c>
      <c r="D602" s="6">
        <f>IFERROR(__xludf.DUMMYFUNCTION("""COMPUTED_VALUE"""),45705.0)</f>
        <v>45705</v>
      </c>
      <c r="E602" s="7" t="str">
        <f>IFERROR(__xludf.DUMMYFUNCTION("""COMPUTED_VALUE"""),"FRANQUIA_D&amp;G_SP")</f>
        <v>FRANQUIA_D&amp;G_SP</v>
      </c>
      <c r="F602" s="7" t="str">
        <f>IFERROR(__xludf.DUMMYFUNCTION("""COMPUTED_VALUE"""),"MOTORCYCLE")</f>
        <v>MOTORCYCLE</v>
      </c>
      <c r="G602" s="7" t="str">
        <f>IFERROR(__xludf.DUMMYFUNCTION("""COMPUTED_VALUE"""),"SAO PAULO")</f>
        <v>SAO PAULO</v>
      </c>
    </row>
    <row r="603">
      <c r="A603" s="6">
        <f>IFERROR(__xludf.DUMMYFUNCTION("""COMPUTED_VALUE"""),45705.0)</f>
        <v>45705</v>
      </c>
      <c r="B603" s="7" t="str">
        <f>IFERROR(__xludf.DUMMYFUNCTION("""COMPUTED_VALUE"""),"7415c17e-4ecf-47d1-a8e0-a4f7e36fdfc8")</f>
        <v>7415c17e-4ecf-47d1-a8e0-a4f7e36fdfc8</v>
      </c>
      <c r="C603" s="7">
        <f>IFERROR(__xludf.DUMMYFUNCTION("""COMPUTED_VALUE"""),0.0)</f>
        <v>0</v>
      </c>
      <c r="D603" s="6">
        <f>IFERROR(__xludf.DUMMYFUNCTION("""COMPUTED_VALUE"""),45705.0)</f>
        <v>45705</v>
      </c>
      <c r="E603" s="7" t="str">
        <f>IFERROR(__xludf.DUMMYFUNCTION("""COMPUTED_VALUE"""),"FRANQUIA_D&amp;G_SP")</f>
        <v>FRANQUIA_D&amp;G_SP</v>
      </c>
      <c r="F603" s="7" t="str">
        <f>IFERROR(__xludf.DUMMYFUNCTION("""COMPUTED_VALUE"""),"MOTORCYCLE")</f>
        <v>MOTORCYCLE</v>
      </c>
      <c r="G603" s="7" t="str">
        <f>IFERROR(__xludf.DUMMYFUNCTION("""COMPUTED_VALUE"""),"SAO PAULO")</f>
        <v>SAO PAULO</v>
      </c>
    </row>
    <row r="604">
      <c r="A604" s="6">
        <f>IFERROR(__xludf.DUMMYFUNCTION("""COMPUTED_VALUE"""),45705.0)</f>
        <v>45705</v>
      </c>
      <c r="B604" s="7" t="str">
        <f>IFERROR(__xludf.DUMMYFUNCTION("""COMPUTED_VALUE"""),"5acf51e5-4914-4792-85a2-fb3baa56320a")</f>
        <v>5acf51e5-4914-4792-85a2-fb3baa56320a</v>
      </c>
      <c r="C604" s="7">
        <f>IFERROR(__xludf.DUMMYFUNCTION("""COMPUTED_VALUE"""),1.0)</f>
        <v>1</v>
      </c>
      <c r="D604" s="6">
        <f>IFERROR(__xludf.DUMMYFUNCTION("""COMPUTED_VALUE"""),45704.0)</f>
        <v>45704</v>
      </c>
      <c r="E604" s="7" t="str">
        <f>IFERROR(__xludf.DUMMYFUNCTION("""COMPUTED_VALUE"""),"FRANQUIA_D&amp;G_SP")</f>
        <v>FRANQUIA_D&amp;G_SP</v>
      </c>
      <c r="F604" s="7" t="str">
        <f>IFERROR(__xludf.DUMMYFUNCTION("""COMPUTED_VALUE"""),"BICYCLE")</f>
        <v>BICYCLE</v>
      </c>
      <c r="G604" s="7" t="str">
        <f>IFERROR(__xludf.DUMMYFUNCTION("""COMPUTED_VALUE"""),"SAO PAULO")</f>
        <v>SAO PAULO</v>
      </c>
    </row>
    <row r="605">
      <c r="A605" s="6">
        <f>IFERROR(__xludf.DUMMYFUNCTION("""COMPUTED_VALUE"""),45705.0)</f>
        <v>45705</v>
      </c>
      <c r="B605" s="7" t="str">
        <f>IFERROR(__xludf.DUMMYFUNCTION("""COMPUTED_VALUE"""),"aa6c1e3c-25a8-454e-820e-b45f47af0ed8")</f>
        <v>aa6c1e3c-25a8-454e-820e-b45f47af0ed8</v>
      </c>
      <c r="C605" s="7">
        <f>IFERROR(__xludf.DUMMYFUNCTION("""COMPUTED_VALUE"""),3.0)</f>
        <v>3</v>
      </c>
      <c r="D605" s="6">
        <f>IFERROR(__xludf.DUMMYFUNCTION("""COMPUTED_VALUE"""),45702.0)</f>
        <v>45702</v>
      </c>
      <c r="E605" s="7" t="str">
        <f>IFERROR(__xludf.DUMMYFUNCTION("""COMPUTED_VALUE"""),"FRANQUIA_D&amp;G_SP")</f>
        <v>FRANQUIA_D&amp;G_SP</v>
      </c>
      <c r="F605" s="7" t="str">
        <f>IFERROR(__xludf.DUMMYFUNCTION("""COMPUTED_VALUE"""),"BICYCLE")</f>
        <v>BICYCLE</v>
      </c>
      <c r="G605" s="7" t="str">
        <f>IFERROR(__xludf.DUMMYFUNCTION("""COMPUTED_VALUE"""),"SAO PAULO")</f>
        <v>SAO PAULO</v>
      </c>
    </row>
    <row r="606">
      <c r="A606" s="6">
        <f>IFERROR(__xludf.DUMMYFUNCTION("""COMPUTED_VALUE"""),45705.0)</f>
        <v>45705</v>
      </c>
      <c r="B606" s="7" t="str">
        <f>IFERROR(__xludf.DUMMYFUNCTION("""COMPUTED_VALUE"""),"285d7de1-2558-439d-9c7b-0b3c701c21c4")</f>
        <v>285d7de1-2558-439d-9c7b-0b3c701c21c4</v>
      </c>
      <c r="C606" s="7">
        <f>IFERROR(__xludf.DUMMYFUNCTION("""COMPUTED_VALUE"""),32.0)</f>
        <v>32</v>
      </c>
      <c r="D606" s="6">
        <f>IFERROR(__xludf.DUMMYFUNCTION("""COMPUTED_VALUE"""),45673.0)</f>
        <v>45673</v>
      </c>
      <c r="E606" s="7" t="str">
        <f>IFERROR(__xludf.DUMMYFUNCTION("""COMPUTED_VALUE"""),"FRANQUIA_D&amp;G_SP")</f>
        <v>FRANQUIA_D&amp;G_SP</v>
      </c>
      <c r="F606" s="7" t="str">
        <f>IFERROR(__xludf.DUMMYFUNCTION("""COMPUTED_VALUE"""),"MOTORCYCLE")</f>
        <v>MOTORCYCLE</v>
      </c>
      <c r="G606" s="7" t="str">
        <f>IFERROR(__xludf.DUMMYFUNCTION("""COMPUTED_VALUE"""),"SAO PAULO")</f>
        <v>SAO PAULO</v>
      </c>
    </row>
    <row r="607">
      <c r="A607" s="6">
        <f>IFERROR(__xludf.DUMMYFUNCTION("""COMPUTED_VALUE"""),45705.0)</f>
        <v>45705</v>
      </c>
      <c r="B607" s="7" t="str">
        <f>IFERROR(__xludf.DUMMYFUNCTION("""COMPUTED_VALUE"""),"86bfba29-c533-469f-b565-1e144053d1a6")</f>
        <v>86bfba29-c533-469f-b565-1e144053d1a6</v>
      </c>
      <c r="C607" s="7">
        <f>IFERROR(__xludf.DUMMYFUNCTION("""COMPUTED_VALUE"""),194.0)</f>
        <v>194</v>
      </c>
      <c r="D607" s="6">
        <f>IFERROR(__xludf.DUMMYFUNCTION("""COMPUTED_VALUE"""),45511.0)</f>
        <v>45511</v>
      </c>
      <c r="E607" s="7" t="str">
        <f>IFERROR(__xludf.DUMMYFUNCTION("""COMPUTED_VALUE"""),"FRANQUIA_D&amp;G_SP")</f>
        <v>FRANQUIA_D&amp;G_SP</v>
      </c>
      <c r="F607" s="7" t="str">
        <f>IFERROR(__xludf.DUMMYFUNCTION("""COMPUTED_VALUE"""),"MOTORCYCLE")</f>
        <v>MOTORCYCLE</v>
      </c>
      <c r="G607" s="7" t="str">
        <f>IFERROR(__xludf.DUMMYFUNCTION("""COMPUTED_VALUE"""),"SAO PAULO")</f>
        <v>SAO PAULO</v>
      </c>
    </row>
    <row r="608">
      <c r="A608" s="6">
        <f>IFERROR(__xludf.DUMMYFUNCTION("""COMPUTED_VALUE"""),45705.0)</f>
        <v>45705</v>
      </c>
      <c r="B608" s="7" t="str">
        <f>IFERROR(__xludf.DUMMYFUNCTION("""COMPUTED_VALUE"""),"fa969cd2-b394-4b5f-90dd-4d7afc88ea6a")</f>
        <v>fa969cd2-b394-4b5f-90dd-4d7afc88ea6a</v>
      </c>
      <c r="C608" s="7">
        <f>IFERROR(__xludf.DUMMYFUNCTION("""COMPUTED_VALUE"""),377.0)</f>
        <v>377</v>
      </c>
      <c r="D608" s="6">
        <f>IFERROR(__xludf.DUMMYFUNCTION("""COMPUTED_VALUE"""),45328.0)</f>
        <v>45328</v>
      </c>
      <c r="E608" s="7" t="str">
        <f>IFERROR(__xludf.DUMMYFUNCTION("""COMPUTED_VALUE"""),"FRANQUIA_D&amp;G_SP")</f>
        <v>FRANQUIA_D&amp;G_SP</v>
      </c>
      <c r="F608" s="7" t="str">
        <f>IFERROR(__xludf.DUMMYFUNCTION("""COMPUTED_VALUE"""),"BICYCLE")</f>
        <v>BICYCLE</v>
      </c>
      <c r="G608" s="7" t="str">
        <f>IFERROR(__xludf.DUMMYFUNCTION("""COMPUTED_VALUE"""),"SAO PAULO")</f>
        <v>SAO PAULO</v>
      </c>
    </row>
    <row r="609">
      <c r="A609" s="6">
        <f>IFERROR(__xludf.DUMMYFUNCTION("""COMPUTED_VALUE"""),45705.0)</f>
        <v>45705</v>
      </c>
      <c r="B609" s="7" t="str">
        <f>IFERROR(__xludf.DUMMYFUNCTION("""COMPUTED_VALUE"""),"9449383b-bbe5-4fc5-8bd6-79ac3cf9119f")</f>
        <v>9449383b-bbe5-4fc5-8bd6-79ac3cf9119f</v>
      </c>
      <c r="C609" s="7">
        <f>IFERROR(__xludf.DUMMYFUNCTION("""COMPUTED_VALUE"""),0.0)</f>
        <v>0</v>
      </c>
      <c r="D609" s="6">
        <f>IFERROR(__xludf.DUMMYFUNCTION("""COMPUTED_VALUE"""),45705.0)</f>
        <v>45705</v>
      </c>
      <c r="E609" s="7" t="str">
        <f>IFERROR(__xludf.DUMMYFUNCTION("""COMPUTED_VALUE"""),"FRANQUIA_D&amp;G_SP")</f>
        <v>FRANQUIA_D&amp;G_SP</v>
      </c>
      <c r="F609" s="7" t="str">
        <f>IFERROR(__xludf.DUMMYFUNCTION("""COMPUTED_VALUE"""),"EBIKE")</f>
        <v>EBIKE</v>
      </c>
      <c r="G609" s="7" t="str">
        <f>IFERROR(__xludf.DUMMYFUNCTION("""COMPUTED_VALUE"""),"SUZANO")</f>
        <v>SUZANO</v>
      </c>
    </row>
    <row r="610">
      <c r="A610" s="6">
        <f>IFERROR(__xludf.DUMMYFUNCTION("""COMPUTED_VALUE"""),45705.0)</f>
        <v>45705</v>
      </c>
      <c r="B610" s="7" t="str">
        <f>IFERROR(__xludf.DUMMYFUNCTION("""COMPUTED_VALUE"""),"3b99c954-20af-48d8-9ab0-e40e1faed8b9")</f>
        <v>3b99c954-20af-48d8-9ab0-e40e1faed8b9</v>
      </c>
      <c r="C610" s="7">
        <f>IFERROR(__xludf.DUMMYFUNCTION("""COMPUTED_VALUE"""),5.0)</f>
        <v>5</v>
      </c>
      <c r="D610" s="6">
        <f>IFERROR(__xludf.DUMMYFUNCTION("""COMPUTED_VALUE"""),45700.0)</f>
        <v>45700</v>
      </c>
      <c r="E610" s="7" t="str">
        <f>IFERROR(__xludf.DUMMYFUNCTION("""COMPUTED_VALUE"""),"FRANQUIA_D&amp;G_SP")</f>
        <v>FRANQUIA_D&amp;G_SP</v>
      </c>
      <c r="F610" s="7" t="str">
        <f>IFERROR(__xludf.DUMMYFUNCTION("""COMPUTED_VALUE"""),"MOTORCYCLE")</f>
        <v>MOTORCYCLE</v>
      </c>
      <c r="G610" s="7" t="str">
        <f>IFERROR(__xludf.DUMMYFUNCTION("""COMPUTED_VALUE"""),"SAO PAULO")</f>
        <v>SAO PAULO</v>
      </c>
    </row>
    <row r="611">
      <c r="A611" s="6">
        <f>IFERROR(__xludf.DUMMYFUNCTION("""COMPUTED_VALUE"""),45705.0)</f>
        <v>45705</v>
      </c>
      <c r="B611" s="7" t="str">
        <f>IFERROR(__xludf.DUMMYFUNCTION("""COMPUTED_VALUE"""),"82264d8f-94b4-4940-bfc1-69528ad69638")</f>
        <v>82264d8f-94b4-4940-bfc1-69528ad69638</v>
      </c>
      <c r="C611" s="7">
        <f>IFERROR(__xludf.DUMMYFUNCTION("""COMPUTED_VALUE"""),0.0)</f>
        <v>0</v>
      </c>
      <c r="D611" s="6">
        <f>IFERROR(__xludf.DUMMYFUNCTION("""COMPUTED_VALUE"""),0.0)</f>
        <v>0</v>
      </c>
      <c r="E611" s="7" t="str">
        <f>IFERROR(__xludf.DUMMYFUNCTION("""COMPUTED_VALUE"""),"FRANQUIA_D&amp;G_SP")</f>
        <v>FRANQUIA_D&amp;G_SP</v>
      </c>
      <c r="F611" s="7" t="str">
        <f>IFERROR(__xludf.DUMMYFUNCTION("""COMPUTED_VALUE"""),"BICYCLE")</f>
        <v>BICYCLE</v>
      </c>
      <c r="G611" s="7" t="str">
        <f>IFERROR(__xludf.DUMMYFUNCTION("""COMPUTED_VALUE"""),"0")</f>
        <v>0</v>
      </c>
    </row>
    <row r="612">
      <c r="A612" s="6">
        <f>IFERROR(__xludf.DUMMYFUNCTION("""COMPUTED_VALUE"""),45705.0)</f>
        <v>45705</v>
      </c>
      <c r="B612" s="7" t="str">
        <f>IFERROR(__xludf.DUMMYFUNCTION("""COMPUTED_VALUE"""),"e2b9d824-bac2-4639-bd80-236fc7729e5b")</f>
        <v>e2b9d824-bac2-4639-bd80-236fc7729e5b</v>
      </c>
      <c r="C612" s="7">
        <f>IFERROR(__xludf.DUMMYFUNCTION("""COMPUTED_VALUE"""),0.0)</f>
        <v>0</v>
      </c>
      <c r="D612" s="6">
        <f>IFERROR(__xludf.DUMMYFUNCTION("""COMPUTED_VALUE"""),45705.0)</f>
        <v>45705</v>
      </c>
      <c r="E612" s="7" t="str">
        <f>IFERROR(__xludf.DUMMYFUNCTION("""COMPUTED_VALUE"""),"FRANQUIA_D&amp;G_SP")</f>
        <v>FRANQUIA_D&amp;G_SP</v>
      </c>
      <c r="F612" s="7" t="str">
        <f>IFERROR(__xludf.DUMMYFUNCTION("""COMPUTED_VALUE"""),"BICYCLE")</f>
        <v>BICYCLE</v>
      </c>
      <c r="G612" s="7" t="str">
        <f>IFERROR(__xludf.DUMMYFUNCTION("""COMPUTED_VALUE"""),"SAO PAULO")</f>
        <v>SAO PAULO</v>
      </c>
    </row>
    <row r="613">
      <c r="A613" s="6">
        <f>IFERROR(__xludf.DUMMYFUNCTION("""COMPUTED_VALUE"""),45705.0)</f>
        <v>45705</v>
      </c>
      <c r="B613" s="7" t="str">
        <f>IFERROR(__xludf.DUMMYFUNCTION("""COMPUTED_VALUE"""),"88cff573-bc8e-427d-b090-a8785b7c042e")</f>
        <v>88cff573-bc8e-427d-b090-a8785b7c042e</v>
      </c>
      <c r="C613" s="7">
        <f>IFERROR(__xludf.DUMMYFUNCTION("""COMPUTED_VALUE"""),0.0)</f>
        <v>0</v>
      </c>
      <c r="D613" s="6">
        <f>IFERROR(__xludf.DUMMYFUNCTION("""COMPUTED_VALUE"""),0.0)</f>
        <v>0</v>
      </c>
      <c r="E613" s="7" t="str">
        <f>IFERROR(__xludf.DUMMYFUNCTION("""COMPUTED_VALUE"""),"FRANQUIA_D&amp;G_SP")</f>
        <v>FRANQUIA_D&amp;G_SP</v>
      </c>
      <c r="F613" s="7" t="str">
        <f>IFERROR(__xludf.DUMMYFUNCTION("""COMPUTED_VALUE"""),"MOTORCYCLE")</f>
        <v>MOTORCYCLE</v>
      </c>
      <c r="G613" s="7" t="str">
        <f>IFERROR(__xludf.DUMMYFUNCTION("""COMPUTED_VALUE"""),"0")</f>
        <v>0</v>
      </c>
    </row>
    <row r="614">
      <c r="A614" s="6">
        <f>IFERROR(__xludf.DUMMYFUNCTION("""COMPUTED_VALUE"""),45705.0)</f>
        <v>45705</v>
      </c>
      <c r="B614" s="7" t="str">
        <f>IFERROR(__xludf.DUMMYFUNCTION("""COMPUTED_VALUE"""),"c660b673-9d51-4a3a-9c8a-24f36639d90f")</f>
        <v>c660b673-9d51-4a3a-9c8a-24f36639d90f</v>
      </c>
      <c r="C614" s="7">
        <f>IFERROR(__xludf.DUMMYFUNCTION("""COMPUTED_VALUE"""),0.0)</f>
        <v>0</v>
      </c>
      <c r="D614" s="6">
        <f>IFERROR(__xludf.DUMMYFUNCTION("""COMPUTED_VALUE"""),45705.0)</f>
        <v>45705</v>
      </c>
      <c r="E614" s="7" t="str">
        <f>IFERROR(__xludf.DUMMYFUNCTION("""COMPUTED_VALUE"""),"FRANQUIA_D&amp;G_SP")</f>
        <v>FRANQUIA_D&amp;G_SP</v>
      </c>
      <c r="F614" s="7" t="str">
        <f>IFERROR(__xludf.DUMMYFUNCTION("""COMPUTED_VALUE"""),"BICYCLE")</f>
        <v>BICYCLE</v>
      </c>
      <c r="G614" s="7" t="str">
        <f>IFERROR(__xludf.DUMMYFUNCTION("""COMPUTED_VALUE"""),"SAO PAULO")</f>
        <v>SAO PAULO</v>
      </c>
    </row>
    <row r="615">
      <c r="A615" s="6">
        <f>IFERROR(__xludf.DUMMYFUNCTION("""COMPUTED_VALUE"""),45705.0)</f>
        <v>45705</v>
      </c>
      <c r="B615" s="7" t="str">
        <f>IFERROR(__xludf.DUMMYFUNCTION("""COMPUTED_VALUE"""),"d1acca4d-7a27-4005-ab1f-ffdafe82bf65")</f>
        <v>d1acca4d-7a27-4005-ab1f-ffdafe82bf65</v>
      </c>
      <c r="C615" s="7">
        <f>IFERROR(__xludf.DUMMYFUNCTION("""COMPUTED_VALUE"""),183.0)</f>
        <v>183</v>
      </c>
      <c r="D615" s="6">
        <f>IFERROR(__xludf.DUMMYFUNCTION("""COMPUTED_VALUE"""),45522.0)</f>
        <v>45522</v>
      </c>
      <c r="E615" s="7" t="str">
        <f>IFERROR(__xludf.DUMMYFUNCTION("""COMPUTED_VALUE"""),"FRANQUIA_D&amp;G_SP")</f>
        <v>FRANQUIA_D&amp;G_SP</v>
      </c>
      <c r="F615" s="7" t="str">
        <f>IFERROR(__xludf.DUMMYFUNCTION("""COMPUTED_VALUE"""),"BICYCLE")</f>
        <v>BICYCLE</v>
      </c>
      <c r="G615" s="7" t="str">
        <f>IFERROR(__xludf.DUMMYFUNCTION("""COMPUTED_VALUE"""),"SAO PAULO")</f>
        <v>SAO PAULO</v>
      </c>
    </row>
    <row r="616">
      <c r="A616" s="6">
        <f>IFERROR(__xludf.DUMMYFUNCTION("""COMPUTED_VALUE"""),45705.0)</f>
        <v>45705</v>
      </c>
      <c r="B616" s="7" t="str">
        <f>IFERROR(__xludf.DUMMYFUNCTION("""COMPUTED_VALUE"""),"e9399330-9d83-4c32-97e5-e2cf34aab331")</f>
        <v>e9399330-9d83-4c32-97e5-e2cf34aab331</v>
      </c>
      <c r="C616" s="7">
        <f>IFERROR(__xludf.DUMMYFUNCTION("""COMPUTED_VALUE"""),3.0)</f>
        <v>3</v>
      </c>
      <c r="D616" s="6">
        <f>IFERROR(__xludf.DUMMYFUNCTION("""COMPUTED_VALUE"""),45702.0)</f>
        <v>45702</v>
      </c>
      <c r="E616" s="7" t="str">
        <f>IFERROR(__xludf.DUMMYFUNCTION("""COMPUTED_VALUE"""),"FRANQUIA_D&amp;G_SP")</f>
        <v>FRANQUIA_D&amp;G_SP</v>
      </c>
      <c r="F616" s="7" t="str">
        <f>IFERROR(__xludf.DUMMYFUNCTION("""COMPUTED_VALUE"""),"BICYCLE")</f>
        <v>BICYCLE</v>
      </c>
      <c r="G616" s="7" t="str">
        <f>IFERROR(__xludf.DUMMYFUNCTION("""COMPUTED_VALUE"""),"SAO PAULO")</f>
        <v>SAO PAULO</v>
      </c>
    </row>
    <row r="617">
      <c r="A617" s="6">
        <f>IFERROR(__xludf.DUMMYFUNCTION("""COMPUTED_VALUE"""),45705.0)</f>
        <v>45705</v>
      </c>
      <c r="B617" s="7" t="str">
        <f>IFERROR(__xludf.DUMMYFUNCTION("""COMPUTED_VALUE"""),"db6d45ad-9f7b-455f-81fb-b2c357a690f3")</f>
        <v>db6d45ad-9f7b-455f-81fb-b2c357a690f3</v>
      </c>
      <c r="C617" s="7">
        <f>IFERROR(__xludf.DUMMYFUNCTION("""COMPUTED_VALUE"""),0.0)</f>
        <v>0</v>
      </c>
      <c r="D617" s="6">
        <f>IFERROR(__xludf.DUMMYFUNCTION("""COMPUTED_VALUE"""),45705.0)</f>
        <v>45705</v>
      </c>
      <c r="E617" s="7" t="str">
        <f>IFERROR(__xludf.DUMMYFUNCTION("""COMPUTED_VALUE"""),"FRANQUIA_D&amp;G_SP")</f>
        <v>FRANQUIA_D&amp;G_SP</v>
      </c>
      <c r="F617" s="7" t="str">
        <f>IFERROR(__xludf.DUMMYFUNCTION("""COMPUTED_VALUE"""),"MOTORCYCLE")</f>
        <v>MOTORCYCLE</v>
      </c>
      <c r="G617" s="7" t="str">
        <f>IFERROR(__xludf.DUMMYFUNCTION("""COMPUTED_VALUE"""),"SAO PAULO")</f>
        <v>SAO PAULO</v>
      </c>
    </row>
    <row r="618">
      <c r="A618" s="6">
        <f>IFERROR(__xludf.DUMMYFUNCTION("""COMPUTED_VALUE"""),45705.0)</f>
        <v>45705</v>
      </c>
      <c r="B618" s="7" t="str">
        <f>IFERROR(__xludf.DUMMYFUNCTION("""COMPUTED_VALUE"""),"4372ae7c-d4f1-4499-b14e-793436bc3217")</f>
        <v>4372ae7c-d4f1-4499-b14e-793436bc3217</v>
      </c>
      <c r="C618" s="7">
        <f>IFERROR(__xludf.DUMMYFUNCTION("""COMPUTED_VALUE"""),0.0)</f>
        <v>0</v>
      </c>
      <c r="D618" s="6">
        <f>IFERROR(__xludf.DUMMYFUNCTION("""COMPUTED_VALUE"""),45705.0)</f>
        <v>45705</v>
      </c>
      <c r="E618" s="7" t="str">
        <f>IFERROR(__xludf.DUMMYFUNCTION("""COMPUTED_VALUE"""),"FRANQUIA_D&amp;G_SP")</f>
        <v>FRANQUIA_D&amp;G_SP</v>
      </c>
      <c r="F618" s="7" t="str">
        <f>IFERROR(__xludf.DUMMYFUNCTION("""COMPUTED_VALUE"""),"MOTORCYCLE")</f>
        <v>MOTORCYCLE</v>
      </c>
      <c r="G618" s="7" t="str">
        <f>IFERROR(__xludf.DUMMYFUNCTION("""COMPUTED_VALUE"""),"SAO PAULO")</f>
        <v>SAO PAULO</v>
      </c>
    </row>
    <row r="619">
      <c r="A619" s="6">
        <f>IFERROR(__xludf.DUMMYFUNCTION("""COMPUTED_VALUE"""),45705.0)</f>
        <v>45705</v>
      </c>
      <c r="B619" s="7" t="str">
        <f>IFERROR(__xludf.DUMMYFUNCTION("""COMPUTED_VALUE"""),"ef09a9ba-b3a3-478f-88bc-e279ed980fff")</f>
        <v>ef09a9ba-b3a3-478f-88bc-e279ed980fff</v>
      </c>
      <c r="C619" s="7">
        <f>IFERROR(__xludf.DUMMYFUNCTION("""COMPUTED_VALUE"""),7.0)</f>
        <v>7</v>
      </c>
      <c r="D619" s="6">
        <f>IFERROR(__xludf.DUMMYFUNCTION("""COMPUTED_VALUE"""),45698.0)</f>
        <v>45698</v>
      </c>
      <c r="E619" s="7" t="str">
        <f>IFERROR(__xludf.DUMMYFUNCTION("""COMPUTED_VALUE"""),"FRANQUIA_D&amp;G_SP")</f>
        <v>FRANQUIA_D&amp;G_SP</v>
      </c>
      <c r="F619" s="7" t="str">
        <f>IFERROR(__xludf.DUMMYFUNCTION("""COMPUTED_VALUE"""),"BICYCLE")</f>
        <v>BICYCLE</v>
      </c>
      <c r="G619" s="7" t="str">
        <f>IFERROR(__xludf.DUMMYFUNCTION("""COMPUTED_VALUE"""),"SAO PAULO")</f>
        <v>SAO PAULO</v>
      </c>
    </row>
    <row r="620">
      <c r="A620" s="6">
        <f>IFERROR(__xludf.DUMMYFUNCTION("""COMPUTED_VALUE"""),45705.0)</f>
        <v>45705</v>
      </c>
      <c r="B620" s="7" t="str">
        <f>IFERROR(__xludf.DUMMYFUNCTION("""COMPUTED_VALUE"""),"c5ae3b02-0e75-4642-a3a0-c22ce53e17ea")</f>
        <v>c5ae3b02-0e75-4642-a3a0-c22ce53e17ea</v>
      </c>
      <c r="C620" s="7">
        <f>IFERROR(__xludf.DUMMYFUNCTION("""COMPUTED_VALUE"""),0.0)</f>
        <v>0</v>
      </c>
      <c r="D620" s="6">
        <f>IFERROR(__xludf.DUMMYFUNCTION("""COMPUTED_VALUE"""),45705.0)</f>
        <v>45705</v>
      </c>
      <c r="E620" s="7" t="str">
        <f>IFERROR(__xludf.DUMMYFUNCTION("""COMPUTED_VALUE"""),"FRANQUIA_D&amp;G_SP")</f>
        <v>FRANQUIA_D&amp;G_SP</v>
      </c>
      <c r="F620" s="7" t="str">
        <f>IFERROR(__xludf.DUMMYFUNCTION("""COMPUTED_VALUE"""),"BICYCLE")</f>
        <v>BICYCLE</v>
      </c>
      <c r="G620" s="7" t="str">
        <f>IFERROR(__xludf.DUMMYFUNCTION("""COMPUTED_VALUE"""),"SAO PAULO")</f>
        <v>SAO PAULO</v>
      </c>
    </row>
    <row r="621">
      <c r="A621" s="6">
        <f>IFERROR(__xludf.DUMMYFUNCTION("""COMPUTED_VALUE"""),45705.0)</f>
        <v>45705</v>
      </c>
      <c r="B621" s="7" t="str">
        <f>IFERROR(__xludf.DUMMYFUNCTION("""COMPUTED_VALUE"""),"7795521d-3091-459c-b975-dc29299bde34")</f>
        <v>7795521d-3091-459c-b975-dc29299bde34</v>
      </c>
      <c r="C621" s="7">
        <f>IFERROR(__xludf.DUMMYFUNCTION("""COMPUTED_VALUE"""),13.0)</f>
        <v>13</v>
      </c>
      <c r="D621" s="6">
        <f>IFERROR(__xludf.DUMMYFUNCTION("""COMPUTED_VALUE"""),45692.0)</f>
        <v>45692</v>
      </c>
      <c r="E621" s="7" t="str">
        <f>IFERROR(__xludf.DUMMYFUNCTION("""COMPUTED_VALUE"""),"FRANQUIA_D&amp;G_SP")</f>
        <v>FRANQUIA_D&amp;G_SP</v>
      </c>
      <c r="F621" s="7" t="str">
        <f>IFERROR(__xludf.DUMMYFUNCTION("""COMPUTED_VALUE"""),"MOTORCYCLE")</f>
        <v>MOTORCYCLE</v>
      </c>
      <c r="G621" s="7" t="str">
        <f>IFERROR(__xludf.DUMMYFUNCTION("""COMPUTED_VALUE"""),"SAO PAULO")</f>
        <v>SAO PAULO</v>
      </c>
    </row>
    <row r="622">
      <c r="A622" s="6">
        <f>IFERROR(__xludf.DUMMYFUNCTION("""COMPUTED_VALUE"""),45705.0)</f>
        <v>45705</v>
      </c>
      <c r="B622" s="7" t="str">
        <f>IFERROR(__xludf.DUMMYFUNCTION("""COMPUTED_VALUE"""),"dfecb2ee-6467-4a58-be82-9b4536647132")</f>
        <v>dfecb2ee-6467-4a58-be82-9b4536647132</v>
      </c>
      <c r="C622" s="7">
        <f>IFERROR(__xludf.DUMMYFUNCTION("""COMPUTED_VALUE"""),0.0)</f>
        <v>0</v>
      </c>
      <c r="D622" s="6">
        <f>IFERROR(__xludf.DUMMYFUNCTION("""COMPUTED_VALUE"""),45705.0)</f>
        <v>45705</v>
      </c>
      <c r="E622" s="7" t="str">
        <f>IFERROR(__xludf.DUMMYFUNCTION("""COMPUTED_VALUE"""),"FRANQUIA_D&amp;G_SP")</f>
        <v>FRANQUIA_D&amp;G_SP</v>
      </c>
      <c r="F622" s="7" t="str">
        <f>IFERROR(__xludf.DUMMYFUNCTION("""COMPUTED_VALUE"""),"BICYCLE")</f>
        <v>BICYCLE</v>
      </c>
      <c r="G622" s="7" t="str">
        <f>IFERROR(__xludf.DUMMYFUNCTION("""COMPUTED_VALUE"""),"SAO PAULO")</f>
        <v>SAO PAULO</v>
      </c>
    </row>
    <row r="623">
      <c r="A623" s="6">
        <f>IFERROR(__xludf.DUMMYFUNCTION("""COMPUTED_VALUE"""),45705.0)</f>
        <v>45705</v>
      </c>
      <c r="B623" s="7" t="str">
        <f>IFERROR(__xludf.DUMMYFUNCTION("""COMPUTED_VALUE"""),"8030fab3-b915-49a8-9c61-0913e88de0bd")</f>
        <v>8030fab3-b915-49a8-9c61-0913e88de0bd</v>
      </c>
      <c r="C623" s="7">
        <f>IFERROR(__xludf.DUMMYFUNCTION("""COMPUTED_VALUE"""),2.0)</f>
        <v>2</v>
      </c>
      <c r="D623" s="6">
        <f>IFERROR(__xludf.DUMMYFUNCTION("""COMPUTED_VALUE"""),45703.0)</f>
        <v>45703</v>
      </c>
      <c r="E623" s="7" t="str">
        <f>IFERROR(__xludf.DUMMYFUNCTION("""COMPUTED_VALUE"""),"FRANQUIA_D&amp;G_SP")</f>
        <v>FRANQUIA_D&amp;G_SP</v>
      </c>
      <c r="F623" s="7" t="str">
        <f>IFERROR(__xludf.DUMMYFUNCTION("""COMPUTED_VALUE"""),"MOTORCYCLE")</f>
        <v>MOTORCYCLE</v>
      </c>
      <c r="G623" s="7" t="str">
        <f>IFERROR(__xludf.DUMMYFUNCTION("""COMPUTED_VALUE"""),"SAO PAULO")</f>
        <v>SAO PAULO</v>
      </c>
    </row>
    <row r="624">
      <c r="A624" s="6">
        <f>IFERROR(__xludf.DUMMYFUNCTION("""COMPUTED_VALUE"""),45705.0)</f>
        <v>45705</v>
      </c>
      <c r="B624" s="7" t="str">
        <f>IFERROR(__xludf.DUMMYFUNCTION("""COMPUTED_VALUE"""),"93007a93-0a36-4508-9e01-96c9187ea7b3")</f>
        <v>93007a93-0a36-4508-9e01-96c9187ea7b3</v>
      </c>
      <c r="C624" s="7">
        <f>IFERROR(__xludf.DUMMYFUNCTION("""COMPUTED_VALUE"""),98.0)</f>
        <v>98</v>
      </c>
      <c r="D624" s="6">
        <f>IFERROR(__xludf.DUMMYFUNCTION("""COMPUTED_VALUE"""),45607.0)</f>
        <v>45607</v>
      </c>
      <c r="E624" s="7" t="str">
        <f>IFERROR(__xludf.DUMMYFUNCTION("""COMPUTED_VALUE"""),"FRANQUIA_D&amp;G_SP")</f>
        <v>FRANQUIA_D&amp;G_SP</v>
      </c>
      <c r="F624" s="7" t="str">
        <f>IFERROR(__xludf.DUMMYFUNCTION("""COMPUTED_VALUE"""),"BICYCLE")</f>
        <v>BICYCLE</v>
      </c>
      <c r="G624" s="7" t="str">
        <f>IFERROR(__xludf.DUMMYFUNCTION("""COMPUTED_VALUE"""),"SAO PAULO")</f>
        <v>SAO PAULO</v>
      </c>
    </row>
    <row r="625">
      <c r="A625" s="6">
        <f>IFERROR(__xludf.DUMMYFUNCTION("""COMPUTED_VALUE"""),45705.0)</f>
        <v>45705</v>
      </c>
      <c r="B625" s="7" t="str">
        <f>IFERROR(__xludf.DUMMYFUNCTION("""COMPUTED_VALUE"""),"94c560b2-f3d4-4e6d-9c49-8ea9c38d1c11")</f>
        <v>94c560b2-f3d4-4e6d-9c49-8ea9c38d1c11</v>
      </c>
      <c r="C625" s="7">
        <f>IFERROR(__xludf.DUMMYFUNCTION("""COMPUTED_VALUE"""),0.0)</f>
        <v>0</v>
      </c>
      <c r="D625" s="6">
        <f>IFERROR(__xludf.DUMMYFUNCTION("""COMPUTED_VALUE"""),45705.0)</f>
        <v>45705</v>
      </c>
      <c r="E625" s="7" t="str">
        <f>IFERROR(__xludf.DUMMYFUNCTION("""COMPUTED_VALUE"""),"FRANQUIA_D&amp;G_SP")</f>
        <v>FRANQUIA_D&amp;G_SP</v>
      </c>
      <c r="F625" s="7" t="str">
        <f>IFERROR(__xludf.DUMMYFUNCTION("""COMPUTED_VALUE"""),"MOTORCYCLE")</f>
        <v>MOTORCYCLE</v>
      </c>
      <c r="G625" s="7" t="str">
        <f>IFERROR(__xludf.DUMMYFUNCTION("""COMPUTED_VALUE"""),"SAO PAULO")</f>
        <v>SAO PAULO</v>
      </c>
    </row>
    <row r="626">
      <c r="A626" s="6">
        <f>IFERROR(__xludf.DUMMYFUNCTION("""COMPUTED_VALUE"""),45705.0)</f>
        <v>45705</v>
      </c>
      <c r="B626" s="7" t="str">
        <f>IFERROR(__xludf.DUMMYFUNCTION("""COMPUTED_VALUE"""),"d5db1c6d-fb66-474d-a687-a55919d629c4")</f>
        <v>d5db1c6d-fb66-474d-a687-a55919d629c4</v>
      </c>
      <c r="C626" s="7">
        <f>IFERROR(__xludf.DUMMYFUNCTION("""COMPUTED_VALUE"""),155.0)</f>
        <v>155</v>
      </c>
      <c r="D626" s="6">
        <f>IFERROR(__xludf.DUMMYFUNCTION("""COMPUTED_VALUE"""),45550.0)</f>
        <v>45550</v>
      </c>
      <c r="E626" s="7" t="str">
        <f>IFERROR(__xludf.DUMMYFUNCTION("""COMPUTED_VALUE"""),"FRANQUIA_D&amp;G_SP")</f>
        <v>FRANQUIA_D&amp;G_SP</v>
      </c>
      <c r="F626" s="7" t="str">
        <f>IFERROR(__xludf.DUMMYFUNCTION("""COMPUTED_VALUE"""),"MOTORCYCLE")</f>
        <v>MOTORCYCLE</v>
      </c>
      <c r="G626" s="7" t="str">
        <f>IFERROR(__xludf.DUMMYFUNCTION("""COMPUTED_VALUE"""),"SAO PAULO")</f>
        <v>SAO PAULO</v>
      </c>
    </row>
    <row r="627">
      <c r="A627" s="6">
        <f>IFERROR(__xludf.DUMMYFUNCTION("""COMPUTED_VALUE"""),45705.0)</f>
        <v>45705</v>
      </c>
      <c r="B627" s="7" t="str">
        <f>IFERROR(__xludf.DUMMYFUNCTION("""COMPUTED_VALUE"""),"d478a579-2b80-4ed3-8926-2b39377843c2")</f>
        <v>d478a579-2b80-4ed3-8926-2b39377843c2</v>
      </c>
      <c r="C627" s="7">
        <f>IFERROR(__xludf.DUMMYFUNCTION("""COMPUTED_VALUE"""),0.0)</f>
        <v>0</v>
      </c>
      <c r="D627" s="6">
        <f>IFERROR(__xludf.DUMMYFUNCTION("""COMPUTED_VALUE"""),45705.0)</f>
        <v>45705</v>
      </c>
      <c r="E627" s="7" t="str">
        <f>IFERROR(__xludf.DUMMYFUNCTION("""COMPUTED_VALUE"""),"FRANQUIA_D&amp;G_SP")</f>
        <v>FRANQUIA_D&amp;G_SP</v>
      </c>
      <c r="F627" s="7" t="str">
        <f>IFERROR(__xludf.DUMMYFUNCTION("""COMPUTED_VALUE"""),"BICYCLE")</f>
        <v>BICYCLE</v>
      </c>
      <c r="G627" s="7" t="str">
        <f>IFERROR(__xludf.DUMMYFUNCTION("""COMPUTED_VALUE"""),"SAO PAULO")</f>
        <v>SAO PAULO</v>
      </c>
    </row>
    <row r="628">
      <c r="A628" s="6">
        <f>IFERROR(__xludf.DUMMYFUNCTION("""COMPUTED_VALUE"""),45705.0)</f>
        <v>45705</v>
      </c>
      <c r="B628" s="7" t="str">
        <f>IFERROR(__xludf.DUMMYFUNCTION("""COMPUTED_VALUE"""),"983985e4-275b-496a-abc9-829181034ea4")</f>
        <v>983985e4-275b-496a-abc9-829181034ea4</v>
      </c>
      <c r="C628" s="7">
        <f>IFERROR(__xludf.DUMMYFUNCTION("""COMPUTED_VALUE"""),0.0)</f>
        <v>0</v>
      </c>
      <c r="D628" s="6">
        <f>IFERROR(__xludf.DUMMYFUNCTION("""COMPUTED_VALUE"""),45705.0)</f>
        <v>45705</v>
      </c>
      <c r="E628" s="7" t="str">
        <f>IFERROR(__xludf.DUMMYFUNCTION("""COMPUTED_VALUE"""),"FRANQUIA_D&amp;G_SP")</f>
        <v>FRANQUIA_D&amp;G_SP</v>
      </c>
      <c r="F628" s="7" t="str">
        <f>IFERROR(__xludf.DUMMYFUNCTION("""COMPUTED_VALUE"""),"MOTORCYCLE")</f>
        <v>MOTORCYCLE</v>
      </c>
      <c r="G628" s="7" t="str">
        <f>IFERROR(__xludf.DUMMYFUNCTION("""COMPUTED_VALUE"""),"SAO PAULO")</f>
        <v>SAO PAULO</v>
      </c>
    </row>
    <row r="629">
      <c r="A629" s="6">
        <f>IFERROR(__xludf.DUMMYFUNCTION("""COMPUTED_VALUE"""),45705.0)</f>
        <v>45705</v>
      </c>
      <c r="B629" s="7" t="str">
        <f>IFERROR(__xludf.DUMMYFUNCTION("""COMPUTED_VALUE"""),"832e48a7-6381-4af6-90cb-5e1d728c5f29")</f>
        <v>832e48a7-6381-4af6-90cb-5e1d728c5f29</v>
      </c>
      <c r="C629" s="7">
        <f>IFERROR(__xludf.DUMMYFUNCTION("""COMPUTED_VALUE"""),0.0)</f>
        <v>0</v>
      </c>
      <c r="D629" s="6">
        <f>IFERROR(__xludf.DUMMYFUNCTION("""COMPUTED_VALUE"""),45705.0)</f>
        <v>45705</v>
      </c>
      <c r="E629" s="7" t="str">
        <f>IFERROR(__xludf.DUMMYFUNCTION("""COMPUTED_VALUE"""),"FRANQUIA_D&amp;G_SP")</f>
        <v>FRANQUIA_D&amp;G_SP</v>
      </c>
      <c r="F629" s="7" t="str">
        <f>IFERROR(__xludf.DUMMYFUNCTION("""COMPUTED_VALUE"""),"EMOTORCYCLE")</f>
        <v>EMOTORCYCLE</v>
      </c>
      <c r="G629" s="7" t="str">
        <f>IFERROR(__xludf.DUMMYFUNCTION("""COMPUTED_VALUE"""),"SAO PAULO")</f>
        <v>SAO PAULO</v>
      </c>
    </row>
    <row r="630">
      <c r="A630" s="6">
        <f>IFERROR(__xludf.DUMMYFUNCTION("""COMPUTED_VALUE"""),45705.0)</f>
        <v>45705</v>
      </c>
      <c r="B630" s="7" t="str">
        <f>IFERROR(__xludf.DUMMYFUNCTION("""COMPUTED_VALUE"""),"486ff14b-613d-4ff5-a9b9-1abcea2f0769")</f>
        <v>486ff14b-613d-4ff5-a9b9-1abcea2f0769</v>
      </c>
      <c r="C630" s="7">
        <f>IFERROR(__xludf.DUMMYFUNCTION("""COMPUTED_VALUE"""),0.0)</f>
        <v>0</v>
      </c>
      <c r="D630" s="6">
        <f>IFERROR(__xludf.DUMMYFUNCTION("""COMPUTED_VALUE"""),45705.0)</f>
        <v>45705</v>
      </c>
      <c r="E630" s="7" t="str">
        <f>IFERROR(__xludf.DUMMYFUNCTION("""COMPUTED_VALUE"""),"FRANQUIA_D&amp;G_SP")</f>
        <v>FRANQUIA_D&amp;G_SP</v>
      </c>
      <c r="F630" s="7" t="str">
        <f>IFERROR(__xludf.DUMMYFUNCTION("""COMPUTED_VALUE"""),"MOTORCYCLE")</f>
        <v>MOTORCYCLE</v>
      </c>
      <c r="G630" s="7" t="str">
        <f>IFERROR(__xludf.DUMMYFUNCTION("""COMPUTED_VALUE"""),"SAO PAULO")</f>
        <v>SAO PAULO</v>
      </c>
    </row>
    <row r="631">
      <c r="A631" s="6">
        <f>IFERROR(__xludf.DUMMYFUNCTION("""COMPUTED_VALUE"""),45705.0)</f>
        <v>45705</v>
      </c>
      <c r="B631" s="7" t="str">
        <f>IFERROR(__xludf.DUMMYFUNCTION("""COMPUTED_VALUE"""),"cf1ee15a-6557-4e7c-b4d4-6cb3a31a7ed7")</f>
        <v>cf1ee15a-6557-4e7c-b4d4-6cb3a31a7ed7</v>
      </c>
      <c r="C631" s="7">
        <f>IFERROR(__xludf.DUMMYFUNCTION("""COMPUTED_VALUE"""),0.0)</f>
        <v>0</v>
      </c>
      <c r="D631" s="6">
        <f>IFERROR(__xludf.DUMMYFUNCTION("""COMPUTED_VALUE"""),45705.0)</f>
        <v>45705</v>
      </c>
      <c r="E631" s="7" t="str">
        <f>IFERROR(__xludf.DUMMYFUNCTION("""COMPUTED_VALUE"""),"FRANQUIA_D&amp;G_SP")</f>
        <v>FRANQUIA_D&amp;G_SP</v>
      </c>
      <c r="F631" s="7" t="str">
        <f>IFERROR(__xludf.DUMMYFUNCTION("""COMPUTED_VALUE"""),"MOTORCYCLE")</f>
        <v>MOTORCYCLE</v>
      </c>
      <c r="G631" s="7" t="str">
        <f>IFERROR(__xludf.DUMMYFUNCTION("""COMPUTED_VALUE"""),"SAO PAULO")</f>
        <v>SAO PAULO</v>
      </c>
    </row>
    <row r="632">
      <c r="A632" s="6">
        <f>IFERROR(__xludf.DUMMYFUNCTION("""COMPUTED_VALUE"""),45705.0)</f>
        <v>45705</v>
      </c>
      <c r="B632" s="7" t="str">
        <f>IFERROR(__xludf.DUMMYFUNCTION("""COMPUTED_VALUE"""),"f4b8c02b-8c25-45a3-b87c-0eeab289ac29")</f>
        <v>f4b8c02b-8c25-45a3-b87c-0eeab289ac29</v>
      </c>
      <c r="C632" s="7">
        <f>IFERROR(__xludf.DUMMYFUNCTION("""COMPUTED_VALUE"""),0.0)</f>
        <v>0</v>
      </c>
      <c r="D632" s="6">
        <f>IFERROR(__xludf.DUMMYFUNCTION("""COMPUTED_VALUE"""),45705.0)</f>
        <v>45705</v>
      </c>
      <c r="E632" s="7" t="str">
        <f>IFERROR(__xludf.DUMMYFUNCTION("""COMPUTED_VALUE"""),"FRANQUIA_D&amp;G_SP")</f>
        <v>FRANQUIA_D&amp;G_SP</v>
      </c>
      <c r="F632" s="7" t="str">
        <f>IFERROR(__xludf.DUMMYFUNCTION("""COMPUTED_VALUE"""),"EMOTORCYCLE")</f>
        <v>EMOTORCYCLE</v>
      </c>
      <c r="G632" s="7" t="str">
        <f>IFERROR(__xludf.DUMMYFUNCTION("""COMPUTED_VALUE"""),"SAO PAULO")</f>
        <v>SAO PAULO</v>
      </c>
    </row>
    <row r="633">
      <c r="A633" s="6">
        <f>IFERROR(__xludf.DUMMYFUNCTION("""COMPUTED_VALUE"""),45705.0)</f>
        <v>45705</v>
      </c>
      <c r="B633" s="7" t="str">
        <f>IFERROR(__xludf.DUMMYFUNCTION("""COMPUTED_VALUE"""),"266370a6-4717-435e-adc6-2a33906d7cc6")</f>
        <v>266370a6-4717-435e-adc6-2a33906d7cc6</v>
      </c>
      <c r="C633" s="7">
        <f>IFERROR(__xludf.DUMMYFUNCTION("""COMPUTED_VALUE"""),37.0)</f>
        <v>37</v>
      </c>
      <c r="D633" s="6">
        <f>IFERROR(__xludf.DUMMYFUNCTION("""COMPUTED_VALUE"""),45668.0)</f>
        <v>45668</v>
      </c>
      <c r="E633" s="7" t="str">
        <f>IFERROR(__xludf.DUMMYFUNCTION("""COMPUTED_VALUE"""),"FRANQUIA_D&amp;G_SP")</f>
        <v>FRANQUIA_D&amp;G_SP</v>
      </c>
      <c r="F633" s="7" t="str">
        <f>IFERROR(__xludf.DUMMYFUNCTION("""COMPUTED_VALUE"""),"MOTORCYCLE")</f>
        <v>MOTORCYCLE</v>
      </c>
      <c r="G633" s="7" t="str">
        <f>IFERROR(__xludf.DUMMYFUNCTION("""COMPUTED_VALUE"""),"SAO PAULO")</f>
        <v>SAO PAULO</v>
      </c>
    </row>
    <row r="634">
      <c r="A634" s="6">
        <f>IFERROR(__xludf.DUMMYFUNCTION("""COMPUTED_VALUE"""),45705.0)</f>
        <v>45705</v>
      </c>
      <c r="B634" s="7" t="str">
        <f>IFERROR(__xludf.DUMMYFUNCTION("""COMPUTED_VALUE"""),"10d88019-3abc-4542-be71-4a346049d5d5")</f>
        <v>10d88019-3abc-4542-be71-4a346049d5d5</v>
      </c>
      <c r="C634" s="7">
        <f>IFERROR(__xludf.DUMMYFUNCTION("""COMPUTED_VALUE"""),211.0)</f>
        <v>211</v>
      </c>
      <c r="D634" s="6">
        <f>IFERROR(__xludf.DUMMYFUNCTION("""COMPUTED_VALUE"""),45494.0)</f>
        <v>45494</v>
      </c>
      <c r="E634" s="7" t="str">
        <f>IFERROR(__xludf.DUMMYFUNCTION("""COMPUTED_VALUE"""),"FRANQUIA_D&amp;G_SP")</f>
        <v>FRANQUIA_D&amp;G_SP</v>
      </c>
      <c r="F634" s="7" t="str">
        <f>IFERROR(__xludf.DUMMYFUNCTION("""COMPUTED_VALUE"""),"BICYCLE")</f>
        <v>BICYCLE</v>
      </c>
      <c r="G634" s="7" t="str">
        <f>IFERROR(__xludf.DUMMYFUNCTION("""COMPUTED_VALUE"""),"SAO PAULO")</f>
        <v>SAO PAULO</v>
      </c>
    </row>
    <row r="635">
      <c r="A635" s="6">
        <f>IFERROR(__xludf.DUMMYFUNCTION("""COMPUTED_VALUE"""),45705.0)</f>
        <v>45705</v>
      </c>
      <c r="B635" s="7" t="str">
        <f>IFERROR(__xludf.DUMMYFUNCTION("""COMPUTED_VALUE"""),"13d6340c-7d6b-46ed-8aff-d0ca6e3de02e")</f>
        <v>13d6340c-7d6b-46ed-8aff-d0ca6e3de02e</v>
      </c>
      <c r="C635" s="7">
        <f>IFERROR(__xludf.DUMMYFUNCTION("""COMPUTED_VALUE"""),1.0)</f>
        <v>1</v>
      </c>
      <c r="D635" s="6">
        <f>IFERROR(__xludf.DUMMYFUNCTION("""COMPUTED_VALUE"""),45704.0)</f>
        <v>45704</v>
      </c>
      <c r="E635" s="7" t="str">
        <f>IFERROR(__xludf.DUMMYFUNCTION("""COMPUTED_VALUE"""),"FRANQUIA_D&amp;G_SP")</f>
        <v>FRANQUIA_D&amp;G_SP</v>
      </c>
      <c r="F635" s="7" t="str">
        <f>IFERROR(__xludf.DUMMYFUNCTION("""COMPUTED_VALUE"""),"BICYCLE")</f>
        <v>BICYCLE</v>
      </c>
      <c r="G635" s="7" t="str">
        <f>IFERROR(__xludf.DUMMYFUNCTION("""COMPUTED_VALUE"""),"SAO PAULO")</f>
        <v>SAO PAULO</v>
      </c>
    </row>
    <row r="636">
      <c r="A636" s="6">
        <f>IFERROR(__xludf.DUMMYFUNCTION("""COMPUTED_VALUE"""),45705.0)</f>
        <v>45705</v>
      </c>
      <c r="B636" s="7" t="str">
        <f>IFERROR(__xludf.DUMMYFUNCTION("""COMPUTED_VALUE"""),"e19fa50f-f9fc-4938-8202-b0a0a639fd8f")</f>
        <v>e19fa50f-f9fc-4938-8202-b0a0a639fd8f</v>
      </c>
      <c r="C636" s="7">
        <f>IFERROR(__xludf.DUMMYFUNCTION("""COMPUTED_VALUE"""),5.0)</f>
        <v>5</v>
      </c>
      <c r="D636" s="6">
        <f>IFERROR(__xludf.DUMMYFUNCTION("""COMPUTED_VALUE"""),45700.0)</f>
        <v>45700</v>
      </c>
      <c r="E636" s="7" t="str">
        <f>IFERROR(__xludf.DUMMYFUNCTION("""COMPUTED_VALUE"""),"FRANQUIA_D&amp;G_SP")</f>
        <v>FRANQUIA_D&amp;G_SP</v>
      </c>
      <c r="F636" s="7" t="str">
        <f>IFERROR(__xludf.DUMMYFUNCTION("""COMPUTED_VALUE"""),"EMOTORCYCLE")</f>
        <v>EMOTORCYCLE</v>
      </c>
      <c r="G636" s="7" t="str">
        <f>IFERROR(__xludf.DUMMYFUNCTION("""COMPUTED_VALUE"""),"SAO PAULO")</f>
        <v>SAO PAULO</v>
      </c>
    </row>
    <row r="637">
      <c r="A637" s="6">
        <f>IFERROR(__xludf.DUMMYFUNCTION("""COMPUTED_VALUE"""),45705.0)</f>
        <v>45705</v>
      </c>
      <c r="B637" s="7" t="str">
        <f>IFERROR(__xludf.DUMMYFUNCTION("""COMPUTED_VALUE"""),"51982e95-b07a-49cb-bc3b-ca8649cd0d20")</f>
        <v>51982e95-b07a-49cb-bc3b-ca8649cd0d20</v>
      </c>
      <c r="C637" s="7">
        <f>IFERROR(__xludf.DUMMYFUNCTION("""COMPUTED_VALUE"""),0.0)</f>
        <v>0</v>
      </c>
      <c r="D637" s="6">
        <f>IFERROR(__xludf.DUMMYFUNCTION("""COMPUTED_VALUE"""),45705.0)</f>
        <v>45705</v>
      </c>
      <c r="E637" s="7" t="str">
        <f>IFERROR(__xludf.DUMMYFUNCTION("""COMPUTED_VALUE"""),"FRANQUIA_D&amp;G_SP")</f>
        <v>FRANQUIA_D&amp;G_SP</v>
      </c>
      <c r="F637" s="7" t="str">
        <f>IFERROR(__xludf.DUMMYFUNCTION("""COMPUTED_VALUE"""),"MOTORCYCLE")</f>
        <v>MOTORCYCLE</v>
      </c>
      <c r="G637" s="7" t="str">
        <f>IFERROR(__xludf.DUMMYFUNCTION("""COMPUTED_VALUE"""),"ABC")</f>
        <v>ABC</v>
      </c>
    </row>
    <row r="638">
      <c r="A638" s="6">
        <f>IFERROR(__xludf.DUMMYFUNCTION("""COMPUTED_VALUE"""),45705.0)</f>
        <v>45705</v>
      </c>
      <c r="B638" s="7" t="str">
        <f>IFERROR(__xludf.DUMMYFUNCTION("""COMPUTED_VALUE"""),"50e6ab8a-e141-4075-a910-dc15ac0f3c6b")</f>
        <v>50e6ab8a-e141-4075-a910-dc15ac0f3c6b</v>
      </c>
      <c r="C638" s="7">
        <f>IFERROR(__xludf.DUMMYFUNCTION("""COMPUTED_VALUE"""),0.0)</f>
        <v>0</v>
      </c>
      <c r="D638" s="6">
        <f>IFERROR(__xludf.DUMMYFUNCTION("""COMPUTED_VALUE"""),45705.0)</f>
        <v>45705</v>
      </c>
      <c r="E638" s="7" t="str">
        <f>IFERROR(__xludf.DUMMYFUNCTION("""COMPUTED_VALUE"""),"FRANQUIA_D&amp;G_SP")</f>
        <v>FRANQUIA_D&amp;G_SP</v>
      </c>
      <c r="F638" s="7" t="str">
        <f>IFERROR(__xludf.DUMMYFUNCTION("""COMPUTED_VALUE"""),"MOTORCYCLE")</f>
        <v>MOTORCYCLE</v>
      </c>
      <c r="G638" s="7" t="str">
        <f>IFERROR(__xludf.DUMMYFUNCTION("""COMPUTED_VALUE"""),"SAO PAULO")</f>
        <v>SAO PAULO</v>
      </c>
    </row>
    <row r="639">
      <c r="A639" s="6">
        <f>IFERROR(__xludf.DUMMYFUNCTION("""COMPUTED_VALUE"""),45705.0)</f>
        <v>45705</v>
      </c>
      <c r="B639" s="7" t="str">
        <f>IFERROR(__xludf.DUMMYFUNCTION("""COMPUTED_VALUE"""),"aff63f08-0be8-463e-9d45-2169d1dc0fb4")</f>
        <v>aff63f08-0be8-463e-9d45-2169d1dc0fb4</v>
      </c>
      <c r="C639" s="7">
        <f>IFERROR(__xludf.DUMMYFUNCTION("""COMPUTED_VALUE"""),0.0)</f>
        <v>0</v>
      </c>
      <c r="D639" s="6">
        <f>IFERROR(__xludf.DUMMYFUNCTION("""COMPUTED_VALUE"""),45705.0)</f>
        <v>45705</v>
      </c>
      <c r="E639" s="7" t="str">
        <f>IFERROR(__xludf.DUMMYFUNCTION("""COMPUTED_VALUE"""),"FRANQUIA_D&amp;G_SP")</f>
        <v>FRANQUIA_D&amp;G_SP</v>
      </c>
      <c r="F639" s="7" t="str">
        <f>IFERROR(__xludf.DUMMYFUNCTION("""COMPUTED_VALUE"""),"BICYCLE")</f>
        <v>BICYCLE</v>
      </c>
      <c r="G639" s="7" t="str">
        <f>IFERROR(__xludf.DUMMYFUNCTION("""COMPUTED_VALUE"""),"SAO PAULO")</f>
        <v>SAO PAULO</v>
      </c>
    </row>
    <row r="640">
      <c r="A640" s="6">
        <f>IFERROR(__xludf.DUMMYFUNCTION("""COMPUTED_VALUE"""),45705.0)</f>
        <v>45705</v>
      </c>
      <c r="B640" s="7" t="str">
        <f>IFERROR(__xludf.DUMMYFUNCTION("""COMPUTED_VALUE"""),"0ea087f8-b55a-42d9-862e-4452182159e1")</f>
        <v>0ea087f8-b55a-42d9-862e-4452182159e1</v>
      </c>
      <c r="C640" s="7">
        <f>IFERROR(__xludf.DUMMYFUNCTION("""COMPUTED_VALUE"""),0.0)</f>
        <v>0</v>
      </c>
      <c r="D640" s="6">
        <f>IFERROR(__xludf.DUMMYFUNCTION("""COMPUTED_VALUE"""),45705.0)</f>
        <v>45705</v>
      </c>
      <c r="E640" s="7" t="str">
        <f>IFERROR(__xludf.DUMMYFUNCTION("""COMPUTED_VALUE"""),"FRANQUIA_D&amp;G_SP")</f>
        <v>FRANQUIA_D&amp;G_SP</v>
      </c>
      <c r="F640" s="7" t="str">
        <f>IFERROR(__xludf.DUMMYFUNCTION("""COMPUTED_VALUE"""),"MOTORCYCLE")</f>
        <v>MOTORCYCLE</v>
      </c>
      <c r="G640" s="7" t="str">
        <f>IFERROR(__xludf.DUMMYFUNCTION("""COMPUTED_VALUE"""),"SAO PAULO")</f>
        <v>SAO PAULO</v>
      </c>
    </row>
    <row r="641">
      <c r="A641" s="6">
        <f>IFERROR(__xludf.DUMMYFUNCTION("""COMPUTED_VALUE"""),45705.0)</f>
        <v>45705</v>
      </c>
      <c r="B641" s="7" t="str">
        <f>IFERROR(__xludf.DUMMYFUNCTION("""COMPUTED_VALUE"""),"91f75d9f-cc54-41a9-b5da-be975478b71f")</f>
        <v>91f75d9f-cc54-41a9-b5da-be975478b71f</v>
      </c>
      <c r="C641" s="7">
        <f>IFERROR(__xludf.DUMMYFUNCTION("""COMPUTED_VALUE"""),156.0)</f>
        <v>156</v>
      </c>
      <c r="D641" s="6">
        <f>IFERROR(__xludf.DUMMYFUNCTION("""COMPUTED_VALUE"""),45549.0)</f>
        <v>45549</v>
      </c>
      <c r="E641" s="7" t="str">
        <f>IFERROR(__xludf.DUMMYFUNCTION("""COMPUTED_VALUE"""),"FRANQUIA_D&amp;G_SP")</f>
        <v>FRANQUIA_D&amp;G_SP</v>
      </c>
      <c r="F641" s="7" t="str">
        <f>IFERROR(__xludf.DUMMYFUNCTION("""COMPUTED_VALUE"""),"MOTORCYCLE")</f>
        <v>MOTORCYCLE</v>
      </c>
      <c r="G641" s="7" t="str">
        <f>IFERROR(__xludf.DUMMYFUNCTION("""COMPUTED_VALUE"""),"SAO PAULO")</f>
        <v>SAO PAULO</v>
      </c>
    </row>
    <row r="642">
      <c r="A642" s="6">
        <f>IFERROR(__xludf.DUMMYFUNCTION("""COMPUTED_VALUE"""),45705.0)</f>
        <v>45705</v>
      </c>
      <c r="B642" s="7" t="str">
        <f>IFERROR(__xludf.DUMMYFUNCTION("""COMPUTED_VALUE"""),"d26b6d2a-0fbc-4600-946e-161535bf0121")</f>
        <v>d26b6d2a-0fbc-4600-946e-161535bf0121</v>
      </c>
      <c r="C642" s="7">
        <f>IFERROR(__xludf.DUMMYFUNCTION("""COMPUTED_VALUE"""),30.0)</f>
        <v>30</v>
      </c>
      <c r="D642" s="6">
        <f>IFERROR(__xludf.DUMMYFUNCTION("""COMPUTED_VALUE"""),45675.0)</f>
        <v>45675</v>
      </c>
      <c r="E642" s="7" t="str">
        <f>IFERROR(__xludf.DUMMYFUNCTION("""COMPUTED_VALUE"""),"FRANQUIA_D&amp;G_SP")</f>
        <v>FRANQUIA_D&amp;G_SP</v>
      </c>
      <c r="F642" s="7" t="str">
        <f>IFERROR(__xludf.DUMMYFUNCTION("""COMPUTED_VALUE"""),"MOTORCYCLE")</f>
        <v>MOTORCYCLE</v>
      </c>
      <c r="G642" s="7" t="str">
        <f>IFERROR(__xludf.DUMMYFUNCTION("""COMPUTED_VALUE"""),"SAO PAULO")</f>
        <v>SAO PAULO</v>
      </c>
    </row>
    <row r="643">
      <c r="A643" s="6">
        <f>IFERROR(__xludf.DUMMYFUNCTION("""COMPUTED_VALUE"""),45705.0)</f>
        <v>45705</v>
      </c>
      <c r="B643" s="7" t="str">
        <f>IFERROR(__xludf.DUMMYFUNCTION("""COMPUTED_VALUE"""),"a284b3c1-d816-4778-a0b7-e460bf6e9091")</f>
        <v>a284b3c1-d816-4778-a0b7-e460bf6e9091</v>
      </c>
      <c r="C643" s="7">
        <f>IFERROR(__xludf.DUMMYFUNCTION("""COMPUTED_VALUE"""),0.0)</f>
        <v>0</v>
      </c>
      <c r="D643" s="6">
        <f>IFERROR(__xludf.DUMMYFUNCTION("""COMPUTED_VALUE"""),45705.0)</f>
        <v>45705</v>
      </c>
      <c r="E643" s="7" t="str">
        <f>IFERROR(__xludf.DUMMYFUNCTION("""COMPUTED_VALUE"""),"FRANQUIA_D&amp;G_SP")</f>
        <v>FRANQUIA_D&amp;G_SP</v>
      </c>
      <c r="F643" s="7" t="str">
        <f>IFERROR(__xludf.DUMMYFUNCTION("""COMPUTED_VALUE"""),"MOTORCYCLE")</f>
        <v>MOTORCYCLE</v>
      </c>
      <c r="G643" s="7" t="str">
        <f>IFERROR(__xludf.DUMMYFUNCTION("""COMPUTED_VALUE"""),"SAO PAULO")</f>
        <v>SAO PAULO</v>
      </c>
    </row>
    <row r="644">
      <c r="A644" s="6">
        <f>IFERROR(__xludf.DUMMYFUNCTION("""COMPUTED_VALUE"""),45705.0)</f>
        <v>45705</v>
      </c>
      <c r="B644" s="7" t="str">
        <f>IFERROR(__xludf.DUMMYFUNCTION("""COMPUTED_VALUE"""),"ffacce79-325a-43ac-9c45-9944f8649a11")</f>
        <v>ffacce79-325a-43ac-9c45-9944f8649a11</v>
      </c>
      <c r="C644" s="7">
        <f>IFERROR(__xludf.DUMMYFUNCTION("""COMPUTED_VALUE"""),392.0)</f>
        <v>392</v>
      </c>
      <c r="D644" s="6">
        <f>IFERROR(__xludf.DUMMYFUNCTION("""COMPUTED_VALUE"""),45313.0)</f>
        <v>45313</v>
      </c>
      <c r="E644" s="7" t="str">
        <f>IFERROR(__xludf.DUMMYFUNCTION("""COMPUTED_VALUE"""),"FRANQUIA_D&amp;G_SP")</f>
        <v>FRANQUIA_D&amp;G_SP</v>
      </c>
      <c r="F644" s="7" t="str">
        <f>IFERROR(__xludf.DUMMYFUNCTION("""COMPUTED_VALUE"""),"MOTORCYCLE")</f>
        <v>MOTORCYCLE</v>
      </c>
      <c r="G644" s="7" t="str">
        <f>IFERROR(__xludf.DUMMYFUNCTION("""COMPUTED_VALUE"""),"GUARULHOS")</f>
        <v>GUARULHOS</v>
      </c>
    </row>
    <row r="645">
      <c r="A645" s="6">
        <f>IFERROR(__xludf.DUMMYFUNCTION("""COMPUTED_VALUE"""),45705.0)</f>
        <v>45705</v>
      </c>
      <c r="B645" s="7" t="str">
        <f>IFERROR(__xludf.DUMMYFUNCTION("""COMPUTED_VALUE"""),"36e4cf55-0807-4d13-bcd2-d493706919cf")</f>
        <v>36e4cf55-0807-4d13-bcd2-d493706919cf</v>
      </c>
      <c r="C645" s="7">
        <f>IFERROR(__xludf.DUMMYFUNCTION("""COMPUTED_VALUE"""),0.0)</f>
        <v>0</v>
      </c>
      <c r="D645" s="6">
        <f>IFERROR(__xludf.DUMMYFUNCTION("""COMPUTED_VALUE"""),45705.0)</f>
        <v>45705</v>
      </c>
      <c r="E645" s="7" t="str">
        <f>IFERROR(__xludf.DUMMYFUNCTION("""COMPUTED_VALUE"""),"FRANQUIA_D&amp;G_SP")</f>
        <v>FRANQUIA_D&amp;G_SP</v>
      </c>
      <c r="F645" s="7" t="str">
        <f>IFERROR(__xludf.DUMMYFUNCTION("""COMPUTED_VALUE"""),"MOTORCYCLE")</f>
        <v>MOTORCYCLE</v>
      </c>
      <c r="G645" s="7" t="str">
        <f>IFERROR(__xludf.DUMMYFUNCTION("""COMPUTED_VALUE"""),"ABC")</f>
        <v>ABC</v>
      </c>
    </row>
    <row r="646">
      <c r="A646" s="6">
        <f>IFERROR(__xludf.DUMMYFUNCTION("""COMPUTED_VALUE"""),45705.0)</f>
        <v>45705</v>
      </c>
      <c r="B646" s="7" t="str">
        <f>IFERROR(__xludf.DUMMYFUNCTION("""COMPUTED_VALUE"""),"ab0da0d5-cf03-4510-a6a3-a8b7a5bc7a94")</f>
        <v>ab0da0d5-cf03-4510-a6a3-a8b7a5bc7a94</v>
      </c>
      <c r="C646" s="7">
        <f>IFERROR(__xludf.DUMMYFUNCTION("""COMPUTED_VALUE"""),0.0)</f>
        <v>0</v>
      </c>
      <c r="D646" s="6">
        <f>IFERROR(__xludf.DUMMYFUNCTION("""COMPUTED_VALUE"""),45705.0)</f>
        <v>45705</v>
      </c>
      <c r="E646" s="7" t="str">
        <f>IFERROR(__xludf.DUMMYFUNCTION("""COMPUTED_VALUE"""),"FRANQUIA_D&amp;G_SP")</f>
        <v>FRANQUIA_D&amp;G_SP</v>
      </c>
      <c r="F646" s="7" t="str">
        <f>IFERROR(__xludf.DUMMYFUNCTION("""COMPUTED_VALUE"""),"BICYCLE")</f>
        <v>BICYCLE</v>
      </c>
      <c r="G646" s="7" t="str">
        <f>IFERROR(__xludf.DUMMYFUNCTION("""COMPUTED_VALUE"""),"SAO PAULO")</f>
        <v>SAO PAULO</v>
      </c>
    </row>
    <row r="647">
      <c r="A647" s="6">
        <f>IFERROR(__xludf.DUMMYFUNCTION("""COMPUTED_VALUE"""),45705.0)</f>
        <v>45705</v>
      </c>
      <c r="B647" s="7" t="str">
        <f>IFERROR(__xludf.DUMMYFUNCTION("""COMPUTED_VALUE"""),"cd3925d3-f761-4c80-af33-92ba503fcf2e")</f>
        <v>cd3925d3-f761-4c80-af33-92ba503fcf2e</v>
      </c>
      <c r="C647" s="7">
        <f>IFERROR(__xludf.DUMMYFUNCTION("""COMPUTED_VALUE"""),1.0)</f>
        <v>1</v>
      </c>
      <c r="D647" s="6">
        <f>IFERROR(__xludf.DUMMYFUNCTION("""COMPUTED_VALUE"""),45704.0)</f>
        <v>45704</v>
      </c>
      <c r="E647" s="7" t="str">
        <f>IFERROR(__xludf.DUMMYFUNCTION("""COMPUTED_VALUE"""),"FRANQUIA_D&amp;G_SP")</f>
        <v>FRANQUIA_D&amp;G_SP</v>
      </c>
      <c r="F647" s="7" t="str">
        <f>IFERROR(__xludf.DUMMYFUNCTION("""COMPUTED_VALUE"""),"BICYCLE")</f>
        <v>BICYCLE</v>
      </c>
      <c r="G647" s="7" t="str">
        <f>IFERROR(__xludf.DUMMYFUNCTION("""COMPUTED_VALUE"""),"SAO PAULO")</f>
        <v>SAO PAULO</v>
      </c>
    </row>
    <row r="648">
      <c r="A648" s="6">
        <f>IFERROR(__xludf.DUMMYFUNCTION("""COMPUTED_VALUE"""),45705.0)</f>
        <v>45705</v>
      </c>
      <c r="B648" s="7" t="str">
        <f>IFERROR(__xludf.DUMMYFUNCTION("""COMPUTED_VALUE"""),"0de71421-8c90-4c33-b851-f9264f279d50")</f>
        <v>0de71421-8c90-4c33-b851-f9264f279d50</v>
      </c>
      <c r="C648" s="7">
        <f>IFERROR(__xludf.DUMMYFUNCTION("""COMPUTED_VALUE"""),99.0)</f>
        <v>99</v>
      </c>
      <c r="D648" s="6">
        <f>IFERROR(__xludf.DUMMYFUNCTION("""COMPUTED_VALUE"""),45606.0)</f>
        <v>45606</v>
      </c>
      <c r="E648" s="7" t="str">
        <f>IFERROR(__xludf.DUMMYFUNCTION("""COMPUTED_VALUE"""),"FRANQUIA_D&amp;G_SP")</f>
        <v>FRANQUIA_D&amp;G_SP</v>
      </c>
      <c r="F648" s="7" t="str">
        <f>IFERROR(__xludf.DUMMYFUNCTION("""COMPUTED_VALUE"""),"BICYCLE")</f>
        <v>BICYCLE</v>
      </c>
      <c r="G648" s="7" t="str">
        <f>IFERROR(__xludf.DUMMYFUNCTION("""COMPUTED_VALUE"""),"SAO PAULO")</f>
        <v>SAO PAULO</v>
      </c>
    </row>
    <row r="649">
      <c r="A649" s="6">
        <f>IFERROR(__xludf.DUMMYFUNCTION("""COMPUTED_VALUE"""),45705.0)</f>
        <v>45705</v>
      </c>
      <c r="B649" s="7" t="str">
        <f>IFERROR(__xludf.DUMMYFUNCTION("""COMPUTED_VALUE"""),"1a9056fd-4fb2-493b-9575-0d9419835c9e")</f>
        <v>1a9056fd-4fb2-493b-9575-0d9419835c9e</v>
      </c>
      <c r="C649" s="7">
        <f>IFERROR(__xludf.DUMMYFUNCTION("""COMPUTED_VALUE"""),0.0)</f>
        <v>0</v>
      </c>
      <c r="D649" s="6">
        <f>IFERROR(__xludf.DUMMYFUNCTION("""COMPUTED_VALUE"""),45705.0)</f>
        <v>45705</v>
      </c>
      <c r="E649" s="7" t="str">
        <f>IFERROR(__xludf.DUMMYFUNCTION("""COMPUTED_VALUE"""),"FRANQUIA_D&amp;G_SP")</f>
        <v>FRANQUIA_D&amp;G_SP</v>
      </c>
      <c r="F649" s="7" t="str">
        <f>IFERROR(__xludf.DUMMYFUNCTION("""COMPUTED_VALUE"""),"BICYCLE")</f>
        <v>BICYCLE</v>
      </c>
      <c r="G649" s="7" t="str">
        <f>IFERROR(__xludf.DUMMYFUNCTION("""COMPUTED_VALUE"""),"SAO PAULO")</f>
        <v>SAO PAULO</v>
      </c>
    </row>
    <row r="650">
      <c r="A650" s="6">
        <f>IFERROR(__xludf.DUMMYFUNCTION("""COMPUTED_VALUE"""),45705.0)</f>
        <v>45705</v>
      </c>
      <c r="B650" s="7" t="str">
        <f>IFERROR(__xludf.DUMMYFUNCTION("""COMPUTED_VALUE"""),"563893d7-1913-4b7b-ac6a-a975e386d88c")</f>
        <v>563893d7-1913-4b7b-ac6a-a975e386d88c</v>
      </c>
      <c r="C650" s="7">
        <f>IFERROR(__xludf.DUMMYFUNCTION("""COMPUTED_VALUE"""),2.0)</f>
        <v>2</v>
      </c>
      <c r="D650" s="6">
        <f>IFERROR(__xludf.DUMMYFUNCTION("""COMPUTED_VALUE"""),45703.0)</f>
        <v>45703</v>
      </c>
      <c r="E650" s="7" t="str">
        <f>IFERROR(__xludf.DUMMYFUNCTION("""COMPUTED_VALUE"""),"FRANQUIA_D&amp;G_SP")</f>
        <v>FRANQUIA_D&amp;G_SP</v>
      </c>
      <c r="F650" s="7" t="str">
        <f>IFERROR(__xludf.DUMMYFUNCTION("""COMPUTED_VALUE"""),"BICYCLE")</f>
        <v>BICYCLE</v>
      </c>
      <c r="G650" s="7" t="str">
        <f>IFERROR(__xludf.DUMMYFUNCTION("""COMPUTED_VALUE"""),"SAO PAULO")</f>
        <v>SAO PAULO</v>
      </c>
    </row>
    <row r="651">
      <c r="A651" s="6">
        <f>IFERROR(__xludf.DUMMYFUNCTION("""COMPUTED_VALUE"""),45705.0)</f>
        <v>45705</v>
      </c>
      <c r="B651" s="7" t="str">
        <f>IFERROR(__xludf.DUMMYFUNCTION("""COMPUTED_VALUE"""),"93a36f55-bb57-4b3d-8b29-48e67245142d")</f>
        <v>93a36f55-bb57-4b3d-8b29-48e67245142d</v>
      </c>
      <c r="C651" s="7">
        <f>IFERROR(__xludf.DUMMYFUNCTION("""COMPUTED_VALUE"""),0.0)</f>
        <v>0</v>
      </c>
      <c r="D651" s="6">
        <f>IFERROR(__xludf.DUMMYFUNCTION("""COMPUTED_VALUE"""),45705.0)</f>
        <v>45705</v>
      </c>
      <c r="E651" s="7" t="str">
        <f>IFERROR(__xludf.DUMMYFUNCTION("""COMPUTED_VALUE"""),"FRANQUIA_D&amp;G_SP")</f>
        <v>FRANQUIA_D&amp;G_SP</v>
      </c>
      <c r="F651" s="7" t="str">
        <f>IFERROR(__xludf.DUMMYFUNCTION("""COMPUTED_VALUE"""),"MOTORCYCLE")</f>
        <v>MOTORCYCLE</v>
      </c>
      <c r="G651" s="7" t="str">
        <f>IFERROR(__xludf.DUMMYFUNCTION("""COMPUTED_VALUE"""),"SAO PAULO")</f>
        <v>SAO PAULO</v>
      </c>
    </row>
    <row r="652">
      <c r="A652" s="6">
        <f>IFERROR(__xludf.DUMMYFUNCTION("""COMPUTED_VALUE"""),45705.0)</f>
        <v>45705</v>
      </c>
      <c r="B652" s="7" t="str">
        <f>IFERROR(__xludf.DUMMYFUNCTION("""COMPUTED_VALUE"""),"79ebb3c4-193c-4240-9576-02b7ad8bbb53")</f>
        <v>79ebb3c4-193c-4240-9576-02b7ad8bbb53</v>
      </c>
      <c r="C652" s="7">
        <f>IFERROR(__xludf.DUMMYFUNCTION("""COMPUTED_VALUE"""),0.0)</f>
        <v>0</v>
      </c>
      <c r="D652" s="6">
        <f>IFERROR(__xludf.DUMMYFUNCTION("""COMPUTED_VALUE"""),45705.0)</f>
        <v>45705</v>
      </c>
      <c r="E652" s="7" t="str">
        <f>IFERROR(__xludf.DUMMYFUNCTION("""COMPUTED_VALUE"""),"FRANQUIA_D&amp;G_SP")</f>
        <v>FRANQUIA_D&amp;G_SP</v>
      </c>
      <c r="F652" s="7" t="str">
        <f>IFERROR(__xludf.DUMMYFUNCTION("""COMPUTED_VALUE"""),"BICYCLE")</f>
        <v>BICYCLE</v>
      </c>
      <c r="G652" s="7" t="str">
        <f>IFERROR(__xludf.DUMMYFUNCTION("""COMPUTED_VALUE"""),"SAO PAULO")</f>
        <v>SAO PAULO</v>
      </c>
    </row>
    <row r="653">
      <c r="A653" s="6">
        <f>IFERROR(__xludf.DUMMYFUNCTION("""COMPUTED_VALUE"""),45705.0)</f>
        <v>45705</v>
      </c>
      <c r="B653" s="7" t="str">
        <f>IFERROR(__xludf.DUMMYFUNCTION("""COMPUTED_VALUE"""),"ef54f834-4d0d-4636-9e40-ee731ade621d")</f>
        <v>ef54f834-4d0d-4636-9e40-ee731ade621d</v>
      </c>
      <c r="C653" s="7">
        <f>IFERROR(__xludf.DUMMYFUNCTION("""COMPUTED_VALUE"""),0.0)</f>
        <v>0</v>
      </c>
      <c r="D653" s="6">
        <f>IFERROR(__xludf.DUMMYFUNCTION("""COMPUTED_VALUE"""),45705.0)</f>
        <v>45705</v>
      </c>
      <c r="E653" s="7" t="str">
        <f>IFERROR(__xludf.DUMMYFUNCTION("""COMPUTED_VALUE"""),"FRANQUIA_D&amp;G_SP")</f>
        <v>FRANQUIA_D&amp;G_SP</v>
      </c>
      <c r="F653" s="7" t="str">
        <f>IFERROR(__xludf.DUMMYFUNCTION("""COMPUTED_VALUE"""),"EMOTORCYCLE")</f>
        <v>EMOTORCYCLE</v>
      </c>
      <c r="G653" s="7" t="str">
        <f>IFERROR(__xludf.DUMMYFUNCTION("""COMPUTED_VALUE"""),"SAO PAULO")</f>
        <v>SAO PAULO</v>
      </c>
    </row>
    <row r="654">
      <c r="A654" s="6">
        <f>IFERROR(__xludf.DUMMYFUNCTION("""COMPUTED_VALUE"""),45705.0)</f>
        <v>45705</v>
      </c>
      <c r="B654" s="7" t="str">
        <f>IFERROR(__xludf.DUMMYFUNCTION("""COMPUTED_VALUE"""),"68465d71-a8e2-4f6e-960b-80daac6650b8")</f>
        <v>68465d71-a8e2-4f6e-960b-80daac6650b8</v>
      </c>
      <c r="C654" s="7">
        <f>IFERROR(__xludf.DUMMYFUNCTION("""COMPUTED_VALUE"""),94.0)</f>
        <v>94</v>
      </c>
      <c r="D654" s="6">
        <f>IFERROR(__xludf.DUMMYFUNCTION("""COMPUTED_VALUE"""),45611.0)</f>
        <v>45611</v>
      </c>
      <c r="E654" s="7" t="str">
        <f>IFERROR(__xludf.DUMMYFUNCTION("""COMPUTED_VALUE"""),"FRANQUIA_D&amp;G_SP")</f>
        <v>FRANQUIA_D&amp;G_SP</v>
      </c>
      <c r="F654" s="7" t="str">
        <f>IFERROR(__xludf.DUMMYFUNCTION("""COMPUTED_VALUE"""),"MOTORCYCLE")</f>
        <v>MOTORCYCLE</v>
      </c>
      <c r="G654" s="7" t="str">
        <f>IFERROR(__xludf.DUMMYFUNCTION("""COMPUTED_VALUE"""),"SAO PAULO")</f>
        <v>SAO PAULO</v>
      </c>
    </row>
    <row r="655">
      <c r="A655" s="6">
        <f>IFERROR(__xludf.DUMMYFUNCTION("""COMPUTED_VALUE"""),45705.0)</f>
        <v>45705</v>
      </c>
      <c r="B655" s="7" t="str">
        <f>IFERROR(__xludf.DUMMYFUNCTION("""COMPUTED_VALUE"""),"0c405477-0719-4655-bf99-d10f62cc0c28")</f>
        <v>0c405477-0719-4655-bf99-d10f62cc0c28</v>
      </c>
      <c r="C655" s="7">
        <f>IFERROR(__xludf.DUMMYFUNCTION("""COMPUTED_VALUE"""),0.0)</f>
        <v>0</v>
      </c>
      <c r="D655" s="6">
        <f>IFERROR(__xludf.DUMMYFUNCTION("""COMPUTED_VALUE"""),45705.0)</f>
        <v>45705</v>
      </c>
      <c r="E655" s="7" t="str">
        <f>IFERROR(__xludf.DUMMYFUNCTION("""COMPUTED_VALUE"""),"FRANQUIA_D&amp;G_SP")</f>
        <v>FRANQUIA_D&amp;G_SP</v>
      </c>
      <c r="F655" s="7" t="str">
        <f>IFERROR(__xludf.DUMMYFUNCTION("""COMPUTED_VALUE"""),"MOTORCYCLE")</f>
        <v>MOTORCYCLE</v>
      </c>
      <c r="G655" s="7" t="str">
        <f>IFERROR(__xludf.DUMMYFUNCTION("""COMPUTED_VALUE"""),"SAO PAULO")</f>
        <v>SAO PAULO</v>
      </c>
    </row>
    <row r="656">
      <c r="A656" s="6">
        <f>IFERROR(__xludf.DUMMYFUNCTION("""COMPUTED_VALUE"""),45705.0)</f>
        <v>45705</v>
      </c>
      <c r="B656" s="7" t="str">
        <f>IFERROR(__xludf.DUMMYFUNCTION("""COMPUTED_VALUE"""),"86efb0dc-4b80-4edc-a2a6-8abcc6fb41c5")</f>
        <v>86efb0dc-4b80-4edc-a2a6-8abcc6fb41c5</v>
      </c>
      <c r="C656" s="7">
        <f>IFERROR(__xludf.DUMMYFUNCTION("""COMPUTED_VALUE"""),1.0)</f>
        <v>1</v>
      </c>
      <c r="D656" s="6">
        <f>IFERROR(__xludf.DUMMYFUNCTION("""COMPUTED_VALUE"""),45704.0)</f>
        <v>45704</v>
      </c>
      <c r="E656" s="7" t="str">
        <f>IFERROR(__xludf.DUMMYFUNCTION("""COMPUTED_VALUE"""),"FRANQUIA_D&amp;G_SP")</f>
        <v>FRANQUIA_D&amp;G_SP</v>
      </c>
      <c r="F656" s="7" t="str">
        <f>IFERROR(__xludf.DUMMYFUNCTION("""COMPUTED_VALUE"""),"BICYCLE")</f>
        <v>BICYCLE</v>
      </c>
      <c r="G656" s="7" t="str">
        <f>IFERROR(__xludf.DUMMYFUNCTION("""COMPUTED_VALUE"""),"SAO PAULO")</f>
        <v>SAO PAULO</v>
      </c>
    </row>
    <row r="657">
      <c r="A657" s="6">
        <f>IFERROR(__xludf.DUMMYFUNCTION("""COMPUTED_VALUE"""),45705.0)</f>
        <v>45705</v>
      </c>
      <c r="B657" s="7" t="str">
        <f>IFERROR(__xludf.DUMMYFUNCTION("""COMPUTED_VALUE"""),"2b6d2814-4dfd-4a2d-84b0-5ea8eef9500e")</f>
        <v>2b6d2814-4dfd-4a2d-84b0-5ea8eef9500e</v>
      </c>
      <c r="C657" s="7">
        <f>IFERROR(__xludf.DUMMYFUNCTION("""COMPUTED_VALUE"""),3.0)</f>
        <v>3</v>
      </c>
      <c r="D657" s="6">
        <f>IFERROR(__xludf.DUMMYFUNCTION("""COMPUTED_VALUE"""),45702.0)</f>
        <v>45702</v>
      </c>
      <c r="E657" s="7" t="str">
        <f>IFERROR(__xludf.DUMMYFUNCTION("""COMPUTED_VALUE"""),"FRANQUIA_D&amp;G_SP")</f>
        <v>FRANQUIA_D&amp;G_SP</v>
      </c>
      <c r="F657" s="7" t="str">
        <f>IFERROR(__xludf.DUMMYFUNCTION("""COMPUTED_VALUE"""),"MOTORCYCLE")</f>
        <v>MOTORCYCLE</v>
      </c>
      <c r="G657" s="7" t="str">
        <f>IFERROR(__xludf.DUMMYFUNCTION("""COMPUTED_VALUE"""),"SAO PAULO")</f>
        <v>SAO PAULO</v>
      </c>
    </row>
    <row r="658">
      <c r="A658" s="6">
        <f>IFERROR(__xludf.DUMMYFUNCTION("""COMPUTED_VALUE"""),45705.0)</f>
        <v>45705</v>
      </c>
      <c r="B658" s="7" t="str">
        <f>IFERROR(__xludf.DUMMYFUNCTION("""COMPUTED_VALUE"""),"9532ecbf-b203-4c98-81b5-f3d71a8a7ee0")</f>
        <v>9532ecbf-b203-4c98-81b5-f3d71a8a7ee0</v>
      </c>
      <c r="C658" s="7">
        <f>IFERROR(__xludf.DUMMYFUNCTION("""COMPUTED_VALUE"""),601.0)</f>
        <v>601</v>
      </c>
      <c r="D658" s="6">
        <f>IFERROR(__xludf.DUMMYFUNCTION("""COMPUTED_VALUE"""),45104.0)</f>
        <v>45104</v>
      </c>
      <c r="E658" s="7" t="str">
        <f>IFERROR(__xludf.DUMMYFUNCTION("""COMPUTED_VALUE"""),"FRANQUIA_D&amp;G_SP")</f>
        <v>FRANQUIA_D&amp;G_SP</v>
      </c>
      <c r="F658" s="7" t="str">
        <f>IFERROR(__xludf.DUMMYFUNCTION("""COMPUTED_VALUE"""),"MOTORCYCLE")</f>
        <v>MOTORCYCLE</v>
      </c>
      <c r="G658" s="7" t="str">
        <f>IFERROR(__xludf.DUMMYFUNCTION("""COMPUTED_VALUE"""),"SAO PAULO")</f>
        <v>SAO PAULO</v>
      </c>
    </row>
    <row r="659">
      <c r="A659" s="6">
        <f>IFERROR(__xludf.DUMMYFUNCTION("""COMPUTED_VALUE"""),45705.0)</f>
        <v>45705</v>
      </c>
      <c r="B659" s="7" t="str">
        <f>IFERROR(__xludf.DUMMYFUNCTION("""COMPUTED_VALUE"""),"aec72707-9217-4fd8-9894-8af609315a1b")</f>
        <v>aec72707-9217-4fd8-9894-8af609315a1b</v>
      </c>
      <c r="C659" s="7">
        <f>IFERROR(__xludf.DUMMYFUNCTION("""COMPUTED_VALUE"""),0.0)</f>
        <v>0</v>
      </c>
      <c r="D659" s="6">
        <f>IFERROR(__xludf.DUMMYFUNCTION("""COMPUTED_VALUE"""),45705.0)</f>
        <v>45705</v>
      </c>
      <c r="E659" s="7" t="str">
        <f>IFERROR(__xludf.DUMMYFUNCTION("""COMPUTED_VALUE"""),"FRANQUIA_D&amp;G_SP")</f>
        <v>FRANQUIA_D&amp;G_SP</v>
      </c>
      <c r="F659" s="7" t="str">
        <f>IFERROR(__xludf.DUMMYFUNCTION("""COMPUTED_VALUE"""),"MOTORCYCLE")</f>
        <v>MOTORCYCLE</v>
      </c>
      <c r="G659" s="7" t="str">
        <f>IFERROR(__xludf.DUMMYFUNCTION("""COMPUTED_VALUE"""),"SAO PAULO")</f>
        <v>SAO PAULO</v>
      </c>
    </row>
    <row r="660">
      <c r="A660" s="6">
        <f>IFERROR(__xludf.DUMMYFUNCTION("""COMPUTED_VALUE"""),45705.0)</f>
        <v>45705</v>
      </c>
      <c r="B660" s="7" t="str">
        <f>IFERROR(__xludf.DUMMYFUNCTION("""COMPUTED_VALUE"""),"be256108-9468-4440-815a-047a1769ee1b")</f>
        <v>be256108-9468-4440-815a-047a1769ee1b</v>
      </c>
      <c r="C660" s="7">
        <f>IFERROR(__xludf.DUMMYFUNCTION("""COMPUTED_VALUE"""),100.0)</f>
        <v>100</v>
      </c>
      <c r="D660" s="6">
        <f>IFERROR(__xludf.DUMMYFUNCTION("""COMPUTED_VALUE"""),45605.0)</f>
        <v>45605</v>
      </c>
      <c r="E660" s="7" t="str">
        <f>IFERROR(__xludf.DUMMYFUNCTION("""COMPUTED_VALUE"""),"FRANQUIA_D&amp;G_SP")</f>
        <v>FRANQUIA_D&amp;G_SP</v>
      </c>
      <c r="F660" s="7" t="str">
        <f>IFERROR(__xludf.DUMMYFUNCTION("""COMPUTED_VALUE"""),"MOTORCYCLE")</f>
        <v>MOTORCYCLE</v>
      </c>
      <c r="G660" s="7" t="str">
        <f>IFERROR(__xludf.DUMMYFUNCTION("""COMPUTED_VALUE"""),"SAO PAULO")</f>
        <v>SAO PAULO</v>
      </c>
    </row>
    <row r="661">
      <c r="A661" s="6">
        <f>IFERROR(__xludf.DUMMYFUNCTION("""COMPUTED_VALUE"""),45705.0)</f>
        <v>45705</v>
      </c>
      <c r="B661" s="7" t="str">
        <f>IFERROR(__xludf.DUMMYFUNCTION("""COMPUTED_VALUE"""),"470588c1-2d30-4afa-b05a-90c53f7b6640")</f>
        <v>470588c1-2d30-4afa-b05a-90c53f7b6640</v>
      </c>
      <c r="C661" s="7">
        <f>IFERROR(__xludf.DUMMYFUNCTION("""COMPUTED_VALUE"""),270.0)</f>
        <v>270</v>
      </c>
      <c r="D661" s="6">
        <f>IFERROR(__xludf.DUMMYFUNCTION("""COMPUTED_VALUE"""),45435.0)</f>
        <v>45435</v>
      </c>
      <c r="E661" s="7" t="str">
        <f>IFERROR(__xludf.DUMMYFUNCTION("""COMPUTED_VALUE"""),"FRANQUIA_D&amp;G_SP")</f>
        <v>FRANQUIA_D&amp;G_SP</v>
      </c>
      <c r="F661" s="7" t="str">
        <f>IFERROR(__xludf.DUMMYFUNCTION("""COMPUTED_VALUE"""),"MOTORCYCLE")</f>
        <v>MOTORCYCLE</v>
      </c>
      <c r="G661" s="7" t="str">
        <f>IFERROR(__xludf.DUMMYFUNCTION("""COMPUTED_VALUE"""),"SAO PAULO")</f>
        <v>SAO PAULO</v>
      </c>
    </row>
    <row r="662">
      <c r="A662" s="6">
        <f>IFERROR(__xludf.DUMMYFUNCTION("""COMPUTED_VALUE"""),45705.0)</f>
        <v>45705</v>
      </c>
      <c r="B662" s="7" t="str">
        <f>IFERROR(__xludf.DUMMYFUNCTION("""COMPUTED_VALUE"""),"8d37e061-a8f7-4496-8f5a-42655212eeb8")</f>
        <v>8d37e061-a8f7-4496-8f5a-42655212eeb8</v>
      </c>
      <c r="C662" s="7">
        <f>IFERROR(__xludf.DUMMYFUNCTION("""COMPUTED_VALUE"""),2.0)</f>
        <v>2</v>
      </c>
      <c r="D662" s="6">
        <f>IFERROR(__xludf.DUMMYFUNCTION("""COMPUTED_VALUE"""),45703.0)</f>
        <v>45703</v>
      </c>
      <c r="E662" s="7" t="str">
        <f>IFERROR(__xludf.DUMMYFUNCTION("""COMPUTED_VALUE"""),"FRANQUIA_D&amp;G_SP")</f>
        <v>FRANQUIA_D&amp;G_SP</v>
      </c>
      <c r="F662" s="7" t="str">
        <f>IFERROR(__xludf.DUMMYFUNCTION("""COMPUTED_VALUE"""),"EBIKE")</f>
        <v>EBIKE</v>
      </c>
      <c r="G662" s="7" t="str">
        <f>IFERROR(__xludf.DUMMYFUNCTION("""COMPUTED_VALUE"""),"SAO PAULO")</f>
        <v>SAO PAULO</v>
      </c>
    </row>
    <row r="663">
      <c r="A663" s="6">
        <f>IFERROR(__xludf.DUMMYFUNCTION("""COMPUTED_VALUE"""),45705.0)</f>
        <v>45705</v>
      </c>
      <c r="B663" s="7" t="str">
        <f>IFERROR(__xludf.DUMMYFUNCTION("""COMPUTED_VALUE"""),"ca818f60-dcfc-4fdb-b85f-3c4d91adaa68")</f>
        <v>ca818f60-dcfc-4fdb-b85f-3c4d91adaa68</v>
      </c>
      <c r="C663" s="7">
        <f>IFERROR(__xludf.DUMMYFUNCTION("""COMPUTED_VALUE"""),104.0)</f>
        <v>104</v>
      </c>
      <c r="D663" s="6">
        <f>IFERROR(__xludf.DUMMYFUNCTION("""COMPUTED_VALUE"""),45601.0)</f>
        <v>45601</v>
      </c>
      <c r="E663" s="7" t="str">
        <f>IFERROR(__xludf.DUMMYFUNCTION("""COMPUTED_VALUE"""),"FRANQUIA_D&amp;G_SP")</f>
        <v>FRANQUIA_D&amp;G_SP</v>
      </c>
      <c r="F663" s="7" t="str">
        <f>IFERROR(__xludf.DUMMYFUNCTION("""COMPUTED_VALUE"""),"BICYCLE")</f>
        <v>BICYCLE</v>
      </c>
      <c r="G663" s="7" t="str">
        <f>IFERROR(__xludf.DUMMYFUNCTION("""COMPUTED_VALUE"""),"SAO PAULO")</f>
        <v>SAO PAULO</v>
      </c>
    </row>
    <row r="664">
      <c r="A664" s="6">
        <f>IFERROR(__xludf.DUMMYFUNCTION("""COMPUTED_VALUE"""),45705.0)</f>
        <v>45705</v>
      </c>
      <c r="B664" s="7" t="str">
        <f>IFERROR(__xludf.DUMMYFUNCTION("""COMPUTED_VALUE"""),"d67ab245-b0b7-41e1-9918-9edae61f6834")</f>
        <v>d67ab245-b0b7-41e1-9918-9edae61f6834</v>
      </c>
      <c r="C664" s="7">
        <f>IFERROR(__xludf.DUMMYFUNCTION("""COMPUTED_VALUE"""),317.0)</f>
        <v>317</v>
      </c>
      <c r="D664" s="6">
        <f>IFERROR(__xludf.DUMMYFUNCTION("""COMPUTED_VALUE"""),45388.0)</f>
        <v>45388</v>
      </c>
      <c r="E664" s="7" t="str">
        <f>IFERROR(__xludf.DUMMYFUNCTION("""COMPUTED_VALUE"""),"FRANQUIA_D&amp;G_SP")</f>
        <v>FRANQUIA_D&amp;G_SP</v>
      </c>
      <c r="F664" s="7" t="str">
        <f>IFERROR(__xludf.DUMMYFUNCTION("""COMPUTED_VALUE"""),"BICYCLE")</f>
        <v>BICYCLE</v>
      </c>
      <c r="G664" s="7" t="str">
        <f>IFERROR(__xludf.DUMMYFUNCTION("""COMPUTED_VALUE"""),"SAO PAULO")</f>
        <v>SAO PAULO</v>
      </c>
    </row>
    <row r="665">
      <c r="A665" s="6">
        <f>IFERROR(__xludf.DUMMYFUNCTION("""COMPUTED_VALUE"""),45705.0)</f>
        <v>45705</v>
      </c>
      <c r="B665" s="7" t="str">
        <f>IFERROR(__xludf.DUMMYFUNCTION("""COMPUTED_VALUE"""),"c32f486a-b4f0-4fa0-8384-9a315432dfa6")</f>
        <v>c32f486a-b4f0-4fa0-8384-9a315432dfa6</v>
      </c>
      <c r="C665" s="7">
        <f>IFERROR(__xludf.DUMMYFUNCTION("""COMPUTED_VALUE"""),0.0)</f>
        <v>0</v>
      </c>
      <c r="D665" s="6">
        <f>IFERROR(__xludf.DUMMYFUNCTION("""COMPUTED_VALUE"""),45705.0)</f>
        <v>45705</v>
      </c>
      <c r="E665" s="7" t="str">
        <f>IFERROR(__xludf.DUMMYFUNCTION("""COMPUTED_VALUE"""),"FRANQUIA_D&amp;G_SP")</f>
        <v>FRANQUIA_D&amp;G_SP</v>
      </c>
      <c r="F665" s="7" t="str">
        <f>IFERROR(__xludf.DUMMYFUNCTION("""COMPUTED_VALUE"""),"MOTORCYCLE")</f>
        <v>MOTORCYCLE</v>
      </c>
      <c r="G665" s="7" t="str">
        <f>IFERROR(__xludf.DUMMYFUNCTION("""COMPUTED_VALUE"""),"SAO PAULO")</f>
        <v>SAO PAULO</v>
      </c>
    </row>
    <row r="666">
      <c r="A666" s="6">
        <f>IFERROR(__xludf.DUMMYFUNCTION("""COMPUTED_VALUE"""),45705.0)</f>
        <v>45705</v>
      </c>
      <c r="B666" s="7" t="str">
        <f>IFERROR(__xludf.DUMMYFUNCTION("""COMPUTED_VALUE"""),"0353ace2-6f09-4ada-bdc9-f0bb7c1e9c1d")</f>
        <v>0353ace2-6f09-4ada-bdc9-f0bb7c1e9c1d</v>
      </c>
      <c r="C666" s="7">
        <f>IFERROR(__xludf.DUMMYFUNCTION("""COMPUTED_VALUE"""),0.0)</f>
        <v>0</v>
      </c>
      <c r="D666" s="6">
        <f>IFERROR(__xludf.DUMMYFUNCTION("""COMPUTED_VALUE"""),45705.0)</f>
        <v>45705</v>
      </c>
      <c r="E666" s="7" t="str">
        <f>IFERROR(__xludf.DUMMYFUNCTION("""COMPUTED_VALUE"""),"FRANQUIA_D&amp;G_SP")</f>
        <v>FRANQUIA_D&amp;G_SP</v>
      </c>
      <c r="F666" s="7" t="str">
        <f>IFERROR(__xludf.DUMMYFUNCTION("""COMPUTED_VALUE"""),"MOTORCYCLE")</f>
        <v>MOTORCYCLE</v>
      </c>
      <c r="G666" s="7" t="str">
        <f>IFERROR(__xludf.DUMMYFUNCTION("""COMPUTED_VALUE"""),"SAO PAULO")</f>
        <v>SAO PAULO</v>
      </c>
    </row>
    <row r="667">
      <c r="A667" s="6">
        <f>IFERROR(__xludf.DUMMYFUNCTION("""COMPUTED_VALUE"""),45705.0)</f>
        <v>45705</v>
      </c>
      <c r="B667" s="7" t="str">
        <f>IFERROR(__xludf.DUMMYFUNCTION("""COMPUTED_VALUE"""),"74987e91-0d69-4bbd-967a-853d88413797")</f>
        <v>74987e91-0d69-4bbd-967a-853d88413797</v>
      </c>
      <c r="C667" s="7">
        <f>IFERROR(__xludf.DUMMYFUNCTION("""COMPUTED_VALUE"""),0.0)</f>
        <v>0</v>
      </c>
      <c r="D667" s="6">
        <f>IFERROR(__xludf.DUMMYFUNCTION("""COMPUTED_VALUE"""),45705.0)</f>
        <v>45705</v>
      </c>
      <c r="E667" s="7" t="str">
        <f>IFERROR(__xludf.DUMMYFUNCTION("""COMPUTED_VALUE"""),"FRANQUIA_D&amp;G_SP")</f>
        <v>FRANQUIA_D&amp;G_SP</v>
      </c>
      <c r="F667" s="7" t="str">
        <f>IFERROR(__xludf.DUMMYFUNCTION("""COMPUTED_VALUE"""),"MOTORCYCLE")</f>
        <v>MOTORCYCLE</v>
      </c>
      <c r="G667" s="7" t="str">
        <f>IFERROR(__xludf.DUMMYFUNCTION("""COMPUTED_VALUE"""),"SAO PAULO")</f>
        <v>SAO PAULO</v>
      </c>
    </row>
    <row r="668">
      <c r="A668" s="6">
        <f>IFERROR(__xludf.DUMMYFUNCTION("""COMPUTED_VALUE"""),45705.0)</f>
        <v>45705</v>
      </c>
      <c r="B668" s="7" t="str">
        <f>IFERROR(__xludf.DUMMYFUNCTION("""COMPUTED_VALUE"""),"15ce67e6-fcea-4210-9054-ea5813b6fd58")</f>
        <v>15ce67e6-fcea-4210-9054-ea5813b6fd58</v>
      </c>
      <c r="C668" s="7">
        <f>IFERROR(__xludf.DUMMYFUNCTION("""COMPUTED_VALUE"""),0.0)</f>
        <v>0</v>
      </c>
      <c r="D668" s="6">
        <f>IFERROR(__xludf.DUMMYFUNCTION("""COMPUTED_VALUE"""),45705.0)</f>
        <v>45705</v>
      </c>
      <c r="E668" s="7" t="str">
        <f>IFERROR(__xludf.DUMMYFUNCTION("""COMPUTED_VALUE"""),"FRANQUIA_D&amp;G_SP")</f>
        <v>FRANQUIA_D&amp;G_SP</v>
      </c>
      <c r="F668" s="7" t="str">
        <f>IFERROR(__xludf.DUMMYFUNCTION("""COMPUTED_VALUE"""),"MOTORCYCLE")</f>
        <v>MOTORCYCLE</v>
      </c>
      <c r="G668" s="7" t="str">
        <f>IFERROR(__xludf.DUMMYFUNCTION("""COMPUTED_VALUE"""),"SAO PAULO")</f>
        <v>SAO PAULO</v>
      </c>
    </row>
    <row r="669">
      <c r="A669" s="6">
        <f>IFERROR(__xludf.DUMMYFUNCTION("""COMPUTED_VALUE"""),45705.0)</f>
        <v>45705</v>
      </c>
      <c r="B669" s="7" t="str">
        <f>IFERROR(__xludf.DUMMYFUNCTION("""COMPUTED_VALUE"""),"fc1651ec-3ae3-4c58-ac23-606f74a74553")</f>
        <v>fc1651ec-3ae3-4c58-ac23-606f74a74553</v>
      </c>
      <c r="C669" s="7">
        <f>IFERROR(__xludf.DUMMYFUNCTION("""COMPUTED_VALUE"""),157.0)</f>
        <v>157</v>
      </c>
      <c r="D669" s="6">
        <f>IFERROR(__xludf.DUMMYFUNCTION("""COMPUTED_VALUE"""),45548.0)</f>
        <v>45548</v>
      </c>
      <c r="E669" s="7" t="str">
        <f>IFERROR(__xludf.DUMMYFUNCTION("""COMPUTED_VALUE"""),"FRANQUIA_D&amp;G_SP")</f>
        <v>FRANQUIA_D&amp;G_SP</v>
      </c>
      <c r="F669" s="7" t="str">
        <f>IFERROR(__xludf.DUMMYFUNCTION("""COMPUTED_VALUE"""),"MOTORCYCLE")</f>
        <v>MOTORCYCLE</v>
      </c>
      <c r="G669" s="7" t="str">
        <f>IFERROR(__xludf.DUMMYFUNCTION("""COMPUTED_VALUE"""),"SAO PAULO")</f>
        <v>SAO PAULO</v>
      </c>
    </row>
    <row r="670">
      <c r="A670" s="6">
        <f>IFERROR(__xludf.DUMMYFUNCTION("""COMPUTED_VALUE"""),45705.0)</f>
        <v>45705</v>
      </c>
      <c r="B670" s="7" t="str">
        <f>IFERROR(__xludf.DUMMYFUNCTION("""COMPUTED_VALUE"""),"04f65080-9660-4d4d-9b0f-c06589477358")</f>
        <v>04f65080-9660-4d4d-9b0f-c06589477358</v>
      </c>
      <c r="C670" s="7">
        <f>IFERROR(__xludf.DUMMYFUNCTION("""COMPUTED_VALUE"""),12.0)</f>
        <v>12</v>
      </c>
      <c r="D670" s="6">
        <f>IFERROR(__xludf.DUMMYFUNCTION("""COMPUTED_VALUE"""),45693.0)</f>
        <v>45693</v>
      </c>
      <c r="E670" s="7" t="str">
        <f>IFERROR(__xludf.DUMMYFUNCTION("""COMPUTED_VALUE"""),"FRANQUIA_D&amp;G_SP")</f>
        <v>FRANQUIA_D&amp;G_SP</v>
      </c>
      <c r="F670" s="7" t="str">
        <f>IFERROR(__xludf.DUMMYFUNCTION("""COMPUTED_VALUE"""),"MOTORCYCLE")</f>
        <v>MOTORCYCLE</v>
      </c>
      <c r="G670" s="7" t="str">
        <f>IFERROR(__xludf.DUMMYFUNCTION("""COMPUTED_VALUE"""),"SAO PAULO")</f>
        <v>SAO PAULO</v>
      </c>
    </row>
    <row r="671">
      <c r="A671" s="6">
        <f>IFERROR(__xludf.DUMMYFUNCTION("""COMPUTED_VALUE"""),45705.0)</f>
        <v>45705</v>
      </c>
      <c r="B671" s="7" t="str">
        <f>IFERROR(__xludf.DUMMYFUNCTION("""COMPUTED_VALUE"""),"08307684-a768-407a-a279-fbff2c6901af")</f>
        <v>08307684-a768-407a-a279-fbff2c6901af</v>
      </c>
      <c r="C671" s="7">
        <f>IFERROR(__xludf.DUMMYFUNCTION("""COMPUTED_VALUE"""),561.0)</f>
        <v>561</v>
      </c>
      <c r="D671" s="6">
        <f>IFERROR(__xludf.DUMMYFUNCTION("""COMPUTED_VALUE"""),45144.0)</f>
        <v>45144</v>
      </c>
      <c r="E671" s="7" t="str">
        <f>IFERROR(__xludf.DUMMYFUNCTION("""COMPUTED_VALUE"""),"FRANQUIA_D&amp;G_SP")</f>
        <v>FRANQUIA_D&amp;G_SP</v>
      </c>
      <c r="F671" s="7" t="str">
        <f>IFERROR(__xludf.DUMMYFUNCTION("""COMPUTED_VALUE"""),"BICYCLE")</f>
        <v>BICYCLE</v>
      </c>
      <c r="G671" s="7" t="str">
        <f>IFERROR(__xludf.DUMMYFUNCTION("""COMPUTED_VALUE"""),"SAO PAULO")</f>
        <v>SAO PAULO</v>
      </c>
    </row>
    <row r="672">
      <c r="A672" s="6">
        <f>IFERROR(__xludf.DUMMYFUNCTION("""COMPUTED_VALUE"""),45705.0)</f>
        <v>45705</v>
      </c>
      <c r="B672" s="7" t="str">
        <f>IFERROR(__xludf.DUMMYFUNCTION("""COMPUTED_VALUE"""),"f7a66dde-71a9-48a2-840c-8996279b6c81")</f>
        <v>f7a66dde-71a9-48a2-840c-8996279b6c81</v>
      </c>
      <c r="C672" s="7">
        <f>IFERROR(__xludf.DUMMYFUNCTION("""COMPUTED_VALUE"""),0.0)</f>
        <v>0</v>
      </c>
      <c r="D672" s="6">
        <f>IFERROR(__xludf.DUMMYFUNCTION("""COMPUTED_VALUE"""),45705.0)</f>
        <v>45705</v>
      </c>
      <c r="E672" s="7" t="str">
        <f>IFERROR(__xludf.DUMMYFUNCTION("""COMPUTED_VALUE"""),"FRANQUIA_D&amp;G_SP")</f>
        <v>FRANQUIA_D&amp;G_SP</v>
      </c>
      <c r="F672" s="7" t="str">
        <f>IFERROR(__xludf.DUMMYFUNCTION("""COMPUTED_VALUE"""),"MOTORCYCLE")</f>
        <v>MOTORCYCLE</v>
      </c>
      <c r="G672" s="7" t="str">
        <f>IFERROR(__xludf.DUMMYFUNCTION("""COMPUTED_VALUE"""),"SAO PAULO")</f>
        <v>SAO PAULO</v>
      </c>
    </row>
    <row r="673">
      <c r="A673" s="6">
        <f>IFERROR(__xludf.DUMMYFUNCTION("""COMPUTED_VALUE"""),45705.0)</f>
        <v>45705</v>
      </c>
      <c r="B673" s="7" t="str">
        <f>IFERROR(__xludf.DUMMYFUNCTION("""COMPUTED_VALUE"""),"1eeba0c2-e9c6-4c23-af91-d0d9e0108602")</f>
        <v>1eeba0c2-e9c6-4c23-af91-d0d9e0108602</v>
      </c>
      <c r="C673" s="7">
        <f>IFERROR(__xludf.DUMMYFUNCTION("""COMPUTED_VALUE"""),0.0)</f>
        <v>0</v>
      </c>
      <c r="D673" s="6">
        <f>IFERROR(__xludf.DUMMYFUNCTION("""COMPUTED_VALUE"""),45705.0)</f>
        <v>45705</v>
      </c>
      <c r="E673" s="7" t="str">
        <f>IFERROR(__xludf.DUMMYFUNCTION("""COMPUTED_VALUE"""),"FRANQUIA_D&amp;G_SP")</f>
        <v>FRANQUIA_D&amp;G_SP</v>
      </c>
      <c r="F673" s="7" t="str">
        <f>IFERROR(__xludf.DUMMYFUNCTION("""COMPUTED_VALUE"""),"MOTORCYCLE")</f>
        <v>MOTORCYCLE</v>
      </c>
      <c r="G673" s="7" t="str">
        <f>IFERROR(__xludf.DUMMYFUNCTION("""COMPUTED_VALUE"""),"SAO PAULO")</f>
        <v>SAO PAULO</v>
      </c>
    </row>
    <row r="674">
      <c r="A674" s="6">
        <f>IFERROR(__xludf.DUMMYFUNCTION("""COMPUTED_VALUE"""),45705.0)</f>
        <v>45705</v>
      </c>
      <c r="B674" s="7" t="str">
        <f>IFERROR(__xludf.DUMMYFUNCTION("""COMPUTED_VALUE"""),"c02c9b77-1c82-457b-a857-caf54fdf4327")</f>
        <v>c02c9b77-1c82-457b-a857-caf54fdf4327</v>
      </c>
      <c r="C674" s="7">
        <f>IFERROR(__xludf.DUMMYFUNCTION("""COMPUTED_VALUE"""),57.0)</f>
        <v>57</v>
      </c>
      <c r="D674" s="6">
        <f>IFERROR(__xludf.DUMMYFUNCTION("""COMPUTED_VALUE"""),45648.0)</f>
        <v>45648</v>
      </c>
      <c r="E674" s="7" t="str">
        <f>IFERROR(__xludf.DUMMYFUNCTION("""COMPUTED_VALUE"""),"FRANQUIA_D&amp;G_SP")</f>
        <v>FRANQUIA_D&amp;G_SP</v>
      </c>
      <c r="F674" s="7" t="str">
        <f>IFERROR(__xludf.DUMMYFUNCTION("""COMPUTED_VALUE"""),"MOTORCYCLE")</f>
        <v>MOTORCYCLE</v>
      </c>
      <c r="G674" s="7" t="str">
        <f>IFERROR(__xludf.DUMMYFUNCTION("""COMPUTED_VALUE"""),"SAO PAULO")</f>
        <v>SAO PAULO</v>
      </c>
    </row>
    <row r="675">
      <c r="A675" s="6">
        <f>IFERROR(__xludf.DUMMYFUNCTION("""COMPUTED_VALUE"""),45705.0)</f>
        <v>45705</v>
      </c>
      <c r="B675" s="7" t="str">
        <f>IFERROR(__xludf.DUMMYFUNCTION("""COMPUTED_VALUE"""),"11ba3bfc-81c8-403f-aa3f-8e65c410073c")</f>
        <v>11ba3bfc-81c8-403f-aa3f-8e65c410073c</v>
      </c>
      <c r="C675" s="7">
        <f>IFERROR(__xludf.DUMMYFUNCTION("""COMPUTED_VALUE"""),1.0)</f>
        <v>1</v>
      </c>
      <c r="D675" s="6">
        <f>IFERROR(__xludf.DUMMYFUNCTION("""COMPUTED_VALUE"""),45704.0)</f>
        <v>45704</v>
      </c>
      <c r="E675" s="7" t="str">
        <f>IFERROR(__xludf.DUMMYFUNCTION("""COMPUTED_VALUE"""),"FRANQUIA_D&amp;G_SP")</f>
        <v>FRANQUIA_D&amp;G_SP</v>
      </c>
      <c r="F675" s="7" t="str">
        <f>IFERROR(__xludf.DUMMYFUNCTION("""COMPUTED_VALUE"""),"MOTORCYCLE")</f>
        <v>MOTORCYCLE</v>
      </c>
      <c r="G675" s="7" t="str">
        <f>IFERROR(__xludf.DUMMYFUNCTION("""COMPUTED_VALUE"""),"ABC")</f>
        <v>ABC</v>
      </c>
    </row>
    <row r="676">
      <c r="A676" s="6">
        <f>IFERROR(__xludf.DUMMYFUNCTION("""COMPUTED_VALUE"""),45705.0)</f>
        <v>45705</v>
      </c>
      <c r="B676" s="7" t="str">
        <f>IFERROR(__xludf.DUMMYFUNCTION("""COMPUTED_VALUE"""),"63ca1304-39b4-43c3-864e-e6e6af9d09ec")</f>
        <v>63ca1304-39b4-43c3-864e-e6e6af9d09ec</v>
      </c>
      <c r="C676" s="7">
        <f>IFERROR(__xludf.DUMMYFUNCTION("""COMPUTED_VALUE"""),138.0)</f>
        <v>138</v>
      </c>
      <c r="D676" s="6">
        <f>IFERROR(__xludf.DUMMYFUNCTION("""COMPUTED_VALUE"""),45567.0)</f>
        <v>45567</v>
      </c>
      <c r="E676" s="7" t="str">
        <f>IFERROR(__xludf.DUMMYFUNCTION("""COMPUTED_VALUE"""),"FRANQUIA_D&amp;G_SP")</f>
        <v>FRANQUIA_D&amp;G_SP</v>
      </c>
      <c r="F676" s="7" t="str">
        <f>IFERROR(__xludf.DUMMYFUNCTION("""COMPUTED_VALUE"""),"MOTORCYCLE")</f>
        <v>MOTORCYCLE</v>
      </c>
      <c r="G676" s="7" t="str">
        <f>IFERROR(__xludf.DUMMYFUNCTION("""COMPUTED_VALUE"""),"SAO PAULO")</f>
        <v>SAO PAULO</v>
      </c>
    </row>
    <row r="677">
      <c r="A677" s="6">
        <f>IFERROR(__xludf.DUMMYFUNCTION("""COMPUTED_VALUE"""),45705.0)</f>
        <v>45705</v>
      </c>
      <c r="B677" s="7" t="str">
        <f>IFERROR(__xludf.DUMMYFUNCTION("""COMPUTED_VALUE"""),"f5b18077-47f3-44b6-8201-ba5d2def4a4f")</f>
        <v>f5b18077-47f3-44b6-8201-ba5d2def4a4f</v>
      </c>
      <c r="C677" s="7">
        <f>IFERROR(__xludf.DUMMYFUNCTION("""COMPUTED_VALUE"""),0.0)</f>
        <v>0</v>
      </c>
      <c r="D677" s="6">
        <f>IFERROR(__xludf.DUMMYFUNCTION("""COMPUTED_VALUE"""),45705.0)</f>
        <v>45705</v>
      </c>
      <c r="E677" s="7" t="str">
        <f>IFERROR(__xludf.DUMMYFUNCTION("""COMPUTED_VALUE"""),"FRANQUIA_D&amp;G_SP")</f>
        <v>FRANQUIA_D&amp;G_SP</v>
      </c>
      <c r="F677" s="7" t="str">
        <f>IFERROR(__xludf.DUMMYFUNCTION("""COMPUTED_VALUE"""),"MOTORCYCLE")</f>
        <v>MOTORCYCLE</v>
      </c>
      <c r="G677" s="7" t="str">
        <f>IFERROR(__xludf.DUMMYFUNCTION("""COMPUTED_VALUE"""),"SAO PAULO")</f>
        <v>SAO PAULO</v>
      </c>
    </row>
    <row r="678">
      <c r="A678" s="6">
        <f>IFERROR(__xludf.DUMMYFUNCTION("""COMPUTED_VALUE"""),45705.0)</f>
        <v>45705</v>
      </c>
      <c r="B678" s="7" t="str">
        <f>IFERROR(__xludf.DUMMYFUNCTION("""COMPUTED_VALUE"""),"d6b3126a-48fb-48c5-9394-a137b8fed69a")</f>
        <v>d6b3126a-48fb-48c5-9394-a137b8fed69a</v>
      </c>
      <c r="C678" s="7">
        <f>IFERROR(__xludf.DUMMYFUNCTION("""COMPUTED_VALUE"""),0.0)</f>
        <v>0</v>
      </c>
      <c r="D678" s="6">
        <f>IFERROR(__xludf.DUMMYFUNCTION("""COMPUTED_VALUE"""),45705.0)</f>
        <v>45705</v>
      </c>
      <c r="E678" s="7" t="str">
        <f>IFERROR(__xludf.DUMMYFUNCTION("""COMPUTED_VALUE"""),"FRANQUIA_D&amp;G_SP")</f>
        <v>FRANQUIA_D&amp;G_SP</v>
      </c>
      <c r="F678" s="7" t="str">
        <f>IFERROR(__xludf.DUMMYFUNCTION("""COMPUTED_VALUE"""),"BICYCLE")</f>
        <v>BICYCLE</v>
      </c>
      <c r="G678" s="7" t="str">
        <f>IFERROR(__xludf.DUMMYFUNCTION("""COMPUTED_VALUE"""),"SAO PAULO")</f>
        <v>SAO PAULO</v>
      </c>
    </row>
    <row r="679">
      <c r="A679" s="6">
        <f>IFERROR(__xludf.DUMMYFUNCTION("""COMPUTED_VALUE"""),45705.0)</f>
        <v>45705</v>
      </c>
      <c r="B679" s="7" t="str">
        <f>IFERROR(__xludf.DUMMYFUNCTION("""COMPUTED_VALUE"""),"59872610-8823-48d7-98c2-64835c1a5f60")</f>
        <v>59872610-8823-48d7-98c2-64835c1a5f60</v>
      </c>
      <c r="C679" s="7">
        <f>IFERROR(__xludf.DUMMYFUNCTION("""COMPUTED_VALUE"""),588.0)</f>
        <v>588</v>
      </c>
      <c r="D679" s="6">
        <f>IFERROR(__xludf.DUMMYFUNCTION("""COMPUTED_VALUE"""),45117.0)</f>
        <v>45117</v>
      </c>
      <c r="E679" s="7" t="str">
        <f>IFERROR(__xludf.DUMMYFUNCTION("""COMPUTED_VALUE"""),"FRANQUIA_D&amp;G_SP")</f>
        <v>FRANQUIA_D&amp;G_SP</v>
      </c>
      <c r="F679" s="7" t="str">
        <f>IFERROR(__xludf.DUMMYFUNCTION("""COMPUTED_VALUE"""),"MOTORCYCLE")</f>
        <v>MOTORCYCLE</v>
      </c>
      <c r="G679" s="7" t="str">
        <f>IFERROR(__xludf.DUMMYFUNCTION("""COMPUTED_VALUE"""),"SAO PAULO")</f>
        <v>SAO PAULO</v>
      </c>
    </row>
    <row r="680">
      <c r="A680" s="6">
        <f>IFERROR(__xludf.DUMMYFUNCTION("""COMPUTED_VALUE"""),45705.0)</f>
        <v>45705</v>
      </c>
      <c r="B680" s="7" t="str">
        <f>IFERROR(__xludf.DUMMYFUNCTION("""COMPUTED_VALUE"""),"d15812d5-3412-4c58-a056-6245c942bd51")</f>
        <v>d15812d5-3412-4c58-a056-6245c942bd51</v>
      </c>
      <c r="C680" s="7">
        <f>IFERROR(__xludf.DUMMYFUNCTION("""COMPUTED_VALUE"""),1.0)</f>
        <v>1</v>
      </c>
      <c r="D680" s="6">
        <f>IFERROR(__xludf.DUMMYFUNCTION("""COMPUTED_VALUE"""),45704.0)</f>
        <v>45704</v>
      </c>
      <c r="E680" s="7" t="str">
        <f>IFERROR(__xludf.DUMMYFUNCTION("""COMPUTED_VALUE"""),"FRANQUIA_D&amp;G_SP")</f>
        <v>FRANQUIA_D&amp;G_SP</v>
      </c>
      <c r="F680" s="7" t="str">
        <f>IFERROR(__xludf.DUMMYFUNCTION("""COMPUTED_VALUE"""),"BICYCLE")</f>
        <v>BICYCLE</v>
      </c>
      <c r="G680" s="7" t="str">
        <f>IFERROR(__xludf.DUMMYFUNCTION("""COMPUTED_VALUE"""),"SAO PAULO")</f>
        <v>SAO PAULO</v>
      </c>
    </row>
    <row r="681">
      <c r="A681" s="6">
        <f>IFERROR(__xludf.DUMMYFUNCTION("""COMPUTED_VALUE"""),45705.0)</f>
        <v>45705</v>
      </c>
      <c r="B681" s="7" t="str">
        <f>IFERROR(__xludf.DUMMYFUNCTION("""COMPUTED_VALUE"""),"d08be7d6-c313-4029-9de8-7c8fb2bc97a4")</f>
        <v>d08be7d6-c313-4029-9de8-7c8fb2bc97a4</v>
      </c>
      <c r="C681" s="7">
        <f>IFERROR(__xludf.DUMMYFUNCTION("""COMPUTED_VALUE"""),1.0)</f>
        <v>1</v>
      </c>
      <c r="D681" s="6">
        <f>IFERROR(__xludf.DUMMYFUNCTION("""COMPUTED_VALUE"""),45704.0)</f>
        <v>45704</v>
      </c>
      <c r="E681" s="7" t="str">
        <f>IFERROR(__xludf.DUMMYFUNCTION("""COMPUTED_VALUE"""),"FRANQUIA_D&amp;G_SP")</f>
        <v>FRANQUIA_D&amp;G_SP</v>
      </c>
      <c r="F681" s="7" t="str">
        <f>IFERROR(__xludf.DUMMYFUNCTION("""COMPUTED_VALUE"""),"MOTORCYCLE")</f>
        <v>MOTORCYCLE</v>
      </c>
      <c r="G681" s="7" t="str">
        <f>IFERROR(__xludf.DUMMYFUNCTION("""COMPUTED_VALUE"""),"SAO PAULO")</f>
        <v>SAO PAULO</v>
      </c>
    </row>
    <row r="682">
      <c r="A682" s="6">
        <f>IFERROR(__xludf.DUMMYFUNCTION("""COMPUTED_VALUE"""),45705.0)</f>
        <v>45705</v>
      </c>
      <c r="B682" s="7" t="str">
        <f>IFERROR(__xludf.DUMMYFUNCTION("""COMPUTED_VALUE"""),"e81b80ca-cfab-4d28-b9e7-bd38c5349a2a")</f>
        <v>e81b80ca-cfab-4d28-b9e7-bd38c5349a2a</v>
      </c>
      <c r="C682" s="7">
        <f>IFERROR(__xludf.DUMMYFUNCTION("""COMPUTED_VALUE"""),3.0)</f>
        <v>3</v>
      </c>
      <c r="D682" s="6">
        <f>IFERROR(__xludf.DUMMYFUNCTION("""COMPUTED_VALUE"""),45702.0)</f>
        <v>45702</v>
      </c>
      <c r="E682" s="7" t="str">
        <f>IFERROR(__xludf.DUMMYFUNCTION("""COMPUTED_VALUE"""),"FRANQUIA_D&amp;G_SP")</f>
        <v>FRANQUIA_D&amp;G_SP</v>
      </c>
      <c r="F682" s="7" t="str">
        <f>IFERROR(__xludf.DUMMYFUNCTION("""COMPUTED_VALUE"""),"MOTORCYCLE")</f>
        <v>MOTORCYCLE</v>
      </c>
      <c r="G682" s="7" t="str">
        <f>IFERROR(__xludf.DUMMYFUNCTION("""COMPUTED_VALUE"""),"SAO PAULO")</f>
        <v>SAO PAULO</v>
      </c>
    </row>
    <row r="683">
      <c r="A683" s="6">
        <f>IFERROR(__xludf.DUMMYFUNCTION("""COMPUTED_VALUE"""),45705.0)</f>
        <v>45705</v>
      </c>
      <c r="B683" s="7" t="str">
        <f>IFERROR(__xludf.DUMMYFUNCTION("""COMPUTED_VALUE"""),"5396fe84-9d00-4807-af02-3834bb3674b2")</f>
        <v>5396fe84-9d00-4807-af02-3834bb3674b2</v>
      </c>
      <c r="C683" s="7">
        <f>IFERROR(__xludf.DUMMYFUNCTION("""COMPUTED_VALUE"""),5.0)</f>
        <v>5</v>
      </c>
      <c r="D683" s="6">
        <f>IFERROR(__xludf.DUMMYFUNCTION("""COMPUTED_VALUE"""),45700.0)</f>
        <v>45700</v>
      </c>
      <c r="E683" s="7" t="str">
        <f>IFERROR(__xludf.DUMMYFUNCTION("""COMPUTED_VALUE"""),"FRANQUIA_D&amp;G_SP")</f>
        <v>FRANQUIA_D&amp;G_SP</v>
      </c>
      <c r="F683" s="7" t="str">
        <f>IFERROR(__xludf.DUMMYFUNCTION("""COMPUTED_VALUE"""),"BICYCLE")</f>
        <v>BICYCLE</v>
      </c>
      <c r="G683" s="7" t="str">
        <f>IFERROR(__xludf.DUMMYFUNCTION("""COMPUTED_VALUE"""),"SAO PAULO")</f>
        <v>SAO PAULO</v>
      </c>
    </row>
    <row r="684">
      <c r="A684" s="6">
        <f>IFERROR(__xludf.DUMMYFUNCTION("""COMPUTED_VALUE"""),45705.0)</f>
        <v>45705</v>
      </c>
      <c r="B684" s="7" t="str">
        <f>IFERROR(__xludf.DUMMYFUNCTION("""COMPUTED_VALUE"""),"21f89bd7-45aa-4b7d-ae81-fd1f6e9c15b8")</f>
        <v>21f89bd7-45aa-4b7d-ae81-fd1f6e9c15b8</v>
      </c>
      <c r="C684" s="7">
        <f>IFERROR(__xludf.DUMMYFUNCTION("""COMPUTED_VALUE"""),0.0)</f>
        <v>0</v>
      </c>
      <c r="D684" s="6">
        <f>IFERROR(__xludf.DUMMYFUNCTION("""COMPUTED_VALUE"""),45705.0)</f>
        <v>45705</v>
      </c>
      <c r="E684" s="7" t="str">
        <f>IFERROR(__xludf.DUMMYFUNCTION("""COMPUTED_VALUE"""),"FRANQUIA_D&amp;G_SP")</f>
        <v>FRANQUIA_D&amp;G_SP</v>
      </c>
      <c r="F684" s="7" t="str">
        <f>IFERROR(__xludf.DUMMYFUNCTION("""COMPUTED_VALUE"""),"MOTORCYCLE")</f>
        <v>MOTORCYCLE</v>
      </c>
      <c r="G684" s="7" t="str">
        <f>IFERROR(__xludf.DUMMYFUNCTION("""COMPUTED_VALUE"""),"SAO PAULO")</f>
        <v>SAO PAULO</v>
      </c>
    </row>
    <row r="685">
      <c r="A685" s="6">
        <f>IFERROR(__xludf.DUMMYFUNCTION("""COMPUTED_VALUE"""),45705.0)</f>
        <v>45705</v>
      </c>
      <c r="B685" s="7" t="str">
        <f>IFERROR(__xludf.DUMMYFUNCTION("""COMPUTED_VALUE"""),"973f1611-8c55-40f7-b19d-d546a7b5fd76")</f>
        <v>973f1611-8c55-40f7-b19d-d546a7b5fd76</v>
      </c>
      <c r="C685" s="7">
        <f>IFERROR(__xludf.DUMMYFUNCTION("""COMPUTED_VALUE"""),39.0)</f>
        <v>39</v>
      </c>
      <c r="D685" s="6">
        <f>IFERROR(__xludf.DUMMYFUNCTION("""COMPUTED_VALUE"""),45666.0)</f>
        <v>45666</v>
      </c>
      <c r="E685" s="7" t="str">
        <f>IFERROR(__xludf.DUMMYFUNCTION("""COMPUTED_VALUE"""),"FRANQUIA_D&amp;G_SP")</f>
        <v>FRANQUIA_D&amp;G_SP</v>
      </c>
      <c r="F685" s="7" t="str">
        <f>IFERROR(__xludf.DUMMYFUNCTION("""COMPUTED_VALUE"""),"MOTORCYCLE")</f>
        <v>MOTORCYCLE</v>
      </c>
      <c r="G685" s="7" t="str">
        <f>IFERROR(__xludf.DUMMYFUNCTION("""COMPUTED_VALUE"""),"SAO PAULO")</f>
        <v>SAO PAULO</v>
      </c>
    </row>
    <row r="686">
      <c r="A686" s="6">
        <f>IFERROR(__xludf.DUMMYFUNCTION("""COMPUTED_VALUE"""),45705.0)</f>
        <v>45705</v>
      </c>
      <c r="B686" s="7" t="str">
        <f>IFERROR(__xludf.DUMMYFUNCTION("""COMPUTED_VALUE"""),"bee87203-7fcb-4ff5-aad0-cd83546a6fd7")</f>
        <v>bee87203-7fcb-4ff5-aad0-cd83546a6fd7</v>
      </c>
      <c r="C686" s="7">
        <f>IFERROR(__xludf.DUMMYFUNCTION("""COMPUTED_VALUE"""),0.0)</f>
        <v>0</v>
      </c>
      <c r="D686" s="6">
        <f>IFERROR(__xludf.DUMMYFUNCTION("""COMPUTED_VALUE"""),0.0)</f>
        <v>0</v>
      </c>
      <c r="E686" s="7" t="str">
        <f>IFERROR(__xludf.DUMMYFUNCTION("""COMPUTED_VALUE"""),"FRANQUIA_D&amp;G_SP")</f>
        <v>FRANQUIA_D&amp;G_SP</v>
      </c>
      <c r="F686" s="7" t="str">
        <f>IFERROR(__xludf.DUMMYFUNCTION("""COMPUTED_VALUE"""),"BICYCLE")</f>
        <v>BICYCLE</v>
      </c>
      <c r="G686" s="7" t="str">
        <f>IFERROR(__xludf.DUMMYFUNCTION("""COMPUTED_VALUE"""),"0")</f>
        <v>0</v>
      </c>
    </row>
    <row r="687">
      <c r="A687" s="6">
        <f>IFERROR(__xludf.DUMMYFUNCTION("""COMPUTED_VALUE"""),45705.0)</f>
        <v>45705</v>
      </c>
      <c r="B687" s="7" t="str">
        <f>IFERROR(__xludf.DUMMYFUNCTION("""COMPUTED_VALUE"""),"438abf93-a75d-45aa-b346-cc40966c898e")</f>
        <v>438abf93-a75d-45aa-b346-cc40966c898e</v>
      </c>
      <c r="C687" s="7">
        <f>IFERROR(__xludf.DUMMYFUNCTION("""COMPUTED_VALUE"""),0.0)</f>
        <v>0</v>
      </c>
      <c r="D687" s="6">
        <f>IFERROR(__xludf.DUMMYFUNCTION("""COMPUTED_VALUE"""),45705.0)</f>
        <v>45705</v>
      </c>
      <c r="E687" s="7" t="str">
        <f>IFERROR(__xludf.DUMMYFUNCTION("""COMPUTED_VALUE"""),"FRANQUIA_D&amp;G_SP")</f>
        <v>FRANQUIA_D&amp;G_SP</v>
      </c>
      <c r="F687" s="7" t="str">
        <f>IFERROR(__xludf.DUMMYFUNCTION("""COMPUTED_VALUE"""),"MOTORCYCLE")</f>
        <v>MOTORCYCLE</v>
      </c>
      <c r="G687" s="7" t="str">
        <f>IFERROR(__xludf.DUMMYFUNCTION("""COMPUTED_VALUE"""),"BELO HORIZONTE")</f>
        <v>BELO HORIZONTE</v>
      </c>
    </row>
    <row r="688">
      <c r="A688" s="6">
        <f>IFERROR(__xludf.DUMMYFUNCTION("""COMPUTED_VALUE"""),45705.0)</f>
        <v>45705</v>
      </c>
      <c r="B688" s="7" t="str">
        <f>IFERROR(__xludf.DUMMYFUNCTION("""COMPUTED_VALUE"""),"d3a455ea-dddb-4c6b-bb19-a03e570aa147")</f>
        <v>d3a455ea-dddb-4c6b-bb19-a03e570aa147</v>
      </c>
      <c r="C688" s="7">
        <f>IFERROR(__xludf.DUMMYFUNCTION("""COMPUTED_VALUE"""),0.0)</f>
        <v>0</v>
      </c>
      <c r="D688" s="6">
        <f>IFERROR(__xludf.DUMMYFUNCTION("""COMPUTED_VALUE"""),0.0)</f>
        <v>0</v>
      </c>
      <c r="E688" s="7" t="str">
        <f>IFERROR(__xludf.DUMMYFUNCTION("""COMPUTED_VALUE"""),"FRANQUIA_D&amp;G_SP")</f>
        <v>FRANQUIA_D&amp;G_SP</v>
      </c>
      <c r="F688" s="7" t="str">
        <f>IFERROR(__xludf.DUMMYFUNCTION("""COMPUTED_VALUE"""),"BICYCLE")</f>
        <v>BICYCLE</v>
      </c>
      <c r="G688" s="7" t="str">
        <f>IFERROR(__xludf.DUMMYFUNCTION("""COMPUTED_VALUE"""),"0")</f>
        <v>0</v>
      </c>
    </row>
    <row r="689">
      <c r="A689" s="6">
        <f>IFERROR(__xludf.DUMMYFUNCTION("""COMPUTED_VALUE"""),45705.0)</f>
        <v>45705</v>
      </c>
      <c r="B689" s="7" t="str">
        <f>IFERROR(__xludf.DUMMYFUNCTION("""COMPUTED_VALUE"""),"bea0b23d-554b-45f3-9bdd-5481a30d1ce8")</f>
        <v>bea0b23d-554b-45f3-9bdd-5481a30d1ce8</v>
      </c>
      <c r="C689" s="7">
        <f>IFERROR(__xludf.DUMMYFUNCTION("""COMPUTED_VALUE"""),0.0)</f>
        <v>0</v>
      </c>
      <c r="D689" s="6">
        <f>IFERROR(__xludf.DUMMYFUNCTION("""COMPUTED_VALUE"""),45705.0)</f>
        <v>45705</v>
      </c>
      <c r="E689" s="7" t="str">
        <f>IFERROR(__xludf.DUMMYFUNCTION("""COMPUTED_VALUE"""),"FRANQUIA_D&amp;G_SP")</f>
        <v>FRANQUIA_D&amp;G_SP</v>
      </c>
      <c r="F689" s="7" t="str">
        <f>IFERROR(__xludf.DUMMYFUNCTION("""COMPUTED_VALUE"""),"BICYCLE")</f>
        <v>BICYCLE</v>
      </c>
      <c r="G689" s="7" t="str">
        <f>IFERROR(__xludf.DUMMYFUNCTION("""COMPUTED_VALUE"""),"SAO PAULO")</f>
        <v>SAO PAULO</v>
      </c>
    </row>
    <row r="690">
      <c r="A690" s="6">
        <f>IFERROR(__xludf.DUMMYFUNCTION("""COMPUTED_VALUE"""),45705.0)</f>
        <v>45705</v>
      </c>
      <c r="B690" s="7" t="str">
        <f>IFERROR(__xludf.DUMMYFUNCTION("""COMPUTED_VALUE"""),"761455ed-6eec-4553-af21-e9d42a3549ee")</f>
        <v>761455ed-6eec-4553-af21-e9d42a3549ee</v>
      </c>
      <c r="C690" s="7">
        <f>IFERROR(__xludf.DUMMYFUNCTION("""COMPUTED_VALUE"""),0.0)</f>
        <v>0</v>
      </c>
      <c r="D690" s="6">
        <f>IFERROR(__xludf.DUMMYFUNCTION("""COMPUTED_VALUE"""),45705.0)</f>
        <v>45705</v>
      </c>
      <c r="E690" s="7" t="str">
        <f>IFERROR(__xludf.DUMMYFUNCTION("""COMPUTED_VALUE"""),"FRANQUIA_D&amp;G_SP")</f>
        <v>FRANQUIA_D&amp;G_SP</v>
      </c>
      <c r="F690" s="7" t="str">
        <f>IFERROR(__xludf.DUMMYFUNCTION("""COMPUTED_VALUE"""),"MOTORCYCLE")</f>
        <v>MOTORCYCLE</v>
      </c>
      <c r="G690" s="7" t="str">
        <f>IFERROR(__xludf.DUMMYFUNCTION("""COMPUTED_VALUE"""),"SAO PAULO")</f>
        <v>SAO PAULO</v>
      </c>
    </row>
    <row r="691">
      <c r="A691" s="6">
        <f>IFERROR(__xludf.DUMMYFUNCTION("""COMPUTED_VALUE"""),45705.0)</f>
        <v>45705</v>
      </c>
      <c r="B691" s="7" t="str">
        <f>IFERROR(__xludf.DUMMYFUNCTION("""COMPUTED_VALUE"""),"42f67e30-c356-4f01-bfc3-5b36b7d95f15")</f>
        <v>42f67e30-c356-4f01-bfc3-5b36b7d95f15</v>
      </c>
      <c r="C691" s="7">
        <f>IFERROR(__xludf.DUMMYFUNCTION("""COMPUTED_VALUE"""),260.0)</f>
        <v>260</v>
      </c>
      <c r="D691" s="6">
        <f>IFERROR(__xludf.DUMMYFUNCTION("""COMPUTED_VALUE"""),45445.0)</f>
        <v>45445</v>
      </c>
      <c r="E691" s="7" t="str">
        <f>IFERROR(__xludf.DUMMYFUNCTION("""COMPUTED_VALUE"""),"FRANQUIA_D&amp;G_SP")</f>
        <v>FRANQUIA_D&amp;G_SP</v>
      </c>
      <c r="F691" s="7" t="str">
        <f>IFERROR(__xludf.DUMMYFUNCTION("""COMPUTED_VALUE"""),"MOTORCYCLE")</f>
        <v>MOTORCYCLE</v>
      </c>
      <c r="G691" s="7" t="str">
        <f>IFERROR(__xludf.DUMMYFUNCTION("""COMPUTED_VALUE"""),"SAO PAULO")</f>
        <v>SAO PAULO</v>
      </c>
    </row>
    <row r="692">
      <c r="A692" s="6">
        <f>IFERROR(__xludf.DUMMYFUNCTION("""COMPUTED_VALUE"""),45705.0)</f>
        <v>45705</v>
      </c>
      <c r="B692" s="7" t="str">
        <f>IFERROR(__xludf.DUMMYFUNCTION("""COMPUTED_VALUE"""),"f9654ae3-2b96-47fd-bf80-448692ad8b40")</f>
        <v>f9654ae3-2b96-47fd-bf80-448692ad8b40</v>
      </c>
      <c r="C692" s="7">
        <f>IFERROR(__xludf.DUMMYFUNCTION("""COMPUTED_VALUE"""),0.0)</f>
        <v>0</v>
      </c>
      <c r="D692" s="6">
        <f>IFERROR(__xludf.DUMMYFUNCTION("""COMPUTED_VALUE"""),45705.0)</f>
        <v>45705</v>
      </c>
      <c r="E692" s="7" t="str">
        <f>IFERROR(__xludf.DUMMYFUNCTION("""COMPUTED_VALUE"""),"FRANQUIA_D&amp;G_SP")</f>
        <v>FRANQUIA_D&amp;G_SP</v>
      </c>
      <c r="F692" s="7" t="str">
        <f>IFERROR(__xludf.DUMMYFUNCTION("""COMPUTED_VALUE"""),"MOTORCYCLE")</f>
        <v>MOTORCYCLE</v>
      </c>
      <c r="G692" s="7" t="str">
        <f>IFERROR(__xludf.DUMMYFUNCTION("""COMPUTED_VALUE"""),"SAO PAULO")</f>
        <v>SAO PAULO</v>
      </c>
    </row>
    <row r="693">
      <c r="A693" s="6">
        <f>IFERROR(__xludf.DUMMYFUNCTION("""COMPUTED_VALUE"""),45705.0)</f>
        <v>45705</v>
      </c>
      <c r="B693" s="7" t="str">
        <f>IFERROR(__xludf.DUMMYFUNCTION("""COMPUTED_VALUE"""),"351eb114-7ef4-49d3-9123-42601a61f430")</f>
        <v>351eb114-7ef4-49d3-9123-42601a61f430</v>
      </c>
      <c r="C693" s="7">
        <f>IFERROR(__xludf.DUMMYFUNCTION("""COMPUTED_VALUE"""),0.0)</f>
        <v>0</v>
      </c>
      <c r="D693" s="6">
        <f>IFERROR(__xludf.DUMMYFUNCTION("""COMPUTED_VALUE"""),45705.0)</f>
        <v>45705</v>
      </c>
      <c r="E693" s="7" t="str">
        <f>IFERROR(__xludf.DUMMYFUNCTION("""COMPUTED_VALUE"""),"FRANQUIA_D&amp;G_SP")</f>
        <v>FRANQUIA_D&amp;G_SP</v>
      </c>
      <c r="F693" s="7" t="str">
        <f>IFERROR(__xludf.DUMMYFUNCTION("""COMPUTED_VALUE"""),"MOTORCYCLE")</f>
        <v>MOTORCYCLE</v>
      </c>
      <c r="G693" s="7" t="str">
        <f>IFERROR(__xludf.DUMMYFUNCTION("""COMPUTED_VALUE"""),"SAO PAULO")</f>
        <v>SAO PAULO</v>
      </c>
    </row>
    <row r="694">
      <c r="A694" s="6">
        <f>IFERROR(__xludf.DUMMYFUNCTION("""COMPUTED_VALUE"""),45705.0)</f>
        <v>45705</v>
      </c>
      <c r="B694" s="7" t="str">
        <f>IFERROR(__xludf.DUMMYFUNCTION("""COMPUTED_VALUE"""),"a25486bf-0b0b-482c-a785-6184a8c6487e")</f>
        <v>a25486bf-0b0b-482c-a785-6184a8c6487e</v>
      </c>
      <c r="C694" s="7">
        <f>IFERROR(__xludf.DUMMYFUNCTION("""COMPUTED_VALUE"""),835.0)</f>
        <v>835</v>
      </c>
      <c r="D694" s="6">
        <f>IFERROR(__xludf.DUMMYFUNCTION("""COMPUTED_VALUE"""),44870.0)</f>
        <v>44870</v>
      </c>
      <c r="E694" s="7" t="str">
        <f>IFERROR(__xludf.DUMMYFUNCTION("""COMPUTED_VALUE"""),"FRANQUIA_D&amp;G_SP")</f>
        <v>FRANQUIA_D&amp;G_SP</v>
      </c>
      <c r="F694" s="7" t="str">
        <f>IFERROR(__xludf.DUMMYFUNCTION("""COMPUTED_VALUE"""),"BICYCLE")</f>
        <v>BICYCLE</v>
      </c>
      <c r="G694" s="7" t="str">
        <f>IFERROR(__xludf.DUMMYFUNCTION("""COMPUTED_VALUE"""),"SAO PAULO")</f>
        <v>SAO PAULO</v>
      </c>
    </row>
    <row r="695">
      <c r="A695" s="6">
        <f>IFERROR(__xludf.DUMMYFUNCTION("""COMPUTED_VALUE"""),45705.0)</f>
        <v>45705</v>
      </c>
      <c r="B695" s="7" t="str">
        <f>IFERROR(__xludf.DUMMYFUNCTION("""COMPUTED_VALUE"""),"d5880d03-fa3e-45bb-8d2b-54e529638021")</f>
        <v>d5880d03-fa3e-45bb-8d2b-54e529638021</v>
      </c>
      <c r="C695" s="7">
        <f>IFERROR(__xludf.DUMMYFUNCTION("""COMPUTED_VALUE"""),24.0)</f>
        <v>24</v>
      </c>
      <c r="D695" s="6">
        <f>IFERROR(__xludf.DUMMYFUNCTION("""COMPUTED_VALUE"""),45681.0)</f>
        <v>45681</v>
      </c>
      <c r="E695" s="7" t="str">
        <f>IFERROR(__xludf.DUMMYFUNCTION("""COMPUTED_VALUE"""),"FRANQUIA_D&amp;G_SP")</f>
        <v>FRANQUIA_D&amp;G_SP</v>
      </c>
      <c r="F695" s="7" t="str">
        <f>IFERROR(__xludf.DUMMYFUNCTION("""COMPUTED_VALUE"""),"BICYCLE")</f>
        <v>BICYCLE</v>
      </c>
      <c r="G695" s="7" t="str">
        <f>IFERROR(__xludf.DUMMYFUNCTION("""COMPUTED_VALUE"""),"SAO PAULO")</f>
        <v>SAO PAULO</v>
      </c>
    </row>
    <row r="696">
      <c r="A696" s="6">
        <f>IFERROR(__xludf.DUMMYFUNCTION("""COMPUTED_VALUE"""),45705.0)</f>
        <v>45705</v>
      </c>
      <c r="B696" s="7" t="str">
        <f>IFERROR(__xludf.DUMMYFUNCTION("""COMPUTED_VALUE"""),"7936ac78-5879-4c2e-9a71-cf6786fdd8dc")</f>
        <v>7936ac78-5879-4c2e-9a71-cf6786fdd8dc</v>
      </c>
      <c r="C696" s="7">
        <f>IFERROR(__xludf.DUMMYFUNCTION("""COMPUTED_VALUE"""),0.0)</f>
        <v>0</v>
      </c>
      <c r="D696" s="6">
        <f>IFERROR(__xludf.DUMMYFUNCTION("""COMPUTED_VALUE"""),45705.0)</f>
        <v>45705</v>
      </c>
      <c r="E696" s="7" t="str">
        <f>IFERROR(__xludf.DUMMYFUNCTION("""COMPUTED_VALUE"""),"FRANQUIA_D&amp;G_SP")</f>
        <v>FRANQUIA_D&amp;G_SP</v>
      </c>
      <c r="F696" s="7" t="str">
        <f>IFERROR(__xludf.DUMMYFUNCTION("""COMPUTED_VALUE"""),"BICYCLE")</f>
        <v>BICYCLE</v>
      </c>
      <c r="G696" s="7" t="str">
        <f>IFERROR(__xludf.DUMMYFUNCTION("""COMPUTED_VALUE"""),"SAO PAULO")</f>
        <v>SAO PAULO</v>
      </c>
    </row>
    <row r="697">
      <c r="A697" s="6">
        <f>IFERROR(__xludf.DUMMYFUNCTION("""COMPUTED_VALUE"""),45705.0)</f>
        <v>45705</v>
      </c>
      <c r="B697" s="7" t="str">
        <f>IFERROR(__xludf.DUMMYFUNCTION("""COMPUTED_VALUE"""),"9a0f44e0-4920-4928-9d3e-959e80211d4b")</f>
        <v>9a0f44e0-4920-4928-9d3e-959e80211d4b</v>
      </c>
      <c r="C697" s="7">
        <f>IFERROR(__xludf.DUMMYFUNCTION("""COMPUTED_VALUE"""),6.0)</f>
        <v>6</v>
      </c>
      <c r="D697" s="6">
        <f>IFERROR(__xludf.DUMMYFUNCTION("""COMPUTED_VALUE"""),45699.0)</f>
        <v>45699</v>
      </c>
      <c r="E697" s="7" t="str">
        <f>IFERROR(__xludf.DUMMYFUNCTION("""COMPUTED_VALUE"""),"FRANQUIA_D&amp;G_SP")</f>
        <v>FRANQUIA_D&amp;G_SP</v>
      </c>
      <c r="F697" s="7" t="str">
        <f>IFERROR(__xludf.DUMMYFUNCTION("""COMPUTED_VALUE"""),"MOTORCYCLE")</f>
        <v>MOTORCYCLE</v>
      </c>
      <c r="G697" s="7" t="str">
        <f>IFERROR(__xludf.DUMMYFUNCTION("""COMPUTED_VALUE"""),"SAO PAULO")</f>
        <v>SAO PAULO</v>
      </c>
    </row>
    <row r="698">
      <c r="A698" s="6">
        <f>IFERROR(__xludf.DUMMYFUNCTION("""COMPUTED_VALUE"""),45705.0)</f>
        <v>45705</v>
      </c>
      <c r="B698" s="7" t="str">
        <f>IFERROR(__xludf.DUMMYFUNCTION("""COMPUTED_VALUE"""),"a9cfb88a-4256-44c3-83b9-f04ec02f4647")</f>
        <v>a9cfb88a-4256-44c3-83b9-f04ec02f4647</v>
      </c>
      <c r="C698" s="7">
        <f>IFERROR(__xludf.DUMMYFUNCTION("""COMPUTED_VALUE"""),116.0)</f>
        <v>116</v>
      </c>
      <c r="D698" s="6">
        <f>IFERROR(__xludf.DUMMYFUNCTION("""COMPUTED_VALUE"""),45589.0)</f>
        <v>45589</v>
      </c>
      <c r="E698" s="7" t="str">
        <f>IFERROR(__xludf.DUMMYFUNCTION("""COMPUTED_VALUE"""),"FRANQUIA_D&amp;G_SP")</f>
        <v>FRANQUIA_D&amp;G_SP</v>
      </c>
      <c r="F698" s="7" t="str">
        <f>IFERROR(__xludf.DUMMYFUNCTION("""COMPUTED_VALUE"""),"BICYCLE")</f>
        <v>BICYCLE</v>
      </c>
      <c r="G698" s="7" t="str">
        <f>IFERROR(__xludf.DUMMYFUNCTION("""COMPUTED_VALUE"""),"SAO PAULO")</f>
        <v>SAO PAULO</v>
      </c>
    </row>
    <row r="699">
      <c r="A699" s="6">
        <f>IFERROR(__xludf.DUMMYFUNCTION("""COMPUTED_VALUE"""),45705.0)</f>
        <v>45705</v>
      </c>
      <c r="B699" s="7" t="str">
        <f>IFERROR(__xludf.DUMMYFUNCTION("""COMPUTED_VALUE"""),"6c039180-9218-4704-8f72-571748e9aacd")</f>
        <v>6c039180-9218-4704-8f72-571748e9aacd</v>
      </c>
      <c r="C699" s="7">
        <f>IFERROR(__xludf.DUMMYFUNCTION("""COMPUTED_VALUE"""),143.0)</f>
        <v>143</v>
      </c>
      <c r="D699" s="6">
        <f>IFERROR(__xludf.DUMMYFUNCTION("""COMPUTED_VALUE"""),45562.0)</f>
        <v>45562</v>
      </c>
      <c r="E699" s="7" t="str">
        <f>IFERROR(__xludf.DUMMYFUNCTION("""COMPUTED_VALUE"""),"FRANQUIA_D&amp;G_SP")</f>
        <v>FRANQUIA_D&amp;G_SP</v>
      </c>
      <c r="F699" s="7" t="str">
        <f>IFERROR(__xludf.DUMMYFUNCTION("""COMPUTED_VALUE"""),"BICYCLE")</f>
        <v>BICYCLE</v>
      </c>
      <c r="G699" s="7" t="str">
        <f>IFERROR(__xludf.DUMMYFUNCTION("""COMPUTED_VALUE"""),"SAO PAULO")</f>
        <v>SAO PAULO</v>
      </c>
    </row>
    <row r="700">
      <c r="A700" s="6">
        <f>IFERROR(__xludf.DUMMYFUNCTION("""COMPUTED_VALUE"""),45705.0)</f>
        <v>45705</v>
      </c>
      <c r="B700" s="7" t="str">
        <f>IFERROR(__xludf.DUMMYFUNCTION("""COMPUTED_VALUE"""),"eaf41b80-b14c-49eb-ba52-c8b9b701c08b")</f>
        <v>eaf41b80-b14c-49eb-ba52-c8b9b701c08b</v>
      </c>
      <c r="C700" s="7">
        <f>IFERROR(__xludf.DUMMYFUNCTION("""COMPUTED_VALUE"""),0.0)</f>
        <v>0</v>
      </c>
      <c r="D700" s="6">
        <f>IFERROR(__xludf.DUMMYFUNCTION("""COMPUTED_VALUE"""),45705.0)</f>
        <v>45705</v>
      </c>
      <c r="E700" s="7" t="str">
        <f>IFERROR(__xludf.DUMMYFUNCTION("""COMPUTED_VALUE"""),"FRANQUIA_D&amp;G_SP")</f>
        <v>FRANQUIA_D&amp;G_SP</v>
      </c>
      <c r="F700" s="7" t="str">
        <f>IFERROR(__xludf.DUMMYFUNCTION("""COMPUTED_VALUE"""),"MOTORCYCLE")</f>
        <v>MOTORCYCLE</v>
      </c>
      <c r="G700" s="7" t="str">
        <f>IFERROR(__xludf.DUMMYFUNCTION("""COMPUTED_VALUE"""),"SAO PAULO")</f>
        <v>SAO PAULO</v>
      </c>
    </row>
    <row r="701">
      <c r="A701" s="6">
        <f>IFERROR(__xludf.DUMMYFUNCTION("""COMPUTED_VALUE"""),45705.0)</f>
        <v>45705</v>
      </c>
      <c r="B701" s="7" t="str">
        <f>IFERROR(__xludf.DUMMYFUNCTION("""COMPUTED_VALUE"""),"7743a777-2480-4e97-9aea-27345cab038e")</f>
        <v>7743a777-2480-4e97-9aea-27345cab038e</v>
      </c>
      <c r="C701" s="7">
        <f>IFERROR(__xludf.DUMMYFUNCTION("""COMPUTED_VALUE"""),1.0)</f>
        <v>1</v>
      </c>
      <c r="D701" s="6">
        <f>IFERROR(__xludf.DUMMYFUNCTION("""COMPUTED_VALUE"""),45704.0)</f>
        <v>45704</v>
      </c>
      <c r="E701" s="7" t="str">
        <f>IFERROR(__xludf.DUMMYFUNCTION("""COMPUTED_VALUE"""),"FRANQUIA_D&amp;G_SP")</f>
        <v>FRANQUIA_D&amp;G_SP</v>
      </c>
      <c r="F701" s="7" t="str">
        <f>IFERROR(__xludf.DUMMYFUNCTION("""COMPUTED_VALUE"""),"MOTORCYCLE")</f>
        <v>MOTORCYCLE</v>
      </c>
      <c r="G701" s="7" t="str">
        <f>IFERROR(__xludf.DUMMYFUNCTION("""COMPUTED_VALUE"""),"SAO PAULO")</f>
        <v>SAO PAULO</v>
      </c>
    </row>
    <row r="702">
      <c r="A702" s="6">
        <f>IFERROR(__xludf.DUMMYFUNCTION("""COMPUTED_VALUE"""),45705.0)</f>
        <v>45705</v>
      </c>
      <c r="B702" s="7" t="str">
        <f>IFERROR(__xludf.DUMMYFUNCTION("""COMPUTED_VALUE"""),"0004ff64-bda2-4fd1-a346-9519b87a3aad")</f>
        <v>0004ff64-bda2-4fd1-a346-9519b87a3aad</v>
      </c>
      <c r="C702" s="7">
        <f>IFERROR(__xludf.DUMMYFUNCTION("""COMPUTED_VALUE"""),538.0)</f>
        <v>538</v>
      </c>
      <c r="D702" s="6">
        <f>IFERROR(__xludf.DUMMYFUNCTION("""COMPUTED_VALUE"""),45167.0)</f>
        <v>45167</v>
      </c>
      <c r="E702" s="7" t="str">
        <f>IFERROR(__xludf.DUMMYFUNCTION("""COMPUTED_VALUE"""),"FRANQUIA_D&amp;G_SP")</f>
        <v>FRANQUIA_D&amp;G_SP</v>
      </c>
      <c r="F702" s="7" t="str">
        <f>IFERROR(__xludf.DUMMYFUNCTION("""COMPUTED_VALUE"""),"BICYCLE")</f>
        <v>BICYCLE</v>
      </c>
      <c r="G702" s="7" t="str">
        <f>IFERROR(__xludf.DUMMYFUNCTION("""COMPUTED_VALUE"""),"SAO PAULO")</f>
        <v>SAO PAULO</v>
      </c>
    </row>
    <row r="703">
      <c r="A703" s="6">
        <f>IFERROR(__xludf.DUMMYFUNCTION("""COMPUTED_VALUE"""),45705.0)</f>
        <v>45705</v>
      </c>
      <c r="B703" s="7" t="str">
        <f>IFERROR(__xludf.DUMMYFUNCTION("""COMPUTED_VALUE"""),"653d9a84-0dd8-4c30-bb94-115d484b3eeb")</f>
        <v>653d9a84-0dd8-4c30-bb94-115d484b3eeb</v>
      </c>
      <c r="C703" s="7">
        <f>IFERROR(__xludf.DUMMYFUNCTION("""COMPUTED_VALUE"""),0.0)</f>
        <v>0</v>
      </c>
      <c r="D703" s="6">
        <f>IFERROR(__xludf.DUMMYFUNCTION("""COMPUTED_VALUE"""),45705.0)</f>
        <v>45705</v>
      </c>
      <c r="E703" s="7" t="str">
        <f>IFERROR(__xludf.DUMMYFUNCTION("""COMPUTED_VALUE"""),"FRANQUIA_D&amp;G_SP")</f>
        <v>FRANQUIA_D&amp;G_SP</v>
      </c>
      <c r="F703" s="7" t="str">
        <f>IFERROR(__xludf.DUMMYFUNCTION("""COMPUTED_VALUE"""),"MOTORCYCLE")</f>
        <v>MOTORCYCLE</v>
      </c>
      <c r="G703" s="7" t="str">
        <f>IFERROR(__xludf.DUMMYFUNCTION("""COMPUTED_VALUE"""),"SAO PAULO")</f>
        <v>SAO PAULO</v>
      </c>
    </row>
    <row r="704">
      <c r="A704" s="6">
        <f>IFERROR(__xludf.DUMMYFUNCTION("""COMPUTED_VALUE"""),45705.0)</f>
        <v>45705</v>
      </c>
      <c r="B704" s="7" t="str">
        <f>IFERROR(__xludf.DUMMYFUNCTION("""COMPUTED_VALUE"""),"5ae9a690-d65b-447b-bfa6-b93c0937a1f5")</f>
        <v>5ae9a690-d65b-447b-bfa6-b93c0937a1f5</v>
      </c>
      <c r="C704" s="7">
        <f>IFERROR(__xludf.DUMMYFUNCTION("""COMPUTED_VALUE"""),0.0)</f>
        <v>0</v>
      </c>
      <c r="D704" s="6">
        <f>IFERROR(__xludf.DUMMYFUNCTION("""COMPUTED_VALUE"""),45705.0)</f>
        <v>45705</v>
      </c>
      <c r="E704" s="7" t="str">
        <f>IFERROR(__xludf.DUMMYFUNCTION("""COMPUTED_VALUE"""),"FRANQUIA_D&amp;G_SP")</f>
        <v>FRANQUIA_D&amp;G_SP</v>
      </c>
      <c r="F704" s="7" t="str">
        <f>IFERROR(__xludf.DUMMYFUNCTION("""COMPUTED_VALUE"""),"MOTORCYCLE")</f>
        <v>MOTORCYCLE</v>
      </c>
      <c r="G704" s="7" t="str">
        <f>IFERROR(__xludf.DUMMYFUNCTION("""COMPUTED_VALUE"""),"SAO PAULO")</f>
        <v>SAO PAULO</v>
      </c>
    </row>
    <row r="705">
      <c r="A705" s="6">
        <f>IFERROR(__xludf.DUMMYFUNCTION("""COMPUTED_VALUE"""),45705.0)</f>
        <v>45705</v>
      </c>
      <c r="B705" s="7" t="str">
        <f>IFERROR(__xludf.DUMMYFUNCTION("""COMPUTED_VALUE"""),"f2078c39-7436-49f3-9e29-9878ac4aed05")</f>
        <v>f2078c39-7436-49f3-9e29-9878ac4aed05</v>
      </c>
      <c r="C705" s="7">
        <f>IFERROR(__xludf.DUMMYFUNCTION("""COMPUTED_VALUE"""),100.0)</f>
        <v>100</v>
      </c>
      <c r="D705" s="6">
        <f>IFERROR(__xludf.DUMMYFUNCTION("""COMPUTED_VALUE"""),45605.0)</f>
        <v>45605</v>
      </c>
      <c r="E705" s="7" t="str">
        <f>IFERROR(__xludf.DUMMYFUNCTION("""COMPUTED_VALUE"""),"FRANQUIA_D&amp;G_SP")</f>
        <v>FRANQUIA_D&amp;G_SP</v>
      </c>
      <c r="F705" s="7" t="str">
        <f>IFERROR(__xludf.DUMMYFUNCTION("""COMPUTED_VALUE"""),"BICYCLE")</f>
        <v>BICYCLE</v>
      </c>
      <c r="G705" s="7" t="str">
        <f>IFERROR(__xludf.DUMMYFUNCTION("""COMPUTED_VALUE"""),"SAO PAULO")</f>
        <v>SAO PAULO</v>
      </c>
    </row>
    <row r="706">
      <c r="A706" s="6">
        <f>IFERROR(__xludf.DUMMYFUNCTION("""COMPUTED_VALUE"""),45705.0)</f>
        <v>45705</v>
      </c>
      <c r="B706" s="7" t="str">
        <f>IFERROR(__xludf.DUMMYFUNCTION("""COMPUTED_VALUE"""),"65c42703-d17b-46c1-8272-af7536d40323")</f>
        <v>65c42703-d17b-46c1-8272-af7536d40323</v>
      </c>
      <c r="C706" s="7">
        <f>IFERROR(__xludf.DUMMYFUNCTION("""COMPUTED_VALUE"""),0.0)</f>
        <v>0</v>
      </c>
      <c r="D706" s="6">
        <f>IFERROR(__xludf.DUMMYFUNCTION("""COMPUTED_VALUE"""),0.0)</f>
        <v>0</v>
      </c>
      <c r="E706" s="7" t="str">
        <f>IFERROR(__xludf.DUMMYFUNCTION("""COMPUTED_VALUE"""),"FRANQUIA_D&amp;G_SP")</f>
        <v>FRANQUIA_D&amp;G_SP</v>
      </c>
      <c r="F706" s="7" t="str">
        <f>IFERROR(__xludf.DUMMYFUNCTION("""COMPUTED_VALUE"""),"BICYCLE")</f>
        <v>BICYCLE</v>
      </c>
      <c r="G706" s="7" t="str">
        <f>IFERROR(__xludf.DUMMYFUNCTION("""COMPUTED_VALUE"""),"0")</f>
        <v>0</v>
      </c>
    </row>
    <row r="707">
      <c r="A707" s="6">
        <f>IFERROR(__xludf.DUMMYFUNCTION("""COMPUTED_VALUE"""),45705.0)</f>
        <v>45705</v>
      </c>
      <c r="B707" s="7" t="str">
        <f>IFERROR(__xludf.DUMMYFUNCTION("""COMPUTED_VALUE"""),"4a74ddd4-eff4-45e4-855e-2bb669b2953d")</f>
        <v>4a74ddd4-eff4-45e4-855e-2bb669b2953d</v>
      </c>
      <c r="C707" s="7">
        <f>IFERROR(__xludf.DUMMYFUNCTION("""COMPUTED_VALUE"""),53.0)</f>
        <v>53</v>
      </c>
      <c r="D707" s="6">
        <f>IFERROR(__xludf.DUMMYFUNCTION("""COMPUTED_VALUE"""),45652.0)</f>
        <v>45652</v>
      </c>
      <c r="E707" s="7" t="str">
        <f>IFERROR(__xludf.DUMMYFUNCTION("""COMPUTED_VALUE"""),"FRANQUIA_D&amp;G_SP")</f>
        <v>FRANQUIA_D&amp;G_SP</v>
      </c>
      <c r="F707" s="7" t="str">
        <f>IFERROR(__xludf.DUMMYFUNCTION("""COMPUTED_VALUE"""),"MOTORCYCLE")</f>
        <v>MOTORCYCLE</v>
      </c>
      <c r="G707" s="7" t="str">
        <f>IFERROR(__xludf.DUMMYFUNCTION("""COMPUTED_VALUE"""),"SAO PAULO")</f>
        <v>SAO PAULO</v>
      </c>
    </row>
    <row r="708">
      <c r="A708" s="6">
        <f>IFERROR(__xludf.DUMMYFUNCTION("""COMPUTED_VALUE"""),45705.0)</f>
        <v>45705</v>
      </c>
      <c r="B708" s="7" t="str">
        <f>IFERROR(__xludf.DUMMYFUNCTION("""COMPUTED_VALUE"""),"0ef65f71-008a-4a60-b33f-0b4c53ad0005")</f>
        <v>0ef65f71-008a-4a60-b33f-0b4c53ad0005</v>
      </c>
      <c r="C708" s="7">
        <f>IFERROR(__xludf.DUMMYFUNCTION("""COMPUTED_VALUE"""),1759.0)</f>
        <v>1759</v>
      </c>
      <c r="D708" s="6">
        <f>IFERROR(__xludf.DUMMYFUNCTION("""COMPUTED_VALUE"""),43946.0)</f>
        <v>43946</v>
      </c>
      <c r="E708" s="7" t="str">
        <f>IFERROR(__xludf.DUMMYFUNCTION("""COMPUTED_VALUE"""),"FRANQUIA_D&amp;G_SP")</f>
        <v>FRANQUIA_D&amp;G_SP</v>
      </c>
      <c r="F708" s="7" t="str">
        <f>IFERROR(__xludf.DUMMYFUNCTION("""COMPUTED_VALUE"""),"MOTORCYCLE")</f>
        <v>MOTORCYCLE</v>
      </c>
      <c r="G708" s="7" t="str">
        <f>IFERROR(__xludf.DUMMYFUNCTION("""COMPUTED_VALUE"""),"TABOAO DA SERRA")</f>
        <v>TABOAO DA SERRA</v>
      </c>
    </row>
    <row r="709">
      <c r="A709" s="6">
        <f>IFERROR(__xludf.DUMMYFUNCTION("""COMPUTED_VALUE"""),45705.0)</f>
        <v>45705</v>
      </c>
      <c r="B709" s="7" t="str">
        <f>IFERROR(__xludf.DUMMYFUNCTION("""COMPUTED_VALUE"""),"2801dc68-946f-43c4-b9f2-53b537a707b6")</f>
        <v>2801dc68-946f-43c4-b9f2-53b537a707b6</v>
      </c>
      <c r="C709" s="7">
        <f>IFERROR(__xludf.DUMMYFUNCTION("""COMPUTED_VALUE"""),667.0)</f>
        <v>667</v>
      </c>
      <c r="D709" s="6">
        <f>IFERROR(__xludf.DUMMYFUNCTION("""COMPUTED_VALUE"""),45038.0)</f>
        <v>45038</v>
      </c>
      <c r="E709" s="7" t="str">
        <f>IFERROR(__xludf.DUMMYFUNCTION("""COMPUTED_VALUE"""),"FRANQUIA_D&amp;G_SP")</f>
        <v>FRANQUIA_D&amp;G_SP</v>
      </c>
      <c r="F709" s="7" t="str">
        <f>IFERROR(__xludf.DUMMYFUNCTION("""COMPUTED_VALUE"""),"MOTORCYCLE")</f>
        <v>MOTORCYCLE</v>
      </c>
      <c r="G709" s="7" t="str">
        <f>IFERROR(__xludf.DUMMYFUNCTION("""COMPUTED_VALUE"""),"SAO PAULO")</f>
        <v>SAO PAULO</v>
      </c>
    </row>
    <row r="710">
      <c r="A710" s="6">
        <f>IFERROR(__xludf.DUMMYFUNCTION("""COMPUTED_VALUE"""),45705.0)</f>
        <v>45705</v>
      </c>
      <c r="B710" s="7" t="str">
        <f>IFERROR(__xludf.DUMMYFUNCTION("""COMPUTED_VALUE"""),"e4108326-cda3-45c6-a909-a2d5b3a36af2")</f>
        <v>e4108326-cda3-45c6-a909-a2d5b3a36af2</v>
      </c>
      <c r="C710" s="7">
        <f>IFERROR(__xludf.DUMMYFUNCTION("""COMPUTED_VALUE"""),12.0)</f>
        <v>12</v>
      </c>
      <c r="D710" s="6">
        <f>IFERROR(__xludf.DUMMYFUNCTION("""COMPUTED_VALUE"""),45693.0)</f>
        <v>45693</v>
      </c>
      <c r="E710" s="7" t="str">
        <f>IFERROR(__xludf.DUMMYFUNCTION("""COMPUTED_VALUE"""),"FRANQUIA_D&amp;G_SP")</f>
        <v>FRANQUIA_D&amp;G_SP</v>
      </c>
      <c r="F710" s="7" t="str">
        <f>IFERROR(__xludf.DUMMYFUNCTION("""COMPUTED_VALUE"""),"BICYCLE")</f>
        <v>BICYCLE</v>
      </c>
      <c r="G710" s="7" t="str">
        <f>IFERROR(__xludf.DUMMYFUNCTION("""COMPUTED_VALUE"""),"SAO PAULO")</f>
        <v>SAO PAULO</v>
      </c>
    </row>
    <row r="711">
      <c r="A711" s="6">
        <f>IFERROR(__xludf.DUMMYFUNCTION("""COMPUTED_VALUE"""),45705.0)</f>
        <v>45705</v>
      </c>
      <c r="B711" s="7" t="str">
        <f>IFERROR(__xludf.DUMMYFUNCTION("""COMPUTED_VALUE"""),"96d92820-5a5d-4240-8f72-d75a4888142e")</f>
        <v>96d92820-5a5d-4240-8f72-d75a4888142e</v>
      </c>
      <c r="C711" s="7">
        <f>IFERROR(__xludf.DUMMYFUNCTION("""COMPUTED_VALUE"""),0.0)</f>
        <v>0</v>
      </c>
      <c r="D711" s="6">
        <f>IFERROR(__xludf.DUMMYFUNCTION("""COMPUTED_VALUE"""),45705.0)</f>
        <v>45705</v>
      </c>
      <c r="E711" s="7" t="str">
        <f>IFERROR(__xludf.DUMMYFUNCTION("""COMPUTED_VALUE"""),"FRANQUIA_D&amp;G_SP")</f>
        <v>FRANQUIA_D&amp;G_SP</v>
      </c>
      <c r="F711" s="7" t="str">
        <f>IFERROR(__xludf.DUMMYFUNCTION("""COMPUTED_VALUE"""),"MOTORCYCLE")</f>
        <v>MOTORCYCLE</v>
      </c>
      <c r="G711" s="7" t="str">
        <f>IFERROR(__xludf.DUMMYFUNCTION("""COMPUTED_VALUE"""),"ABC")</f>
        <v>ABC</v>
      </c>
    </row>
    <row r="712">
      <c r="A712" s="6">
        <f>IFERROR(__xludf.DUMMYFUNCTION("""COMPUTED_VALUE"""),45705.0)</f>
        <v>45705</v>
      </c>
      <c r="B712" s="7" t="str">
        <f>IFERROR(__xludf.DUMMYFUNCTION("""COMPUTED_VALUE"""),"b94ee806-8377-4c21-9048-f4d28478e795")</f>
        <v>b94ee806-8377-4c21-9048-f4d28478e795</v>
      </c>
      <c r="C712" s="7">
        <f>IFERROR(__xludf.DUMMYFUNCTION("""COMPUTED_VALUE"""),11.0)</f>
        <v>11</v>
      </c>
      <c r="D712" s="6">
        <f>IFERROR(__xludf.DUMMYFUNCTION("""COMPUTED_VALUE"""),45694.0)</f>
        <v>45694</v>
      </c>
      <c r="E712" s="7" t="str">
        <f>IFERROR(__xludf.DUMMYFUNCTION("""COMPUTED_VALUE"""),"FRANQUIA_D&amp;G_SP")</f>
        <v>FRANQUIA_D&amp;G_SP</v>
      </c>
      <c r="F712" s="7" t="str">
        <f>IFERROR(__xludf.DUMMYFUNCTION("""COMPUTED_VALUE"""),"MOTORCYCLE")</f>
        <v>MOTORCYCLE</v>
      </c>
      <c r="G712" s="7" t="str">
        <f>IFERROR(__xludf.DUMMYFUNCTION("""COMPUTED_VALUE"""),"SAO PAULO")</f>
        <v>SAO PAULO</v>
      </c>
    </row>
    <row r="713">
      <c r="A713" s="6">
        <f>IFERROR(__xludf.DUMMYFUNCTION("""COMPUTED_VALUE"""),45705.0)</f>
        <v>45705</v>
      </c>
      <c r="B713" s="7" t="str">
        <f>IFERROR(__xludf.DUMMYFUNCTION("""COMPUTED_VALUE"""),"d0722a7a-065e-4a7d-9d69-a7549776fc9a")</f>
        <v>d0722a7a-065e-4a7d-9d69-a7549776fc9a</v>
      </c>
      <c r="C713" s="7">
        <f>IFERROR(__xludf.DUMMYFUNCTION("""COMPUTED_VALUE"""),123.0)</f>
        <v>123</v>
      </c>
      <c r="D713" s="6">
        <f>IFERROR(__xludf.DUMMYFUNCTION("""COMPUTED_VALUE"""),45582.0)</f>
        <v>45582</v>
      </c>
      <c r="E713" s="7" t="str">
        <f>IFERROR(__xludf.DUMMYFUNCTION("""COMPUTED_VALUE"""),"FRANQUIA_D&amp;G_SP")</f>
        <v>FRANQUIA_D&amp;G_SP</v>
      </c>
      <c r="F713" s="7" t="str">
        <f>IFERROR(__xludf.DUMMYFUNCTION("""COMPUTED_VALUE"""),"MOTORCYCLE")</f>
        <v>MOTORCYCLE</v>
      </c>
      <c r="G713" s="7" t="str">
        <f>IFERROR(__xludf.DUMMYFUNCTION("""COMPUTED_VALUE"""),"SAO PAULO")</f>
        <v>SAO PAULO</v>
      </c>
    </row>
    <row r="714">
      <c r="A714" s="6">
        <f>IFERROR(__xludf.DUMMYFUNCTION("""COMPUTED_VALUE"""),45705.0)</f>
        <v>45705</v>
      </c>
      <c r="B714" s="7" t="str">
        <f>IFERROR(__xludf.DUMMYFUNCTION("""COMPUTED_VALUE"""),"b57dffd8-83a7-495a-965c-538d52ac13f6")</f>
        <v>b57dffd8-83a7-495a-965c-538d52ac13f6</v>
      </c>
      <c r="C714" s="7">
        <f>IFERROR(__xludf.DUMMYFUNCTION("""COMPUTED_VALUE"""),0.0)</f>
        <v>0</v>
      </c>
      <c r="D714" s="6">
        <f>IFERROR(__xludf.DUMMYFUNCTION("""COMPUTED_VALUE"""),45705.0)</f>
        <v>45705</v>
      </c>
      <c r="E714" s="7" t="str">
        <f>IFERROR(__xludf.DUMMYFUNCTION("""COMPUTED_VALUE"""),"FRANQUIA_D&amp;G_SP")</f>
        <v>FRANQUIA_D&amp;G_SP</v>
      </c>
      <c r="F714" s="7" t="str">
        <f>IFERROR(__xludf.DUMMYFUNCTION("""COMPUTED_VALUE"""),"MOTORCYCLE")</f>
        <v>MOTORCYCLE</v>
      </c>
      <c r="G714" s="7" t="str">
        <f>IFERROR(__xludf.DUMMYFUNCTION("""COMPUTED_VALUE"""),"SAO PAULO")</f>
        <v>SAO PAULO</v>
      </c>
    </row>
    <row r="715">
      <c r="A715" s="6">
        <f>IFERROR(__xludf.DUMMYFUNCTION("""COMPUTED_VALUE"""),45705.0)</f>
        <v>45705</v>
      </c>
      <c r="B715" s="7" t="str">
        <f>IFERROR(__xludf.DUMMYFUNCTION("""COMPUTED_VALUE"""),"759d85f6-2591-4e90-baff-92e54b8bc90d")</f>
        <v>759d85f6-2591-4e90-baff-92e54b8bc90d</v>
      </c>
      <c r="C715" s="7">
        <f>IFERROR(__xludf.DUMMYFUNCTION("""COMPUTED_VALUE"""),0.0)</f>
        <v>0</v>
      </c>
      <c r="D715" s="6">
        <f>IFERROR(__xludf.DUMMYFUNCTION("""COMPUTED_VALUE"""),45705.0)</f>
        <v>45705</v>
      </c>
      <c r="E715" s="7" t="str">
        <f>IFERROR(__xludf.DUMMYFUNCTION("""COMPUTED_VALUE"""),"FRANQUIA_D&amp;G_SP")</f>
        <v>FRANQUIA_D&amp;G_SP</v>
      </c>
      <c r="F715" s="7" t="str">
        <f>IFERROR(__xludf.DUMMYFUNCTION("""COMPUTED_VALUE"""),"MOTORCYCLE")</f>
        <v>MOTORCYCLE</v>
      </c>
      <c r="G715" s="7" t="str">
        <f>IFERROR(__xludf.DUMMYFUNCTION("""COMPUTED_VALUE"""),"SAO PAULO")</f>
        <v>SAO PAULO</v>
      </c>
    </row>
    <row r="716">
      <c r="A716" s="6">
        <f>IFERROR(__xludf.DUMMYFUNCTION("""COMPUTED_VALUE"""),45705.0)</f>
        <v>45705</v>
      </c>
      <c r="B716" s="7" t="str">
        <f>IFERROR(__xludf.DUMMYFUNCTION("""COMPUTED_VALUE"""),"7e13a593-dc34-449b-be2b-e2467c49e90c")</f>
        <v>7e13a593-dc34-449b-be2b-e2467c49e90c</v>
      </c>
      <c r="C716" s="7">
        <f>IFERROR(__xludf.DUMMYFUNCTION("""COMPUTED_VALUE"""),0.0)</f>
        <v>0</v>
      </c>
      <c r="D716" s="6">
        <f>IFERROR(__xludf.DUMMYFUNCTION("""COMPUTED_VALUE"""),45705.0)</f>
        <v>45705</v>
      </c>
      <c r="E716" s="7" t="str">
        <f>IFERROR(__xludf.DUMMYFUNCTION("""COMPUTED_VALUE"""),"FRANQUIA_D&amp;G_SP")</f>
        <v>FRANQUIA_D&amp;G_SP</v>
      </c>
      <c r="F716" s="7" t="str">
        <f>IFERROR(__xludf.DUMMYFUNCTION("""COMPUTED_VALUE"""),"MOTORCYCLE")</f>
        <v>MOTORCYCLE</v>
      </c>
      <c r="G716" s="7" t="str">
        <f>IFERROR(__xludf.DUMMYFUNCTION("""COMPUTED_VALUE"""),"SAO PAULO")</f>
        <v>SAO PAULO</v>
      </c>
    </row>
    <row r="717">
      <c r="A717" s="6">
        <f>IFERROR(__xludf.DUMMYFUNCTION("""COMPUTED_VALUE"""),45705.0)</f>
        <v>45705</v>
      </c>
      <c r="B717" s="7" t="str">
        <f>IFERROR(__xludf.DUMMYFUNCTION("""COMPUTED_VALUE"""),"c6c8b33b-a38e-4548-9fa4-1d7f201ecac7")</f>
        <v>c6c8b33b-a38e-4548-9fa4-1d7f201ecac7</v>
      </c>
      <c r="C717" s="7">
        <f>IFERROR(__xludf.DUMMYFUNCTION("""COMPUTED_VALUE"""),0.0)</f>
        <v>0</v>
      </c>
      <c r="D717" s="6">
        <f>IFERROR(__xludf.DUMMYFUNCTION("""COMPUTED_VALUE"""),45705.0)</f>
        <v>45705</v>
      </c>
      <c r="E717" s="7" t="str">
        <f>IFERROR(__xludf.DUMMYFUNCTION("""COMPUTED_VALUE"""),"FRANQUIA_D&amp;G_SP")</f>
        <v>FRANQUIA_D&amp;G_SP</v>
      </c>
      <c r="F717" s="7" t="str">
        <f>IFERROR(__xludf.DUMMYFUNCTION("""COMPUTED_VALUE"""),"MOTORCYCLE")</f>
        <v>MOTORCYCLE</v>
      </c>
      <c r="G717" s="7" t="str">
        <f>IFERROR(__xludf.DUMMYFUNCTION("""COMPUTED_VALUE"""),"TABOAO DA SERRA")</f>
        <v>TABOAO DA SERRA</v>
      </c>
    </row>
    <row r="718">
      <c r="A718" s="6">
        <f>IFERROR(__xludf.DUMMYFUNCTION("""COMPUTED_VALUE"""),45705.0)</f>
        <v>45705</v>
      </c>
      <c r="B718" s="7" t="str">
        <f>IFERROR(__xludf.DUMMYFUNCTION("""COMPUTED_VALUE"""),"bd8bfce8-2fd7-4b60-973d-f149db2319ae")</f>
        <v>bd8bfce8-2fd7-4b60-973d-f149db2319ae</v>
      </c>
      <c r="C718" s="7">
        <f>IFERROR(__xludf.DUMMYFUNCTION("""COMPUTED_VALUE"""),0.0)</f>
        <v>0</v>
      </c>
      <c r="D718" s="6">
        <f>IFERROR(__xludf.DUMMYFUNCTION("""COMPUTED_VALUE"""),45705.0)</f>
        <v>45705</v>
      </c>
      <c r="E718" s="7" t="str">
        <f>IFERROR(__xludf.DUMMYFUNCTION("""COMPUTED_VALUE"""),"FRANQUIA_D&amp;G_SP")</f>
        <v>FRANQUIA_D&amp;G_SP</v>
      </c>
      <c r="F718" s="7" t="str">
        <f>IFERROR(__xludf.DUMMYFUNCTION("""COMPUTED_VALUE"""),"MOTORCYCLE")</f>
        <v>MOTORCYCLE</v>
      </c>
      <c r="G718" s="7" t="str">
        <f>IFERROR(__xludf.DUMMYFUNCTION("""COMPUTED_VALUE"""),"SAO PAULO")</f>
        <v>SAO PAULO</v>
      </c>
    </row>
    <row r="719">
      <c r="A719" s="6">
        <f>IFERROR(__xludf.DUMMYFUNCTION("""COMPUTED_VALUE"""),45705.0)</f>
        <v>45705</v>
      </c>
      <c r="B719" s="7" t="str">
        <f>IFERROR(__xludf.DUMMYFUNCTION("""COMPUTED_VALUE"""),"ac29933c-8751-4d21-b548-7f7c29957e61")</f>
        <v>ac29933c-8751-4d21-b548-7f7c29957e61</v>
      </c>
      <c r="C719" s="7">
        <f>IFERROR(__xludf.DUMMYFUNCTION("""COMPUTED_VALUE"""),36.0)</f>
        <v>36</v>
      </c>
      <c r="D719" s="6">
        <f>IFERROR(__xludf.DUMMYFUNCTION("""COMPUTED_VALUE"""),45669.0)</f>
        <v>45669</v>
      </c>
      <c r="E719" s="7" t="str">
        <f>IFERROR(__xludf.DUMMYFUNCTION("""COMPUTED_VALUE"""),"FRANQUIA_D&amp;G_SP")</f>
        <v>FRANQUIA_D&amp;G_SP</v>
      </c>
      <c r="F719" s="7" t="str">
        <f>IFERROR(__xludf.DUMMYFUNCTION("""COMPUTED_VALUE"""),"MOTORCYCLE")</f>
        <v>MOTORCYCLE</v>
      </c>
      <c r="G719" s="7" t="str">
        <f>IFERROR(__xludf.DUMMYFUNCTION("""COMPUTED_VALUE"""),"SAO PAULO")</f>
        <v>SAO PAULO</v>
      </c>
    </row>
    <row r="720">
      <c r="A720" s="6">
        <f>IFERROR(__xludf.DUMMYFUNCTION("""COMPUTED_VALUE"""),45705.0)</f>
        <v>45705</v>
      </c>
      <c r="B720" s="7" t="str">
        <f>IFERROR(__xludf.DUMMYFUNCTION("""COMPUTED_VALUE"""),"41ce2c14-3546-46a3-a06b-7a85f8a19ad0")</f>
        <v>41ce2c14-3546-46a3-a06b-7a85f8a19ad0</v>
      </c>
      <c r="C720" s="7">
        <f>IFERROR(__xludf.DUMMYFUNCTION("""COMPUTED_VALUE"""),0.0)</f>
        <v>0</v>
      </c>
      <c r="D720" s="6">
        <f>IFERROR(__xludf.DUMMYFUNCTION("""COMPUTED_VALUE"""),0.0)</f>
        <v>0</v>
      </c>
      <c r="E720" s="7" t="str">
        <f>IFERROR(__xludf.DUMMYFUNCTION("""COMPUTED_VALUE"""),"FRANQUIA_D&amp;G_SP")</f>
        <v>FRANQUIA_D&amp;G_SP</v>
      </c>
      <c r="F720" s="7" t="str">
        <f>IFERROR(__xludf.DUMMYFUNCTION("""COMPUTED_VALUE"""),"BICYCLE")</f>
        <v>BICYCLE</v>
      </c>
      <c r="G720" s="7" t="str">
        <f>IFERROR(__xludf.DUMMYFUNCTION("""COMPUTED_VALUE"""),"0")</f>
        <v>0</v>
      </c>
    </row>
    <row r="721">
      <c r="A721" s="6">
        <f>IFERROR(__xludf.DUMMYFUNCTION("""COMPUTED_VALUE"""),45705.0)</f>
        <v>45705</v>
      </c>
      <c r="B721" s="7" t="str">
        <f>IFERROR(__xludf.DUMMYFUNCTION("""COMPUTED_VALUE"""),"fad78f68-9a05-4f54-8d7a-f20bb8821dc8")</f>
        <v>fad78f68-9a05-4f54-8d7a-f20bb8821dc8</v>
      </c>
      <c r="C721" s="7">
        <f>IFERROR(__xludf.DUMMYFUNCTION("""COMPUTED_VALUE"""),0.0)</f>
        <v>0</v>
      </c>
      <c r="D721" s="6">
        <f>IFERROR(__xludf.DUMMYFUNCTION("""COMPUTED_VALUE"""),45705.0)</f>
        <v>45705</v>
      </c>
      <c r="E721" s="7" t="str">
        <f>IFERROR(__xludf.DUMMYFUNCTION("""COMPUTED_VALUE"""),"FRANQUIA_D&amp;G_SP")</f>
        <v>FRANQUIA_D&amp;G_SP</v>
      </c>
      <c r="F721" s="7" t="str">
        <f>IFERROR(__xludf.DUMMYFUNCTION("""COMPUTED_VALUE"""),"MOTORCYCLE")</f>
        <v>MOTORCYCLE</v>
      </c>
      <c r="G721" s="7" t="str">
        <f>IFERROR(__xludf.DUMMYFUNCTION("""COMPUTED_VALUE"""),"SAO PAULO")</f>
        <v>SAO PAULO</v>
      </c>
    </row>
    <row r="722">
      <c r="A722" s="6">
        <f>IFERROR(__xludf.DUMMYFUNCTION("""COMPUTED_VALUE"""),45705.0)</f>
        <v>45705</v>
      </c>
      <c r="B722" s="7" t="str">
        <f>IFERROR(__xludf.DUMMYFUNCTION("""COMPUTED_VALUE"""),"d4e241ba-98c4-4a75-a975-93fd4a5fa521")</f>
        <v>d4e241ba-98c4-4a75-a975-93fd4a5fa521</v>
      </c>
      <c r="C722" s="7">
        <f>IFERROR(__xludf.DUMMYFUNCTION("""COMPUTED_VALUE"""),3.0)</f>
        <v>3</v>
      </c>
      <c r="D722" s="6">
        <f>IFERROR(__xludf.DUMMYFUNCTION("""COMPUTED_VALUE"""),45702.0)</f>
        <v>45702</v>
      </c>
      <c r="E722" s="7" t="str">
        <f>IFERROR(__xludf.DUMMYFUNCTION("""COMPUTED_VALUE"""),"FRANQUIA_D&amp;G_SP")</f>
        <v>FRANQUIA_D&amp;G_SP</v>
      </c>
      <c r="F722" s="7" t="str">
        <f>IFERROR(__xludf.DUMMYFUNCTION("""COMPUTED_VALUE"""),"MOTORCYCLE")</f>
        <v>MOTORCYCLE</v>
      </c>
      <c r="G722" s="7" t="str">
        <f>IFERROR(__xludf.DUMMYFUNCTION("""COMPUTED_VALUE"""),"SAO PAULO")</f>
        <v>SAO PAULO</v>
      </c>
    </row>
    <row r="723">
      <c r="A723" s="6">
        <f>IFERROR(__xludf.DUMMYFUNCTION("""COMPUTED_VALUE"""),45705.0)</f>
        <v>45705</v>
      </c>
      <c r="B723" s="7" t="str">
        <f>IFERROR(__xludf.DUMMYFUNCTION("""COMPUTED_VALUE"""),"49677367-852b-4821-895f-941962019ff9")</f>
        <v>49677367-852b-4821-895f-941962019ff9</v>
      </c>
      <c r="C723" s="7">
        <f>IFERROR(__xludf.DUMMYFUNCTION("""COMPUTED_VALUE"""),67.0)</f>
        <v>67</v>
      </c>
      <c r="D723" s="6">
        <f>IFERROR(__xludf.DUMMYFUNCTION("""COMPUTED_VALUE"""),45638.0)</f>
        <v>45638</v>
      </c>
      <c r="E723" s="7" t="str">
        <f>IFERROR(__xludf.DUMMYFUNCTION("""COMPUTED_VALUE"""),"FRANQUIA_D&amp;G_SP")</f>
        <v>FRANQUIA_D&amp;G_SP</v>
      </c>
      <c r="F723" s="7" t="str">
        <f>IFERROR(__xludf.DUMMYFUNCTION("""COMPUTED_VALUE"""),"MOTORCYCLE")</f>
        <v>MOTORCYCLE</v>
      </c>
      <c r="G723" s="7" t="str">
        <f>IFERROR(__xludf.DUMMYFUNCTION("""COMPUTED_VALUE"""),"SAO PAULO")</f>
        <v>SAO PAULO</v>
      </c>
    </row>
    <row r="724">
      <c r="A724" s="6">
        <f>IFERROR(__xludf.DUMMYFUNCTION("""COMPUTED_VALUE"""),45705.0)</f>
        <v>45705</v>
      </c>
      <c r="B724" s="7" t="str">
        <f>IFERROR(__xludf.DUMMYFUNCTION("""COMPUTED_VALUE"""),"61f3933e-9b10-4ee4-b03a-431d14341057")</f>
        <v>61f3933e-9b10-4ee4-b03a-431d14341057</v>
      </c>
      <c r="C724" s="7">
        <f>IFERROR(__xludf.DUMMYFUNCTION("""COMPUTED_VALUE"""),57.0)</f>
        <v>57</v>
      </c>
      <c r="D724" s="6">
        <f>IFERROR(__xludf.DUMMYFUNCTION("""COMPUTED_VALUE"""),45648.0)</f>
        <v>45648</v>
      </c>
      <c r="E724" s="7" t="str">
        <f>IFERROR(__xludf.DUMMYFUNCTION("""COMPUTED_VALUE"""),"FRANQUIA_D&amp;G_SP")</f>
        <v>FRANQUIA_D&amp;G_SP</v>
      </c>
      <c r="F724" s="7" t="str">
        <f>IFERROR(__xludf.DUMMYFUNCTION("""COMPUTED_VALUE"""),"BICYCLE")</f>
        <v>BICYCLE</v>
      </c>
      <c r="G724" s="7" t="str">
        <f>IFERROR(__xludf.DUMMYFUNCTION("""COMPUTED_VALUE"""),"SAO PAULO")</f>
        <v>SAO PAULO</v>
      </c>
    </row>
    <row r="725">
      <c r="A725" s="6">
        <f>IFERROR(__xludf.DUMMYFUNCTION("""COMPUTED_VALUE"""),45705.0)</f>
        <v>45705</v>
      </c>
      <c r="B725" s="7" t="str">
        <f>IFERROR(__xludf.DUMMYFUNCTION("""COMPUTED_VALUE"""),"25864d3c-b57f-4590-a812-9b78bad9ec72")</f>
        <v>25864d3c-b57f-4590-a812-9b78bad9ec72</v>
      </c>
      <c r="C725" s="7">
        <f>IFERROR(__xludf.DUMMYFUNCTION("""COMPUTED_VALUE"""),0.0)</f>
        <v>0</v>
      </c>
      <c r="D725" s="6">
        <f>IFERROR(__xludf.DUMMYFUNCTION("""COMPUTED_VALUE"""),45705.0)</f>
        <v>45705</v>
      </c>
      <c r="E725" s="7" t="str">
        <f>IFERROR(__xludf.DUMMYFUNCTION("""COMPUTED_VALUE"""),"FRANQUIA_D&amp;G_SP")</f>
        <v>FRANQUIA_D&amp;G_SP</v>
      </c>
      <c r="F725" s="7" t="str">
        <f>IFERROR(__xludf.DUMMYFUNCTION("""COMPUTED_VALUE"""),"BICYCLE")</f>
        <v>BICYCLE</v>
      </c>
      <c r="G725" s="7" t="str">
        <f>IFERROR(__xludf.DUMMYFUNCTION("""COMPUTED_VALUE"""),"SAO PAULO")</f>
        <v>SAO PAULO</v>
      </c>
    </row>
    <row r="726">
      <c r="A726" s="6">
        <f>IFERROR(__xludf.DUMMYFUNCTION("""COMPUTED_VALUE"""),45705.0)</f>
        <v>45705</v>
      </c>
      <c r="B726" s="7" t="str">
        <f>IFERROR(__xludf.DUMMYFUNCTION("""COMPUTED_VALUE"""),"ea4cc507-638a-4e05-8743-c6ef2949fae2")</f>
        <v>ea4cc507-638a-4e05-8743-c6ef2949fae2</v>
      </c>
      <c r="C726" s="7">
        <f>IFERROR(__xludf.DUMMYFUNCTION("""COMPUTED_VALUE"""),0.0)</f>
        <v>0</v>
      </c>
      <c r="D726" s="6">
        <f>IFERROR(__xludf.DUMMYFUNCTION("""COMPUTED_VALUE"""),45705.0)</f>
        <v>45705</v>
      </c>
      <c r="E726" s="7" t="str">
        <f>IFERROR(__xludf.DUMMYFUNCTION("""COMPUTED_VALUE"""),"FRANQUIA_D&amp;G_SP")</f>
        <v>FRANQUIA_D&amp;G_SP</v>
      </c>
      <c r="F726" s="7" t="str">
        <f>IFERROR(__xludf.DUMMYFUNCTION("""COMPUTED_VALUE"""),"EMOTORCYCLE")</f>
        <v>EMOTORCYCLE</v>
      </c>
      <c r="G726" s="7" t="str">
        <f>IFERROR(__xludf.DUMMYFUNCTION("""COMPUTED_VALUE"""),"SAO PAULO")</f>
        <v>SAO PAULO</v>
      </c>
    </row>
    <row r="727">
      <c r="A727" s="6">
        <f>IFERROR(__xludf.DUMMYFUNCTION("""COMPUTED_VALUE"""),45705.0)</f>
        <v>45705</v>
      </c>
      <c r="B727" s="7" t="str">
        <f>IFERROR(__xludf.DUMMYFUNCTION("""COMPUTED_VALUE"""),"46c15471-45cf-4b84-8b2f-33dfdf18f213")</f>
        <v>46c15471-45cf-4b84-8b2f-33dfdf18f213</v>
      </c>
      <c r="C727" s="7">
        <f>IFERROR(__xludf.DUMMYFUNCTION("""COMPUTED_VALUE"""),0.0)</f>
        <v>0</v>
      </c>
      <c r="D727" s="6">
        <f>IFERROR(__xludf.DUMMYFUNCTION("""COMPUTED_VALUE"""),0.0)</f>
        <v>0</v>
      </c>
      <c r="E727" s="7" t="str">
        <f>IFERROR(__xludf.DUMMYFUNCTION("""COMPUTED_VALUE"""),"FRANQUIA_D&amp;G_SP")</f>
        <v>FRANQUIA_D&amp;G_SP</v>
      </c>
      <c r="F727" s="7" t="str">
        <f>IFERROR(__xludf.DUMMYFUNCTION("""COMPUTED_VALUE"""),"BICYCLE")</f>
        <v>BICYCLE</v>
      </c>
      <c r="G727" s="7" t="str">
        <f>IFERROR(__xludf.DUMMYFUNCTION("""COMPUTED_VALUE"""),"0")</f>
        <v>0</v>
      </c>
    </row>
    <row r="728">
      <c r="A728" s="6">
        <f>IFERROR(__xludf.DUMMYFUNCTION("""COMPUTED_VALUE"""),45705.0)</f>
        <v>45705</v>
      </c>
      <c r="B728" s="7" t="str">
        <f>IFERROR(__xludf.DUMMYFUNCTION("""COMPUTED_VALUE"""),"d3288cfe-5922-404a-8512-4b6a7be1294a")</f>
        <v>d3288cfe-5922-404a-8512-4b6a7be1294a</v>
      </c>
      <c r="C728" s="7">
        <f>IFERROR(__xludf.DUMMYFUNCTION("""COMPUTED_VALUE"""),0.0)</f>
        <v>0</v>
      </c>
      <c r="D728" s="6">
        <f>IFERROR(__xludf.DUMMYFUNCTION("""COMPUTED_VALUE"""),45705.0)</f>
        <v>45705</v>
      </c>
      <c r="E728" s="7" t="str">
        <f>IFERROR(__xludf.DUMMYFUNCTION("""COMPUTED_VALUE"""),"FRANQUIA_D&amp;G_SP")</f>
        <v>FRANQUIA_D&amp;G_SP</v>
      </c>
      <c r="F728" s="7" t="str">
        <f>IFERROR(__xludf.DUMMYFUNCTION("""COMPUTED_VALUE"""),"MOTORCYCLE")</f>
        <v>MOTORCYCLE</v>
      </c>
      <c r="G728" s="7" t="str">
        <f>IFERROR(__xludf.DUMMYFUNCTION("""COMPUTED_VALUE"""),"SAO PAULO")</f>
        <v>SAO PAULO</v>
      </c>
    </row>
    <row r="729">
      <c r="A729" s="6">
        <f>IFERROR(__xludf.DUMMYFUNCTION("""COMPUTED_VALUE"""),45705.0)</f>
        <v>45705</v>
      </c>
      <c r="B729" s="7" t="str">
        <f>IFERROR(__xludf.DUMMYFUNCTION("""COMPUTED_VALUE"""),"0eb0e02d-e236-4409-b98d-335b61dbc52d")</f>
        <v>0eb0e02d-e236-4409-b98d-335b61dbc52d</v>
      </c>
      <c r="C729" s="7">
        <f>IFERROR(__xludf.DUMMYFUNCTION("""COMPUTED_VALUE"""),90.0)</f>
        <v>90</v>
      </c>
      <c r="D729" s="6">
        <f>IFERROR(__xludf.DUMMYFUNCTION("""COMPUTED_VALUE"""),45615.0)</f>
        <v>45615</v>
      </c>
      <c r="E729" s="7" t="str">
        <f>IFERROR(__xludf.DUMMYFUNCTION("""COMPUTED_VALUE"""),"FRANQUIA_D&amp;G_SP")</f>
        <v>FRANQUIA_D&amp;G_SP</v>
      </c>
      <c r="F729" s="7" t="str">
        <f>IFERROR(__xludf.DUMMYFUNCTION("""COMPUTED_VALUE"""),"BICYCLE")</f>
        <v>BICYCLE</v>
      </c>
      <c r="G729" s="7" t="str">
        <f>IFERROR(__xludf.DUMMYFUNCTION("""COMPUTED_VALUE"""),"SAO PAULO")</f>
        <v>SAO PAULO</v>
      </c>
    </row>
    <row r="730">
      <c r="A730" s="6">
        <f>IFERROR(__xludf.DUMMYFUNCTION("""COMPUTED_VALUE"""),45705.0)</f>
        <v>45705</v>
      </c>
      <c r="B730" s="7" t="str">
        <f>IFERROR(__xludf.DUMMYFUNCTION("""COMPUTED_VALUE"""),"354a2ce1-f47d-4142-b27b-894ac88441cb")</f>
        <v>354a2ce1-f47d-4142-b27b-894ac88441cb</v>
      </c>
      <c r="C730" s="7">
        <f>IFERROR(__xludf.DUMMYFUNCTION("""COMPUTED_VALUE"""),0.0)</f>
        <v>0</v>
      </c>
      <c r="D730" s="6">
        <f>IFERROR(__xludf.DUMMYFUNCTION("""COMPUTED_VALUE"""),45705.0)</f>
        <v>45705</v>
      </c>
      <c r="E730" s="7" t="str">
        <f>IFERROR(__xludf.DUMMYFUNCTION("""COMPUTED_VALUE"""),"FRANQUIA_D&amp;G_SP")</f>
        <v>FRANQUIA_D&amp;G_SP</v>
      </c>
      <c r="F730" s="7" t="str">
        <f>IFERROR(__xludf.DUMMYFUNCTION("""COMPUTED_VALUE"""),"MOTORCYCLE")</f>
        <v>MOTORCYCLE</v>
      </c>
      <c r="G730" s="7" t="str">
        <f>IFERROR(__xludf.DUMMYFUNCTION("""COMPUTED_VALUE"""),"SAO PAULO")</f>
        <v>SAO PAULO</v>
      </c>
    </row>
    <row r="731">
      <c r="A731" s="6">
        <f>IFERROR(__xludf.DUMMYFUNCTION("""COMPUTED_VALUE"""),45705.0)</f>
        <v>45705</v>
      </c>
      <c r="B731" s="7" t="str">
        <f>IFERROR(__xludf.DUMMYFUNCTION("""COMPUTED_VALUE"""),"29c145f7-ba1e-4d1a-b40d-776d7e2c059b")</f>
        <v>29c145f7-ba1e-4d1a-b40d-776d7e2c059b</v>
      </c>
      <c r="C731" s="7">
        <f>IFERROR(__xludf.DUMMYFUNCTION("""COMPUTED_VALUE"""),177.0)</f>
        <v>177</v>
      </c>
      <c r="D731" s="6">
        <f>IFERROR(__xludf.DUMMYFUNCTION("""COMPUTED_VALUE"""),45528.0)</f>
        <v>45528</v>
      </c>
      <c r="E731" s="7" t="str">
        <f>IFERROR(__xludf.DUMMYFUNCTION("""COMPUTED_VALUE"""),"FRANQUIA_D&amp;G_SP")</f>
        <v>FRANQUIA_D&amp;G_SP</v>
      </c>
      <c r="F731" s="7" t="str">
        <f>IFERROR(__xludf.DUMMYFUNCTION("""COMPUTED_VALUE"""),"BICYCLE")</f>
        <v>BICYCLE</v>
      </c>
      <c r="G731" s="7" t="str">
        <f>IFERROR(__xludf.DUMMYFUNCTION("""COMPUTED_VALUE"""),"SAO PAULO")</f>
        <v>SAO PAULO</v>
      </c>
    </row>
    <row r="732">
      <c r="A732" s="6">
        <f>IFERROR(__xludf.DUMMYFUNCTION("""COMPUTED_VALUE"""),45705.0)</f>
        <v>45705</v>
      </c>
      <c r="B732" s="7" t="str">
        <f>IFERROR(__xludf.DUMMYFUNCTION("""COMPUTED_VALUE"""),"a2efb5f6-9e65-426f-827e-ae2adc8e91da")</f>
        <v>a2efb5f6-9e65-426f-827e-ae2adc8e91da</v>
      </c>
      <c r="C732" s="7">
        <f>IFERROR(__xludf.DUMMYFUNCTION("""COMPUTED_VALUE"""),60.0)</f>
        <v>60</v>
      </c>
      <c r="D732" s="6">
        <f>IFERROR(__xludf.DUMMYFUNCTION("""COMPUTED_VALUE"""),45645.0)</f>
        <v>45645</v>
      </c>
      <c r="E732" s="7" t="str">
        <f>IFERROR(__xludf.DUMMYFUNCTION("""COMPUTED_VALUE"""),"FRANQUIA_D&amp;G_SP")</f>
        <v>FRANQUIA_D&amp;G_SP</v>
      </c>
      <c r="F732" s="7" t="str">
        <f>IFERROR(__xludf.DUMMYFUNCTION("""COMPUTED_VALUE"""),"BICYCLE")</f>
        <v>BICYCLE</v>
      </c>
      <c r="G732" s="7" t="str">
        <f>IFERROR(__xludf.DUMMYFUNCTION("""COMPUTED_VALUE"""),"SAO PAULO")</f>
        <v>SAO PAULO</v>
      </c>
    </row>
    <row r="733">
      <c r="A733" s="6">
        <f>IFERROR(__xludf.DUMMYFUNCTION("""COMPUTED_VALUE"""),45705.0)</f>
        <v>45705</v>
      </c>
      <c r="B733" s="7" t="str">
        <f>IFERROR(__xludf.DUMMYFUNCTION("""COMPUTED_VALUE"""),"f0cc2227-ce2f-4dee-bdee-3bf505571b5a")</f>
        <v>f0cc2227-ce2f-4dee-bdee-3bf505571b5a</v>
      </c>
      <c r="C733" s="7">
        <f>IFERROR(__xludf.DUMMYFUNCTION("""COMPUTED_VALUE"""),208.0)</f>
        <v>208</v>
      </c>
      <c r="D733" s="6">
        <f>IFERROR(__xludf.DUMMYFUNCTION("""COMPUTED_VALUE"""),45497.0)</f>
        <v>45497</v>
      </c>
      <c r="E733" s="7" t="str">
        <f>IFERROR(__xludf.DUMMYFUNCTION("""COMPUTED_VALUE"""),"FRANQUIA_D&amp;G_SP")</f>
        <v>FRANQUIA_D&amp;G_SP</v>
      </c>
      <c r="F733" s="7" t="str">
        <f>IFERROR(__xludf.DUMMYFUNCTION("""COMPUTED_VALUE"""),"MOTORCYCLE")</f>
        <v>MOTORCYCLE</v>
      </c>
      <c r="G733" s="7" t="str">
        <f>IFERROR(__xludf.DUMMYFUNCTION("""COMPUTED_VALUE"""),"SAO PAULO")</f>
        <v>SAO PAULO</v>
      </c>
    </row>
    <row r="734">
      <c r="A734" s="6">
        <f>IFERROR(__xludf.DUMMYFUNCTION("""COMPUTED_VALUE"""),45705.0)</f>
        <v>45705</v>
      </c>
      <c r="B734" s="7" t="str">
        <f>IFERROR(__xludf.DUMMYFUNCTION("""COMPUTED_VALUE"""),"6fc92b1d-7095-4704-b6d6-793bb8ba9328")</f>
        <v>6fc92b1d-7095-4704-b6d6-793bb8ba9328</v>
      </c>
      <c r="C734" s="7">
        <f>IFERROR(__xludf.DUMMYFUNCTION("""COMPUTED_VALUE"""),126.0)</f>
        <v>126</v>
      </c>
      <c r="D734" s="6">
        <f>IFERROR(__xludf.DUMMYFUNCTION("""COMPUTED_VALUE"""),45579.0)</f>
        <v>45579</v>
      </c>
      <c r="E734" s="7" t="str">
        <f>IFERROR(__xludf.DUMMYFUNCTION("""COMPUTED_VALUE"""),"FRANQUIA_D&amp;G_SP")</f>
        <v>FRANQUIA_D&amp;G_SP</v>
      </c>
      <c r="F734" s="7" t="str">
        <f>IFERROR(__xludf.DUMMYFUNCTION("""COMPUTED_VALUE"""),"BICYCLE")</f>
        <v>BICYCLE</v>
      </c>
      <c r="G734" s="7" t="str">
        <f>IFERROR(__xludf.DUMMYFUNCTION("""COMPUTED_VALUE"""),"SAO PAULO")</f>
        <v>SAO PAULO</v>
      </c>
    </row>
    <row r="735">
      <c r="A735" s="6">
        <f>IFERROR(__xludf.DUMMYFUNCTION("""COMPUTED_VALUE"""),45705.0)</f>
        <v>45705</v>
      </c>
      <c r="B735" s="7" t="str">
        <f>IFERROR(__xludf.DUMMYFUNCTION("""COMPUTED_VALUE"""),"c950bd30-3d8f-414a-b4cd-99d03236e1b8")</f>
        <v>c950bd30-3d8f-414a-b4cd-99d03236e1b8</v>
      </c>
      <c r="C735" s="7">
        <f>IFERROR(__xludf.DUMMYFUNCTION("""COMPUTED_VALUE"""),0.0)</f>
        <v>0</v>
      </c>
      <c r="D735" s="6">
        <f>IFERROR(__xludf.DUMMYFUNCTION("""COMPUTED_VALUE"""),45705.0)</f>
        <v>45705</v>
      </c>
      <c r="E735" s="7" t="str">
        <f>IFERROR(__xludf.DUMMYFUNCTION("""COMPUTED_VALUE"""),"FRANQUIA_D&amp;G_SP")</f>
        <v>FRANQUIA_D&amp;G_SP</v>
      </c>
      <c r="F735" s="7" t="str">
        <f>IFERROR(__xludf.DUMMYFUNCTION("""COMPUTED_VALUE"""),"MOTORCYCLE")</f>
        <v>MOTORCYCLE</v>
      </c>
      <c r="G735" s="7" t="str">
        <f>IFERROR(__xludf.DUMMYFUNCTION("""COMPUTED_VALUE"""),"SAO PAULO")</f>
        <v>SAO PAULO</v>
      </c>
    </row>
    <row r="736">
      <c r="A736" s="6">
        <f>IFERROR(__xludf.DUMMYFUNCTION("""COMPUTED_VALUE"""),45705.0)</f>
        <v>45705</v>
      </c>
      <c r="B736" s="7" t="str">
        <f>IFERROR(__xludf.DUMMYFUNCTION("""COMPUTED_VALUE"""),"4f7a6425-c2e7-47cf-8e1a-3aa83dd72eac")</f>
        <v>4f7a6425-c2e7-47cf-8e1a-3aa83dd72eac</v>
      </c>
      <c r="C736" s="7">
        <f>IFERROR(__xludf.DUMMYFUNCTION("""COMPUTED_VALUE"""),0.0)</f>
        <v>0</v>
      </c>
      <c r="D736" s="6">
        <f>IFERROR(__xludf.DUMMYFUNCTION("""COMPUTED_VALUE"""),45705.0)</f>
        <v>45705</v>
      </c>
      <c r="E736" s="7" t="str">
        <f>IFERROR(__xludf.DUMMYFUNCTION("""COMPUTED_VALUE"""),"FRANQUIA_D&amp;G_SP")</f>
        <v>FRANQUIA_D&amp;G_SP</v>
      </c>
      <c r="F736" s="7" t="str">
        <f>IFERROR(__xludf.DUMMYFUNCTION("""COMPUTED_VALUE"""),"MOTORCYCLE")</f>
        <v>MOTORCYCLE</v>
      </c>
      <c r="G736" s="7" t="str">
        <f>IFERROR(__xludf.DUMMYFUNCTION("""COMPUTED_VALUE"""),"SAO PAULO")</f>
        <v>SAO PAULO</v>
      </c>
    </row>
    <row r="737">
      <c r="A737" s="6">
        <f>IFERROR(__xludf.DUMMYFUNCTION("""COMPUTED_VALUE"""),45705.0)</f>
        <v>45705</v>
      </c>
      <c r="B737" s="7" t="str">
        <f>IFERROR(__xludf.DUMMYFUNCTION("""COMPUTED_VALUE"""),"8019de2e-f600-41be-9d46-271aacd6a8e6")</f>
        <v>8019de2e-f600-41be-9d46-271aacd6a8e6</v>
      </c>
      <c r="C737" s="7">
        <f>IFERROR(__xludf.DUMMYFUNCTION("""COMPUTED_VALUE"""),0.0)</f>
        <v>0</v>
      </c>
      <c r="D737" s="6">
        <f>IFERROR(__xludf.DUMMYFUNCTION("""COMPUTED_VALUE"""),45705.0)</f>
        <v>45705</v>
      </c>
      <c r="E737" s="7" t="str">
        <f>IFERROR(__xludf.DUMMYFUNCTION("""COMPUTED_VALUE"""),"FRANQUIA_D&amp;G_SP")</f>
        <v>FRANQUIA_D&amp;G_SP</v>
      </c>
      <c r="F737" s="7" t="str">
        <f>IFERROR(__xludf.DUMMYFUNCTION("""COMPUTED_VALUE"""),"MOTORCYCLE")</f>
        <v>MOTORCYCLE</v>
      </c>
      <c r="G737" s="7" t="str">
        <f>IFERROR(__xludf.DUMMYFUNCTION("""COMPUTED_VALUE"""),"SAO PAULO")</f>
        <v>SAO PAULO</v>
      </c>
    </row>
    <row r="738">
      <c r="A738" s="6">
        <f>IFERROR(__xludf.DUMMYFUNCTION("""COMPUTED_VALUE"""),45705.0)</f>
        <v>45705</v>
      </c>
      <c r="B738" s="7" t="str">
        <f>IFERROR(__xludf.DUMMYFUNCTION("""COMPUTED_VALUE"""),"f1317965-32a6-4c1a-8785-73bef93b80c4")</f>
        <v>f1317965-32a6-4c1a-8785-73bef93b80c4</v>
      </c>
      <c r="C738" s="7">
        <f>IFERROR(__xludf.DUMMYFUNCTION("""COMPUTED_VALUE"""),0.0)</f>
        <v>0</v>
      </c>
      <c r="D738" s="6">
        <f>IFERROR(__xludf.DUMMYFUNCTION("""COMPUTED_VALUE"""),45705.0)</f>
        <v>45705</v>
      </c>
      <c r="E738" s="7" t="str">
        <f>IFERROR(__xludf.DUMMYFUNCTION("""COMPUTED_VALUE"""),"FRANQUIA_D&amp;G_SP")</f>
        <v>FRANQUIA_D&amp;G_SP</v>
      </c>
      <c r="F738" s="7" t="str">
        <f>IFERROR(__xludf.DUMMYFUNCTION("""COMPUTED_VALUE"""),"EBIKE")</f>
        <v>EBIKE</v>
      </c>
      <c r="G738" s="7" t="str">
        <f>IFERROR(__xludf.DUMMYFUNCTION("""COMPUTED_VALUE"""),"RECIFE")</f>
        <v>RECIFE</v>
      </c>
    </row>
    <row r="739">
      <c r="A739" s="6">
        <f>IFERROR(__xludf.DUMMYFUNCTION("""COMPUTED_VALUE"""),45705.0)</f>
        <v>45705</v>
      </c>
      <c r="B739" s="7" t="str">
        <f>IFERROR(__xludf.DUMMYFUNCTION("""COMPUTED_VALUE"""),"9858e0f6-3018-41fe-b11d-2c8d1d50bfe4")</f>
        <v>9858e0f6-3018-41fe-b11d-2c8d1d50bfe4</v>
      </c>
      <c r="C739" s="7">
        <f>IFERROR(__xludf.DUMMYFUNCTION("""COMPUTED_VALUE"""),514.0)</f>
        <v>514</v>
      </c>
      <c r="D739" s="6">
        <f>IFERROR(__xludf.DUMMYFUNCTION("""COMPUTED_VALUE"""),45191.0)</f>
        <v>45191</v>
      </c>
      <c r="E739" s="7" t="str">
        <f>IFERROR(__xludf.DUMMYFUNCTION("""COMPUTED_VALUE"""),"FRANQUIA_D&amp;G_SP")</f>
        <v>FRANQUIA_D&amp;G_SP</v>
      </c>
      <c r="F739" s="7" t="str">
        <f>IFERROR(__xludf.DUMMYFUNCTION("""COMPUTED_VALUE"""),"BICYCLE")</f>
        <v>BICYCLE</v>
      </c>
      <c r="G739" s="7" t="str">
        <f>IFERROR(__xludf.DUMMYFUNCTION("""COMPUTED_VALUE"""),"SAO PAULO")</f>
        <v>SAO PAULO</v>
      </c>
    </row>
    <row r="740">
      <c r="A740" s="6">
        <f>IFERROR(__xludf.DUMMYFUNCTION("""COMPUTED_VALUE"""),45705.0)</f>
        <v>45705</v>
      </c>
      <c r="B740" s="7" t="str">
        <f>IFERROR(__xludf.DUMMYFUNCTION("""COMPUTED_VALUE"""),"1a4fc730-54f0-40ad-b137-d54e774c0fd1")</f>
        <v>1a4fc730-54f0-40ad-b137-d54e774c0fd1</v>
      </c>
      <c r="C740" s="7">
        <f>IFERROR(__xludf.DUMMYFUNCTION("""COMPUTED_VALUE"""),0.0)</f>
        <v>0</v>
      </c>
      <c r="D740" s="6">
        <f>IFERROR(__xludf.DUMMYFUNCTION("""COMPUTED_VALUE"""),45705.0)</f>
        <v>45705</v>
      </c>
      <c r="E740" s="7" t="str">
        <f>IFERROR(__xludf.DUMMYFUNCTION("""COMPUTED_VALUE"""),"FRANQUIA_D&amp;G_SP")</f>
        <v>FRANQUIA_D&amp;G_SP</v>
      </c>
      <c r="F740" s="7" t="str">
        <f>IFERROR(__xludf.DUMMYFUNCTION("""COMPUTED_VALUE"""),"MOTORCYCLE")</f>
        <v>MOTORCYCLE</v>
      </c>
      <c r="G740" s="7" t="str">
        <f>IFERROR(__xludf.DUMMYFUNCTION("""COMPUTED_VALUE"""),"SAO PAULO")</f>
        <v>SAO PAULO</v>
      </c>
    </row>
    <row r="741">
      <c r="A741" s="6">
        <f>IFERROR(__xludf.DUMMYFUNCTION("""COMPUTED_VALUE"""),45705.0)</f>
        <v>45705</v>
      </c>
      <c r="B741" s="7" t="str">
        <f>IFERROR(__xludf.DUMMYFUNCTION("""COMPUTED_VALUE"""),"7633642b-a1c1-44f2-b2d7-30f776f1e79d")</f>
        <v>7633642b-a1c1-44f2-b2d7-30f776f1e79d</v>
      </c>
      <c r="C741" s="7">
        <f>IFERROR(__xludf.DUMMYFUNCTION("""COMPUTED_VALUE"""),12.0)</f>
        <v>12</v>
      </c>
      <c r="D741" s="6">
        <f>IFERROR(__xludf.DUMMYFUNCTION("""COMPUTED_VALUE"""),45693.0)</f>
        <v>45693</v>
      </c>
      <c r="E741" s="7" t="str">
        <f>IFERROR(__xludf.DUMMYFUNCTION("""COMPUTED_VALUE"""),"FRANQUIA_D&amp;G_SP")</f>
        <v>FRANQUIA_D&amp;G_SP</v>
      </c>
      <c r="F741" s="7" t="str">
        <f>IFERROR(__xludf.DUMMYFUNCTION("""COMPUTED_VALUE"""),"MOTORCYCLE")</f>
        <v>MOTORCYCLE</v>
      </c>
      <c r="G741" s="7" t="str">
        <f>IFERROR(__xludf.DUMMYFUNCTION("""COMPUTED_VALUE"""),"SAO PAULO")</f>
        <v>SAO PAULO</v>
      </c>
    </row>
    <row r="742">
      <c r="A742" s="6">
        <f>IFERROR(__xludf.DUMMYFUNCTION("""COMPUTED_VALUE"""),45705.0)</f>
        <v>45705</v>
      </c>
      <c r="B742" s="7" t="str">
        <f>IFERROR(__xludf.DUMMYFUNCTION("""COMPUTED_VALUE"""),"c307c7b2-86ed-49ea-b794-45dd083de0a3")</f>
        <v>c307c7b2-86ed-49ea-b794-45dd083de0a3</v>
      </c>
      <c r="C742" s="7">
        <f>IFERROR(__xludf.DUMMYFUNCTION("""COMPUTED_VALUE"""),0.0)</f>
        <v>0</v>
      </c>
      <c r="D742" s="6">
        <f>IFERROR(__xludf.DUMMYFUNCTION("""COMPUTED_VALUE"""),45705.0)</f>
        <v>45705</v>
      </c>
      <c r="E742" s="7" t="str">
        <f>IFERROR(__xludf.DUMMYFUNCTION("""COMPUTED_VALUE"""),"FRANQUIA_D&amp;G_SP")</f>
        <v>FRANQUIA_D&amp;G_SP</v>
      </c>
      <c r="F742" s="7" t="str">
        <f>IFERROR(__xludf.DUMMYFUNCTION("""COMPUTED_VALUE"""),"MOTORCYCLE")</f>
        <v>MOTORCYCLE</v>
      </c>
      <c r="G742" s="7" t="str">
        <f>IFERROR(__xludf.DUMMYFUNCTION("""COMPUTED_VALUE"""),"SAO PAULO")</f>
        <v>SAO PAULO</v>
      </c>
    </row>
    <row r="743">
      <c r="A743" s="6">
        <f>IFERROR(__xludf.DUMMYFUNCTION("""COMPUTED_VALUE"""),45705.0)</f>
        <v>45705</v>
      </c>
      <c r="B743" s="7" t="str">
        <f>IFERROR(__xludf.DUMMYFUNCTION("""COMPUTED_VALUE"""),"2af5a00b-de11-47f3-b6c1-d10db234ed5c")</f>
        <v>2af5a00b-de11-47f3-b6c1-d10db234ed5c</v>
      </c>
      <c r="C743" s="7">
        <f>IFERROR(__xludf.DUMMYFUNCTION("""COMPUTED_VALUE"""),0.0)</f>
        <v>0</v>
      </c>
      <c r="D743" s="6">
        <f>IFERROR(__xludf.DUMMYFUNCTION("""COMPUTED_VALUE"""),45705.0)</f>
        <v>45705</v>
      </c>
      <c r="E743" s="7" t="str">
        <f>IFERROR(__xludf.DUMMYFUNCTION("""COMPUTED_VALUE"""),"FRANQUIA_D&amp;G_SP")</f>
        <v>FRANQUIA_D&amp;G_SP</v>
      </c>
      <c r="F743" s="7" t="str">
        <f>IFERROR(__xludf.DUMMYFUNCTION("""COMPUTED_VALUE"""),"MOTORCYCLE")</f>
        <v>MOTORCYCLE</v>
      </c>
      <c r="G743" s="7" t="str">
        <f>IFERROR(__xludf.DUMMYFUNCTION("""COMPUTED_VALUE"""),"SAO PAULO")</f>
        <v>SAO PAULO</v>
      </c>
    </row>
    <row r="744">
      <c r="A744" s="6">
        <f>IFERROR(__xludf.DUMMYFUNCTION("""COMPUTED_VALUE"""),45705.0)</f>
        <v>45705</v>
      </c>
      <c r="B744" s="7" t="str">
        <f>IFERROR(__xludf.DUMMYFUNCTION("""COMPUTED_VALUE"""),"bab6d691-464f-4d01-955c-e2644db95b92")</f>
        <v>bab6d691-464f-4d01-955c-e2644db95b92</v>
      </c>
      <c r="C744" s="7">
        <f>IFERROR(__xludf.DUMMYFUNCTION("""COMPUTED_VALUE"""),686.0)</f>
        <v>686</v>
      </c>
      <c r="D744" s="6">
        <f>IFERROR(__xludf.DUMMYFUNCTION("""COMPUTED_VALUE"""),45019.0)</f>
        <v>45019</v>
      </c>
      <c r="E744" s="7" t="str">
        <f>IFERROR(__xludf.DUMMYFUNCTION("""COMPUTED_VALUE"""),"FRANQUIA_D&amp;G_SP")</f>
        <v>FRANQUIA_D&amp;G_SP</v>
      </c>
      <c r="F744" s="7" t="str">
        <f>IFERROR(__xludf.DUMMYFUNCTION("""COMPUTED_VALUE"""),"MOTORCYCLE")</f>
        <v>MOTORCYCLE</v>
      </c>
      <c r="G744" s="7" t="str">
        <f>IFERROR(__xludf.DUMMYFUNCTION("""COMPUTED_VALUE"""),"SAO PAULO")</f>
        <v>SAO PAULO</v>
      </c>
    </row>
    <row r="745">
      <c r="A745" s="6">
        <f>IFERROR(__xludf.DUMMYFUNCTION("""COMPUTED_VALUE"""),45705.0)</f>
        <v>45705</v>
      </c>
      <c r="B745" s="7" t="str">
        <f>IFERROR(__xludf.DUMMYFUNCTION("""COMPUTED_VALUE"""),"81b53b70-c935-46f4-a612-fd0ebda9f873")</f>
        <v>81b53b70-c935-46f4-a612-fd0ebda9f873</v>
      </c>
      <c r="C745" s="7">
        <f>IFERROR(__xludf.DUMMYFUNCTION("""COMPUTED_VALUE"""),0.0)</f>
        <v>0</v>
      </c>
      <c r="D745" s="6">
        <f>IFERROR(__xludf.DUMMYFUNCTION("""COMPUTED_VALUE"""),45705.0)</f>
        <v>45705</v>
      </c>
      <c r="E745" s="7" t="str">
        <f>IFERROR(__xludf.DUMMYFUNCTION("""COMPUTED_VALUE"""),"FRANQUIA_D&amp;G_SP")</f>
        <v>FRANQUIA_D&amp;G_SP</v>
      </c>
      <c r="F745" s="7" t="str">
        <f>IFERROR(__xludf.DUMMYFUNCTION("""COMPUTED_VALUE"""),"MOTORCYCLE")</f>
        <v>MOTORCYCLE</v>
      </c>
      <c r="G745" s="7" t="str">
        <f>IFERROR(__xludf.DUMMYFUNCTION("""COMPUTED_VALUE"""),"SAO PAULO")</f>
        <v>SAO PAULO</v>
      </c>
    </row>
    <row r="746">
      <c r="A746" s="6">
        <f>IFERROR(__xludf.DUMMYFUNCTION("""COMPUTED_VALUE"""),45705.0)</f>
        <v>45705</v>
      </c>
      <c r="B746" s="7" t="str">
        <f>IFERROR(__xludf.DUMMYFUNCTION("""COMPUTED_VALUE"""),"00fc2dd4-8160-43a4-9901-1a7356ea7664")</f>
        <v>00fc2dd4-8160-43a4-9901-1a7356ea7664</v>
      </c>
      <c r="C746" s="7">
        <f>IFERROR(__xludf.DUMMYFUNCTION("""COMPUTED_VALUE"""),0.0)</f>
        <v>0</v>
      </c>
      <c r="D746" s="6">
        <f>IFERROR(__xludf.DUMMYFUNCTION("""COMPUTED_VALUE"""),45705.0)</f>
        <v>45705</v>
      </c>
      <c r="E746" s="7" t="str">
        <f>IFERROR(__xludf.DUMMYFUNCTION("""COMPUTED_VALUE"""),"FRANQUIA_D&amp;G_SP")</f>
        <v>FRANQUIA_D&amp;G_SP</v>
      </c>
      <c r="F746" s="7" t="str">
        <f>IFERROR(__xludf.DUMMYFUNCTION("""COMPUTED_VALUE"""),"MOTORCYCLE")</f>
        <v>MOTORCYCLE</v>
      </c>
      <c r="G746" s="7" t="str">
        <f>IFERROR(__xludf.DUMMYFUNCTION("""COMPUTED_VALUE"""),"SAO PAULO")</f>
        <v>SAO PAULO</v>
      </c>
    </row>
    <row r="747">
      <c r="A747" s="6">
        <f>IFERROR(__xludf.DUMMYFUNCTION("""COMPUTED_VALUE"""),45705.0)</f>
        <v>45705</v>
      </c>
      <c r="B747" s="7" t="str">
        <f>IFERROR(__xludf.DUMMYFUNCTION("""COMPUTED_VALUE"""),"30d9b933-144c-41bf-93b8-8465053ba787")</f>
        <v>30d9b933-144c-41bf-93b8-8465053ba787</v>
      </c>
      <c r="C747" s="7">
        <f>IFERROR(__xludf.DUMMYFUNCTION("""COMPUTED_VALUE"""),0.0)</f>
        <v>0</v>
      </c>
      <c r="D747" s="6">
        <f>IFERROR(__xludf.DUMMYFUNCTION("""COMPUTED_VALUE"""),45705.0)</f>
        <v>45705</v>
      </c>
      <c r="E747" s="7" t="str">
        <f>IFERROR(__xludf.DUMMYFUNCTION("""COMPUTED_VALUE"""),"FRANQUIA_D&amp;G_SP")</f>
        <v>FRANQUIA_D&amp;G_SP</v>
      </c>
      <c r="F747" s="7" t="str">
        <f>IFERROR(__xludf.DUMMYFUNCTION("""COMPUTED_VALUE"""),"MOTORCYCLE")</f>
        <v>MOTORCYCLE</v>
      </c>
      <c r="G747" s="7" t="str">
        <f>IFERROR(__xludf.DUMMYFUNCTION("""COMPUTED_VALUE"""),"SAO PAULO")</f>
        <v>SAO PAULO</v>
      </c>
    </row>
    <row r="748">
      <c r="A748" s="6">
        <f>IFERROR(__xludf.DUMMYFUNCTION("""COMPUTED_VALUE"""),45705.0)</f>
        <v>45705</v>
      </c>
      <c r="B748" s="7" t="str">
        <f>IFERROR(__xludf.DUMMYFUNCTION("""COMPUTED_VALUE"""),"60fceb65-ec9f-4768-9d38-f4c95c0a296e")</f>
        <v>60fceb65-ec9f-4768-9d38-f4c95c0a296e</v>
      </c>
      <c r="C748" s="7">
        <f>IFERROR(__xludf.DUMMYFUNCTION("""COMPUTED_VALUE"""),648.0)</f>
        <v>648</v>
      </c>
      <c r="D748" s="6">
        <f>IFERROR(__xludf.DUMMYFUNCTION("""COMPUTED_VALUE"""),45057.0)</f>
        <v>45057</v>
      </c>
      <c r="E748" s="7" t="str">
        <f>IFERROR(__xludf.DUMMYFUNCTION("""COMPUTED_VALUE"""),"FRANQUIA_D&amp;G_SP")</f>
        <v>FRANQUIA_D&amp;G_SP</v>
      </c>
      <c r="F748" s="7" t="str">
        <f>IFERROR(__xludf.DUMMYFUNCTION("""COMPUTED_VALUE"""),"Bike Express")</f>
        <v>Bike Express</v>
      </c>
      <c r="G748" s="7" t="str">
        <f>IFERROR(__xludf.DUMMYFUNCTION("""COMPUTED_VALUE"""),"SAO PAULO")</f>
        <v>SAO PAULO</v>
      </c>
    </row>
    <row r="749">
      <c r="A749" s="6">
        <f>IFERROR(__xludf.DUMMYFUNCTION("""COMPUTED_VALUE"""),45705.0)</f>
        <v>45705</v>
      </c>
      <c r="B749" s="7" t="str">
        <f>IFERROR(__xludf.DUMMYFUNCTION("""COMPUTED_VALUE"""),"2264dced-4ffb-4015-b0f2-e410df04c61a")</f>
        <v>2264dced-4ffb-4015-b0f2-e410df04c61a</v>
      </c>
      <c r="C749" s="7">
        <f>IFERROR(__xludf.DUMMYFUNCTION("""COMPUTED_VALUE"""),195.0)</f>
        <v>195</v>
      </c>
      <c r="D749" s="6">
        <f>IFERROR(__xludf.DUMMYFUNCTION("""COMPUTED_VALUE"""),45510.0)</f>
        <v>45510</v>
      </c>
      <c r="E749" s="7" t="str">
        <f>IFERROR(__xludf.DUMMYFUNCTION("""COMPUTED_VALUE"""),"FRANQUIA_D&amp;G_SP")</f>
        <v>FRANQUIA_D&amp;G_SP</v>
      </c>
      <c r="F749" s="7" t="str">
        <f>IFERROR(__xludf.DUMMYFUNCTION("""COMPUTED_VALUE"""),"MOTORCYCLE")</f>
        <v>MOTORCYCLE</v>
      </c>
      <c r="G749" s="7" t="str">
        <f>IFERROR(__xludf.DUMMYFUNCTION("""COMPUTED_VALUE"""),"SAO PAULO")</f>
        <v>SAO PAULO</v>
      </c>
    </row>
    <row r="750">
      <c r="A750" s="6">
        <f>IFERROR(__xludf.DUMMYFUNCTION("""COMPUTED_VALUE"""),45705.0)</f>
        <v>45705</v>
      </c>
      <c r="B750" s="7" t="str">
        <f>IFERROR(__xludf.DUMMYFUNCTION("""COMPUTED_VALUE"""),"2accb2d8-825c-4a07-b692-818db9595761")</f>
        <v>2accb2d8-825c-4a07-b692-818db9595761</v>
      </c>
      <c r="C750" s="7">
        <f>IFERROR(__xludf.DUMMYFUNCTION("""COMPUTED_VALUE"""),0.0)</f>
        <v>0</v>
      </c>
      <c r="D750" s="6">
        <f>IFERROR(__xludf.DUMMYFUNCTION("""COMPUTED_VALUE"""),45705.0)</f>
        <v>45705</v>
      </c>
      <c r="E750" s="7" t="str">
        <f>IFERROR(__xludf.DUMMYFUNCTION("""COMPUTED_VALUE"""),"FRANQUIA_D&amp;G_SP")</f>
        <v>FRANQUIA_D&amp;G_SP</v>
      </c>
      <c r="F750" s="7" t="str">
        <f>IFERROR(__xludf.DUMMYFUNCTION("""COMPUTED_VALUE"""),"BICYCLE")</f>
        <v>BICYCLE</v>
      </c>
      <c r="G750" s="7" t="str">
        <f>IFERROR(__xludf.DUMMYFUNCTION("""COMPUTED_VALUE"""),"SAO PAULO")</f>
        <v>SAO PAULO</v>
      </c>
    </row>
    <row r="751">
      <c r="A751" s="6">
        <f>IFERROR(__xludf.DUMMYFUNCTION("""COMPUTED_VALUE"""),45705.0)</f>
        <v>45705</v>
      </c>
      <c r="B751" s="7" t="str">
        <f>IFERROR(__xludf.DUMMYFUNCTION("""COMPUTED_VALUE"""),"513756e6-420d-4ecd-9481-b3c922bfc35f")</f>
        <v>513756e6-420d-4ecd-9481-b3c922bfc35f</v>
      </c>
      <c r="C751" s="7">
        <f>IFERROR(__xludf.DUMMYFUNCTION("""COMPUTED_VALUE"""),197.0)</f>
        <v>197</v>
      </c>
      <c r="D751" s="6">
        <f>IFERROR(__xludf.DUMMYFUNCTION("""COMPUTED_VALUE"""),45508.0)</f>
        <v>45508</v>
      </c>
      <c r="E751" s="7" t="str">
        <f>IFERROR(__xludf.DUMMYFUNCTION("""COMPUTED_VALUE"""),"FRANQUIA_D&amp;G_SP")</f>
        <v>FRANQUIA_D&amp;G_SP</v>
      </c>
      <c r="F751" s="7" t="str">
        <f>IFERROR(__xludf.DUMMYFUNCTION("""COMPUTED_VALUE"""),"BICYCLE")</f>
        <v>BICYCLE</v>
      </c>
      <c r="G751" s="7" t="str">
        <f>IFERROR(__xludf.DUMMYFUNCTION("""COMPUTED_VALUE"""),"SAO PAULO")</f>
        <v>SAO PAULO</v>
      </c>
    </row>
    <row r="752">
      <c r="A752" s="6">
        <f>IFERROR(__xludf.DUMMYFUNCTION("""COMPUTED_VALUE"""),45705.0)</f>
        <v>45705</v>
      </c>
      <c r="B752" s="7" t="str">
        <f>IFERROR(__xludf.DUMMYFUNCTION("""COMPUTED_VALUE"""),"c27cf100-b441-4d02-b64f-d4334d4676cb")</f>
        <v>c27cf100-b441-4d02-b64f-d4334d4676cb</v>
      </c>
      <c r="C752" s="7">
        <f>IFERROR(__xludf.DUMMYFUNCTION("""COMPUTED_VALUE"""),63.0)</f>
        <v>63</v>
      </c>
      <c r="D752" s="6">
        <f>IFERROR(__xludf.DUMMYFUNCTION("""COMPUTED_VALUE"""),45642.0)</f>
        <v>45642</v>
      </c>
      <c r="E752" s="7" t="str">
        <f>IFERROR(__xludf.DUMMYFUNCTION("""COMPUTED_VALUE"""),"FRANQUIA_D&amp;G_SP")</f>
        <v>FRANQUIA_D&amp;G_SP</v>
      </c>
      <c r="F752" s="7" t="str">
        <f>IFERROR(__xludf.DUMMYFUNCTION("""COMPUTED_VALUE"""),"BICYCLE")</f>
        <v>BICYCLE</v>
      </c>
      <c r="G752" s="7" t="str">
        <f>IFERROR(__xludf.DUMMYFUNCTION("""COMPUTED_VALUE"""),"SAO PAULO")</f>
        <v>SAO PAULO</v>
      </c>
    </row>
    <row r="753">
      <c r="A753" s="6">
        <f>IFERROR(__xludf.DUMMYFUNCTION("""COMPUTED_VALUE"""),45705.0)</f>
        <v>45705</v>
      </c>
      <c r="B753" s="7" t="str">
        <f>IFERROR(__xludf.DUMMYFUNCTION("""COMPUTED_VALUE"""),"f808cb45-ea06-44bb-861f-7aed4044f6fb")</f>
        <v>f808cb45-ea06-44bb-861f-7aed4044f6fb</v>
      </c>
      <c r="C753" s="7">
        <f>IFERROR(__xludf.DUMMYFUNCTION("""COMPUTED_VALUE"""),13.0)</f>
        <v>13</v>
      </c>
      <c r="D753" s="6">
        <f>IFERROR(__xludf.DUMMYFUNCTION("""COMPUTED_VALUE"""),45692.0)</f>
        <v>45692</v>
      </c>
      <c r="E753" s="7" t="str">
        <f>IFERROR(__xludf.DUMMYFUNCTION("""COMPUTED_VALUE"""),"FRANQUIA_D&amp;G_SP")</f>
        <v>FRANQUIA_D&amp;G_SP</v>
      </c>
      <c r="F753" s="7" t="str">
        <f>IFERROR(__xludf.DUMMYFUNCTION("""COMPUTED_VALUE"""),"BICYCLE")</f>
        <v>BICYCLE</v>
      </c>
      <c r="G753" s="7" t="str">
        <f>IFERROR(__xludf.DUMMYFUNCTION("""COMPUTED_VALUE"""),"SAO PAULO")</f>
        <v>SAO PAULO</v>
      </c>
    </row>
    <row r="754">
      <c r="A754" s="6">
        <f>IFERROR(__xludf.DUMMYFUNCTION("""COMPUTED_VALUE"""),45705.0)</f>
        <v>45705</v>
      </c>
      <c r="B754" s="7" t="str">
        <f>IFERROR(__xludf.DUMMYFUNCTION("""COMPUTED_VALUE"""),"c393062e-22f7-4498-b866-cb8d541ea69d")</f>
        <v>c393062e-22f7-4498-b866-cb8d541ea69d</v>
      </c>
      <c r="C754" s="7">
        <f>IFERROR(__xludf.DUMMYFUNCTION("""COMPUTED_VALUE"""),274.0)</f>
        <v>274</v>
      </c>
      <c r="D754" s="6">
        <f>IFERROR(__xludf.DUMMYFUNCTION("""COMPUTED_VALUE"""),45431.0)</f>
        <v>45431</v>
      </c>
      <c r="E754" s="7" t="str">
        <f>IFERROR(__xludf.DUMMYFUNCTION("""COMPUTED_VALUE"""),"FRANQUIA_D&amp;G_SP")</f>
        <v>FRANQUIA_D&amp;G_SP</v>
      </c>
      <c r="F754" s="7" t="str">
        <f>IFERROR(__xludf.DUMMYFUNCTION("""COMPUTED_VALUE"""),"BICYCLE")</f>
        <v>BICYCLE</v>
      </c>
      <c r="G754" s="7" t="str">
        <f>IFERROR(__xludf.DUMMYFUNCTION("""COMPUTED_VALUE"""),"SAO PAULO")</f>
        <v>SAO PAULO</v>
      </c>
    </row>
    <row r="755">
      <c r="A755" s="6">
        <f>IFERROR(__xludf.DUMMYFUNCTION("""COMPUTED_VALUE"""),45705.0)</f>
        <v>45705</v>
      </c>
      <c r="B755" s="7" t="str">
        <f>IFERROR(__xludf.DUMMYFUNCTION("""COMPUTED_VALUE"""),"8a00b7fc-e628-4127-9bd7-7f6813ba3376")</f>
        <v>8a00b7fc-e628-4127-9bd7-7f6813ba3376</v>
      </c>
      <c r="C755" s="7">
        <f>IFERROR(__xludf.DUMMYFUNCTION("""COMPUTED_VALUE"""),0.0)</f>
        <v>0</v>
      </c>
      <c r="D755" s="6">
        <f>IFERROR(__xludf.DUMMYFUNCTION("""COMPUTED_VALUE"""),45705.0)</f>
        <v>45705</v>
      </c>
      <c r="E755" s="7" t="str">
        <f>IFERROR(__xludf.DUMMYFUNCTION("""COMPUTED_VALUE"""),"FRANQUIA_D&amp;G_SP")</f>
        <v>FRANQUIA_D&amp;G_SP</v>
      </c>
      <c r="F755" s="7" t="str">
        <f>IFERROR(__xludf.DUMMYFUNCTION("""COMPUTED_VALUE"""),"MOTORCYCLE")</f>
        <v>MOTORCYCLE</v>
      </c>
      <c r="G755" s="7" t="str">
        <f>IFERROR(__xludf.DUMMYFUNCTION("""COMPUTED_VALUE"""),"SAO PAULO")</f>
        <v>SAO PAULO</v>
      </c>
    </row>
    <row r="756">
      <c r="A756" s="6">
        <f>IFERROR(__xludf.DUMMYFUNCTION("""COMPUTED_VALUE"""),45705.0)</f>
        <v>45705</v>
      </c>
      <c r="B756" s="7" t="str">
        <f>IFERROR(__xludf.DUMMYFUNCTION("""COMPUTED_VALUE"""),"5ecfa77b-e596-45c8-854d-cb492618ee32")</f>
        <v>5ecfa77b-e596-45c8-854d-cb492618ee32</v>
      </c>
      <c r="C756" s="7">
        <f>IFERROR(__xludf.DUMMYFUNCTION("""COMPUTED_VALUE"""),1.0)</f>
        <v>1</v>
      </c>
      <c r="D756" s="6">
        <f>IFERROR(__xludf.DUMMYFUNCTION("""COMPUTED_VALUE"""),45704.0)</f>
        <v>45704</v>
      </c>
      <c r="E756" s="7" t="str">
        <f>IFERROR(__xludf.DUMMYFUNCTION("""COMPUTED_VALUE"""),"FRANQUIA_D&amp;G_SP")</f>
        <v>FRANQUIA_D&amp;G_SP</v>
      </c>
      <c r="F756" s="7" t="str">
        <f>IFERROR(__xludf.DUMMYFUNCTION("""COMPUTED_VALUE"""),"MOTORCYCLE")</f>
        <v>MOTORCYCLE</v>
      </c>
      <c r="G756" s="7" t="str">
        <f>IFERROR(__xludf.DUMMYFUNCTION("""COMPUTED_VALUE"""),"SAO PAULO")</f>
        <v>SAO PAULO</v>
      </c>
    </row>
    <row r="757">
      <c r="A757" s="6">
        <f>IFERROR(__xludf.DUMMYFUNCTION("""COMPUTED_VALUE"""),45705.0)</f>
        <v>45705</v>
      </c>
      <c r="B757" s="7" t="str">
        <f>IFERROR(__xludf.DUMMYFUNCTION("""COMPUTED_VALUE"""),"7971b23b-fa28-4244-b520-af4c8fc39ea2")</f>
        <v>7971b23b-fa28-4244-b520-af4c8fc39ea2</v>
      </c>
      <c r="C757" s="7">
        <f>IFERROR(__xludf.DUMMYFUNCTION("""COMPUTED_VALUE"""),212.0)</f>
        <v>212</v>
      </c>
      <c r="D757" s="6">
        <f>IFERROR(__xludf.DUMMYFUNCTION("""COMPUTED_VALUE"""),45493.0)</f>
        <v>45493</v>
      </c>
      <c r="E757" s="7" t="str">
        <f>IFERROR(__xludf.DUMMYFUNCTION("""COMPUTED_VALUE"""),"FRANQUIA_D&amp;G_SP")</f>
        <v>FRANQUIA_D&amp;G_SP</v>
      </c>
      <c r="F757" s="7" t="str">
        <f>IFERROR(__xludf.DUMMYFUNCTION("""COMPUTED_VALUE"""),"MOTORCYCLE")</f>
        <v>MOTORCYCLE</v>
      </c>
      <c r="G757" s="7" t="str">
        <f>IFERROR(__xludf.DUMMYFUNCTION("""COMPUTED_VALUE"""),"SAO PAULO")</f>
        <v>SAO PAULO</v>
      </c>
    </row>
    <row r="758">
      <c r="A758" s="6">
        <f>IFERROR(__xludf.DUMMYFUNCTION("""COMPUTED_VALUE"""),45705.0)</f>
        <v>45705</v>
      </c>
      <c r="B758" s="7" t="str">
        <f>IFERROR(__xludf.DUMMYFUNCTION("""COMPUTED_VALUE"""),"9673d9bf-bd07-45a1-baae-da33d263b070")</f>
        <v>9673d9bf-bd07-45a1-baae-da33d263b070</v>
      </c>
      <c r="C758" s="7">
        <f>IFERROR(__xludf.DUMMYFUNCTION("""COMPUTED_VALUE"""),0.0)</f>
        <v>0</v>
      </c>
      <c r="D758" s="6">
        <f>IFERROR(__xludf.DUMMYFUNCTION("""COMPUTED_VALUE"""),45705.0)</f>
        <v>45705</v>
      </c>
      <c r="E758" s="7" t="str">
        <f>IFERROR(__xludf.DUMMYFUNCTION("""COMPUTED_VALUE"""),"FRANQUIA_D&amp;G_SP")</f>
        <v>FRANQUIA_D&amp;G_SP</v>
      </c>
      <c r="F758" s="7" t="str">
        <f>IFERROR(__xludf.DUMMYFUNCTION("""COMPUTED_VALUE"""),"MOTORCYCLE")</f>
        <v>MOTORCYCLE</v>
      </c>
      <c r="G758" s="7" t="str">
        <f>IFERROR(__xludf.DUMMYFUNCTION("""COMPUTED_VALUE"""),"SAO PAULO")</f>
        <v>SAO PAULO</v>
      </c>
    </row>
    <row r="759">
      <c r="A759" s="6">
        <f>IFERROR(__xludf.DUMMYFUNCTION("""COMPUTED_VALUE"""),45705.0)</f>
        <v>45705</v>
      </c>
      <c r="B759" s="7" t="str">
        <f>IFERROR(__xludf.DUMMYFUNCTION("""COMPUTED_VALUE"""),"3aec1800-cb7d-4588-a570-408d5f6e32a0")</f>
        <v>3aec1800-cb7d-4588-a570-408d5f6e32a0</v>
      </c>
      <c r="C759" s="7">
        <f>IFERROR(__xludf.DUMMYFUNCTION("""COMPUTED_VALUE"""),1.0)</f>
        <v>1</v>
      </c>
      <c r="D759" s="6">
        <f>IFERROR(__xludf.DUMMYFUNCTION("""COMPUTED_VALUE"""),45704.0)</f>
        <v>45704</v>
      </c>
      <c r="E759" s="7" t="str">
        <f>IFERROR(__xludf.DUMMYFUNCTION("""COMPUTED_VALUE"""),"FRANQUIA_D&amp;G_SP")</f>
        <v>FRANQUIA_D&amp;G_SP</v>
      </c>
      <c r="F759" s="7" t="str">
        <f>IFERROR(__xludf.DUMMYFUNCTION("""COMPUTED_VALUE"""),"MOTORCYCLE")</f>
        <v>MOTORCYCLE</v>
      </c>
      <c r="G759" s="7" t="str">
        <f>IFERROR(__xludf.DUMMYFUNCTION("""COMPUTED_VALUE"""),"SAO PAULO")</f>
        <v>SAO PAULO</v>
      </c>
    </row>
    <row r="760">
      <c r="A760" s="6">
        <f>IFERROR(__xludf.DUMMYFUNCTION("""COMPUTED_VALUE"""),45705.0)</f>
        <v>45705</v>
      </c>
      <c r="B760" s="7" t="str">
        <f>IFERROR(__xludf.DUMMYFUNCTION("""COMPUTED_VALUE"""),"90b9b745-f5cd-4c27-8010-6db529aedfae")</f>
        <v>90b9b745-f5cd-4c27-8010-6db529aedfae</v>
      </c>
      <c r="C760" s="7">
        <f>IFERROR(__xludf.DUMMYFUNCTION("""COMPUTED_VALUE"""),47.0)</f>
        <v>47</v>
      </c>
      <c r="D760" s="6">
        <f>IFERROR(__xludf.DUMMYFUNCTION("""COMPUTED_VALUE"""),45658.0)</f>
        <v>45658</v>
      </c>
      <c r="E760" s="7" t="str">
        <f>IFERROR(__xludf.DUMMYFUNCTION("""COMPUTED_VALUE"""),"FRANQUIA_D&amp;G_SP")</f>
        <v>FRANQUIA_D&amp;G_SP</v>
      </c>
      <c r="F760" s="7" t="str">
        <f>IFERROR(__xludf.DUMMYFUNCTION("""COMPUTED_VALUE"""),"BICYCLE")</f>
        <v>BICYCLE</v>
      </c>
      <c r="G760" s="7" t="str">
        <f>IFERROR(__xludf.DUMMYFUNCTION("""COMPUTED_VALUE"""),"SAO PAULO")</f>
        <v>SAO PAULO</v>
      </c>
    </row>
    <row r="761">
      <c r="A761" s="6">
        <f>IFERROR(__xludf.DUMMYFUNCTION("""COMPUTED_VALUE"""),45705.0)</f>
        <v>45705</v>
      </c>
      <c r="B761" s="7" t="str">
        <f>IFERROR(__xludf.DUMMYFUNCTION("""COMPUTED_VALUE"""),"8b7e3a71-c5ff-4a7c-9ccc-4021ced8c6a1")</f>
        <v>8b7e3a71-c5ff-4a7c-9ccc-4021ced8c6a1</v>
      </c>
      <c r="C761" s="7">
        <f>IFERROR(__xludf.DUMMYFUNCTION("""COMPUTED_VALUE"""),9.0)</f>
        <v>9</v>
      </c>
      <c r="D761" s="6">
        <f>IFERROR(__xludf.DUMMYFUNCTION("""COMPUTED_VALUE"""),45696.0)</f>
        <v>45696</v>
      </c>
      <c r="E761" s="7" t="str">
        <f>IFERROR(__xludf.DUMMYFUNCTION("""COMPUTED_VALUE"""),"FRANQUIA_D&amp;G_SP")</f>
        <v>FRANQUIA_D&amp;G_SP</v>
      </c>
      <c r="F761" s="7" t="str">
        <f>IFERROR(__xludf.DUMMYFUNCTION("""COMPUTED_VALUE"""),"MOTORCYCLE")</f>
        <v>MOTORCYCLE</v>
      </c>
      <c r="G761" s="7" t="str">
        <f>IFERROR(__xludf.DUMMYFUNCTION("""COMPUTED_VALUE"""),"PINDAMONHANGABA")</f>
        <v>PINDAMONHANGABA</v>
      </c>
    </row>
    <row r="762">
      <c r="A762" s="6">
        <f>IFERROR(__xludf.DUMMYFUNCTION("""COMPUTED_VALUE"""),45705.0)</f>
        <v>45705</v>
      </c>
      <c r="B762" s="7" t="str">
        <f>IFERROR(__xludf.DUMMYFUNCTION("""COMPUTED_VALUE"""),"4436104b-342b-4fd9-8cd2-e1c32ebeb51b")</f>
        <v>4436104b-342b-4fd9-8cd2-e1c32ebeb51b</v>
      </c>
      <c r="C762" s="7">
        <f>IFERROR(__xludf.DUMMYFUNCTION("""COMPUTED_VALUE"""),102.0)</f>
        <v>102</v>
      </c>
      <c r="D762" s="6">
        <f>IFERROR(__xludf.DUMMYFUNCTION("""COMPUTED_VALUE"""),45603.0)</f>
        <v>45603</v>
      </c>
      <c r="E762" s="7" t="str">
        <f>IFERROR(__xludf.DUMMYFUNCTION("""COMPUTED_VALUE"""),"FRANQUIA_D&amp;G_SP")</f>
        <v>FRANQUIA_D&amp;G_SP</v>
      </c>
      <c r="F762" s="7" t="str">
        <f>IFERROR(__xludf.DUMMYFUNCTION("""COMPUTED_VALUE"""),"MOTORCYCLE")</f>
        <v>MOTORCYCLE</v>
      </c>
      <c r="G762" s="7" t="str">
        <f>IFERROR(__xludf.DUMMYFUNCTION("""COMPUTED_VALUE"""),"SUZANO")</f>
        <v>SUZANO</v>
      </c>
    </row>
    <row r="763">
      <c r="A763" s="6">
        <f>IFERROR(__xludf.DUMMYFUNCTION("""COMPUTED_VALUE"""),45705.0)</f>
        <v>45705</v>
      </c>
      <c r="B763" s="7" t="str">
        <f>IFERROR(__xludf.DUMMYFUNCTION("""COMPUTED_VALUE"""),"bc273837-74f9-4180-88c0-76c1103b0c37")</f>
        <v>bc273837-74f9-4180-88c0-76c1103b0c37</v>
      </c>
      <c r="C763" s="7">
        <f>IFERROR(__xludf.DUMMYFUNCTION("""COMPUTED_VALUE"""),21.0)</f>
        <v>21</v>
      </c>
      <c r="D763" s="6">
        <f>IFERROR(__xludf.DUMMYFUNCTION("""COMPUTED_VALUE"""),45684.0)</f>
        <v>45684</v>
      </c>
      <c r="E763" s="7" t="str">
        <f>IFERROR(__xludf.DUMMYFUNCTION("""COMPUTED_VALUE"""),"FRANQUIA_D&amp;G_SP")</f>
        <v>FRANQUIA_D&amp;G_SP</v>
      </c>
      <c r="F763" s="7" t="str">
        <f>IFERROR(__xludf.DUMMYFUNCTION("""COMPUTED_VALUE"""),"EMOTORCYCLE")</f>
        <v>EMOTORCYCLE</v>
      </c>
      <c r="G763" s="7" t="str">
        <f>IFERROR(__xludf.DUMMYFUNCTION("""COMPUTED_VALUE"""),"SAO PAULO")</f>
        <v>SAO PAULO</v>
      </c>
    </row>
    <row r="764">
      <c r="A764" s="6">
        <f>IFERROR(__xludf.DUMMYFUNCTION("""COMPUTED_VALUE"""),45705.0)</f>
        <v>45705</v>
      </c>
      <c r="B764" s="7" t="str">
        <f>IFERROR(__xludf.DUMMYFUNCTION("""COMPUTED_VALUE"""),"5e5b4785-26c4-4be6-97be-297d3579ca0c")</f>
        <v>5e5b4785-26c4-4be6-97be-297d3579ca0c</v>
      </c>
      <c r="C764" s="7">
        <f>IFERROR(__xludf.DUMMYFUNCTION("""COMPUTED_VALUE"""),2.0)</f>
        <v>2</v>
      </c>
      <c r="D764" s="6">
        <f>IFERROR(__xludf.DUMMYFUNCTION("""COMPUTED_VALUE"""),45703.0)</f>
        <v>45703</v>
      </c>
      <c r="E764" s="7" t="str">
        <f>IFERROR(__xludf.DUMMYFUNCTION("""COMPUTED_VALUE"""),"FRANQUIA_D&amp;G_SP")</f>
        <v>FRANQUIA_D&amp;G_SP</v>
      </c>
      <c r="F764" s="7" t="str">
        <f>IFERROR(__xludf.DUMMYFUNCTION("""COMPUTED_VALUE"""),"MOTORCYCLE")</f>
        <v>MOTORCYCLE</v>
      </c>
      <c r="G764" s="7" t="str">
        <f>IFERROR(__xludf.DUMMYFUNCTION("""COMPUTED_VALUE"""),"ABC")</f>
        <v>ABC</v>
      </c>
    </row>
    <row r="765">
      <c r="A765" s="6">
        <f>IFERROR(__xludf.DUMMYFUNCTION("""COMPUTED_VALUE"""),45705.0)</f>
        <v>45705</v>
      </c>
      <c r="B765" s="7" t="str">
        <f>IFERROR(__xludf.DUMMYFUNCTION("""COMPUTED_VALUE"""),"5dfb74b5-0644-447e-8bd3-b2516ab311c7")</f>
        <v>5dfb74b5-0644-447e-8bd3-b2516ab311c7</v>
      </c>
      <c r="C765" s="7">
        <f>IFERROR(__xludf.DUMMYFUNCTION("""COMPUTED_VALUE"""),0.0)</f>
        <v>0</v>
      </c>
      <c r="D765" s="6">
        <f>IFERROR(__xludf.DUMMYFUNCTION("""COMPUTED_VALUE"""),45705.0)</f>
        <v>45705</v>
      </c>
      <c r="E765" s="7" t="str">
        <f>IFERROR(__xludf.DUMMYFUNCTION("""COMPUTED_VALUE"""),"FRANQUIA_D&amp;G_SP")</f>
        <v>FRANQUIA_D&amp;G_SP</v>
      </c>
      <c r="F765" s="7" t="str">
        <f>IFERROR(__xludf.DUMMYFUNCTION("""COMPUTED_VALUE"""),"MOTORCYCLE")</f>
        <v>MOTORCYCLE</v>
      </c>
      <c r="G765" s="7" t="str">
        <f>IFERROR(__xludf.DUMMYFUNCTION("""COMPUTED_VALUE"""),"SAO PAULO")</f>
        <v>SAO PAULO</v>
      </c>
    </row>
    <row r="766">
      <c r="A766" s="6">
        <f>IFERROR(__xludf.DUMMYFUNCTION("""COMPUTED_VALUE"""),45705.0)</f>
        <v>45705</v>
      </c>
      <c r="B766" s="7" t="str">
        <f>IFERROR(__xludf.DUMMYFUNCTION("""COMPUTED_VALUE"""),"91ebe495-238b-4fba-9134-297f85be2979")</f>
        <v>91ebe495-238b-4fba-9134-297f85be2979</v>
      </c>
      <c r="C766" s="7">
        <f>IFERROR(__xludf.DUMMYFUNCTION("""COMPUTED_VALUE"""),32.0)</f>
        <v>32</v>
      </c>
      <c r="D766" s="6">
        <f>IFERROR(__xludf.DUMMYFUNCTION("""COMPUTED_VALUE"""),45673.0)</f>
        <v>45673</v>
      </c>
      <c r="E766" s="7" t="str">
        <f>IFERROR(__xludf.DUMMYFUNCTION("""COMPUTED_VALUE"""),"FRANQUIA_D&amp;G_SP")</f>
        <v>FRANQUIA_D&amp;G_SP</v>
      </c>
      <c r="F766" s="7" t="str">
        <f>IFERROR(__xludf.DUMMYFUNCTION("""COMPUTED_VALUE"""),"MOTORCYCLE")</f>
        <v>MOTORCYCLE</v>
      </c>
      <c r="G766" s="7" t="str">
        <f>IFERROR(__xludf.DUMMYFUNCTION("""COMPUTED_VALUE"""),"SAO PAULO")</f>
        <v>SAO PAULO</v>
      </c>
    </row>
    <row r="767">
      <c r="A767" s="6">
        <f>IFERROR(__xludf.DUMMYFUNCTION("""COMPUTED_VALUE"""),45705.0)</f>
        <v>45705</v>
      </c>
      <c r="B767" s="7" t="str">
        <f>IFERROR(__xludf.DUMMYFUNCTION("""COMPUTED_VALUE"""),"a2aa990b-8547-406b-b536-2556b7b707a4")</f>
        <v>a2aa990b-8547-406b-b536-2556b7b707a4</v>
      </c>
      <c r="C767" s="7">
        <f>IFERROR(__xludf.DUMMYFUNCTION("""COMPUTED_VALUE"""),0.0)</f>
        <v>0</v>
      </c>
      <c r="D767" s="6">
        <f>IFERROR(__xludf.DUMMYFUNCTION("""COMPUTED_VALUE"""),45705.0)</f>
        <v>45705</v>
      </c>
      <c r="E767" s="7" t="str">
        <f>IFERROR(__xludf.DUMMYFUNCTION("""COMPUTED_VALUE"""),"FRANQUIA_D&amp;G_SP")</f>
        <v>FRANQUIA_D&amp;G_SP</v>
      </c>
      <c r="F767" s="7" t="str">
        <f>IFERROR(__xludf.DUMMYFUNCTION("""COMPUTED_VALUE"""),"MOTORCYCLE")</f>
        <v>MOTORCYCLE</v>
      </c>
      <c r="G767" s="7" t="str">
        <f>IFERROR(__xludf.DUMMYFUNCTION("""COMPUTED_VALUE"""),"SAO PAULO")</f>
        <v>SAO PAULO</v>
      </c>
    </row>
    <row r="768">
      <c r="A768" s="6">
        <f>IFERROR(__xludf.DUMMYFUNCTION("""COMPUTED_VALUE"""),45705.0)</f>
        <v>45705</v>
      </c>
      <c r="B768" s="7" t="str">
        <f>IFERROR(__xludf.DUMMYFUNCTION("""COMPUTED_VALUE"""),"6bfa052a-002a-46a3-a126-2fc238b52e29")</f>
        <v>6bfa052a-002a-46a3-a126-2fc238b52e29</v>
      </c>
      <c r="C768" s="7">
        <f>IFERROR(__xludf.DUMMYFUNCTION("""COMPUTED_VALUE"""),2.0)</f>
        <v>2</v>
      </c>
      <c r="D768" s="6">
        <f>IFERROR(__xludf.DUMMYFUNCTION("""COMPUTED_VALUE"""),45703.0)</f>
        <v>45703</v>
      </c>
      <c r="E768" s="7" t="str">
        <f>IFERROR(__xludf.DUMMYFUNCTION("""COMPUTED_VALUE"""),"FRANQUIA_D&amp;G_SP")</f>
        <v>FRANQUIA_D&amp;G_SP</v>
      </c>
      <c r="F768" s="7" t="str">
        <f>IFERROR(__xludf.DUMMYFUNCTION("""COMPUTED_VALUE"""),"MOTORCYCLE")</f>
        <v>MOTORCYCLE</v>
      </c>
      <c r="G768" s="7" t="str">
        <f>IFERROR(__xludf.DUMMYFUNCTION("""COMPUTED_VALUE"""),"SAO PAULO")</f>
        <v>SAO PAULO</v>
      </c>
    </row>
    <row r="769">
      <c r="A769" s="6">
        <f>IFERROR(__xludf.DUMMYFUNCTION("""COMPUTED_VALUE"""),45705.0)</f>
        <v>45705</v>
      </c>
      <c r="B769" s="7" t="str">
        <f>IFERROR(__xludf.DUMMYFUNCTION("""COMPUTED_VALUE"""),"5059a649-3c49-413e-b76d-8860c2394b46")</f>
        <v>5059a649-3c49-413e-b76d-8860c2394b46</v>
      </c>
      <c r="C769" s="7">
        <f>IFERROR(__xludf.DUMMYFUNCTION("""COMPUTED_VALUE"""),77.0)</f>
        <v>77</v>
      </c>
      <c r="D769" s="6">
        <f>IFERROR(__xludf.DUMMYFUNCTION("""COMPUTED_VALUE"""),45628.0)</f>
        <v>45628</v>
      </c>
      <c r="E769" s="7" t="str">
        <f>IFERROR(__xludf.DUMMYFUNCTION("""COMPUTED_VALUE"""),"FRANQUIA_D&amp;G_SP")</f>
        <v>FRANQUIA_D&amp;G_SP</v>
      </c>
      <c r="F769" s="7" t="str">
        <f>IFERROR(__xludf.DUMMYFUNCTION("""COMPUTED_VALUE"""),"BICYCLE")</f>
        <v>BICYCLE</v>
      </c>
      <c r="G769" s="7" t="str">
        <f>IFERROR(__xludf.DUMMYFUNCTION("""COMPUTED_VALUE"""),"SAO PAULO")</f>
        <v>SAO PAULO</v>
      </c>
    </row>
    <row r="770">
      <c r="A770" s="6">
        <f>IFERROR(__xludf.DUMMYFUNCTION("""COMPUTED_VALUE"""),45705.0)</f>
        <v>45705</v>
      </c>
      <c r="B770" s="7" t="str">
        <f>IFERROR(__xludf.DUMMYFUNCTION("""COMPUTED_VALUE"""),"f1108193-af66-41c5-a33c-39800e6dc5fc")</f>
        <v>f1108193-af66-41c5-a33c-39800e6dc5fc</v>
      </c>
      <c r="C770" s="7">
        <f>IFERROR(__xludf.DUMMYFUNCTION("""COMPUTED_VALUE"""),0.0)</f>
        <v>0</v>
      </c>
      <c r="D770" s="6">
        <f>IFERROR(__xludf.DUMMYFUNCTION("""COMPUTED_VALUE"""),0.0)</f>
        <v>0</v>
      </c>
      <c r="E770" s="7" t="str">
        <f>IFERROR(__xludf.DUMMYFUNCTION("""COMPUTED_VALUE"""),"FRANQUIA_D&amp;G_SP")</f>
        <v>FRANQUIA_D&amp;G_SP</v>
      </c>
      <c r="F770" s="7" t="str">
        <f>IFERROR(__xludf.DUMMYFUNCTION("""COMPUTED_VALUE"""),"BICYCLE")</f>
        <v>BICYCLE</v>
      </c>
      <c r="G770" s="7" t="str">
        <f>IFERROR(__xludf.DUMMYFUNCTION("""COMPUTED_VALUE"""),"0")</f>
        <v>0</v>
      </c>
    </row>
    <row r="771">
      <c r="A771" s="6">
        <f>IFERROR(__xludf.DUMMYFUNCTION("""COMPUTED_VALUE"""),45705.0)</f>
        <v>45705</v>
      </c>
      <c r="B771" s="7" t="str">
        <f>IFERROR(__xludf.DUMMYFUNCTION("""COMPUTED_VALUE"""),"ab4981ec-267c-49bd-820e-5490b6a157c8")</f>
        <v>ab4981ec-267c-49bd-820e-5490b6a157c8</v>
      </c>
      <c r="C771" s="7">
        <f>IFERROR(__xludf.DUMMYFUNCTION("""COMPUTED_VALUE"""),56.0)</f>
        <v>56</v>
      </c>
      <c r="D771" s="6">
        <f>IFERROR(__xludf.DUMMYFUNCTION("""COMPUTED_VALUE"""),45649.0)</f>
        <v>45649</v>
      </c>
      <c r="E771" s="7" t="str">
        <f>IFERROR(__xludf.DUMMYFUNCTION("""COMPUTED_VALUE"""),"FRANQUIA_D&amp;G_SP")</f>
        <v>FRANQUIA_D&amp;G_SP</v>
      </c>
      <c r="F771" s="7" t="str">
        <f>IFERROR(__xludf.DUMMYFUNCTION("""COMPUTED_VALUE"""),"BICYCLE")</f>
        <v>BICYCLE</v>
      </c>
      <c r="G771" s="7" t="str">
        <f>IFERROR(__xludf.DUMMYFUNCTION("""COMPUTED_VALUE"""),"SAO PAULO")</f>
        <v>SAO PAULO</v>
      </c>
    </row>
    <row r="772">
      <c r="A772" s="6">
        <f>IFERROR(__xludf.DUMMYFUNCTION("""COMPUTED_VALUE"""),45705.0)</f>
        <v>45705</v>
      </c>
      <c r="B772" s="7" t="str">
        <f>IFERROR(__xludf.DUMMYFUNCTION("""COMPUTED_VALUE"""),"f252b316-5f54-4604-a43e-d9e8a209f877")</f>
        <v>f252b316-5f54-4604-a43e-d9e8a209f877</v>
      </c>
      <c r="C772" s="7">
        <f>IFERROR(__xludf.DUMMYFUNCTION("""COMPUTED_VALUE"""),76.0)</f>
        <v>76</v>
      </c>
      <c r="D772" s="6">
        <f>IFERROR(__xludf.DUMMYFUNCTION("""COMPUTED_VALUE"""),45629.0)</f>
        <v>45629</v>
      </c>
      <c r="E772" s="7" t="str">
        <f>IFERROR(__xludf.DUMMYFUNCTION("""COMPUTED_VALUE"""),"FRANQUIA_D&amp;G_SP")</f>
        <v>FRANQUIA_D&amp;G_SP</v>
      </c>
      <c r="F772" s="7" t="str">
        <f>IFERROR(__xludf.DUMMYFUNCTION("""COMPUTED_VALUE"""),"BICYCLE")</f>
        <v>BICYCLE</v>
      </c>
      <c r="G772" s="7" t="str">
        <f>IFERROR(__xludf.DUMMYFUNCTION("""COMPUTED_VALUE"""),"SAO PAULO")</f>
        <v>SAO PAULO</v>
      </c>
    </row>
    <row r="773">
      <c r="A773" s="6">
        <f>IFERROR(__xludf.DUMMYFUNCTION("""COMPUTED_VALUE"""),45705.0)</f>
        <v>45705</v>
      </c>
      <c r="B773" s="7" t="str">
        <f>IFERROR(__xludf.DUMMYFUNCTION("""COMPUTED_VALUE"""),"2a2c786e-b4b0-4bbe-b7c8-4614b80c98b9")</f>
        <v>2a2c786e-b4b0-4bbe-b7c8-4614b80c98b9</v>
      </c>
      <c r="C773" s="7">
        <f>IFERROR(__xludf.DUMMYFUNCTION("""COMPUTED_VALUE"""),30.0)</f>
        <v>30</v>
      </c>
      <c r="D773" s="6">
        <f>IFERROR(__xludf.DUMMYFUNCTION("""COMPUTED_VALUE"""),45675.0)</f>
        <v>45675</v>
      </c>
      <c r="E773" s="7" t="str">
        <f>IFERROR(__xludf.DUMMYFUNCTION("""COMPUTED_VALUE"""),"FRANQUIA_D&amp;G_SP")</f>
        <v>FRANQUIA_D&amp;G_SP</v>
      </c>
      <c r="F773" s="7" t="str">
        <f>IFERROR(__xludf.DUMMYFUNCTION("""COMPUTED_VALUE"""),"BICYCLE")</f>
        <v>BICYCLE</v>
      </c>
      <c r="G773" s="7" t="str">
        <f>IFERROR(__xludf.DUMMYFUNCTION("""COMPUTED_VALUE"""),"SAO PAULO")</f>
        <v>SAO PAULO</v>
      </c>
    </row>
    <row r="774">
      <c r="A774" s="6">
        <f>IFERROR(__xludf.DUMMYFUNCTION("""COMPUTED_VALUE"""),45705.0)</f>
        <v>45705</v>
      </c>
      <c r="B774" s="7" t="str">
        <f>IFERROR(__xludf.DUMMYFUNCTION("""COMPUTED_VALUE"""),"93ce61ad-7d9c-4eea-97b8-c472b6144457")</f>
        <v>93ce61ad-7d9c-4eea-97b8-c472b6144457</v>
      </c>
      <c r="C774" s="7">
        <f>IFERROR(__xludf.DUMMYFUNCTION("""COMPUTED_VALUE"""),2.0)</f>
        <v>2</v>
      </c>
      <c r="D774" s="6">
        <f>IFERROR(__xludf.DUMMYFUNCTION("""COMPUTED_VALUE"""),45703.0)</f>
        <v>45703</v>
      </c>
      <c r="E774" s="7" t="str">
        <f>IFERROR(__xludf.DUMMYFUNCTION("""COMPUTED_VALUE"""),"FRANQUIA_D&amp;G_SP")</f>
        <v>FRANQUIA_D&amp;G_SP</v>
      </c>
      <c r="F774" s="7" t="str">
        <f>IFERROR(__xludf.DUMMYFUNCTION("""COMPUTED_VALUE"""),"MOTORCYCLE")</f>
        <v>MOTORCYCLE</v>
      </c>
      <c r="G774" s="7" t="str">
        <f>IFERROR(__xludf.DUMMYFUNCTION("""COMPUTED_VALUE"""),"SAO PAULO")</f>
        <v>SAO PAULO</v>
      </c>
    </row>
    <row r="775">
      <c r="A775" s="6">
        <f>IFERROR(__xludf.DUMMYFUNCTION("""COMPUTED_VALUE"""),45705.0)</f>
        <v>45705</v>
      </c>
      <c r="B775" s="7" t="str">
        <f>IFERROR(__xludf.DUMMYFUNCTION("""COMPUTED_VALUE"""),"76baa21c-82ea-44d5-b94f-ba194bf382b4")</f>
        <v>76baa21c-82ea-44d5-b94f-ba194bf382b4</v>
      </c>
      <c r="C775" s="7">
        <f>IFERROR(__xludf.DUMMYFUNCTION("""COMPUTED_VALUE"""),0.0)</f>
        <v>0</v>
      </c>
      <c r="D775" s="6">
        <f>IFERROR(__xludf.DUMMYFUNCTION("""COMPUTED_VALUE"""),45705.0)</f>
        <v>45705</v>
      </c>
      <c r="E775" s="7" t="str">
        <f>IFERROR(__xludf.DUMMYFUNCTION("""COMPUTED_VALUE"""),"FRANQUIA_D&amp;G_SP")</f>
        <v>FRANQUIA_D&amp;G_SP</v>
      </c>
      <c r="F775" s="7" t="str">
        <f>IFERROR(__xludf.DUMMYFUNCTION("""COMPUTED_VALUE"""),"MOTORCYCLE")</f>
        <v>MOTORCYCLE</v>
      </c>
      <c r="G775" s="7" t="str">
        <f>IFERROR(__xludf.DUMMYFUNCTION("""COMPUTED_VALUE"""),"SAO PAULO")</f>
        <v>SAO PAULO</v>
      </c>
    </row>
    <row r="776">
      <c r="A776" s="6">
        <f>IFERROR(__xludf.DUMMYFUNCTION("""COMPUTED_VALUE"""),45705.0)</f>
        <v>45705</v>
      </c>
      <c r="B776" s="7" t="str">
        <f>IFERROR(__xludf.DUMMYFUNCTION("""COMPUTED_VALUE"""),"330f34ba-ba14-472d-b6de-5b1e0b060aee")</f>
        <v>330f34ba-ba14-472d-b6de-5b1e0b060aee</v>
      </c>
      <c r="C776" s="7">
        <f>IFERROR(__xludf.DUMMYFUNCTION("""COMPUTED_VALUE"""),10.0)</f>
        <v>10</v>
      </c>
      <c r="D776" s="6">
        <f>IFERROR(__xludf.DUMMYFUNCTION("""COMPUTED_VALUE"""),45695.0)</f>
        <v>45695</v>
      </c>
      <c r="E776" s="7" t="str">
        <f>IFERROR(__xludf.DUMMYFUNCTION("""COMPUTED_VALUE"""),"FRANQUIA_D&amp;G_SP")</f>
        <v>FRANQUIA_D&amp;G_SP</v>
      </c>
      <c r="F776" s="7" t="str">
        <f>IFERROR(__xludf.DUMMYFUNCTION("""COMPUTED_VALUE"""),"BICYCLE")</f>
        <v>BICYCLE</v>
      </c>
      <c r="G776" s="7" t="str">
        <f>IFERROR(__xludf.DUMMYFUNCTION("""COMPUTED_VALUE"""),"SAO PAULO")</f>
        <v>SAO PAULO</v>
      </c>
    </row>
    <row r="777">
      <c r="A777" s="6">
        <f>IFERROR(__xludf.DUMMYFUNCTION("""COMPUTED_VALUE"""),45705.0)</f>
        <v>45705</v>
      </c>
      <c r="B777" s="7" t="str">
        <f>IFERROR(__xludf.DUMMYFUNCTION("""COMPUTED_VALUE"""),"cffd24fa-10f3-4bfe-9b9b-0b13f156d740")</f>
        <v>cffd24fa-10f3-4bfe-9b9b-0b13f156d740</v>
      </c>
      <c r="C777" s="7">
        <f>IFERROR(__xludf.DUMMYFUNCTION("""COMPUTED_VALUE"""),0.0)</f>
        <v>0</v>
      </c>
      <c r="D777" s="6">
        <f>IFERROR(__xludf.DUMMYFUNCTION("""COMPUTED_VALUE"""),45705.0)</f>
        <v>45705</v>
      </c>
      <c r="E777" s="7" t="str">
        <f>IFERROR(__xludf.DUMMYFUNCTION("""COMPUTED_VALUE"""),"FRANQUIA_D&amp;G_SP")</f>
        <v>FRANQUIA_D&amp;G_SP</v>
      </c>
      <c r="F777" s="7" t="str">
        <f>IFERROR(__xludf.DUMMYFUNCTION("""COMPUTED_VALUE"""),"MOTORCYCLE")</f>
        <v>MOTORCYCLE</v>
      </c>
      <c r="G777" s="7" t="str">
        <f>IFERROR(__xludf.DUMMYFUNCTION("""COMPUTED_VALUE"""),"SAO PAULO")</f>
        <v>SAO PAULO</v>
      </c>
    </row>
    <row r="778">
      <c r="A778" s="6">
        <f>IFERROR(__xludf.DUMMYFUNCTION("""COMPUTED_VALUE"""),45705.0)</f>
        <v>45705</v>
      </c>
      <c r="B778" s="7" t="str">
        <f>IFERROR(__xludf.DUMMYFUNCTION("""COMPUTED_VALUE"""),"474aab9d-9af9-4b1c-a14d-7d41bdcfb4a5")</f>
        <v>474aab9d-9af9-4b1c-a14d-7d41bdcfb4a5</v>
      </c>
      <c r="C778" s="7">
        <f>IFERROR(__xludf.DUMMYFUNCTION("""COMPUTED_VALUE"""),7.0)</f>
        <v>7</v>
      </c>
      <c r="D778" s="6">
        <f>IFERROR(__xludf.DUMMYFUNCTION("""COMPUTED_VALUE"""),45698.0)</f>
        <v>45698</v>
      </c>
      <c r="E778" s="7" t="str">
        <f>IFERROR(__xludf.DUMMYFUNCTION("""COMPUTED_VALUE"""),"FRANQUIA_D&amp;G_SP")</f>
        <v>FRANQUIA_D&amp;G_SP</v>
      </c>
      <c r="F778" s="7" t="str">
        <f>IFERROR(__xludf.DUMMYFUNCTION("""COMPUTED_VALUE"""),"MOTORCYCLE")</f>
        <v>MOTORCYCLE</v>
      </c>
      <c r="G778" s="7" t="str">
        <f>IFERROR(__xludf.DUMMYFUNCTION("""COMPUTED_VALUE"""),"SAO PAULO")</f>
        <v>SAO PAULO</v>
      </c>
    </row>
    <row r="779">
      <c r="A779" s="6">
        <f>IFERROR(__xludf.DUMMYFUNCTION("""COMPUTED_VALUE"""),45705.0)</f>
        <v>45705</v>
      </c>
      <c r="B779" s="7" t="str">
        <f>IFERROR(__xludf.DUMMYFUNCTION("""COMPUTED_VALUE"""),"f08b88a9-e612-44ae-ba52-fb5ae8117690")</f>
        <v>f08b88a9-e612-44ae-ba52-fb5ae8117690</v>
      </c>
      <c r="C779" s="7">
        <f>IFERROR(__xludf.DUMMYFUNCTION("""COMPUTED_VALUE"""),0.0)</f>
        <v>0</v>
      </c>
      <c r="D779" s="6">
        <f>IFERROR(__xludf.DUMMYFUNCTION("""COMPUTED_VALUE"""),45705.0)</f>
        <v>45705</v>
      </c>
      <c r="E779" s="7" t="str">
        <f>IFERROR(__xludf.DUMMYFUNCTION("""COMPUTED_VALUE"""),"FRANQUIA_D&amp;G_SP")</f>
        <v>FRANQUIA_D&amp;G_SP</v>
      </c>
      <c r="F779" s="7" t="str">
        <f>IFERROR(__xludf.DUMMYFUNCTION("""COMPUTED_VALUE"""),"EMOTORCYCLE")</f>
        <v>EMOTORCYCLE</v>
      </c>
      <c r="G779" s="7" t="str">
        <f>IFERROR(__xludf.DUMMYFUNCTION("""COMPUTED_VALUE"""),"SAO PAULO")</f>
        <v>SAO PAULO</v>
      </c>
    </row>
    <row r="780">
      <c r="A780" s="6">
        <f>IFERROR(__xludf.DUMMYFUNCTION("""COMPUTED_VALUE"""),45705.0)</f>
        <v>45705</v>
      </c>
      <c r="B780" s="7" t="str">
        <f>IFERROR(__xludf.DUMMYFUNCTION("""COMPUTED_VALUE"""),"2681433f-98dc-4b87-afd3-fab3279ca5ab")</f>
        <v>2681433f-98dc-4b87-afd3-fab3279ca5ab</v>
      </c>
      <c r="C780" s="7">
        <f>IFERROR(__xludf.DUMMYFUNCTION("""COMPUTED_VALUE"""),0.0)</f>
        <v>0</v>
      </c>
      <c r="D780" s="6">
        <f>IFERROR(__xludf.DUMMYFUNCTION("""COMPUTED_VALUE"""),45705.0)</f>
        <v>45705</v>
      </c>
      <c r="E780" s="7" t="str">
        <f>IFERROR(__xludf.DUMMYFUNCTION("""COMPUTED_VALUE"""),"FRANQUIA_D&amp;G_SP")</f>
        <v>FRANQUIA_D&amp;G_SP</v>
      </c>
      <c r="F780" s="7" t="str">
        <f>IFERROR(__xludf.DUMMYFUNCTION("""COMPUTED_VALUE"""),"MOTORCYCLE")</f>
        <v>MOTORCYCLE</v>
      </c>
      <c r="G780" s="7" t="str">
        <f>IFERROR(__xludf.DUMMYFUNCTION("""COMPUTED_VALUE"""),"SAO PAULO")</f>
        <v>SAO PAULO</v>
      </c>
    </row>
    <row r="781">
      <c r="A781" s="6">
        <f>IFERROR(__xludf.DUMMYFUNCTION("""COMPUTED_VALUE"""),45705.0)</f>
        <v>45705</v>
      </c>
      <c r="B781" s="7" t="str">
        <f>IFERROR(__xludf.DUMMYFUNCTION("""COMPUTED_VALUE"""),"0a4581a6-fcf9-4d21-a1be-771c744bd409")</f>
        <v>0a4581a6-fcf9-4d21-a1be-771c744bd409</v>
      </c>
      <c r="C781" s="7">
        <f>IFERROR(__xludf.DUMMYFUNCTION("""COMPUTED_VALUE"""),60.0)</f>
        <v>60</v>
      </c>
      <c r="D781" s="6">
        <f>IFERROR(__xludf.DUMMYFUNCTION("""COMPUTED_VALUE"""),45645.0)</f>
        <v>45645</v>
      </c>
      <c r="E781" s="7" t="str">
        <f>IFERROR(__xludf.DUMMYFUNCTION("""COMPUTED_VALUE"""),"FRANQUIA_D&amp;G_SP")</f>
        <v>FRANQUIA_D&amp;G_SP</v>
      </c>
      <c r="F781" s="7" t="str">
        <f>IFERROR(__xludf.DUMMYFUNCTION("""COMPUTED_VALUE"""),"MOTORCYCLE")</f>
        <v>MOTORCYCLE</v>
      </c>
      <c r="G781" s="7" t="str">
        <f>IFERROR(__xludf.DUMMYFUNCTION("""COMPUTED_VALUE"""),"SAO PAULO")</f>
        <v>SAO PAULO</v>
      </c>
    </row>
    <row r="782">
      <c r="A782" s="6">
        <f>IFERROR(__xludf.DUMMYFUNCTION("""COMPUTED_VALUE"""),45705.0)</f>
        <v>45705</v>
      </c>
      <c r="B782" s="7" t="str">
        <f>IFERROR(__xludf.DUMMYFUNCTION("""COMPUTED_VALUE"""),"dad5431e-ef7e-47f5-99db-33f65df74d76")</f>
        <v>dad5431e-ef7e-47f5-99db-33f65df74d76</v>
      </c>
      <c r="C782" s="7">
        <f>IFERROR(__xludf.DUMMYFUNCTION("""COMPUTED_VALUE"""),0.0)</f>
        <v>0</v>
      </c>
      <c r="D782" s="6">
        <f>IFERROR(__xludf.DUMMYFUNCTION("""COMPUTED_VALUE"""),45705.0)</f>
        <v>45705</v>
      </c>
      <c r="E782" s="7" t="str">
        <f>IFERROR(__xludf.DUMMYFUNCTION("""COMPUTED_VALUE"""),"FRANQUIA_D&amp;G_SP")</f>
        <v>FRANQUIA_D&amp;G_SP</v>
      </c>
      <c r="F782" s="7" t="str">
        <f>IFERROR(__xludf.DUMMYFUNCTION("""COMPUTED_VALUE"""),"MOTORCYCLE")</f>
        <v>MOTORCYCLE</v>
      </c>
      <c r="G782" s="7" t="str">
        <f>IFERROR(__xludf.DUMMYFUNCTION("""COMPUTED_VALUE"""),"SAO PAULO")</f>
        <v>SAO PAULO</v>
      </c>
    </row>
    <row r="783">
      <c r="A783" s="6">
        <f>IFERROR(__xludf.DUMMYFUNCTION("""COMPUTED_VALUE"""),45705.0)</f>
        <v>45705</v>
      </c>
      <c r="B783" s="7" t="str">
        <f>IFERROR(__xludf.DUMMYFUNCTION("""COMPUTED_VALUE"""),"41aa0543-6fb5-4d80-83dd-a63db408d251")</f>
        <v>41aa0543-6fb5-4d80-83dd-a63db408d251</v>
      </c>
      <c r="C783" s="7">
        <f>IFERROR(__xludf.DUMMYFUNCTION("""COMPUTED_VALUE"""),0.0)</f>
        <v>0</v>
      </c>
      <c r="D783" s="6">
        <f>IFERROR(__xludf.DUMMYFUNCTION("""COMPUTED_VALUE"""),45705.0)</f>
        <v>45705</v>
      </c>
      <c r="E783" s="7" t="str">
        <f>IFERROR(__xludf.DUMMYFUNCTION("""COMPUTED_VALUE"""),"FRANQUIA_D&amp;G_SP")</f>
        <v>FRANQUIA_D&amp;G_SP</v>
      </c>
      <c r="F783" s="7" t="str">
        <f>IFERROR(__xludf.DUMMYFUNCTION("""COMPUTED_VALUE"""),"MOTORCYCLE")</f>
        <v>MOTORCYCLE</v>
      </c>
      <c r="G783" s="7" t="str">
        <f>IFERROR(__xludf.DUMMYFUNCTION("""COMPUTED_VALUE"""),"SAO PAULO")</f>
        <v>SAO PAULO</v>
      </c>
    </row>
    <row r="784">
      <c r="A784" s="6">
        <f>IFERROR(__xludf.DUMMYFUNCTION("""COMPUTED_VALUE"""),45705.0)</f>
        <v>45705</v>
      </c>
      <c r="B784" s="7" t="str">
        <f>IFERROR(__xludf.DUMMYFUNCTION("""COMPUTED_VALUE"""),"cc068c99-47ad-488e-af01-2b9214e13f3e")</f>
        <v>cc068c99-47ad-488e-af01-2b9214e13f3e</v>
      </c>
      <c r="C784" s="7">
        <f>IFERROR(__xludf.DUMMYFUNCTION("""COMPUTED_VALUE"""),39.0)</f>
        <v>39</v>
      </c>
      <c r="D784" s="6">
        <f>IFERROR(__xludf.DUMMYFUNCTION("""COMPUTED_VALUE"""),45666.0)</f>
        <v>45666</v>
      </c>
      <c r="E784" s="7" t="str">
        <f>IFERROR(__xludf.DUMMYFUNCTION("""COMPUTED_VALUE"""),"FRANQUIA_D&amp;G_SP")</f>
        <v>FRANQUIA_D&amp;G_SP</v>
      </c>
      <c r="F784" s="7" t="str">
        <f>IFERROR(__xludf.DUMMYFUNCTION("""COMPUTED_VALUE"""),"BICYCLE")</f>
        <v>BICYCLE</v>
      </c>
      <c r="G784" s="7" t="str">
        <f>IFERROR(__xludf.DUMMYFUNCTION("""COMPUTED_VALUE"""),"SAO PAULO")</f>
        <v>SAO PAULO</v>
      </c>
    </row>
    <row r="785">
      <c r="A785" s="6">
        <f>IFERROR(__xludf.DUMMYFUNCTION("""COMPUTED_VALUE"""),45705.0)</f>
        <v>45705</v>
      </c>
      <c r="B785" s="7" t="str">
        <f>IFERROR(__xludf.DUMMYFUNCTION("""COMPUTED_VALUE"""),"354d2878-597a-43d6-8814-2558c54291c2")</f>
        <v>354d2878-597a-43d6-8814-2558c54291c2</v>
      </c>
      <c r="C785" s="7">
        <f>IFERROR(__xludf.DUMMYFUNCTION("""COMPUTED_VALUE"""),145.0)</f>
        <v>145</v>
      </c>
      <c r="D785" s="6">
        <f>IFERROR(__xludf.DUMMYFUNCTION("""COMPUTED_VALUE"""),45560.0)</f>
        <v>45560</v>
      </c>
      <c r="E785" s="7" t="str">
        <f>IFERROR(__xludf.DUMMYFUNCTION("""COMPUTED_VALUE"""),"FRANQUIA_D&amp;G_SP")</f>
        <v>FRANQUIA_D&amp;G_SP</v>
      </c>
      <c r="F785" s="7" t="str">
        <f>IFERROR(__xludf.DUMMYFUNCTION("""COMPUTED_VALUE"""),"MOTORCYCLE")</f>
        <v>MOTORCYCLE</v>
      </c>
      <c r="G785" s="7" t="str">
        <f>IFERROR(__xludf.DUMMYFUNCTION("""COMPUTED_VALUE"""),"SAO PAULO")</f>
        <v>SAO PAULO</v>
      </c>
    </row>
    <row r="786">
      <c r="A786" s="6">
        <f>IFERROR(__xludf.DUMMYFUNCTION("""COMPUTED_VALUE"""),45705.0)</f>
        <v>45705</v>
      </c>
      <c r="B786" s="7" t="str">
        <f>IFERROR(__xludf.DUMMYFUNCTION("""COMPUTED_VALUE"""),"e889c67a-3013-4436-9f13-eb49247f6de6")</f>
        <v>e889c67a-3013-4436-9f13-eb49247f6de6</v>
      </c>
      <c r="C786" s="7">
        <f>IFERROR(__xludf.DUMMYFUNCTION("""COMPUTED_VALUE"""),1.0)</f>
        <v>1</v>
      </c>
      <c r="D786" s="6">
        <f>IFERROR(__xludf.DUMMYFUNCTION("""COMPUTED_VALUE"""),45704.0)</f>
        <v>45704</v>
      </c>
      <c r="E786" s="7" t="str">
        <f>IFERROR(__xludf.DUMMYFUNCTION("""COMPUTED_VALUE"""),"FRANQUIA_D&amp;G_SP")</f>
        <v>FRANQUIA_D&amp;G_SP</v>
      </c>
      <c r="F786" s="7" t="str">
        <f>IFERROR(__xludf.DUMMYFUNCTION("""COMPUTED_VALUE"""),"EBIKE")</f>
        <v>EBIKE</v>
      </c>
      <c r="G786" s="7" t="str">
        <f>IFERROR(__xludf.DUMMYFUNCTION("""COMPUTED_VALUE"""),"SAO PAULO")</f>
        <v>SAO PAULO</v>
      </c>
    </row>
    <row r="787">
      <c r="A787" s="6">
        <f>IFERROR(__xludf.DUMMYFUNCTION("""COMPUTED_VALUE"""),45705.0)</f>
        <v>45705</v>
      </c>
      <c r="B787" s="7" t="str">
        <f>IFERROR(__xludf.DUMMYFUNCTION("""COMPUTED_VALUE"""),"35a6bddb-5200-40db-b248-94f5cd79ecb3")</f>
        <v>35a6bddb-5200-40db-b248-94f5cd79ecb3</v>
      </c>
      <c r="C787" s="7">
        <f>IFERROR(__xludf.DUMMYFUNCTION("""COMPUTED_VALUE"""),62.0)</f>
        <v>62</v>
      </c>
      <c r="D787" s="6">
        <f>IFERROR(__xludf.DUMMYFUNCTION("""COMPUTED_VALUE"""),45643.0)</f>
        <v>45643</v>
      </c>
      <c r="E787" s="7" t="str">
        <f>IFERROR(__xludf.DUMMYFUNCTION("""COMPUTED_VALUE"""),"FRANQUIA_D&amp;G_SP")</f>
        <v>FRANQUIA_D&amp;G_SP</v>
      </c>
      <c r="F787" s="7" t="str">
        <f>IFERROR(__xludf.DUMMYFUNCTION("""COMPUTED_VALUE"""),"BICYCLE")</f>
        <v>BICYCLE</v>
      </c>
      <c r="G787" s="7" t="str">
        <f>IFERROR(__xludf.DUMMYFUNCTION("""COMPUTED_VALUE"""),"SAO PAULO")</f>
        <v>SAO PAULO</v>
      </c>
    </row>
    <row r="788">
      <c r="A788" s="6">
        <f>IFERROR(__xludf.DUMMYFUNCTION("""COMPUTED_VALUE"""),45705.0)</f>
        <v>45705</v>
      </c>
      <c r="B788" s="7" t="str">
        <f>IFERROR(__xludf.DUMMYFUNCTION("""COMPUTED_VALUE"""),"d88513a7-9ca8-42be-a50c-ac9123148c84")</f>
        <v>d88513a7-9ca8-42be-a50c-ac9123148c84</v>
      </c>
      <c r="C788" s="7">
        <f>IFERROR(__xludf.DUMMYFUNCTION("""COMPUTED_VALUE"""),0.0)</f>
        <v>0</v>
      </c>
      <c r="D788" s="6">
        <f>IFERROR(__xludf.DUMMYFUNCTION("""COMPUTED_VALUE"""),45705.0)</f>
        <v>45705</v>
      </c>
      <c r="E788" s="7" t="str">
        <f>IFERROR(__xludf.DUMMYFUNCTION("""COMPUTED_VALUE"""),"FRANQUIA_D&amp;G_SP")</f>
        <v>FRANQUIA_D&amp;G_SP</v>
      </c>
      <c r="F788" s="7" t="str">
        <f>IFERROR(__xludf.DUMMYFUNCTION("""COMPUTED_VALUE"""),"MOTORCYCLE")</f>
        <v>MOTORCYCLE</v>
      </c>
      <c r="G788" s="7" t="str">
        <f>IFERROR(__xludf.DUMMYFUNCTION("""COMPUTED_VALUE"""),"ABC")</f>
        <v>ABC</v>
      </c>
    </row>
    <row r="789">
      <c r="A789" s="6">
        <f>IFERROR(__xludf.DUMMYFUNCTION("""COMPUTED_VALUE"""),45705.0)</f>
        <v>45705</v>
      </c>
      <c r="B789" s="7" t="str">
        <f>IFERROR(__xludf.DUMMYFUNCTION("""COMPUTED_VALUE"""),"4ea788f7-3805-4eec-a111-fabee513e2f4")</f>
        <v>4ea788f7-3805-4eec-a111-fabee513e2f4</v>
      </c>
      <c r="C789" s="7">
        <f>IFERROR(__xludf.DUMMYFUNCTION("""COMPUTED_VALUE"""),1.0)</f>
        <v>1</v>
      </c>
      <c r="D789" s="6">
        <f>IFERROR(__xludf.DUMMYFUNCTION("""COMPUTED_VALUE"""),45704.0)</f>
        <v>45704</v>
      </c>
      <c r="E789" s="7" t="str">
        <f>IFERROR(__xludf.DUMMYFUNCTION("""COMPUTED_VALUE"""),"FRANQUIA_D&amp;G_SP")</f>
        <v>FRANQUIA_D&amp;G_SP</v>
      </c>
      <c r="F789" s="7" t="str">
        <f>IFERROR(__xludf.DUMMYFUNCTION("""COMPUTED_VALUE"""),"MOTORCYCLE")</f>
        <v>MOTORCYCLE</v>
      </c>
      <c r="G789" s="7" t="str">
        <f>IFERROR(__xludf.DUMMYFUNCTION("""COMPUTED_VALUE"""),"SUZANO")</f>
        <v>SUZANO</v>
      </c>
    </row>
    <row r="790">
      <c r="A790" s="6">
        <f>IFERROR(__xludf.DUMMYFUNCTION("""COMPUTED_VALUE"""),45705.0)</f>
        <v>45705</v>
      </c>
      <c r="B790" s="7" t="str">
        <f>IFERROR(__xludf.DUMMYFUNCTION("""COMPUTED_VALUE"""),"97674bcf-a75d-4352-a38f-82488ccd8a6e")</f>
        <v>97674bcf-a75d-4352-a38f-82488ccd8a6e</v>
      </c>
      <c r="C790" s="7">
        <f>IFERROR(__xludf.DUMMYFUNCTION("""COMPUTED_VALUE"""),173.0)</f>
        <v>173</v>
      </c>
      <c r="D790" s="6">
        <f>IFERROR(__xludf.DUMMYFUNCTION("""COMPUTED_VALUE"""),45532.0)</f>
        <v>45532</v>
      </c>
      <c r="E790" s="7" t="str">
        <f>IFERROR(__xludf.DUMMYFUNCTION("""COMPUTED_VALUE"""),"FRANQUIA_D&amp;G_SP")</f>
        <v>FRANQUIA_D&amp;G_SP</v>
      </c>
      <c r="F790" s="7" t="str">
        <f>IFERROR(__xludf.DUMMYFUNCTION("""COMPUTED_VALUE"""),"BICYCLE")</f>
        <v>BICYCLE</v>
      </c>
      <c r="G790" s="7" t="str">
        <f>IFERROR(__xludf.DUMMYFUNCTION("""COMPUTED_VALUE"""),"SAO PAULO")</f>
        <v>SAO PAULO</v>
      </c>
    </row>
    <row r="791">
      <c r="A791" s="6">
        <f>IFERROR(__xludf.DUMMYFUNCTION("""COMPUTED_VALUE"""),45705.0)</f>
        <v>45705</v>
      </c>
      <c r="B791" s="7" t="str">
        <f>IFERROR(__xludf.DUMMYFUNCTION("""COMPUTED_VALUE"""),"603e78f6-337c-4a0f-bcb5-23f24d777285")</f>
        <v>603e78f6-337c-4a0f-bcb5-23f24d777285</v>
      </c>
      <c r="C791" s="7">
        <f>IFERROR(__xludf.DUMMYFUNCTION("""COMPUTED_VALUE"""),0.0)</f>
        <v>0</v>
      </c>
      <c r="D791" s="6">
        <f>IFERROR(__xludf.DUMMYFUNCTION("""COMPUTED_VALUE"""),0.0)</f>
        <v>0</v>
      </c>
      <c r="E791" s="7" t="str">
        <f>IFERROR(__xludf.DUMMYFUNCTION("""COMPUTED_VALUE"""),"FRANQUIA_D&amp;G_SP")</f>
        <v>FRANQUIA_D&amp;G_SP</v>
      </c>
      <c r="F791" s="7" t="str">
        <f>IFERROR(__xludf.DUMMYFUNCTION("""COMPUTED_VALUE"""),"BICYCLE")</f>
        <v>BICYCLE</v>
      </c>
      <c r="G791" s="7" t="str">
        <f>IFERROR(__xludf.DUMMYFUNCTION("""COMPUTED_VALUE"""),"0")</f>
        <v>0</v>
      </c>
    </row>
    <row r="792">
      <c r="A792" s="6">
        <f>IFERROR(__xludf.DUMMYFUNCTION("""COMPUTED_VALUE"""),45705.0)</f>
        <v>45705</v>
      </c>
      <c r="B792" s="7" t="str">
        <f>IFERROR(__xludf.DUMMYFUNCTION("""COMPUTED_VALUE"""),"c9ccdbf1-7d86-444e-a278-10ee1be5c71d")</f>
        <v>c9ccdbf1-7d86-444e-a278-10ee1be5c71d</v>
      </c>
      <c r="C792" s="7">
        <f>IFERROR(__xludf.DUMMYFUNCTION("""COMPUTED_VALUE"""),1924.0)</f>
        <v>1924</v>
      </c>
      <c r="D792" s="6">
        <f>IFERROR(__xludf.DUMMYFUNCTION("""COMPUTED_VALUE"""),43781.0)</f>
        <v>43781</v>
      </c>
      <c r="E792" s="7" t="str">
        <f>IFERROR(__xludf.DUMMYFUNCTION("""COMPUTED_VALUE"""),"FRANQUIA_D&amp;G_SP")</f>
        <v>FRANQUIA_D&amp;G_SP</v>
      </c>
      <c r="F792" s="7" t="str">
        <f>IFERROR(__xludf.DUMMYFUNCTION("""COMPUTED_VALUE"""),"MOTORCYCLE")</f>
        <v>MOTORCYCLE</v>
      </c>
      <c r="G792" s="7" t="str">
        <f>IFERROR(__xludf.DUMMYFUNCTION("""COMPUTED_VALUE"""),"SAO PAULO")</f>
        <v>SAO PAULO</v>
      </c>
    </row>
    <row r="793">
      <c r="A793" s="6">
        <f>IFERROR(__xludf.DUMMYFUNCTION("""COMPUTED_VALUE"""),45705.0)</f>
        <v>45705</v>
      </c>
      <c r="B793" s="7" t="str">
        <f>IFERROR(__xludf.DUMMYFUNCTION("""COMPUTED_VALUE"""),"57a4e9ba-1229-4afc-9598-924b2e255628")</f>
        <v>57a4e9ba-1229-4afc-9598-924b2e255628</v>
      </c>
      <c r="C793" s="7">
        <f>IFERROR(__xludf.DUMMYFUNCTION("""COMPUTED_VALUE"""),19.0)</f>
        <v>19</v>
      </c>
      <c r="D793" s="6">
        <f>IFERROR(__xludf.DUMMYFUNCTION("""COMPUTED_VALUE"""),45686.0)</f>
        <v>45686</v>
      </c>
      <c r="E793" s="7" t="str">
        <f>IFERROR(__xludf.DUMMYFUNCTION("""COMPUTED_VALUE"""),"FRANQUIA_D&amp;G_SP")</f>
        <v>FRANQUIA_D&amp;G_SP</v>
      </c>
      <c r="F793" s="7" t="str">
        <f>IFERROR(__xludf.DUMMYFUNCTION("""COMPUTED_VALUE"""),"MOTORCYCLE")</f>
        <v>MOTORCYCLE</v>
      </c>
      <c r="G793" s="7" t="str">
        <f>IFERROR(__xludf.DUMMYFUNCTION("""COMPUTED_VALUE"""),"SAO PAULO")</f>
        <v>SAO PAULO</v>
      </c>
    </row>
    <row r="794">
      <c r="A794" s="6">
        <f>IFERROR(__xludf.DUMMYFUNCTION("""COMPUTED_VALUE"""),45705.0)</f>
        <v>45705</v>
      </c>
      <c r="B794" s="7" t="str">
        <f>IFERROR(__xludf.DUMMYFUNCTION("""COMPUTED_VALUE"""),"f69f2d90-018c-47a7-8184-4c8eda82cef6")</f>
        <v>f69f2d90-018c-47a7-8184-4c8eda82cef6</v>
      </c>
      <c r="C794" s="7">
        <f>IFERROR(__xludf.DUMMYFUNCTION("""COMPUTED_VALUE"""),0.0)</f>
        <v>0</v>
      </c>
      <c r="D794" s="6">
        <f>IFERROR(__xludf.DUMMYFUNCTION("""COMPUTED_VALUE"""),45705.0)</f>
        <v>45705</v>
      </c>
      <c r="E794" s="7" t="str">
        <f>IFERROR(__xludf.DUMMYFUNCTION("""COMPUTED_VALUE"""),"FRANQUIA_D&amp;G_SP")</f>
        <v>FRANQUIA_D&amp;G_SP</v>
      </c>
      <c r="F794" s="7" t="str">
        <f>IFERROR(__xludf.DUMMYFUNCTION("""COMPUTED_VALUE"""),"BICYCLE")</f>
        <v>BICYCLE</v>
      </c>
      <c r="G794" s="7" t="str">
        <f>IFERROR(__xludf.DUMMYFUNCTION("""COMPUTED_VALUE"""),"SAO PAULO")</f>
        <v>SAO PAULO</v>
      </c>
    </row>
    <row r="795">
      <c r="A795" s="6">
        <f>IFERROR(__xludf.DUMMYFUNCTION("""COMPUTED_VALUE"""),45705.0)</f>
        <v>45705</v>
      </c>
      <c r="B795" s="7" t="str">
        <f>IFERROR(__xludf.DUMMYFUNCTION("""COMPUTED_VALUE"""),"a27f757a-b169-4f26-9359-e4fb351c7f47")</f>
        <v>a27f757a-b169-4f26-9359-e4fb351c7f47</v>
      </c>
      <c r="C795" s="7">
        <f>IFERROR(__xludf.DUMMYFUNCTION("""COMPUTED_VALUE"""),0.0)</f>
        <v>0</v>
      </c>
      <c r="D795" s="6">
        <f>IFERROR(__xludf.DUMMYFUNCTION("""COMPUTED_VALUE"""),45705.0)</f>
        <v>45705</v>
      </c>
      <c r="E795" s="7" t="str">
        <f>IFERROR(__xludf.DUMMYFUNCTION("""COMPUTED_VALUE"""),"FRANQUIA_D&amp;G_SP")</f>
        <v>FRANQUIA_D&amp;G_SP</v>
      </c>
      <c r="F795" s="7" t="str">
        <f>IFERROR(__xludf.DUMMYFUNCTION("""COMPUTED_VALUE"""),"MOTORCYCLE")</f>
        <v>MOTORCYCLE</v>
      </c>
      <c r="G795" s="7" t="str">
        <f>IFERROR(__xludf.DUMMYFUNCTION("""COMPUTED_VALUE"""),"SAO PAULO")</f>
        <v>SAO PAULO</v>
      </c>
    </row>
    <row r="796">
      <c r="A796" s="6">
        <f>IFERROR(__xludf.DUMMYFUNCTION("""COMPUTED_VALUE"""),45705.0)</f>
        <v>45705</v>
      </c>
      <c r="B796" s="7" t="str">
        <f>IFERROR(__xludf.DUMMYFUNCTION("""COMPUTED_VALUE"""),"1d59d7d4-c348-4a90-ae3d-ccc121daa1bf")</f>
        <v>1d59d7d4-c348-4a90-ae3d-ccc121daa1bf</v>
      </c>
      <c r="C796" s="7">
        <f>IFERROR(__xludf.DUMMYFUNCTION("""COMPUTED_VALUE"""),8.0)</f>
        <v>8</v>
      </c>
      <c r="D796" s="6">
        <f>IFERROR(__xludf.DUMMYFUNCTION("""COMPUTED_VALUE"""),45697.0)</f>
        <v>45697</v>
      </c>
      <c r="E796" s="7" t="str">
        <f>IFERROR(__xludf.DUMMYFUNCTION("""COMPUTED_VALUE"""),"FRANQUIA_D&amp;G_SP")</f>
        <v>FRANQUIA_D&amp;G_SP</v>
      </c>
      <c r="F796" s="7" t="str">
        <f>IFERROR(__xludf.DUMMYFUNCTION("""COMPUTED_VALUE"""),"BICYCLE")</f>
        <v>BICYCLE</v>
      </c>
      <c r="G796" s="7" t="str">
        <f>IFERROR(__xludf.DUMMYFUNCTION("""COMPUTED_VALUE"""),"SAO PAULO")</f>
        <v>SAO PAULO</v>
      </c>
    </row>
    <row r="797">
      <c r="A797" s="6">
        <f>IFERROR(__xludf.DUMMYFUNCTION("""COMPUTED_VALUE"""),45705.0)</f>
        <v>45705</v>
      </c>
      <c r="B797" s="7" t="str">
        <f>IFERROR(__xludf.DUMMYFUNCTION("""COMPUTED_VALUE"""),"9e20e199-c29a-4e77-a0c7-098e0e16940f")</f>
        <v>9e20e199-c29a-4e77-a0c7-098e0e16940f</v>
      </c>
      <c r="C797" s="7">
        <f>IFERROR(__xludf.DUMMYFUNCTION("""COMPUTED_VALUE"""),0.0)</f>
        <v>0</v>
      </c>
      <c r="D797" s="6">
        <f>IFERROR(__xludf.DUMMYFUNCTION("""COMPUTED_VALUE"""),45705.0)</f>
        <v>45705</v>
      </c>
      <c r="E797" s="7" t="str">
        <f>IFERROR(__xludf.DUMMYFUNCTION("""COMPUTED_VALUE"""),"FRANQUIA_D&amp;G_SP")</f>
        <v>FRANQUIA_D&amp;G_SP</v>
      </c>
      <c r="F797" s="7" t="str">
        <f>IFERROR(__xludf.DUMMYFUNCTION("""COMPUTED_VALUE"""),"BICYCLE")</f>
        <v>BICYCLE</v>
      </c>
      <c r="G797" s="7" t="str">
        <f>IFERROR(__xludf.DUMMYFUNCTION("""COMPUTED_VALUE"""),"SAO PAULO")</f>
        <v>SAO PAULO</v>
      </c>
    </row>
    <row r="798">
      <c r="A798" s="6">
        <f>IFERROR(__xludf.DUMMYFUNCTION("""COMPUTED_VALUE"""),45705.0)</f>
        <v>45705</v>
      </c>
      <c r="B798" s="7" t="str">
        <f>IFERROR(__xludf.DUMMYFUNCTION("""COMPUTED_VALUE"""),"e860a187-8622-4ebf-9ed3-eab801cf6be3")</f>
        <v>e860a187-8622-4ebf-9ed3-eab801cf6be3</v>
      </c>
      <c r="C798" s="7">
        <f>IFERROR(__xludf.DUMMYFUNCTION("""COMPUTED_VALUE"""),0.0)</f>
        <v>0</v>
      </c>
      <c r="D798" s="6">
        <f>IFERROR(__xludf.DUMMYFUNCTION("""COMPUTED_VALUE"""),45705.0)</f>
        <v>45705</v>
      </c>
      <c r="E798" s="7" t="str">
        <f>IFERROR(__xludf.DUMMYFUNCTION("""COMPUTED_VALUE"""),"FRANQUIA_D&amp;G_SP")</f>
        <v>FRANQUIA_D&amp;G_SP</v>
      </c>
      <c r="F798" s="7" t="str">
        <f>IFERROR(__xludf.DUMMYFUNCTION("""COMPUTED_VALUE"""),"MOTORCYCLE")</f>
        <v>MOTORCYCLE</v>
      </c>
      <c r="G798" s="7" t="str">
        <f>IFERROR(__xludf.DUMMYFUNCTION("""COMPUTED_VALUE"""),"ITAPECERICA DA SERRA")</f>
        <v>ITAPECERICA DA SERRA</v>
      </c>
    </row>
    <row r="799">
      <c r="A799" s="6">
        <f>IFERROR(__xludf.DUMMYFUNCTION("""COMPUTED_VALUE"""),45705.0)</f>
        <v>45705</v>
      </c>
      <c r="B799" s="7" t="str">
        <f>IFERROR(__xludf.DUMMYFUNCTION("""COMPUTED_VALUE"""),"94d27fc2-a76f-41b4-964f-270e664c7557")</f>
        <v>94d27fc2-a76f-41b4-964f-270e664c7557</v>
      </c>
      <c r="C799" s="7">
        <f>IFERROR(__xludf.DUMMYFUNCTION("""COMPUTED_VALUE"""),206.0)</f>
        <v>206</v>
      </c>
      <c r="D799" s="6">
        <f>IFERROR(__xludf.DUMMYFUNCTION("""COMPUTED_VALUE"""),45499.0)</f>
        <v>45499</v>
      </c>
      <c r="E799" s="7" t="str">
        <f>IFERROR(__xludf.DUMMYFUNCTION("""COMPUTED_VALUE"""),"FRANQUIA_D&amp;G_SP")</f>
        <v>FRANQUIA_D&amp;G_SP</v>
      </c>
      <c r="F799" s="7" t="str">
        <f>IFERROR(__xludf.DUMMYFUNCTION("""COMPUTED_VALUE"""),"BICYCLE")</f>
        <v>BICYCLE</v>
      </c>
      <c r="G799" s="7" t="str">
        <f>IFERROR(__xludf.DUMMYFUNCTION("""COMPUTED_VALUE"""),"SAO PAULO")</f>
        <v>SAO PAULO</v>
      </c>
    </row>
    <row r="800">
      <c r="A800" s="6">
        <f>IFERROR(__xludf.DUMMYFUNCTION("""COMPUTED_VALUE"""),45705.0)</f>
        <v>45705</v>
      </c>
      <c r="B800" s="7" t="str">
        <f>IFERROR(__xludf.DUMMYFUNCTION("""COMPUTED_VALUE"""),"ac22c61c-8acc-40e6-933b-df57ddbb0091")</f>
        <v>ac22c61c-8acc-40e6-933b-df57ddbb0091</v>
      </c>
      <c r="C800" s="7">
        <f>IFERROR(__xludf.DUMMYFUNCTION("""COMPUTED_VALUE"""),0.0)</f>
        <v>0</v>
      </c>
      <c r="D800" s="6">
        <f>IFERROR(__xludf.DUMMYFUNCTION("""COMPUTED_VALUE"""),45705.0)</f>
        <v>45705</v>
      </c>
      <c r="E800" s="7" t="str">
        <f>IFERROR(__xludf.DUMMYFUNCTION("""COMPUTED_VALUE"""),"FRANQUIA_D&amp;G_SP")</f>
        <v>FRANQUIA_D&amp;G_SP</v>
      </c>
      <c r="F800" s="7" t="str">
        <f>IFERROR(__xludf.DUMMYFUNCTION("""COMPUTED_VALUE"""),"EMOTORCYCLE")</f>
        <v>EMOTORCYCLE</v>
      </c>
      <c r="G800" s="7" t="str">
        <f>IFERROR(__xludf.DUMMYFUNCTION("""COMPUTED_VALUE"""),"SAO PAULO")</f>
        <v>SAO PAULO</v>
      </c>
    </row>
    <row r="801">
      <c r="A801" s="6">
        <f>IFERROR(__xludf.DUMMYFUNCTION("""COMPUTED_VALUE"""),45705.0)</f>
        <v>45705</v>
      </c>
      <c r="B801" s="7" t="str">
        <f>IFERROR(__xludf.DUMMYFUNCTION("""COMPUTED_VALUE"""),"2de9ed60-0e74-4f53-bd35-915f0f99bfc9")</f>
        <v>2de9ed60-0e74-4f53-bd35-915f0f99bfc9</v>
      </c>
      <c r="C801" s="7">
        <f>IFERROR(__xludf.DUMMYFUNCTION("""COMPUTED_VALUE"""),0.0)</f>
        <v>0</v>
      </c>
      <c r="D801" s="6">
        <f>IFERROR(__xludf.DUMMYFUNCTION("""COMPUTED_VALUE"""),45705.0)</f>
        <v>45705</v>
      </c>
      <c r="E801" s="7" t="str">
        <f>IFERROR(__xludf.DUMMYFUNCTION("""COMPUTED_VALUE"""),"FRANQUIA_D&amp;G_SP")</f>
        <v>FRANQUIA_D&amp;G_SP</v>
      </c>
      <c r="F801" s="7" t="str">
        <f>IFERROR(__xludf.DUMMYFUNCTION("""COMPUTED_VALUE"""),"EMOTORCYCLE")</f>
        <v>EMOTORCYCLE</v>
      </c>
      <c r="G801" s="7" t="str">
        <f>IFERROR(__xludf.DUMMYFUNCTION("""COMPUTED_VALUE"""),"SAO PAULO")</f>
        <v>SAO PAULO</v>
      </c>
    </row>
    <row r="802">
      <c r="A802" s="6">
        <f>IFERROR(__xludf.DUMMYFUNCTION("""COMPUTED_VALUE"""),45705.0)</f>
        <v>45705</v>
      </c>
      <c r="B802" s="7" t="str">
        <f>IFERROR(__xludf.DUMMYFUNCTION("""COMPUTED_VALUE"""),"f73fe05b-6558-4e9e-bd84-0f16b2452a51")</f>
        <v>f73fe05b-6558-4e9e-bd84-0f16b2452a51</v>
      </c>
      <c r="C802" s="7">
        <f>IFERROR(__xludf.DUMMYFUNCTION("""COMPUTED_VALUE"""),0.0)</f>
        <v>0</v>
      </c>
      <c r="D802" s="6">
        <f>IFERROR(__xludf.DUMMYFUNCTION("""COMPUTED_VALUE"""),45705.0)</f>
        <v>45705</v>
      </c>
      <c r="E802" s="7" t="str">
        <f>IFERROR(__xludf.DUMMYFUNCTION("""COMPUTED_VALUE"""),"FRANQUIA_D&amp;G_SP")</f>
        <v>FRANQUIA_D&amp;G_SP</v>
      </c>
      <c r="F802" s="7" t="str">
        <f>IFERROR(__xludf.DUMMYFUNCTION("""COMPUTED_VALUE"""),"MOTORCYCLE")</f>
        <v>MOTORCYCLE</v>
      </c>
      <c r="G802" s="7" t="str">
        <f>IFERROR(__xludf.DUMMYFUNCTION("""COMPUTED_VALUE"""),"SAO PAULO")</f>
        <v>SAO PAULO</v>
      </c>
    </row>
    <row r="803">
      <c r="A803" s="6">
        <f>IFERROR(__xludf.DUMMYFUNCTION("""COMPUTED_VALUE"""),45705.0)</f>
        <v>45705</v>
      </c>
      <c r="B803" s="7" t="str">
        <f>IFERROR(__xludf.DUMMYFUNCTION("""COMPUTED_VALUE"""),"ffb3310f-7158-4877-aa8a-e08ea654df1e")</f>
        <v>ffb3310f-7158-4877-aa8a-e08ea654df1e</v>
      </c>
      <c r="C803" s="7">
        <f>IFERROR(__xludf.DUMMYFUNCTION("""COMPUTED_VALUE"""),0.0)</f>
        <v>0</v>
      </c>
      <c r="D803" s="6">
        <f>IFERROR(__xludf.DUMMYFUNCTION("""COMPUTED_VALUE"""),45705.0)</f>
        <v>45705</v>
      </c>
      <c r="E803" s="7" t="str">
        <f>IFERROR(__xludf.DUMMYFUNCTION("""COMPUTED_VALUE"""),"FRANQUIA_D&amp;G_SP")</f>
        <v>FRANQUIA_D&amp;G_SP</v>
      </c>
      <c r="F803" s="7" t="str">
        <f>IFERROR(__xludf.DUMMYFUNCTION("""COMPUTED_VALUE"""),"MOTORCYCLE")</f>
        <v>MOTORCYCLE</v>
      </c>
      <c r="G803" s="7" t="str">
        <f>IFERROR(__xludf.DUMMYFUNCTION("""COMPUTED_VALUE"""),"SAO PAULO")</f>
        <v>SAO PAULO</v>
      </c>
    </row>
    <row r="804">
      <c r="A804" s="6">
        <f>IFERROR(__xludf.DUMMYFUNCTION("""COMPUTED_VALUE"""),45705.0)</f>
        <v>45705</v>
      </c>
      <c r="B804" s="7" t="str">
        <f>IFERROR(__xludf.DUMMYFUNCTION("""COMPUTED_VALUE"""),"5ef7ff8c-6127-49b8-a9d8-7c11b5d535e3")</f>
        <v>5ef7ff8c-6127-49b8-a9d8-7c11b5d535e3</v>
      </c>
      <c r="C804" s="7">
        <f>IFERROR(__xludf.DUMMYFUNCTION("""COMPUTED_VALUE"""),313.0)</f>
        <v>313</v>
      </c>
      <c r="D804" s="6">
        <f>IFERROR(__xludf.DUMMYFUNCTION("""COMPUTED_VALUE"""),45392.0)</f>
        <v>45392</v>
      </c>
      <c r="E804" s="7" t="str">
        <f>IFERROR(__xludf.DUMMYFUNCTION("""COMPUTED_VALUE"""),"FRANQUIA_D&amp;G_SP")</f>
        <v>FRANQUIA_D&amp;G_SP</v>
      </c>
      <c r="F804" s="7" t="str">
        <f>IFERROR(__xludf.DUMMYFUNCTION("""COMPUTED_VALUE"""),"BICYCLE")</f>
        <v>BICYCLE</v>
      </c>
      <c r="G804" s="7" t="str">
        <f>IFERROR(__xludf.DUMMYFUNCTION("""COMPUTED_VALUE"""),"SAO PAULO")</f>
        <v>SAO PAULO</v>
      </c>
    </row>
    <row r="805">
      <c r="A805" s="6">
        <f>IFERROR(__xludf.DUMMYFUNCTION("""COMPUTED_VALUE"""),45705.0)</f>
        <v>45705</v>
      </c>
      <c r="B805" s="7" t="str">
        <f>IFERROR(__xludf.DUMMYFUNCTION("""COMPUTED_VALUE"""),"9e3a8727-fc6f-4a86-aa69-24255538d686")</f>
        <v>9e3a8727-fc6f-4a86-aa69-24255538d686</v>
      </c>
      <c r="C805" s="7">
        <f>IFERROR(__xludf.DUMMYFUNCTION("""COMPUTED_VALUE"""),0.0)</f>
        <v>0</v>
      </c>
      <c r="D805" s="6">
        <f>IFERROR(__xludf.DUMMYFUNCTION("""COMPUTED_VALUE"""),45705.0)</f>
        <v>45705</v>
      </c>
      <c r="E805" s="7" t="str">
        <f>IFERROR(__xludf.DUMMYFUNCTION("""COMPUTED_VALUE"""),"FRANQUIA_D&amp;G_SP")</f>
        <v>FRANQUIA_D&amp;G_SP</v>
      </c>
      <c r="F805" s="7" t="str">
        <f>IFERROR(__xludf.DUMMYFUNCTION("""COMPUTED_VALUE"""),"MOTORCYCLE")</f>
        <v>MOTORCYCLE</v>
      </c>
      <c r="G805" s="7" t="str">
        <f>IFERROR(__xludf.DUMMYFUNCTION("""COMPUTED_VALUE"""),"SAO PAULO")</f>
        <v>SAO PAULO</v>
      </c>
    </row>
    <row r="806">
      <c r="A806" s="6">
        <f>IFERROR(__xludf.DUMMYFUNCTION("""COMPUTED_VALUE"""),45705.0)</f>
        <v>45705</v>
      </c>
      <c r="B806" s="7" t="str">
        <f>IFERROR(__xludf.DUMMYFUNCTION("""COMPUTED_VALUE"""),"8dd04745-ad10-45c3-8d1b-e4d0a4150712")</f>
        <v>8dd04745-ad10-45c3-8d1b-e4d0a4150712</v>
      </c>
      <c r="C806" s="7">
        <f>IFERROR(__xludf.DUMMYFUNCTION("""COMPUTED_VALUE"""),4.0)</f>
        <v>4</v>
      </c>
      <c r="D806" s="6">
        <f>IFERROR(__xludf.DUMMYFUNCTION("""COMPUTED_VALUE"""),45701.0)</f>
        <v>45701</v>
      </c>
      <c r="E806" s="7" t="str">
        <f>IFERROR(__xludf.DUMMYFUNCTION("""COMPUTED_VALUE"""),"FRANQUIA_D&amp;G_SP")</f>
        <v>FRANQUIA_D&amp;G_SP</v>
      </c>
      <c r="F806" s="7" t="str">
        <f>IFERROR(__xludf.DUMMYFUNCTION("""COMPUTED_VALUE"""),"EBIKE")</f>
        <v>EBIKE</v>
      </c>
      <c r="G806" s="7" t="str">
        <f>IFERROR(__xludf.DUMMYFUNCTION("""COMPUTED_VALUE"""),"SAO PAULO")</f>
        <v>SAO PAULO</v>
      </c>
    </row>
    <row r="807">
      <c r="A807" s="6">
        <f>IFERROR(__xludf.DUMMYFUNCTION("""COMPUTED_VALUE"""),45705.0)</f>
        <v>45705</v>
      </c>
      <c r="B807" s="7" t="str">
        <f>IFERROR(__xludf.DUMMYFUNCTION("""COMPUTED_VALUE"""),"1b93ed45-51c4-4f96-ba45-44cc34971865")</f>
        <v>1b93ed45-51c4-4f96-ba45-44cc34971865</v>
      </c>
      <c r="C807" s="7">
        <f>IFERROR(__xludf.DUMMYFUNCTION("""COMPUTED_VALUE"""),13.0)</f>
        <v>13</v>
      </c>
      <c r="D807" s="6">
        <f>IFERROR(__xludf.DUMMYFUNCTION("""COMPUTED_VALUE"""),45692.0)</f>
        <v>45692</v>
      </c>
      <c r="E807" s="7" t="str">
        <f>IFERROR(__xludf.DUMMYFUNCTION("""COMPUTED_VALUE"""),"FRANQUIA_D&amp;G_SP")</f>
        <v>FRANQUIA_D&amp;G_SP</v>
      </c>
      <c r="F807" s="7" t="str">
        <f>IFERROR(__xludf.DUMMYFUNCTION("""COMPUTED_VALUE"""),"MOTORCYCLE")</f>
        <v>MOTORCYCLE</v>
      </c>
      <c r="G807" s="7" t="str">
        <f>IFERROR(__xludf.DUMMYFUNCTION("""COMPUTED_VALUE"""),"TABOAO DA SERRA")</f>
        <v>TABOAO DA SERRA</v>
      </c>
    </row>
    <row r="808">
      <c r="A808" s="6">
        <f>IFERROR(__xludf.DUMMYFUNCTION("""COMPUTED_VALUE"""),45705.0)</f>
        <v>45705</v>
      </c>
      <c r="B808" s="7" t="str">
        <f>IFERROR(__xludf.DUMMYFUNCTION("""COMPUTED_VALUE"""),"94f18405-ec7e-4ed7-88ec-96b99ed31d2c")</f>
        <v>94f18405-ec7e-4ed7-88ec-96b99ed31d2c</v>
      </c>
      <c r="C808" s="7">
        <f>IFERROR(__xludf.DUMMYFUNCTION("""COMPUTED_VALUE"""),0.0)</f>
        <v>0</v>
      </c>
      <c r="D808" s="6">
        <f>IFERROR(__xludf.DUMMYFUNCTION("""COMPUTED_VALUE"""),45705.0)</f>
        <v>45705</v>
      </c>
      <c r="E808" s="7" t="str">
        <f>IFERROR(__xludf.DUMMYFUNCTION("""COMPUTED_VALUE"""),"FRANQUIA_D&amp;G_SP")</f>
        <v>FRANQUIA_D&amp;G_SP</v>
      </c>
      <c r="F808" s="7" t="str">
        <f>IFERROR(__xludf.DUMMYFUNCTION("""COMPUTED_VALUE"""),"MOTORCYCLE")</f>
        <v>MOTORCYCLE</v>
      </c>
      <c r="G808" s="7" t="str">
        <f>IFERROR(__xludf.DUMMYFUNCTION("""COMPUTED_VALUE"""),"SAO PAULO")</f>
        <v>SAO PAULO</v>
      </c>
    </row>
    <row r="809">
      <c r="A809" s="6">
        <f>IFERROR(__xludf.DUMMYFUNCTION("""COMPUTED_VALUE"""),45705.0)</f>
        <v>45705</v>
      </c>
      <c r="B809" s="7" t="str">
        <f>IFERROR(__xludf.DUMMYFUNCTION("""COMPUTED_VALUE"""),"bfed156e-c9a4-4a47-9706-54b64b58d730")</f>
        <v>bfed156e-c9a4-4a47-9706-54b64b58d730</v>
      </c>
      <c r="C809" s="7">
        <f>IFERROR(__xludf.DUMMYFUNCTION("""COMPUTED_VALUE"""),40.0)</f>
        <v>40</v>
      </c>
      <c r="D809" s="6">
        <f>IFERROR(__xludf.DUMMYFUNCTION("""COMPUTED_VALUE"""),45665.0)</f>
        <v>45665</v>
      </c>
      <c r="E809" s="7" t="str">
        <f>IFERROR(__xludf.DUMMYFUNCTION("""COMPUTED_VALUE"""),"FRANQUIA_D&amp;G_SP")</f>
        <v>FRANQUIA_D&amp;G_SP</v>
      </c>
      <c r="F809" s="7" t="str">
        <f>IFERROR(__xludf.DUMMYFUNCTION("""COMPUTED_VALUE"""),"BICYCLE")</f>
        <v>BICYCLE</v>
      </c>
      <c r="G809" s="7" t="str">
        <f>IFERROR(__xludf.DUMMYFUNCTION("""COMPUTED_VALUE"""),"SAO PAULO")</f>
        <v>SAO PAULO</v>
      </c>
    </row>
    <row r="810">
      <c r="A810" s="6">
        <f>IFERROR(__xludf.DUMMYFUNCTION("""COMPUTED_VALUE"""),45705.0)</f>
        <v>45705</v>
      </c>
      <c r="B810" s="7" t="str">
        <f>IFERROR(__xludf.DUMMYFUNCTION("""COMPUTED_VALUE"""),"bd11f696-3bc9-42d7-b963-2d12409c2719")</f>
        <v>bd11f696-3bc9-42d7-b963-2d12409c2719</v>
      </c>
      <c r="C810" s="7">
        <f>IFERROR(__xludf.DUMMYFUNCTION("""COMPUTED_VALUE"""),114.0)</f>
        <v>114</v>
      </c>
      <c r="D810" s="6">
        <f>IFERROR(__xludf.DUMMYFUNCTION("""COMPUTED_VALUE"""),45591.0)</f>
        <v>45591</v>
      </c>
      <c r="E810" s="7" t="str">
        <f>IFERROR(__xludf.DUMMYFUNCTION("""COMPUTED_VALUE"""),"FRANQUIA_D&amp;G_SP")</f>
        <v>FRANQUIA_D&amp;G_SP</v>
      </c>
      <c r="F810" s="7" t="str">
        <f>IFERROR(__xludf.DUMMYFUNCTION("""COMPUTED_VALUE"""),"MOTORCYCLE")</f>
        <v>MOTORCYCLE</v>
      </c>
      <c r="G810" s="7" t="str">
        <f>IFERROR(__xludf.DUMMYFUNCTION("""COMPUTED_VALUE"""),"SAO PAULO")</f>
        <v>SAO PAULO</v>
      </c>
    </row>
    <row r="811">
      <c r="A811" s="6">
        <f>IFERROR(__xludf.DUMMYFUNCTION("""COMPUTED_VALUE"""),45705.0)</f>
        <v>45705</v>
      </c>
      <c r="B811" s="7" t="str">
        <f>IFERROR(__xludf.DUMMYFUNCTION("""COMPUTED_VALUE"""),"1f2803b6-4e4d-4f98-bad7-30abd58e7092")</f>
        <v>1f2803b6-4e4d-4f98-bad7-30abd58e7092</v>
      </c>
      <c r="C811" s="7">
        <f>IFERROR(__xludf.DUMMYFUNCTION("""COMPUTED_VALUE"""),291.0)</f>
        <v>291</v>
      </c>
      <c r="D811" s="6">
        <f>IFERROR(__xludf.DUMMYFUNCTION("""COMPUTED_VALUE"""),45414.0)</f>
        <v>45414</v>
      </c>
      <c r="E811" s="7" t="str">
        <f>IFERROR(__xludf.DUMMYFUNCTION("""COMPUTED_VALUE"""),"FRANQUIA_D&amp;G_SP")</f>
        <v>FRANQUIA_D&amp;G_SP</v>
      </c>
      <c r="F811" s="7" t="str">
        <f>IFERROR(__xludf.DUMMYFUNCTION("""COMPUTED_VALUE"""),"MOTORCYCLE")</f>
        <v>MOTORCYCLE</v>
      </c>
      <c r="G811" s="7" t="str">
        <f>IFERROR(__xludf.DUMMYFUNCTION("""COMPUTED_VALUE"""),"SAO PAULO")</f>
        <v>SAO PAULO</v>
      </c>
    </row>
    <row r="812">
      <c r="A812" s="6">
        <f>IFERROR(__xludf.DUMMYFUNCTION("""COMPUTED_VALUE"""),45705.0)</f>
        <v>45705</v>
      </c>
      <c r="B812" s="7" t="str">
        <f>IFERROR(__xludf.DUMMYFUNCTION("""COMPUTED_VALUE"""),"b1e2cdf7-aaf5-418d-9eb0-ab2bb0380699")</f>
        <v>b1e2cdf7-aaf5-418d-9eb0-ab2bb0380699</v>
      </c>
      <c r="C812" s="7">
        <f>IFERROR(__xludf.DUMMYFUNCTION("""COMPUTED_VALUE"""),0.0)</f>
        <v>0</v>
      </c>
      <c r="D812" s="6">
        <f>IFERROR(__xludf.DUMMYFUNCTION("""COMPUTED_VALUE"""),45705.0)</f>
        <v>45705</v>
      </c>
      <c r="E812" s="7" t="str">
        <f>IFERROR(__xludf.DUMMYFUNCTION("""COMPUTED_VALUE"""),"FRANQUIA_D&amp;G_SP")</f>
        <v>FRANQUIA_D&amp;G_SP</v>
      </c>
      <c r="F812" s="7" t="str">
        <f>IFERROR(__xludf.DUMMYFUNCTION("""COMPUTED_VALUE"""),"BICYCLE")</f>
        <v>BICYCLE</v>
      </c>
      <c r="G812" s="7" t="str">
        <f>IFERROR(__xludf.DUMMYFUNCTION("""COMPUTED_VALUE"""),"SAO PAULO")</f>
        <v>SAO PAULO</v>
      </c>
    </row>
    <row r="813">
      <c r="A813" s="6">
        <f>IFERROR(__xludf.DUMMYFUNCTION("""COMPUTED_VALUE"""),45705.0)</f>
        <v>45705</v>
      </c>
      <c r="B813" s="7" t="str">
        <f>IFERROR(__xludf.DUMMYFUNCTION("""COMPUTED_VALUE"""),"f9c9e336-7126-4523-88c2-aeff635cb122")</f>
        <v>f9c9e336-7126-4523-88c2-aeff635cb122</v>
      </c>
      <c r="C813" s="7">
        <f>IFERROR(__xludf.DUMMYFUNCTION("""COMPUTED_VALUE"""),0.0)</f>
        <v>0</v>
      </c>
      <c r="D813" s="6">
        <f>IFERROR(__xludf.DUMMYFUNCTION("""COMPUTED_VALUE"""),45705.0)</f>
        <v>45705</v>
      </c>
      <c r="E813" s="7" t="str">
        <f>IFERROR(__xludf.DUMMYFUNCTION("""COMPUTED_VALUE"""),"FRANQUIA_D&amp;G_SP")</f>
        <v>FRANQUIA_D&amp;G_SP</v>
      </c>
      <c r="F813" s="7" t="str">
        <f>IFERROR(__xludf.DUMMYFUNCTION("""COMPUTED_VALUE"""),"MOTORCYCLE")</f>
        <v>MOTORCYCLE</v>
      </c>
      <c r="G813" s="7" t="str">
        <f>IFERROR(__xludf.DUMMYFUNCTION("""COMPUTED_VALUE"""),"SAO PAULO")</f>
        <v>SAO PAULO</v>
      </c>
    </row>
    <row r="814">
      <c r="A814" s="6">
        <f>IFERROR(__xludf.DUMMYFUNCTION("""COMPUTED_VALUE"""),45705.0)</f>
        <v>45705</v>
      </c>
      <c r="B814" s="7" t="str">
        <f>IFERROR(__xludf.DUMMYFUNCTION("""COMPUTED_VALUE"""),"71d3818f-dd6e-4f04-a55d-420f40f6ffcc")</f>
        <v>71d3818f-dd6e-4f04-a55d-420f40f6ffcc</v>
      </c>
      <c r="C814" s="7">
        <f>IFERROR(__xludf.DUMMYFUNCTION("""COMPUTED_VALUE"""),2.0)</f>
        <v>2</v>
      </c>
      <c r="D814" s="6">
        <f>IFERROR(__xludf.DUMMYFUNCTION("""COMPUTED_VALUE"""),45703.0)</f>
        <v>45703</v>
      </c>
      <c r="E814" s="7" t="str">
        <f>IFERROR(__xludf.DUMMYFUNCTION("""COMPUTED_VALUE"""),"FRANQUIA_D&amp;G_SP")</f>
        <v>FRANQUIA_D&amp;G_SP</v>
      </c>
      <c r="F814" s="7" t="str">
        <f>IFERROR(__xludf.DUMMYFUNCTION("""COMPUTED_VALUE"""),"MOTORCYCLE")</f>
        <v>MOTORCYCLE</v>
      </c>
      <c r="G814" s="7" t="str">
        <f>IFERROR(__xludf.DUMMYFUNCTION("""COMPUTED_VALUE"""),"SAO PAULO")</f>
        <v>SAO PAULO</v>
      </c>
    </row>
    <row r="815">
      <c r="A815" s="6">
        <f>IFERROR(__xludf.DUMMYFUNCTION("""COMPUTED_VALUE"""),45705.0)</f>
        <v>45705</v>
      </c>
      <c r="B815" s="7" t="str">
        <f>IFERROR(__xludf.DUMMYFUNCTION("""COMPUTED_VALUE"""),"7515efcb-7ab2-4ac3-9d05-ee362e878103")</f>
        <v>7515efcb-7ab2-4ac3-9d05-ee362e878103</v>
      </c>
      <c r="C815" s="7">
        <f>IFERROR(__xludf.DUMMYFUNCTION("""COMPUTED_VALUE"""),298.0)</f>
        <v>298</v>
      </c>
      <c r="D815" s="6">
        <f>IFERROR(__xludf.DUMMYFUNCTION("""COMPUTED_VALUE"""),45407.0)</f>
        <v>45407</v>
      </c>
      <c r="E815" s="7" t="str">
        <f>IFERROR(__xludf.DUMMYFUNCTION("""COMPUTED_VALUE"""),"FRANQUIA_D&amp;G_SP")</f>
        <v>FRANQUIA_D&amp;G_SP</v>
      </c>
      <c r="F815" s="7" t="str">
        <f>IFERROR(__xludf.DUMMYFUNCTION("""COMPUTED_VALUE"""),"MOTORCYCLE")</f>
        <v>MOTORCYCLE</v>
      </c>
      <c r="G815" s="7" t="str">
        <f>IFERROR(__xludf.DUMMYFUNCTION("""COMPUTED_VALUE"""),"SAO PAULO")</f>
        <v>SAO PAULO</v>
      </c>
    </row>
    <row r="816">
      <c r="A816" s="6">
        <f>IFERROR(__xludf.DUMMYFUNCTION("""COMPUTED_VALUE"""),45705.0)</f>
        <v>45705</v>
      </c>
      <c r="B816" s="7" t="str">
        <f>IFERROR(__xludf.DUMMYFUNCTION("""COMPUTED_VALUE"""),"2ce99600-f02f-4fce-8c03-00b8c42f7270")</f>
        <v>2ce99600-f02f-4fce-8c03-00b8c42f7270</v>
      </c>
      <c r="C816" s="7">
        <f>IFERROR(__xludf.DUMMYFUNCTION("""COMPUTED_VALUE"""),2.0)</f>
        <v>2</v>
      </c>
      <c r="D816" s="6">
        <f>IFERROR(__xludf.DUMMYFUNCTION("""COMPUTED_VALUE"""),45703.0)</f>
        <v>45703</v>
      </c>
      <c r="E816" s="7" t="str">
        <f>IFERROR(__xludf.DUMMYFUNCTION("""COMPUTED_VALUE"""),"FRANQUIA_D&amp;G_SP")</f>
        <v>FRANQUIA_D&amp;G_SP</v>
      </c>
      <c r="F816" s="7" t="str">
        <f>IFERROR(__xludf.DUMMYFUNCTION("""COMPUTED_VALUE"""),"MOTORCYCLE")</f>
        <v>MOTORCYCLE</v>
      </c>
      <c r="G816" s="7" t="str">
        <f>IFERROR(__xludf.DUMMYFUNCTION("""COMPUTED_VALUE"""),"SAO PAULO")</f>
        <v>SAO PAULO</v>
      </c>
    </row>
    <row r="817">
      <c r="A817" s="6">
        <f>IFERROR(__xludf.DUMMYFUNCTION("""COMPUTED_VALUE"""),45705.0)</f>
        <v>45705</v>
      </c>
      <c r="B817" s="7" t="str">
        <f>IFERROR(__xludf.DUMMYFUNCTION("""COMPUTED_VALUE"""),"142ef8b3-ee4f-456a-af4a-adef93168434")</f>
        <v>142ef8b3-ee4f-456a-af4a-adef93168434</v>
      </c>
      <c r="C817" s="7">
        <f>IFERROR(__xludf.DUMMYFUNCTION("""COMPUTED_VALUE"""),39.0)</f>
        <v>39</v>
      </c>
      <c r="D817" s="6">
        <f>IFERROR(__xludf.DUMMYFUNCTION("""COMPUTED_VALUE"""),45666.0)</f>
        <v>45666</v>
      </c>
      <c r="E817" s="7" t="str">
        <f>IFERROR(__xludf.DUMMYFUNCTION("""COMPUTED_VALUE"""),"FRANQUIA_D&amp;G_SP")</f>
        <v>FRANQUIA_D&amp;G_SP</v>
      </c>
      <c r="F817" s="7" t="str">
        <f>IFERROR(__xludf.DUMMYFUNCTION("""COMPUTED_VALUE"""),"MOTORCYCLE")</f>
        <v>MOTORCYCLE</v>
      </c>
      <c r="G817" s="7" t="str">
        <f>IFERROR(__xludf.DUMMYFUNCTION("""COMPUTED_VALUE"""),"SAO PAULO")</f>
        <v>SAO PAULO</v>
      </c>
    </row>
    <row r="818">
      <c r="A818" s="6">
        <f>IFERROR(__xludf.DUMMYFUNCTION("""COMPUTED_VALUE"""),45705.0)</f>
        <v>45705</v>
      </c>
      <c r="B818" s="7" t="str">
        <f>IFERROR(__xludf.DUMMYFUNCTION("""COMPUTED_VALUE"""),"9be21887-5462-4bbc-b5c7-1ed70cecc58d")</f>
        <v>9be21887-5462-4bbc-b5c7-1ed70cecc58d</v>
      </c>
      <c r="C818" s="7">
        <f>IFERROR(__xludf.DUMMYFUNCTION("""COMPUTED_VALUE"""),144.0)</f>
        <v>144</v>
      </c>
      <c r="D818" s="6">
        <f>IFERROR(__xludf.DUMMYFUNCTION("""COMPUTED_VALUE"""),45561.0)</f>
        <v>45561</v>
      </c>
      <c r="E818" s="7" t="str">
        <f>IFERROR(__xludf.DUMMYFUNCTION("""COMPUTED_VALUE"""),"FRANQUIA_D&amp;G_SP")</f>
        <v>FRANQUIA_D&amp;G_SP</v>
      </c>
      <c r="F818" s="7" t="str">
        <f>IFERROR(__xludf.DUMMYFUNCTION("""COMPUTED_VALUE"""),"MOTORCYCLE")</f>
        <v>MOTORCYCLE</v>
      </c>
      <c r="G818" s="7" t="str">
        <f>IFERROR(__xludf.DUMMYFUNCTION("""COMPUTED_VALUE"""),"SAO PAULO")</f>
        <v>SAO PAULO</v>
      </c>
    </row>
    <row r="819">
      <c r="A819" s="6">
        <f>IFERROR(__xludf.DUMMYFUNCTION("""COMPUTED_VALUE"""),45705.0)</f>
        <v>45705</v>
      </c>
      <c r="B819" s="7" t="str">
        <f>IFERROR(__xludf.DUMMYFUNCTION("""COMPUTED_VALUE"""),"a125bb3f-18e7-4b6e-a8d0-2545fedb4d99")</f>
        <v>a125bb3f-18e7-4b6e-a8d0-2545fedb4d99</v>
      </c>
      <c r="C819" s="7">
        <f>IFERROR(__xludf.DUMMYFUNCTION("""COMPUTED_VALUE"""),85.0)</f>
        <v>85</v>
      </c>
      <c r="D819" s="6">
        <f>IFERROR(__xludf.DUMMYFUNCTION("""COMPUTED_VALUE"""),45620.0)</f>
        <v>45620</v>
      </c>
      <c r="E819" s="7" t="str">
        <f>IFERROR(__xludf.DUMMYFUNCTION("""COMPUTED_VALUE"""),"FRANQUIA_D&amp;G_SP")</f>
        <v>FRANQUIA_D&amp;G_SP</v>
      </c>
      <c r="F819" s="7" t="str">
        <f>IFERROR(__xludf.DUMMYFUNCTION("""COMPUTED_VALUE"""),"MOTORCYCLE")</f>
        <v>MOTORCYCLE</v>
      </c>
      <c r="G819" s="7" t="str">
        <f>IFERROR(__xludf.DUMMYFUNCTION("""COMPUTED_VALUE"""),"SAO PAULO")</f>
        <v>SAO PAULO</v>
      </c>
    </row>
    <row r="820">
      <c r="A820" s="6">
        <f>IFERROR(__xludf.DUMMYFUNCTION("""COMPUTED_VALUE"""),45705.0)</f>
        <v>45705</v>
      </c>
      <c r="B820" s="7" t="str">
        <f>IFERROR(__xludf.DUMMYFUNCTION("""COMPUTED_VALUE"""),"2ba12a20-2445-47e5-96ca-7c94d551f551")</f>
        <v>2ba12a20-2445-47e5-96ca-7c94d551f551</v>
      </c>
      <c r="C820" s="7">
        <f>IFERROR(__xludf.DUMMYFUNCTION("""COMPUTED_VALUE"""),0.0)</f>
        <v>0</v>
      </c>
      <c r="D820" s="6">
        <f>IFERROR(__xludf.DUMMYFUNCTION("""COMPUTED_VALUE"""),45705.0)</f>
        <v>45705</v>
      </c>
      <c r="E820" s="7" t="str">
        <f>IFERROR(__xludf.DUMMYFUNCTION("""COMPUTED_VALUE"""),"FRANQUIA_D&amp;G_SP")</f>
        <v>FRANQUIA_D&amp;G_SP</v>
      </c>
      <c r="F820" s="7" t="str">
        <f>IFERROR(__xludf.DUMMYFUNCTION("""COMPUTED_VALUE"""),"MOTORCYCLE")</f>
        <v>MOTORCYCLE</v>
      </c>
      <c r="G820" s="7" t="str">
        <f>IFERROR(__xludf.DUMMYFUNCTION("""COMPUTED_VALUE"""),"SAO PAULO")</f>
        <v>SAO PAULO</v>
      </c>
    </row>
    <row r="821">
      <c r="A821" s="6">
        <f>IFERROR(__xludf.DUMMYFUNCTION("""COMPUTED_VALUE"""),45705.0)</f>
        <v>45705</v>
      </c>
      <c r="B821" s="7" t="str">
        <f>IFERROR(__xludf.DUMMYFUNCTION("""COMPUTED_VALUE"""),"e989a5b4-3157-4301-8f16-c05334c2312e")</f>
        <v>e989a5b4-3157-4301-8f16-c05334c2312e</v>
      </c>
      <c r="C821" s="7">
        <f>IFERROR(__xludf.DUMMYFUNCTION("""COMPUTED_VALUE"""),0.0)</f>
        <v>0</v>
      </c>
      <c r="D821" s="6">
        <f>IFERROR(__xludf.DUMMYFUNCTION("""COMPUTED_VALUE"""),45705.0)</f>
        <v>45705</v>
      </c>
      <c r="E821" s="7" t="str">
        <f>IFERROR(__xludf.DUMMYFUNCTION("""COMPUTED_VALUE"""),"FRANQUIA_D&amp;G_SP")</f>
        <v>FRANQUIA_D&amp;G_SP</v>
      </c>
      <c r="F821" s="7" t="str">
        <f>IFERROR(__xludf.DUMMYFUNCTION("""COMPUTED_VALUE"""),"MOTORCYCLE")</f>
        <v>MOTORCYCLE</v>
      </c>
      <c r="G821" s="7" t="str">
        <f>IFERROR(__xludf.DUMMYFUNCTION("""COMPUTED_VALUE"""),"SAO PAULO")</f>
        <v>SAO PAULO</v>
      </c>
    </row>
    <row r="822">
      <c r="A822" s="6">
        <f>IFERROR(__xludf.DUMMYFUNCTION("""COMPUTED_VALUE"""),45705.0)</f>
        <v>45705</v>
      </c>
      <c r="B822" s="7" t="str">
        <f>IFERROR(__xludf.DUMMYFUNCTION("""COMPUTED_VALUE"""),"db574aba-971a-4436-9c66-82121512f12f")</f>
        <v>db574aba-971a-4436-9c66-82121512f12f</v>
      </c>
      <c r="C822" s="7">
        <f>IFERROR(__xludf.DUMMYFUNCTION("""COMPUTED_VALUE"""),0.0)</f>
        <v>0</v>
      </c>
      <c r="D822" s="6">
        <f>IFERROR(__xludf.DUMMYFUNCTION("""COMPUTED_VALUE"""),45705.0)</f>
        <v>45705</v>
      </c>
      <c r="E822" s="7" t="str">
        <f>IFERROR(__xludf.DUMMYFUNCTION("""COMPUTED_VALUE"""),"FRANQUIA_D&amp;G_SP")</f>
        <v>FRANQUIA_D&amp;G_SP</v>
      </c>
      <c r="F822" s="7" t="str">
        <f>IFERROR(__xludf.DUMMYFUNCTION("""COMPUTED_VALUE"""),"MOTORCYCLE")</f>
        <v>MOTORCYCLE</v>
      </c>
      <c r="G822" s="7" t="str">
        <f>IFERROR(__xludf.DUMMYFUNCTION("""COMPUTED_VALUE"""),"SAO PAULO")</f>
        <v>SAO PAULO</v>
      </c>
    </row>
    <row r="823">
      <c r="A823" s="6">
        <f>IFERROR(__xludf.DUMMYFUNCTION("""COMPUTED_VALUE"""),45705.0)</f>
        <v>45705</v>
      </c>
      <c r="B823" s="7" t="str">
        <f>IFERROR(__xludf.DUMMYFUNCTION("""COMPUTED_VALUE"""),"708b4b58-1a7a-4ac1-ba63-1f084de52986")</f>
        <v>708b4b58-1a7a-4ac1-ba63-1f084de52986</v>
      </c>
      <c r="C823" s="7">
        <f>IFERROR(__xludf.DUMMYFUNCTION("""COMPUTED_VALUE"""),17.0)</f>
        <v>17</v>
      </c>
      <c r="D823" s="6">
        <f>IFERROR(__xludf.DUMMYFUNCTION("""COMPUTED_VALUE"""),45688.0)</f>
        <v>45688</v>
      </c>
      <c r="E823" s="7" t="str">
        <f>IFERROR(__xludf.DUMMYFUNCTION("""COMPUTED_VALUE"""),"FRANQUIA_D&amp;G_SP")</f>
        <v>FRANQUIA_D&amp;G_SP</v>
      </c>
      <c r="F823" s="7" t="str">
        <f>IFERROR(__xludf.DUMMYFUNCTION("""COMPUTED_VALUE"""),"MOTORCYCLE")</f>
        <v>MOTORCYCLE</v>
      </c>
      <c r="G823" s="7" t="str">
        <f>IFERROR(__xludf.DUMMYFUNCTION("""COMPUTED_VALUE"""),"SAO PAULO")</f>
        <v>SAO PAULO</v>
      </c>
    </row>
    <row r="824">
      <c r="A824" s="6">
        <f>IFERROR(__xludf.DUMMYFUNCTION("""COMPUTED_VALUE"""),45705.0)</f>
        <v>45705</v>
      </c>
      <c r="B824" s="7" t="str">
        <f>IFERROR(__xludf.DUMMYFUNCTION("""COMPUTED_VALUE"""),"9648786f-5247-4c2d-85f7-4e68d15659fd")</f>
        <v>9648786f-5247-4c2d-85f7-4e68d15659fd</v>
      </c>
      <c r="C824" s="7">
        <f>IFERROR(__xludf.DUMMYFUNCTION("""COMPUTED_VALUE"""),0.0)</f>
        <v>0</v>
      </c>
      <c r="D824" s="6">
        <f>IFERROR(__xludf.DUMMYFUNCTION("""COMPUTED_VALUE"""),45705.0)</f>
        <v>45705</v>
      </c>
      <c r="E824" s="7" t="str">
        <f>IFERROR(__xludf.DUMMYFUNCTION("""COMPUTED_VALUE"""),"FRANQUIA_D&amp;G_SP")</f>
        <v>FRANQUIA_D&amp;G_SP</v>
      </c>
      <c r="F824" s="7" t="str">
        <f>IFERROR(__xludf.DUMMYFUNCTION("""COMPUTED_VALUE"""),"MOTORCYCLE")</f>
        <v>MOTORCYCLE</v>
      </c>
      <c r="G824" s="7" t="str">
        <f>IFERROR(__xludf.DUMMYFUNCTION("""COMPUTED_VALUE"""),"SAO PAULO")</f>
        <v>SAO PAULO</v>
      </c>
    </row>
    <row r="825">
      <c r="A825" s="6">
        <f>IFERROR(__xludf.DUMMYFUNCTION("""COMPUTED_VALUE"""),45705.0)</f>
        <v>45705</v>
      </c>
      <c r="B825" s="7" t="str">
        <f>IFERROR(__xludf.DUMMYFUNCTION("""COMPUTED_VALUE"""),"d95bf2f3-e226-4b9c-b2d5-b711faa0d79e")</f>
        <v>d95bf2f3-e226-4b9c-b2d5-b711faa0d79e</v>
      </c>
      <c r="C825" s="7">
        <f>IFERROR(__xludf.DUMMYFUNCTION("""COMPUTED_VALUE"""),276.0)</f>
        <v>276</v>
      </c>
      <c r="D825" s="6">
        <f>IFERROR(__xludf.DUMMYFUNCTION("""COMPUTED_VALUE"""),45429.0)</f>
        <v>45429</v>
      </c>
      <c r="E825" s="7" t="str">
        <f>IFERROR(__xludf.DUMMYFUNCTION("""COMPUTED_VALUE"""),"FRANQUIA_D&amp;G_SP")</f>
        <v>FRANQUIA_D&amp;G_SP</v>
      </c>
      <c r="F825" s="7" t="str">
        <f>IFERROR(__xludf.DUMMYFUNCTION("""COMPUTED_VALUE"""),"BICYCLE")</f>
        <v>BICYCLE</v>
      </c>
      <c r="G825" s="7" t="str">
        <f>IFERROR(__xludf.DUMMYFUNCTION("""COMPUTED_VALUE"""),"SAO PAULO")</f>
        <v>SAO PAULO</v>
      </c>
    </row>
    <row r="826">
      <c r="A826" s="6">
        <f>IFERROR(__xludf.DUMMYFUNCTION("""COMPUTED_VALUE"""),45705.0)</f>
        <v>45705</v>
      </c>
      <c r="B826" s="7" t="str">
        <f>IFERROR(__xludf.DUMMYFUNCTION("""COMPUTED_VALUE"""),"40ff485f-bae6-48eb-afe8-c5e6eaef9a43")</f>
        <v>40ff485f-bae6-48eb-afe8-c5e6eaef9a43</v>
      </c>
      <c r="C826" s="7">
        <f>IFERROR(__xludf.DUMMYFUNCTION("""COMPUTED_VALUE"""),52.0)</f>
        <v>52</v>
      </c>
      <c r="D826" s="6">
        <f>IFERROR(__xludf.DUMMYFUNCTION("""COMPUTED_VALUE"""),45653.0)</f>
        <v>45653</v>
      </c>
      <c r="E826" s="7" t="str">
        <f>IFERROR(__xludf.DUMMYFUNCTION("""COMPUTED_VALUE"""),"FRANQUIA_D&amp;G_SP")</f>
        <v>FRANQUIA_D&amp;G_SP</v>
      </c>
      <c r="F826" s="7" t="str">
        <f>IFERROR(__xludf.DUMMYFUNCTION("""COMPUTED_VALUE"""),"MOTORCYCLE")</f>
        <v>MOTORCYCLE</v>
      </c>
      <c r="G826" s="7" t="str">
        <f>IFERROR(__xludf.DUMMYFUNCTION("""COMPUTED_VALUE"""),"SAO PAULO")</f>
        <v>SAO PAULO</v>
      </c>
    </row>
    <row r="827">
      <c r="A827" s="6">
        <f>IFERROR(__xludf.DUMMYFUNCTION("""COMPUTED_VALUE"""),45705.0)</f>
        <v>45705</v>
      </c>
      <c r="B827" s="7" t="str">
        <f>IFERROR(__xludf.DUMMYFUNCTION("""COMPUTED_VALUE"""),"c1f4e966-cf03-4991-9bc0-909da612f417")</f>
        <v>c1f4e966-cf03-4991-9bc0-909da612f417</v>
      </c>
      <c r="C827" s="7">
        <f>IFERROR(__xludf.DUMMYFUNCTION("""COMPUTED_VALUE"""),523.0)</f>
        <v>523</v>
      </c>
      <c r="D827" s="6">
        <f>IFERROR(__xludf.DUMMYFUNCTION("""COMPUTED_VALUE"""),45182.0)</f>
        <v>45182</v>
      </c>
      <c r="E827" s="7" t="str">
        <f>IFERROR(__xludf.DUMMYFUNCTION("""COMPUTED_VALUE"""),"FRANQUIA_D&amp;G_SP")</f>
        <v>FRANQUIA_D&amp;G_SP</v>
      </c>
      <c r="F827" s="7" t="str">
        <f>IFERROR(__xludf.DUMMYFUNCTION("""COMPUTED_VALUE"""),"MOTORCYCLE")</f>
        <v>MOTORCYCLE</v>
      </c>
      <c r="G827" s="7" t="str">
        <f>IFERROR(__xludf.DUMMYFUNCTION("""COMPUTED_VALUE"""),"SAO PAULO")</f>
        <v>SAO PAULO</v>
      </c>
    </row>
    <row r="828">
      <c r="A828" s="6">
        <f>IFERROR(__xludf.DUMMYFUNCTION("""COMPUTED_VALUE"""),45705.0)</f>
        <v>45705</v>
      </c>
      <c r="B828" s="7" t="str">
        <f>IFERROR(__xludf.DUMMYFUNCTION("""COMPUTED_VALUE"""),"03166adf-59d1-4d33-88e0-afe8ac05ca12")</f>
        <v>03166adf-59d1-4d33-88e0-afe8ac05ca12</v>
      </c>
      <c r="C828" s="7">
        <f>IFERROR(__xludf.DUMMYFUNCTION("""COMPUTED_VALUE"""),0.0)</f>
        <v>0</v>
      </c>
      <c r="D828" s="6">
        <f>IFERROR(__xludf.DUMMYFUNCTION("""COMPUTED_VALUE"""),45705.0)</f>
        <v>45705</v>
      </c>
      <c r="E828" s="7" t="str">
        <f>IFERROR(__xludf.DUMMYFUNCTION("""COMPUTED_VALUE"""),"FRANQUIA_D&amp;G_SP")</f>
        <v>FRANQUIA_D&amp;G_SP</v>
      </c>
      <c r="F828" s="7" t="str">
        <f>IFERROR(__xludf.DUMMYFUNCTION("""COMPUTED_VALUE"""),"MOTORCYCLE")</f>
        <v>MOTORCYCLE</v>
      </c>
      <c r="G828" s="7" t="str">
        <f>IFERROR(__xludf.DUMMYFUNCTION("""COMPUTED_VALUE"""),"SAO PAULO")</f>
        <v>SAO PAULO</v>
      </c>
    </row>
    <row r="829">
      <c r="A829" s="6">
        <f>IFERROR(__xludf.DUMMYFUNCTION("""COMPUTED_VALUE"""),45705.0)</f>
        <v>45705</v>
      </c>
      <c r="B829" s="7" t="str">
        <f>IFERROR(__xludf.DUMMYFUNCTION("""COMPUTED_VALUE"""),"f4e64611-d4fb-4143-ac8e-3db5c1d1e880")</f>
        <v>f4e64611-d4fb-4143-ac8e-3db5c1d1e880</v>
      </c>
      <c r="C829" s="7">
        <f>IFERROR(__xludf.DUMMYFUNCTION("""COMPUTED_VALUE"""),1.0)</f>
        <v>1</v>
      </c>
      <c r="D829" s="6">
        <f>IFERROR(__xludf.DUMMYFUNCTION("""COMPUTED_VALUE"""),45704.0)</f>
        <v>45704</v>
      </c>
      <c r="E829" s="7" t="str">
        <f>IFERROR(__xludf.DUMMYFUNCTION("""COMPUTED_VALUE"""),"FRANQUIA_D&amp;G_SP")</f>
        <v>FRANQUIA_D&amp;G_SP</v>
      </c>
      <c r="F829" s="7" t="str">
        <f>IFERROR(__xludf.DUMMYFUNCTION("""COMPUTED_VALUE"""),"BICYCLE")</f>
        <v>BICYCLE</v>
      </c>
      <c r="G829" s="7" t="str">
        <f>IFERROR(__xludf.DUMMYFUNCTION("""COMPUTED_VALUE"""),"SAO PAULO")</f>
        <v>SAO PAULO</v>
      </c>
    </row>
    <row r="830">
      <c r="A830" s="6">
        <f>IFERROR(__xludf.DUMMYFUNCTION("""COMPUTED_VALUE"""),45705.0)</f>
        <v>45705</v>
      </c>
      <c r="B830" s="7" t="str">
        <f>IFERROR(__xludf.DUMMYFUNCTION("""COMPUTED_VALUE"""),"3c4a494d-acf1-45b8-8e6d-5baf2c9f55e2")</f>
        <v>3c4a494d-acf1-45b8-8e6d-5baf2c9f55e2</v>
      </c>
      <c r="C830" s="7">
        <f>IFERROR(__xludf.DUMMYFUNCTION("""COMPUTED_VALUE"""),0.0)</f>
        <v>0</v>
      </c>
      <c r="D830" s="6">
        <f>IFERROR(__xludf.DUMMYFUNCTION("""COMPUTED_VALUE"""),45705.0)</f>
        <v>45705</v>
      </c>
      <c r="E830" s="7" t="str">
        <f>IFERROR(__xludf.DUMMYFUNCTION("""COMPUTED_VALUE"""),"FRANQUIA_D&amp;G_SP")</f>
        <v>FRANQUIA_D&amp;G_SP</v>
      </c>
      <c r="F830" s="7" t="str">
        <f>IFERROR(__xludf.DUMMYFUNCTION("""COMPUTED_VALUE"""),"MOTORCYCLE")</f>
        <v>MOTORCYCLE</v>
      </c>
      <c r="G830" s="7" t="str">
        <f>IFERROR(__xludf.DUMMYFUNCTION("""COMPUTED_VALUE"""),"SAO PAULO")</f>
        <v>SAO PAULO</v>
      </c>
    </row>
    <row r="831">
      <c r="A831" s="6">
        <f>IFERROR(__xludf.DUMMYFUNCTION("""COMPUTED_VALUE"""),45705.0)</f>
        <v>45705</v>
      </c>
      <c r="B831" s="7" t="str">
        <f>IFERROR(__xludf.DUMMYFUNCTION("""COMPUTED_VALUE"""),"2af4f711-6d58-4195-a647-e33c30cc3c27")</f>
        <v>2af4f711-6d58-4195-a647-e33c30cc3c27</v>
      </c>
      <c r="C831" s="7">
        <f>IFERROR(__xludf.DUMMYFUNCTION("""COMPUTED_VALUE"""),182.0)</f>
        <v>182</v>
      </c>
      <c r="D831" s="6">
        <f>IFERROR(__xludf.DUMMYFUNCTION("""COMPUTED_VALUE"""),45523.0)</f>
        <v>45523</v>
      </c>
      <c r="E831" s="7" t="str">
        <f>IFERROR(__xludf.DUMMYFUNCTION("""COMPUTED_VALUE"""),"FRANQUIA_D&amp;G_SP")</f>
        <v>FRANQUIA_D&amp;G_SP</v>
      </c>
      <c r="F831" s="7" t="str">
        <f>IFERROR(__xludf.DUMMYFUNCTION("""COMPUTED_VALUE"""),"BICYCLE")</f>
        <v>BICYCLE</v>
      </c>
      <c r="G831" s="7" t="str">
        <f>IFERROR(__xludf.DUMMYFUNCTION("""COMPUTED_VALUE"""),"SAO PAULO")</f>
        <v>SAO PAULO</v>
      </c>
    </row>
    <row r="832">
      <c r="A832" s="6">
        <f>IFERROR(__xludf.DUMMYFUNCTION("""COMPUTED_VALUE"""),45705.0)</f>
        <v>45705</v>
      </c>
      <c r="B832" s="7" t="str">
        <f>IFERROR(__xludf.DUMMYFUNCTION("""COMPUTED_VALUE"""),"237cf928-2015-4ecd-b411-0ddfa874ec3b")</f>
        <v>237cf928-2015-4ecd-b411-0ddfa874ec3b</v>
      </c>
      <c r="C832" s="7">
        <f>IFERROR(__xludf.DUMMYFUNCTION("""COMPUTED_VALUE"""),0.0)</f>
        <v>0</v>
      </c>
      <c r="D832" s="6">
        <f>IFERROR(__xludf.DUMMYFUNCTION("""COMPUTED_VALUE"""),45705.0)</f>
        <v>45705</v>
      </c>
      <c r="E832" s="7" t="str">
        <f>IFERROR(__xludf.DUMMYFUNCTION("""COMPUTED_VALUE"""),"FRANQUIA_D&amp;G_SP")</f>
        <v>FRANQUIA_D&amp;G_SP</v>
      </c>
      <c r="F832" s="7" t="str">
        <f>IFERROR(__xludf.DUMMYFUNCTION("""COMPUTED_VALUE"""),"MOTORCYCLE")</f>
        <v>MOTORCYCLE</v>
      </c>
      <c r="G832" s="7" t="str">
        <f>IFERROR(__xludf.DUMMYFUNCTION("""COMPUTED_VALUE"""),"SAO PAULO")</f>
        <v>SAO PAULO</v>
      </c>
    </row>
    <row r="833">
      <c r="A833" s="6">
        <f>IFERROR(__xludf.DUMMYFUNCTION("""COMPUTED_VALUE"""),45705.0)</f>
        <v>45705</v>
      </c>
      <c r="B833" s="7" t="str">
        <f>IFERROR(__xludf.DUMMYFUNCTION("""COMPUTED_VALUE"""),"153a1d66-5ea5-4131-acce-ef4add7e651e")</f>
        <v>153a1d66-5ea5-4131-acce-ef4add7e651e</v>
      </c>
      <c r="C833" s="7">
        <f>IFERROR(__xludf.DUMMYFUNCTION("""COMPUTED_VALUE"""),24.0)</f>
        <v>24</v>
      </c>
      <c r="D833" s="6">
        <f>IFERROR(__xludf.DUMMYFUNCTION("""COMPUTED_VALUE"""),45681.0)</f>
        <v>45681</v>
      </c>
      <c r="E833" s="7" t="str">
        <f>IFERROR(__xludf.DUMMYFUNCTION("""COMPUTED_VALUE"""),"FRANQUIA_D&amp;G_SP")</f>
        <v>FRANQUIA_D&amp;G_SP</v>
      </c>
      <c r="F833" s="7" t="str">
        <f>IFERROR(__xludf.DUMMYFUNCTION("""COMPUTED_VALUE"""),"BICYCLE")</f>
        <v>BICYCLE</v>
      </c>
      <c r="G833" s="7" t="str">
        <f>IFERROR(__xludf.DUMMYFUNCTION("""COMPUTED_VALUE"""),"SAO PAULO")</f>
        <v>SAO PAULO</v>
      </c>
    </row>
    <row r="834">
      <c r="A834" s="6">
        <f>IFERROR(__xludf.DUMMYFUNCTION("""COMPUTED_VALUE"""),45705.0)</f>
        <v>45705</v>
      </c>
      <c r="B834" s="7" t="str">
        <f>IFERROR(__xludf.DUMMYFUNCTION("""COMPUTED_VALUE"""),"64e462c4-7dcb-4b19-a550-89044c0a99dd")</f>
        <v>64e462c4-7dcb-4b19-a550-89044c0a99dd</v>
      </c>
      <c r="C834" s="7">
        <f>IFERROR(__xludf.DUMMYFUNCTION("""COMPUTED_VALUE"""),47.0)</f>
        <v>47</v>
      </c>
      <c r="D834" s="6">
        <f>IFERROR(__xludf.DUMMYFUNCTION("""COMPUTED_VALUE"""),45658.0)</f>
        <v>45658</v>
      </c>
      <c r="E834" s="7" t="str">
        <f>IFERROR(__xludf.DUMMYFUNCTION("""COMPUTED_VALUE"""),"FRANQUIA_D&amp;G_SP")</f>
        <v>FRANQUIA_D&amp;G_SP</v>
      </c>
      <c r="F834" s="7" t="str">
        <f>IFERROR(__xludf.DUMMYFUNCTION("""COMPUTED_VALUE"""),"BICYCLE")</f>
        <v>BICYCLE</v>
      </c>
      <c r="G834" s="7" t="str">
        <f>IFERROR(__xludf.DUMMYFUNCTION("""COMPUTED_VALUE"""),"SAO PAULO")</f>
        <v>SAO PAULO</v>
      </c>
    </row>
    <row r="835">
      <c r="A835" s="6">
        <f>IFERROR(__xludf.DUMMYFUNCTION("""COMPUTED_VALUE"""),45705.0)</f>
        <v>45705</v>
      </c>
      <c r="B835" s="7" t="str">
        <f>IFERROR(__xludf.DUMMYFUNCTION("""COMPUTED_VALUE"""),"59ac6aa0-6393-437d-9ed7-4946a97b9056")</f>
        <v>59ac6aa0-6393-437d-9ed7-4946a97b9056</v>
      </c>
      <c r="C835" s="7">
        <f>IFERROR(__xludf.DUMMYFUNCTION("""COMPUTED_VALUE"""),1910.0)</f>
        <v>1910</v>
      </c>
      <c r="D835" s="6">
        <f>IFERROR(__xludf.DUMMYFUNCTION("""COMPUTED_VALUE"""),43795.0)</f>
        <v>43795</v>
      </c>
      <c r="E835" s="7" t="str">
        <f>IFERROR(__xludf.DUMMYFUNCTION("""COMPUTED_VALUE"""),"FRANQUIA_D&amp;G_SP")</f>
        <v>FRANQUIA_D&amp;G_SP</v>
      </c>
      <c r="F835" s="7" t="str">
        <f>IFERROR(__xludf.DUMMYFUNCTION("""COMPUTED_VALUE"""),"BICYCLE")</f>
        <v>BICYCLE</v>
      </c>
      <c r="G835" s="7" t="str">
        <f>IFERROR(__xludf.DUMMYFUNCTION("""COMPUTED_VALUE"""),"SAO PAULO")</f>
        <v>SAO PAULO</v>
      </c>
    </row>
    <row r="836">
      <c r="A836" s="6">
        <f>IFERROR(__xludf.DUMMYFUNCTION("""COMPUTED_VALUE"""),45705.0)</f>
        <v>45705</v>
      </c>
      <c r="B836" s="7" t="str">
        <f>IFERROR(__xludf.DUMMYFUNCTION("""COMPUTED_VALUE"""),"53d7b7a1-763e-4109-a8a3-b4d60ba57378")</f>
        <v>53d7b7a1-763e-4109-a8a3-b4d60ba57378</v>
      </c>
      <c r="C836" s="7">
        <f>IFERROR(__xludf.DUMMYFUNCTION("""COMPUTED_VALUE"""),1077.0)</f>
        <v>1077</v>
      </c>
      <c r="D836" s="6">
        <f>IFERROR(__xludf.DUMMYFUNCTION("""COMPUTED_VALUE"""),44628.0)</f>
        <v>44628</v>
      </c>
      <c r="E836" s="7" t="str">
        <f>IFERROR(__xludf.DUMMYFUNCTION("""COMPUTED_VALUE"""),"FRANQUIA_D&amp;G_SP")</f>
        <v>FRANQUIA_D&amp;G_SP</v>
      </c>
      <c r="F836" s="7" t="str">
        <f>IFERROR(__xludf.DUMMYFUNCTION("""COMPUTED_VALUE"""),"BICYCLE")</f>
        <v>BICYCLE</v>
      </c>
      <c r="G836" s="7" t="str">
        <f>IFERROR(__xludf.DUMMYFUNCTION("""COMPUTED_VALUE"""),"SAO PAULO")</f>
        <v>SAO PAULO</v>
      </c>
    </row>
    <row r="837">
      <c r="A837" s="6">
        <f>IFERROR(__xludf.DUMMYFUNCTION("""COMPUTED_VALUE"""),45705.0)</f>
        <v>45705</v>
      </c>
      <c r="B837" s="7" t="str">
        <f>IFERROR(__xludf.DUMMYFUNCTION("""COMPUTED_VALUE"""),"71312025-752d-4175-9dbd-c2f47b825e34")</f>
        <v>71312025-752d-4175-9dbd-c2f47b825e34</v>
      </c>
      <c r="C837" s="7">
        <f>IFERROR(__xludf.DUMMYFUNCTION("""COMPUTED_VALUE"""),0.0)</f>
        <v>0</v>
      </c>
      <c r="D837" s="6">
        <f>IFERROR(__xludf.DUMMYFUNCTION("""COMPUTED_VALUE"""),45705.0)</f>
        <v>45705</v>
      </c>
      <c r="E837" s="7" t="str">
        <f>IFERROR(__xludf.DUMMYFUNCTION("""COMPUTED_VALUE"""),"FRANQUIA_D&amp;G_SP")</f>
        <v>FRANQUIA_D&amp;G_SP</v>
      </c>
      <c r="F837" s="7" t="str">
        <f>IFERROR(__xludf.DUMMYFUNCTION("""COMPUTED_VALUE"""),"EMOTORCYCLE")</f>
        <v>EMOTORCYCLE</v>
      </c>
      <c r="G837" s="7" t="str">
        <f>IFERROR(__xludf.DUMMYFUNCTION("""COMPUTED_VALUE"""),"SAO PAULO")</f>
        <v>SAO PAULO</v>
      </c>
    </row>
    <row r="838">
      <c r="A838" s="6">
        <f>IFERROR(__xludf.DUMMYFUNCTION("""COMPUTED_VALUE"""),45705.0)</f>
        <v>45705</v>
      </c>
      <c r="B838" s="7" t="str">
        <f>IFERROR(__xludf.DUMMYFUNCTION("""COMPUTED_VALUE"""),"dffb8fcd-95c5-4063-9289-13fcfcce666e")</f>
        <v>dffb8fcd-95c5-4063-9289-13fcfcce666e</v>
      </c>
      <c r="C838" s="7">
        <f>IFERROR(__xludf.DUMMYFUNCTION("""COMPUTED_VALUE"""),81.0)</f>
        <v>81</v>
      </c>
      <c r="D838" s="6">
        <f>IFERROR(__xludf.DUMMYFUNCTION("""COMPUTED_VALUE"""),45624.0)</f>
        <v>45624</v>
      </c>
      <c r="E838" s="7" t="str">
        <f>IFERROR(__xludf.DUMMYFUNCTION("""COMPUTED_VALUE"""),"FRANQUIA_D&amp;G_SP")</f>
        <v>FRANQUIA_D&amp;G_SP</v>
      </c>
      <c r="F838" s="7" t="str">
        <f>IFERROR(__xludf.DUMMYFUNCTION("""COMPUTED_VALUE"""),"BICYCLE")</f>
        <v>BICYCLE</v>
      </c>
      <c r="G838" s="7" t="str">
        <f>IFERROR(__xludf.DUMMYFUNCTION("""COMPUTED_VALUE"""),"SAO PAULO")</f>
        <v>SAO PAULO</v>
      </c>
    </row>
    <row r="839">
      <c r="A839" s="6">
        <f>IFERROR(__xludf.DUMMYFUNCTION("""COMPUTED_VALUE"""),45705.0)</f>
        <v>45705</v>
      </c>
      <c r="B839" s="7" t="str">
        <f>IFERROR(__xludf.DUMMYFUNCTION("""COMPUTED_VALUE"""),"2c046925-2900-47af-812e-c3d63bb0fb82")</f>
        <v>2c046925-2900-47af-812e-c3d63bb0fb82</v>
      </c>
      <c r="C839" s="7">
        <f>IFERROR(__xludf.DUMMYFUNCTION("""COMPUTED_VALUE"""),0.0)</f>
        <v>0</v>
      </c>
      <c r="D839" s="6">
        <f>IFERROR(__xludf.DUMMYFUNCTION("""COMPUTED_VALUE"""),45705.0)</f>
        <v>45705</v>
      </c>
      <c r="E839" s="7" t="str">
        <f>IFERROR(__xludf.DUMMYFUNCTION("""COMPUTED_VALUE"""),"FRANQUIA_D&amp;G_SP")</f>
        <v>FRANQUIA_D&amp;G_SP</v>
      </c>
      <c r="F839" s="7" t="str">
        <f>IFERROR(__xludf.DUMMYFUNCTION("""COMPUTED_VALUE"""),"BICYCLE")</f>
        <v>BICYCLE</v>
      </c>
      <c r="G839" s="7" t="str">
        <f>IFERROR(__xludf.DUMMYFUNCTION("""COMPUTED_VALUE"""),"SAO PAULO")</f>
        <v>SAO PAULO</v>
      </c>
    </row>
    <row r="840">
      <c r="A840" s="6">
        <f>IFERROR(__xludf.DUMMYFUNCTION("""COMPUTED_VALUE"""),45705.0)</f>
        <v>45705</v>
      </c>
      <c r="B840" s="7" t="str">
        <f>IFERROR(__xludf.DUMMYFUNCTION("""COMPUTED_VALUE"""),"2481cfbe-53c0-4370-a6da-5812a444b868")</f>
        <v>2481cfbe-53c0-4370-a6da-5812a444b868</v>
      </c>
      <c r="C840" s="7">
        <f>IFERROR(__xludf.DUMMYFUNCTION("""COMPUTED_VALUE"""),85.0)</f>
        <v>85</v>
      </c>
      <c r="D840" s="6">
        <f>IFERROR(__xludf.DUMMYFUNCTION("""COMPUTED_VALUE"""),45620.0)</f>
        <v>45620</v>
      </c>
      <c r="E840" s="7" t="str">
        <f>IFERROR(__xludf.DUMMYFUNCTION("""COMPUTED_VALUE"""),"FRANQUIA_D&amp;G_SP")</f>
        <v>FRANQUIA_D&amp;G_SP</v>
      </c>
      <c r="F840" s="7" t="str">
        <f>IFERROR(__xludf.DUMMYFUNCTION("""COMPUTED_VALUE"""),"MOTORCYCLE")</f>
        <v>MOTORCYCLE</v>
      </c>
      <c r="G840" s="7" t="str">
        <f>IFERROR(__xludf.DUMMYFUNCTION("""COMPUTED_VALUE"""),"SAO PAULO")</f>
        <v>SAO PAULO</v>
      </c>
    </row>
    <row r="841">
      <c r="A841" s="6">
        <f>IFERROR(__xludf.DUMMYFUNCTION("""COMPUTED_VALUE"""),45705.0)</f>
        <v>45705</v>
      </c>
      <c r="B841" s="7" t="str">
        <f>IFERROR(__xludf.DUMMYFUNCTION("""COMPUTED_VALUE"""),"2a62f53c-46c7-4fa2-8eef-a29090f4fab2")</f>
        <v>2a62f53c-46c7-4fa2-8eef-a29090f4fab2</v>
      </c>
      <c r="C841" s="7">
        <f>IFERROR(__xludf.DUMMYFUNCTION("""COMPUTED_VALUE"""),1.0)</f>
        <v>1</v>
      </c>
      <c r="D841" s="6">
        <f>IFERROR(__xludf.DUMMYFUNCTION("""COMPUTED_VALUE"""),45704.0)</f>
        <v>45704</v>
      </c>
      <c r="E841" s="7" t="str">
        <f>IFERROR(__xludf.DUMMYFUNCTION("""COMPUTED_VALUE"""),"FRANQUIA_D&amp;G_SP")</f>
        <v>FRANQUIA_D&amp;G_SP</v>
      </c>
      <c r="F841" s="7" t="str">
        <f>IFERROR(__xludf.DUMMYFUNCTION("""COMPUTED_VALUE"""),"MOTORCYCLE")</f>
        <v>MOTORCYCLE</v>
      </c>
      <c r="G841" s="7" t="str">
        <f>IFERROR(__xludf.DUMMYFUNCTION("""COMPUTED_VALUE"""),"SAO PAULO")</f>
        <v>SAO PAULO</v>
      </c>
    </row>
    <row r="842">
      <c r="A842" s="6">
        <f>IFERROR(__xludf.DUMMYFUNCTION("""COMPUTED_VALUE"""),45705.0)</f>
        <v>45705</v>
      </c>
      <c r="B842" s="7" t="str">
        <f>IFERROR(__xludf.DUMMYFUNCTION("""COMPUTED_VALUE"""),"81763e1b-7c18-4b37-b9c7-c5d091d98186")</f>
        <v>81763e1b-7c18-4b37-b9c7-c5d091d98186</v>
      </c>
      <c r="C842" s="7">
        <f>IFERROR(__xludf.DUMMYFUNCTION("""COMPUTED_VALUE"""),328.0)</f>
        <v>328</v>
      </c>
      <c r="D842" s="6">
        <f>IFERROR(__xludf.DUMMYFUNCTION("""COMPUTED_VALUE"""),45377.0)</f>
        <v>45377</v>
      </c>
      <c r="E842" s="7" t="str">
        <f>IFERROR(__xludf.DUMMYFUNCTION("""COMPUTED_VALUE"""),"FRANQUIA_D&amp;G_SP")</f>
        <v>FRANQUIA_D&amp;G_SP</v>
      </c>
      <c r="F842" s="7" t="str">
        <f>IFERROR(__xludf.DUMMYFUNCTION("""COMPUTED_VALUE"""),"MOTORCYCLE")</f>
        <v>MOTORCYCLE</v>
      </c>
      <c r="G842" s="7" t="str">
        <f>IFERROR(__xludf.DUMMYFUNCTION("""COMPUTED_VALUE"""),"SAO PAULO")</f>
        <v>SAO PAULO</v>
      </c>
    </row>
    <row r="843">
      <c r="A843" s="6">
        <f>IFERROR(__xludf.DUMMYFUNCTION("""COMPUTED_VALUE"""),45705.0)</f>
        <v>45705</v>
      </c>
      <c r="B843" s="7" t="str">
        <f>IFERROR(__xludf.DUMMYFUNCTION("""COMPUTED_VALUE"""),"1c4ef5a8-c1c2-4e89-bb7e-0cd20063be48")</f>
        <v>1c4ef5a8-c1c2-4e89-bb7e-0cd20063be48</v>
      </c>
      <c r="C843" s="7">
        <f>IFERROR(__xludf.DUMMYFUNCTION("""COMPUTED_VALUE"""),43.0)</f>
        <v>43</v>
      </c>
      <c r="D843" s="6">
        <f>IFERROR(__xludf.DUMMYFUNCTION("""COMPUTED_VALUE"""),45662.0)</f>
        <v>45662</v>
      </c>
      <c r="E843" s="7" t="str">
        <f>IFERROR(__xludf.DUMMYFUNCTION("""COMPUTED_VALUE"""),"FRANQUIA_D&amp;G_SP")</f>
        <v>FRANQUIA_D&amp;G_SP</v>
      </c>
      <c r="F843" s="7" t="str">
        <f>IFERROR(__xludf.DUMMYFUNCTION("""COMPUTED_VALUE"""),"BICYCLE")</f>
        <v>BICYCLE</v>
      </c>
      <c r="G843" s="7" t="str">
        <f>IFERROR(__xludf.DUMMYFUNCTION("""COMPUTED_VALUE"""),"SAO PAULO")</f>
        <v>SAO PAULO</v>
      </c>
    </row>
    <row r="844">
      <c r="A844" s="6">
        <f>IFERROR(__xludf.DUMMYFUNCTION("""COMPUTED_VALUE"""),45705.0)</f>
        <v>45705</v>
      </c>
      <c r="B844" s="7" t="str">
        <f>IFERROR(__xludf.DUMMYFUNCTION("""COMPUTED_VALUE"""),"94d45b76-5809-4260-bca4-0d405cb2e58b")</f>
        <v>94d45b76-5809-4260-bca4-0d405cb2e58b</v>
      </c>
      <c r="C844" s="7">
        <f>IFERROR(__xludf.DUMMYFUNCTION("""COMPUTED_VALUE"""),0.0)</f>
        <v>0</v>
      </c>
      <c r="D844" s="6">
        <f>IFERROR(__xludf.DUMMYFUNCTION("""COMPUTED_VALUE"""),45705.0)</f>
        <v>45705</v>
      </c>
      <c r="E844" s="7" t="str">
        <f>IFERROR(__xludf.DUMMYFUNCTION("""COMPUTED_VALUE"""),"FRANQUIA_D&amp;G_SP")</f>
        <v>FRANQUIA_D&amp;G_SP</v>
      </c>
      <c r="F844" s="7" t="str">
        <f>IFERROR(__xludf.DUMMYFUNCTION("""COMPUTED_VALUE"""),"MOTORCYCLE")</f>
        <v>MOTORCYCLE</v>
      </c>
      <c r="G844" s="7" t="str">
        <f>IFERROR(__xludf.DUMMYFUNCTION("""COMPUTED_VALUE"""),"ABC")</f>
        <v>ABC</v>
      </c>
    </row>
    <row r="845">
      <c r="A845" s="6">
        <f>IFERROR(__xludf.DUMMYFUNCTION("""COMPUTED_VALUE"""),45705.0)</f>
        <v>45705</v>
      </c>
      <c r="B845" s="7" t="str">
        <f>IFERROR(__xludf.DUMMYFUNCTION("""COMPUTED_VALUE"""),"09270f69-8005-46c7-8765-e413431cb527")</f>
        <v>09270f69-8005-46c7-8765-e413431cb527</v>
      </c>
      <c r="C845" s="7">
        <f>IFERROR(__xludf.DUMMYFUNCTION("""COMPUTED_VALUE"""),1.0)</f>
        <v>1</v>
      </c>
      <c r="D845" s="6">
        <f>IFERROR(__xludf.DUMMYFUNCTION("""COMPUTED_VALUE"""),45704.0)</f>
        <v>45704</v>
      </c>
      <c r="E845" s="7" t="str">
        <f>IFERROR(__xludf.DUMMYFUNCTION("""COMPUTED_VALUE"""),"FRANQUIA_D&amp;G_SP")</f>
        <v>FRANQUIA_D&amp;G_SP</v>
      </c>
      <c r="F845" s="7" t="str">
        <f>IFERROR(__xludf.DUMMYFUNCTION("""COMPUTED_VALUE"""),"MOTORCYCLE")</f>
        <v>MOTORCYCLE</v>
      </c>
      <c r="G845" s="7" t="str">
        <f>IFERROR(__xludf.DUMMYFUNCTION("""COMPUTED_VALUE"""),"SAO PAULO")</f>
        <v>SAO PAULO</v>
      </c>
    </row>
    <row r="846">
      <c r="A846" s="6">
        <f>IFERROR(__xludf.DUMMYFUNCTION("""COMPUTED_VALUE"""),45705.0)</f>
        <v>45705</v>
      </c>
      <c r="B846" s="7" t="str">
        <f>IFERROR(__xludf.DUMMYFUNCTION("""COMPUTED_VALUE"""),"429a5779-7697-437f-8968-c0c97e6a8ed8")</f>
        <v>429a5779-7697-437f-8968-c0c97e6a8ed8</v>
      </c>
      <c r="C846" s="7">
        <f>IFERROR(__xludf.DUMMYFUNCTION("""COMPUTED_VALUE"""),627.0)</f>
        <v>627</v>
      </c>
      <c r="D846" s="6">
        <f>IFERROR(__xludf.DUMMYFUNCTION("""COMPUTED_VALUE"""),45078.0)</f>
        <v>45078</v>
      </c>
      <c r="E846" s="7" t="str">
        <f>IFERROR(__xludf.DUMMYFUNCTION("""COMPUTED_VALUE"""),"FRANQUIA_D&amp;G_SP")</f>
        <v>FRANQUIA_D&amp;G_SP</v>
      </c>
      <c r="F846" s="7" t="str">
        <f>IFERROR(__xludf.DUMMYFUNCTION("""COMPUTED_VALUE"""),"MOTORCYCLE")</f>
        <v>MOTORCYCLE</v>
      </c>
      <c r="G846" s="7" t="str">
        <f>IFERROR(__xludf.DUMMYFUNCTION("""COMPUTED_VALUE"""),"SAO PAULO")</f>
        <v>SAO PAULO</v>
      </c>
    </row>
    <row r="847">
      <c r="A847" s="6">
        <f>IFERROR(__xludf.DUMMYFUNCTION("""COMPUTED_VALUE"""),45705.0)</f>
        <v>45705</v>
      </c>
      <c r="B847" s="7" t="str">
        <f>IFERROR(__xludf.DUMMYFUNCTION("""COMPUTED_VALUE"""),"09014aa4-4677-45c1-a49f-f0ee1ba79f30")</f>
        <v>09014aa4-4677-45c1-a49f-f0ee1ba79f30</v>
      </c>
      <c r="C847" s="7">
        <f>IFERROR(__xludf.DUMMYFUNCTION("""COMPUTED_VALUE"""),58.0)</f>
        <v>58</v>
      </c>
      <c r="D847" s="6">
        <f>IFERROR(__xludf.DUMMYFUNCTION("""COMPUTED_VALUE"""),45647.0)</f>
        <v>45647</v>
      </c>
      <c r="E847" s="7" t="str">
        <f>IFERROR(__xludf.DUMMYFUNCTION("""COMPUTED_VALUE"""),"FRANQUIA_D&amp;G_SP")</f>
        <v>FRANQUIA_D&amp;G_SP</v>
      </c>
      <c r="F847" s="7" t="str">
        <f>IFERROR(__xludf.DUMMYFUNCTION("""COMPUTED_VALUE"""),"MOTORCYCLE")</f>
        <v>MOTORCYCLE</v>
      </c>
      <c r="G847" s="7" t="str">
        <f>IFERROR(__xludf.DUMMYFUNCTION("""COMPUTED_VALUE"""),"SAO PAULO")</f>
        <v>SAO PAULO</v>
      </c>
    </row>
    <row r="848">
      <c r="A848" s="6">
        <f>IFERROR(__xludf.DUMMYFUNCTION("""COMPUTED_VALUE"""),45705.0)</f>
        <v>45705</v>
      </c>
      <c r="B848" s="7" t="str">
        <f>IFERROR(__xludf.DUMMYFUNCTION("""COMPUTED_VALUE"""),"d75a6b55-c5cf-4e55-8f31-15a466ec7ee4")</f>
        <v>d75a6b55-c5cf-4e55-8f31-15a466ec7ee4</v>
      </c>
      <c r="C848" s="7">
        <f>IFERROR(__xludf.DUMMYFUNCTION("""COMPUTED_VALUE"""),208.0)</f>
        <v>208</v>
      </c>
      <c r="D848" s="6">
        <f>IFERROR(__xludf.DUMMYFUNCTION("""COMPUTED_VALUE"""),45497.0)</f>
        <v>45497</v>
      </c>
      <c r="E848" s="7" t="str">
        <f>IFERROR(__xludf.DUMMYFUNCTION("""COMPUTED_VALUE"""),"FRANQUIA_D&amp;G_SP")</f>
        <v>FRANQUIA_D&amp;G_SP</v>
      </c>
      <c r="F848" s="7" t="str">
        <f>IFERROR(__xludf.DUMMYFUNCTION("""COMPUTED_VALUE"""),"MOTORCYCLE")</f>
        <v>MOTORCYCLE</v>
      </c>
      <c r="G848" s="7" t="str">
        <f>IFERROR(__xludf.DUMMYFUNCTION("""COMPUTED_VALUE"""),"SAO PAULO")</f>
        <v>SAO PAULO</v>
      </c>
    </row>
    <row r="849">
      <c r="A849" s="6">
        <f>IFERROR(__xludf.DUMMYFUNCTION("""COMPUTED_VALUE"""),45705.0)</f>
        <v>45705</v>
      </c>
      <c r="B849" s="7" t="str">
        <f>IFERROR(__xludf.DUMMYFUNCTION("""COMPUTED_VALUE"""),"0c8cec24-2967-4e7f-8cd1-6c3d10b27db9")</f>
        <v>0c8cec24-2967-4e7f-8cd1-6c3d10b27db9</v>
      </c>
      <c r="C849" s="7">
        <f>IFERROR(__xludf.DUMMYFUNCTION("""COMPUTED_VALUE"""),7.0)</f>
        <v>7</v>
      </c>
      <c r="D849" s="6">
        <f>IFERROR(__xludf.DUMMYFUNCTION("""COMPUTED_VALUE"""),45698.0)</f>
        <v>45698</v>
      </c>
      <c r="E849" s="7" t="str">
        <f>IFERROR(__xludf.DUMMYFUNCTION("""COMPUTED_VALUE"""),"FRANQUIA_D&amp;G_SP")</f>
        <v>FRANQUIA_D&amp;G_SP</v>
      </c>
      <c r="F849" s="7" t="str">
        <f>IFERROR(__xludf.DUMMYFUNCTION("""COMPUTED_VALUE"""),"MOTORCYCLE")</f>
        <v>MOTORCYCLE</v>
      </c>
      <c r="G849" s="7" t="str">
        <f>IFERROR(__xludf.DUMMYFUNCTION("""COMPUTED_VALUE"""),"SAO PAULO")</f>
        <v>SAO PAULO</v>
      </c>
    </row>
    <row r="850">
      <c r="A850" s="6">
        <f>IFERROR(__xludf.DUMMYFUNCTION("""COMPUTED_VALUE"""),45705.0)</f>
        <v>45705</v>
      </c>
      <c r="B850" s="7" t="str">
        <f>IFERROR(__xludf.DUMMYFUNCTION("""COMPUTED_VALUE"""),"24ffa093-9ac4-4194-8220-398811802fe9")</f>
        <v>24ffa093-9ac4-4194-8220-398811802fe9</v>
      </c>
      <c r="C850" s="7">
        <f>IFERROR(__xludf.DUMMYFUNCTION("""COMPUTED_VALUE"""),1.0)</f>
        <v>1</v>
      </c>
      <c r="D850" s="6">
        <f>IFERROR(__xludf.DUMMYFUNCTION("""COMPUTED_VALUE"""),45704.0)</f>
        <v>45704</v>
      </c>
      <c r="E850" s="7" t="str">
        <f>IFERROR(__xludf.DUMMYFUNCTION("""COMPUTED_VALUE"""),"FRANQUIA_D&amp;G_SP")</f>
        <v>FRANQUIA_D&amp;G_SP</v>
      </c>
      <c r="F850" s="7" t="str">
        <f>IFERROR(__xludf.DUMMYFUNCTION("""COMPUTED_VALUE"""),"MOTORCYCLE")</f>
        <v>MOTORCYCLE</v>
      </c>
      <c r="G850" s="7" t="str">
        <f>IFERROR(__xludf.DUMMYFUNCTION("""COMPUTED_VALUE"""),"SAO PAULO")</f>
        <v>SAO PAULO</v>
      </c>
    </row>
    <row r="851">
      <c r="A851" s="6">
        <f>IFERROR(__xludf.DUMMYFUNCTION("""COMPUTED_VALUE"""),45705.0)</f>
        <v>45705</v>
      </c>
      <c r="B851" s="7" t="str">
        <f>IFERROR(__xludf.DUMMYFUNCTION("""COMPUTED_VALUE"""),"e45ab7fb-c938-4342-88c3-69391864c179")</f>
        <v>e45ab7fb-c938-4342-88c3-69391864c179</v>
      </c>
      <c r="C851" s="7">
        <f>IFERROR(__xludf.DUMMYFUNCTION("""COMPUTED_VALUE"""),0.0)</f>
        <v>0</v>
      </c>
      <c r="D851" s="6">
        <f>IFERROR(__xludf.DUMMYFUNCTION("""COMPUTED_VALUE"""),45705.0)</f>
        <v>45705</v>
      </c>
      <c r="E851" s="7" t="str">
        <f>IFERROR(__xludf.DUMMYFUNCTION("""COMPUTED_VALUE"""),"FRANQUIA_D&amp;G_SP")</f>
        <v>FRANQUIA_D&amp;G_SP</v>
      </c>
      <c r="F851" s="7" t="str">
        <f>IFERROR(__xludf.DUMMYFUNCTION("""COMPUTED_VALUE"""),"BICYCLE")</f>
        <v>BICYCLE</v>
      </c>
      <c r="G851" s="7" t="str">
        <f>IFERROR(__xludf.DUMMYFUNCTION("""COMPUTED_VALUE"""),"SAO PAULO")</f>
        <v>SAO PAULO</v>
      </c>
    </row>
    <row r="852">
      <c r="A852" s="6">
        <f>IFERROR(__xludf.DUMMYFUNCTION("""COMPUTED_VALUE"""),45705.0)</f>
        <v>45705</v>
      </c>
      <c r="B852" s="7" t="str">
        <f>IFERROR(__xludf.DUMMYFUNCTION("""COMPUTED_VALUE"""),"9e28b39e-c479-43b2-8400-8b70d9c4627e")</f>
        <v>9e28b39e-c479-43b2-8400-8b70d9c4627e</v>
      </c>
      <c r="C852" s="7">
        <f>IFERROR(__xludf.DUMMYFUNCTION("""COMPUTED_VALUE"""),253.0)</f>
        <v>253</v>
      </c>
      <c r="D852" s="6">
        <f>IFERROR(__xludf.DUMMYFUNCTION("""COMPUTED_VALUE"""),45452.0)</f>
        <v>45452</v>
      </c>
      <c r="E852" s="7" t="str">
        <f>IFERROR(__xludf.DUMMYFUNCTION("""COMPUTED_VALUE"""),"FRANQUIA_D&amp;G_SP")</f>
        <v>FRANQUIA_D&amp;G_SP</v>
      </c>
      <c r="F852" s="7" t="str">
        <f>IFERROR(__xludf.DUMMYFUNCTION("""COMPUTED_VALUE"""),"BICYCLE")</f>
        <v>BICYCLE</v>
      </c>
      <c r="G852" s="7" t="str">
        <f>IFERROR(__xludf.DUMMYFUNCTION("""COMPUTED_VALUE"""),"SAO PAULO")</f>
        <v>SAO PAULO</v>
      </c>
    </row>
    <row r="853">
      <c r="A853" s="6">
        <f>IFERROR(__xludf.DUMMYFUNCTION("""COMPUTED_VALUE"""),45705.0)</f>
        <v>45705</v>
      </c>
      <c r="B853" s="7" t="str">
        <f>IFERROR(__xludf.DUMMYFUNCTION("""COMPUTED_VALUE"""),"c9ef0314-2ff3-4469-acb3-1864c258fcd5")</f>
        <v>c9ef0314-2ff3-4469-acb3-1864c258fcd5</v>
      </c>
      <c r="C853" s="7">
        <f>IFERROR(__xludf.DUMMYFUNCTION("""COMPUTED_VALUE"""),0.0)</f>
        <v>0</v>
      </c>
      <c r="D853" s="6">
        <f>IFERROR(__xludf.DUMMYFUNCTION("""COMPUTED_VALUE"""),45705.0)</f>
        <v>45705</v>
      </c>
      <c r="E853" s="7" t="str">
        <f>IFERROR(__xludf.DUMMYFUNCTION("""COMPUTED_VALUE"""),"FRANQUIA_D&amp;G_SP")</f>
        <v>FRANQUIA_D&amp;G_SP</v>
      </c>
      <c r="F853" s="7" t="str">
        <f>IFERROR(__xludf.DUMMYFUNCTION("""COMPUTED_VALUE"""),"BICYCLE")</f>
        <v>BICYCLE</v>
      </c>
      <c r="G853" s="7" t="str">
        <f>IFERROR(__xludf.DUMMYFUNCTION("""COMPUTED_VALUE"""),"SAO PAULO")</f>
        <v>SAO PAULO</v>
      </c>
    </row>
    <row r="854">
      <c r="A854" s="6">
        <f>IFERROR(__xludf.DUMMYFUNCTION("""COMPUTED_VALUE"""),45705.0)</f>
        <v>45705</v>
      </c>
      <c r="B854" s="7" t="str">
        <f>IFERROR(__xludf.DUMMYFUNCTION("""COMPUTED_VALUE"""),"4f0a8776-caed-4970-b575-9e8f693c7581")</f>
        <v>4f0a8776-caed-4970-b575-9e8f693c7581</v>
      </c>
      <c r="C854" s="7">
        <f>IFERROR(__xludf.DUMMYFUNCTION("""COMPUTED_VALUE"""),2.0)</f>
        <v>2</v>
      </c>
      <c r="D854" s="6">
        <f>IFERROR(__xludf.DUMMYFUNCTION("""COMPUTED_VALUE"""),45703.0)</f>
        <v>45703</v>
      </c>
      <c r="E854" s="7" t="str">
        <f>IFERROR(__xludf.DUMMYFUNCTION("""COMPUTED_VALUE"""),"FRANQUIA_D&amp;G_SP")</f>
        <v>FRANQUIA_D&amp;G_SP</v>
      </c>
      <c r="F854" s="7" t="str">
        <f>IFERROR(__xludf.DUMMYFUNCTION("""COMPUTED_VALUE"""),"MOTORCYCLE")</f>
        <v>MOTORCYCLE</v>
      </c>
      <c r="G854" s="7" t="str">
        <f>IFERROR(__xludf.DUMMYFUNCTION("""COMPUTED_VALUE"""),"SAO PAULO")</f>
        <v>SAO PAULO</v>
      </c>
    </row>
    <row r="855">
      <c r="A855" s="6">
        <f>IFERROR(__xludf.DUMMYFUNCTION("""COMPUTED_VALUE"""),45705.0)</f>
        <v>45705</v>
      </c>
      <c r="B855" s="7" t="str">
        <f>IFERROR(__xludf.DUMMYFUNCTION("""COMPUTED_VALUE"""),"70c83dd6-0a4f-4920-81e3-e4c0ac10fe53")</f>
        <v>70c83dd6-0a4f-4920-81e3-e4c0ac10fe53</v>
      </c>
      <c r="C855" s="7">
        <f>IFERROR(__xludf.DUMMYFUNCTION("""COMPUTED_VALUE"""),5.0)</f>
        <v>5</v>
      </c>
      <c r="D855" s="6">
        <f>IFERROR(__xludf.DUMMYFUNCTION("""COMPUTED_VALUE"""),45700.0)</f>
        <v>45700</v>
      </c>
      <c r="E855" s="7" t="str">
        <f>IFERROR(__xludf.DUMMYFUNCTION("""COMPUTED_VALUE"""),"FRANQUIA_D&amp;G_SP")</f>
        <v>FRANQUIA_D&amp;G_SP</v>
      </c>
      <c r="F855" s="7" t="str">
        <f>IFERROR(__xludf.DUMMYFUNCTION("""COMPUTED_VALUE"""),"MOTORCYCLE")</f>
        <v>MOTORCYCLE</v>
      </c>
      <c r="G855" s="7" t="str">
        <f>IFERROR(__xludf.DUMMYFUNCTION("""COMPUTED_VALUE"""),"SAO PAULO")</f>
        <v>SAO PAULO</v>
      </c>
    </row>
    <row r="856">
      <c r="A856" s="6">
        <f>IFERROR(__xludf.DUMMYFUNCTION("""COMPUTED_VALUE"""),45705.0)</f>
        <v>45705</v>
      </c>
      <c r="B856" s="7" t="str">
        <f>IFERROR(__xludf.DUMMYFUNCTION("""COMPUTED_VALUE"""),"2b29de66-ebbf-449e-a20a-2a0226b142e4")</f>
        <v>2b29de66-ebbf-449e-a20a-2a0226b142e4</v>
      </c>
      <c r="C856" s="7">
        <f>IFERROR(__xludf.DUMMYFUNCTION("""COMPUTED_VALUE"""),556.0)</f>
        <v>556</v>
      </c>
      <c r="D856" s="6">
        <f>IFERROR(__xludf.DUMMYFUNCTION("""COMPUTED_VALUE"""),45149.0)</f>
        <v>45149</v>
      </c>
      <c r="E856" s="7" t="str">
        <f>IFERROR(__xludf.DUMMYFUNCTION("""COMPUTED_VALUE"""),"FRANQUIA_D&amp;G_SP")</f>
        <v>FRANQUIA_D&amp;G_SP</v>
      </c>
      <c r="F856" s="7" t="str">
        <f>IFERROR(__xludf.DUMMYFUNCTION("""COMPUTED_VALUE"""),"BICYCLE")</f>
        <v>BICYCLE</v>
      </c>
      <c r="G856" s="7" t="str">
        <f>IFERROR(__xludf.DUMMYFUNCTION("""COMPUTED_VALUE"""),"SAO PAULO")</f>
        <v>SAO PAULO</v>
      </c>
    </row>
    <row r="857">
      <c r="A857" s="6">
        <f>IFERROR(__xludf.DUMMYFUNCTION("""COMPUTED_VALUE"""),45705.0)</f>
        <v>45705</v>
      </c>
      <c r="B857" s="7" t="str">
        <f>IFERROR(__xludf.DUMMYFUNCTION("""COMPUTED_VALUE"""),"1a0a33e6-3d7a-4358-ad77-44b8454af29e")</f>
        <v>1a0a33e6-3d7a-4358-ad77-44b8454af29e</v>
      </c>
      <c r="C857" s="7">
        <f>IFERROR(__xludf.DUMMYFUNCTION("""COMPUTED_VALUE"""),2.0)</f>
        <v>2</v>
      </c>
      <c r="D857" s="6">
        <f>IFERROR(__xludf.DUMMYFUNCTION("""COMPUTED_VALUE"""),45703.0)</f>
        <v>45703</v>
      </c>
      <c r="E857" s="7" t="str">
        <f>IFERROR(__xludf.DUMMYFUNCTION("""COMPUTED_VALUE"""),"FRANQUIA_D&amp;G_SP")</f>
        <v>FRANQUIA_D&amp;G_SP</v>
      </c>
      <c r="F857" s="7" t="str">
        <f>IFERROR(__xludf.DUMMYFUNCTION("""COMPUTED_VALUE"""),"MOTORCYCLE")</f>
        <v>MOTORCYCLE</v>
      </c>
      <c r="G857" s="7" t="str">
        <f>IFERROR(__xludf.DUMMYFUNCTION("""COMPUTED_VALUE"""),"SAO PAULO")</f>
        <v>SAO PAULO</v>
      </c>
    </row>
    <row r="858">
      <c r="A858" s="6">
        <f>IFERROR(__xludf.DUMMYFUNCTION("""COMPUTED_VALUE"""),45705.0)</f>
        <v>45705</v>
      </c>
      <c r="B858" s="7" t="str">
        <f>IFERROR(__xludf.DUMMYFUNCTION("""COMPUTED_VALUE"""),"c9fffd43-0ea8-4fab-b474-fc81cd087877")</f>
        <v>c9fffd43-0ea8-4fab-b474-fc81cd087877</v>
      </c>
      <c r="C858" s="7">
        <f>IFERROR(__xludf.DUMMYFUNCTION("""COMPUTED_VALUE"""),0.0)</f>
        <v>0</v>
      </c>
      <c r="D858" s="6">
        <f>IFERROR(__xludf.DUMMYFUNCTION("""COMPUTED_VALUE"""),45705.0)</f>
        <v>45705</v>
      </c>
      <c r="E858" s="7" t="str">
        <f>IFERROR(__xludf.DUMMYFUNCTION("""COMPUTED_VALUE"""),"FRANQUIA_D&amp;G_SP")</f>
        <v>FRANQUIA_D&amp;G_SP</v>
      </c>
      <c r="F858" s="7" t="str">
        <f>IFERROR(__xludf.DUMMYFUNCTION("""COMPUTED_VALUE"""),"MOTORCYCLE")</f>
        <v>MOTORCYCLE</v>
      </c>
      <c r="G858" s="7" t="str">
        <f>IFERROR(__xludf.DUMMYFUNCTION("""COMPUTED_VALUE"""),"SAO PAULO")</f>
        <v>SAO PAULO</v>
      </c>
    </row>
    <row r="859">
      <c r="A859" s="6">
        <f>IFERROR(__xludf.DUMMYFUNCTION("""COMPUTED_VALUE"""),45705.0)</f>
        <v>45705</v>
      </c>
      <c r="B859" s="7" t="str">
        <f>IFERROR(__xludf.DUMMYFUNCTION("""COMPUTED_VALUE"""),"5bc0922a-56a5-49db-a10a-b4b058b3924b")</f>
        <v>5bc0922a-56a5-49db-a10a-b4b058b3924b</v>
      </c>
      <c r="C859" s="7">
        <f>IFERROR(__xludf.DUMMYFUNCTION("""COMPUTED_VALUE"""),66.0)</f>
        <v>66</v>
      </c>
      <c r="D859" s="6">
        <f>IFERROR(__xludf.DUMMYFUNCTION("""COMPUTED_VALUE"""),45639.0)</f>
        <v>45639</v>
      </c>
      <c r="E859" s="7" t="str">
        <f>IFERROR(__xludf.DUMMYFUNCTION("""COMPUTED_VALUE"""),"FRANQUIA_D&amp;G_SP")</f>
        <v>FRANQUIA_D&amp;G_SP</v>
      </c>
      <c r="F859" s="7" t="str">
        <f>IFERROR(__xludf.DUMMYFUNCTION("""COMPUTED_VALUE"""),"MOTORCYCLE")</f>
        <v>MOTORCYCLE</v>
      </c>
      <c r="G859" s="7" t="str">
        <f>IFERROR(__xludf.DUMMYFUNCTION("""COMPUTED_VALUE"""),"SAO PAULO")</f>
        <v>SAO PAULO</v>
      </c>
    </row>
    <row r="860">
      <c r="A860" s="6">
        <f>IFERROR(__xludf.DUMMYFUNCTION("""COMPUTED_VALUE"""),45705.0)</f>
        <v>45705</v>
      </c>
      <c r="B860" s="7" t="str">
        <f>IFERROR(__xludf.DUMMYFUNCTION("""COMPUTED_VALUE"""),"22498aac-ad77-489c-b7b4-f1590ece909c")</f>
        <v>22498aac-ad77-489c-b7b4-f1590ece909c</v>
      </c>
      <c r="C860" s="7">
        <f>IFERROR(__xludf.DUMMYFUNCTION("""COMPUTED_VALUE"""),51.0)</f>
        <v>51</v>
      </c>
      <c r="D860" s="6">
        <f>IFERROR(__xludf.DUMMYFUNCTION("""COMPUTED_VALUE"""),45654.0)</f>
        <v>45654</v>
      </c>
      <c r="E860" s="7" t="str">
        <f>IFERROR(__xludf.DUMMYFUNCTION("""COMPUTED_VALUE"""),"FRANQUIA_D&amp;G_SP")</f>
        <v>FRANQUIA_D&amp;G_SP</v>
      </c>
      <c r="F860" s="7" t="str">
        <f>IFERROR(__xludf.DUMMYFUNCTION("""COMPUTED_VALUE"""),"MOTORCYCLE")</f>
        <v>MOTORCYCLE</v>
      </c>
      <c r="G860" s="7" t="str">
        <f>IFERROR(__xludf.DUMMYFUNCTION("""COMPUTED_VALUE"""),"SAO PAULO")</f>
        <v>SAO PAULO</v>
      </c>
    </row>
    <row r="861">
      <c r="A861" s="6">
        <f>IFERROR(__xludf.DUMMYFUNCTION("""COMPUTED_VALUE"""),45705.0)</f>
        <v>45705</v>
      </c>
      <c r="B861" s="7" t="str">
        <f>IFERROR(__xludf.DUMMYFUNCTION("""COMPUTED_VALUE"""),"1e16ff4c-3478-412b-be56-f6f02fe618c5")</f>
        <v>1e16ff4c-3478-412b-be56-f6f02fe618c5</v>
      </c>
      <c r="C861" s="7">
        <f>IFERROR(__xludf.DUMMYFUNCTION("""COMPUTED_VALUE"""),0.0)</f>
        <v>0</v>
      </c>
      <c r="D861" s="6">
        <f>IFERROR(__xludf.DUMMYFUNCTION("""COMPUTED_VALUE"""),45705.0)</f>
        <v>45705</v>
      </c>
      <c r="E861" s="7" t="str">
        <f>IFERROR(__xludf.DUMMYFUNCTION("""COMPUTED_VALUE"""),"FRANQUIA_D&amp;G_SP")</f>
        <v>FRANQUIA_D&amp;G_SP</v>
      </c>
      <c r="F861" s="7" t="str">
        <f>IFERROR(__xludf.DUMMYFUNCTION("""COMPUTED_VALUE"""),"MOTORCYCLE")</f>
        <v>MOTORCYCLE</v>
      </c>
      <c r="G861" s="7" t="str">
        <f>IFERROR(__xludf.DUMMYFUNCTION("""COMPUTED_VALUE"""),"SAO PAULO")</f>
        <v>SAO PAULO</v>
      </c>
    </row>
    <row r="862">
      <c r="A862" s="6">
        <f>IFERROR(__xludf.DUMMYFUNCTION("""COMPUTED_VALUE"""),45705.0)</f>
        <v>45705</v>
      </c>
      <c r="B862" s="7" t="str">
        <f>IFERROR(__xludf.DUMMYFUNCTION("""COMPUTED_VALUE"""),"83872fa4-5a8b-4db4-8904-f94752f109dc")</f>
        <v>83872fa4-5a8b-4db4-8904-f94752f109dc</v>
      </c>
      <c r="C862" s="7">
        <f>IFERROR(__xludf.DUMMYFUNCTION("""COMPUTED_VALUE"""),0.0)</f>
        <v>0</v>
      </c>
      <c r="D862" s="6">
        <f>IFERROR(__xludf.DUMMYFUNCTION("""COMPUTED_VALUE"""),45705.0)</f>
        <v>45705</v>
      </c>
      <c r="E862" s="7" t="str">
        <f>IFERROR(__xludf.DUMMYFUNCTION("""COMPUTED_VALUE"""),"FRANQUIA_D&amp;G_SP")</f>
        <v>FRANQUIA_D&amp;G_SP</v>
      </c>
      <c r="F862" s="7" t="str">
        <f>IFERROR(__xludf.DUMMYFUNCTION("""COMPUTED_VALUE"""),"MOTORCYCLE")</f>
        <v>MOTORCYCLE</v>
      </c>
      <c r="G862" s="7" t="str">
        <f>IFERROR(__xludf.DUMMYFUNCTION("""COMPUTED_VALUE"""),"SAO PAULO")</f>
        <v>SAO PAULO</v>
      </c>
    </row>
    <row r="863">
      <c r="A863" s="6">
        <f>IFERROR(__xludf.DUMMYFUNCTION("""COMPUTED_VALUE"""),45705.0)</f>
        <v>45705</v>
      </c>
      <c r="B863" s="7" t="str">
        <f>IFERROR(__xludf.DUMMYFUNCTION("""COMPUTED_VALUE"""),"908c308c-213f-4a78-bda3-1c548f2323e7")</f>
        <v>908c308c-213f-4a78-bda3-1c548f2323e7</v>
      </c>
      <c r="C863" s="7">
        <f>IFERROR(__xludf.DUMMYFUNCTION("""COMPUTED_VALUE"""),75.0)</f>
        <v>75</v>
      </c>
      <c r="D863" s="6">
        <f>IFERROR(__xludf.DUMMYFUNCTION("""COMPUTED_VALUE"""),45630.0)</f>
        <v>45630</v>
      </c>
      <c r="E863" s="7" t="str">
        <f>IFERROR(__xludf.DUMMYFUNCTION("""COMPUTED_VALUE"""),"FRANQUIA_D&amp;G_SP")</f>
        <v>FRANQUIA_D&amp;G_SP</v>
      </c>
      <c r="F863" s="7" t="str">
        <f>IFERROR(__xludf.DUMMYFUNCTION("""COMPUTED_VALUE"""),"BICYCLE")</f>
        <v>BICYCLE</v>
      </c>
      <c r="G863" s="7" t="str">
        <f>IFERROR(__xludf.DUMMYFUNCTION("""COMPUTED_VALUE"""),"SAO PAULO")</f>
        <v>SAO PAULO</v>
      </c>
    </row>
    <row r="864">
      <c r="A864" s="6">
        <f>IFERROR(__xludf.DUMMYFUNCTION("""COMPUTED_VALUE"""),45705.0)</f>
        <v>45705</v>
      </c>
      <c r="B864" s="7" t="str">
        <f>IFERROR(__xludf.DUMMYFUNCTION("""COMPUTED_VALUE"""),"1af28051-835d-4d65-87d6-1acee8215cd2")</f>
        <v>1af28051-835d-4d65-87d6-1acee8215cd2</v>
      </c>
      <c r="C864" s="7">
        <f>IFERROR(__xludf.DUMMYFUNCTION("""COMPUTED_VALUE"""),467.0)</f>
        <v>467</v>
      </c>
      <c r="D864" s="6">
        <f>IFERROR(__xludf.DUMMYFUNCTION("""COMPUTED_VALUE"""),45238.0)</f>
        <v>45238</v>
      </c>
      <c r="E864" s="7" t="str">
        <f>IFERROR(__xludf.DUMMYFUNCTION("""COMPUTED_VALUE"""),"FRANQUIA_D&amp;G_SP")</f>
        <v>FRANQUIA_D&amp;G_SP</v>
      </c>
      <c r="F864" s="7" t="str">
        <f>IFERROR(__xludf.DUMMYFUNCTION("""COMPUTED_VALUE"""),"BICYCLE")</f>
        <v>BICYCLE</v>
      </c>
      <c r="G864" s="7" t="str">
        <f>IFERROR(__xludf.DUMMYFUNCTION("""COMPUTED_VALUE"""),"SAO PAULO")</f>
        <v>SAO PAULO</v>
      </c>
    </row>
    <row r="865">
      <c r="A865" s="6">
        <f>IFERROR(__xludf.DUMMYFUNCTION("""COMPUTED_VALUE"""),45705.0)</f>
        <v>45705</v>
      </c>
      <c r="B865" s="7" t="str">
        <f>IFERROR(__xludf.DUMMYFUNCTION("""COMPUTED_VALUE"""),"193d5de9-e6d9-4b78-acd0-0342a2e92e2d")</f>
        <v>193d5de9-e6d9-4b78-acd0-0342a2e92e2d</v>
      </c>
      <c r="C865" s="7">
        <f>IFERROR(__xludf.DUMMYFUNCTION("""COMPUTED_VALUE"""),0.0)</f>
        <v>0</v>
      </c>
      <c r="D865" s="6">
        <f>IFERROR(__xludf.DUMMYFUNCTION("""COMPUTED_VALUE"""),45705.0)</f>
        <v>45705</v>
      </c>
      <c r="E865" s="7" t="str">
        <f>IFERROR(__xludf.DUMMYFUNCTION("""COMPUTED_VALUE"""),"FRANQUIA_D&amp;G_SP")</f>
        <v>FRANQUIA_D&amp;G_SP</v>
      </c>
      <c r="F865" s="7" t="str">
        <f>IFERROR(__xludf.DUMMYFUNCTION("""COMPUTED_VALUE"""),"MOTORCYCLE")</f>
        <v>MOTORCYCLE</v>
      </c>
      <c r="G865" s="7" t="str">
        <f>IFERROR(__xludf.DUMMYFUNCTION("""COMPUTED_VALUE"""),"SAO PAULO")</f>
        <v>SAO PAULO</v>
      </c>
    </row>
    <row r="866">
      <c r="A866" s="6">
        <f>IFERROR(__xludf.DUMMYFUNCTION("""COMPUTED_VALUE"""),45705.0)</f>
        <v>45705</v>
      </c>
      <c r="B866" s="7" t="str">
        <f>IFERROR(__xludf.DUMMYFUNCTION("""COMPUTED_VALUE"""),"f0c7ce7d-8112-414a-9477-a3981f6c4c59")</f>
        <v>f0c7ce7d-8112-414a-9477-a3981f6c4c59</v>
      </c>
      <c r="C866" s="7">
        <f>IFERROR(__xludf.DUMMYFUNCTION("""COMPUTED_VALUE"""),30.0)</f>
        <v>30</v>
      </c>
      <c r="D866" s="6">
        <f>IFERROR(__xludf.DUMMYFUNCTION("""COMPUTED_VALUE"""),45675.0)</f>
        <v>45675</v>
      </c>
      <c r="E866" s="7" t="str">
        <f>IFERROR(__xludf.DUMMYFUNCTION("""COMPUTED_VALUE"""),"FRANQUIA_D&amp;G_SP")</f>
        <v>FRANQUIA_D&amp;G_SP</v>
      </c>
      <c r="F866" s="7" t="str">
        <f>IFERROR(__xludf.DUMMYFUNCTION("""COMPUTED_VALUE"""),"MOTORCYCLE")</f>
        <v>MOTORCYCLE</v>
      </c>
      <c r="G866" s="7" t="str">
        <f>IFERROR(__xludf.DUMMYFUNCTION("""COMPUTED_VALUE"""),"SAO PAULO")</f>
        <v>SAO PAULO</v>
      </c>
    </row>
    <row r="867">
      <c r="A867" s="6">
        <f>IFERROR(__xludf.DUMMYFUNCTION("""COMPUTED_VALUE"""),45705.0)</f>
        <v>45705</v>
      </c>
      <c r="B867" s="7" t="str">
        <f>IFERROR(__xludf.DUMMYFUNCTION("""COMPUTED_VALUE"""),"f1c805cb-66fb-4f88-93fa-46a441249915")</f>
        <v>f1c805cb-66fb-4f88-93fa-46a441249915</v>
      </c>
      <c r="C867" s="7">
        <f>IFERROR(__xludf.DUMMYFUNCTION("""COMPUTED_VALUE"""),28.0)</f>
        <v>28</v>
      </c>
      <c r="D867" s="6">
        <f>IFERROR(__xludf.DUMMYFUNCTION("""COMPUTED_VALUE"""),45677.0)</f>
        <v>45677</v>
      </c>
      <c r="E867" s="7" t="str">
        <f>IFERROR(__xludf.DUMMYFUNCTION("""COMPUTED_VALUE"""),"FRANQUIA_D&amp;G_SP")</f>
        <v>FRANQUIA_D&amp;G_SP</v>
      </c>
      <c r="F867" s="7" t="str">
        <f>IFERROR(__xludf.DUMMYFUNCTION("""COMPUTED_VALUE"""),"MOTORCYCLE")</f>
        <v>MOTORCYCLE</v>
      </c>
      <c r="G867" s="7" t="str">
        <f>IFERROR(__xludf.DUMMYFUNCTION("""COMPUTED_VALUE"""),"SAO PAULO")</f>
        <v>SAO PAULO</v>
      </c>
    </row>
    <row r="868">
      <c r="A868" s="6">
        <f>IFERROR(__xludf.DUMMYFUNCTION("""COMPUTED_VALUE"""),45705.0)</f>
        <v>45705</v>
      </c>
      <c r="B868" s="7" t="str">
        <f>IFERROR(__xludf.DUMMYFUNCTION("""COMPUTED_VALUE"""),"b1a8ddfc-8f63-4cc5-bfab-895b1528a427")</f>
        <v>b1a8ddfc-8f63-4cc5-bfab-895b1528a427</v>
      </c>
      <c r="C868" s="7">
        <f>IFERROR(__xludf.DUMMYFUNCTION("""COMPUTED_VALUE"""),1.0)</f>
        <v>1</v>
      </c>
      <c r="D868" s="6">
        <f>IFERROR(__xludf.DUMMYFUNCTION("""COMPUTED_VALUE"""),45704.0)</f>
        <v>45704</v>
      </c>
      <c r="E868" s="7" t="str">
        <f>IFERROR(__xludf.DUMMYFUNCTION("""COMPUTED_VALUE"""),"FRANQUIA_D&amp;G_SP")</f>
        <v>FRANQUIA_D&amp;G_SP</v>
      </c>
      <c r="F868" s="7" t="str">
        <f>IFERROR(__xludf.DUMMYFUNCTION("""COMPUTED_VALUE"""),"MOTORCYCLE")</f>
        <v>MOTORCYCLE</v>
      </c>
      <c r="G868" s="7" t="str">
        <f>IFERROR(__xludf.DUMMYFUNCTION("""COMPUTED_VALUE"""),"ABC")</f>
        <v>ABC</v>
      </c>
    </row>
    <row r="869">
      <c r="A869" s="6">
        <f>IFERROR(__xludf.DUMMYFUNCTION("""COMPUTED_VALUE"""),45705.0)</f>
        <v>45705</v>
      </c>
      <c r="B869" s="7" t="str">
        <f>IFERROR(__xludf.DUMMYFUNCTION("""COMPUTED_VALUE"""),"ea0cf1ca-cd26-4080-b49b-48ddd7ef0f9d")</f>
        <v>ea0cf1ca-cd26-4080-b49b-48ddd7ef0f9d</v>
      </c>
      <c r="C869" s="7">
        <f>IFERROR(__xludf.DUMMYFUNCTION("""COMPUTED_VALUE"""),0.0)</f>
        <v>0</v>
      </c>
      <c r="D869" s="6">
        <f>IFERROR(__xludf.DUMMYFUNCTION("""COMPUTED_VALUE"""),45705.0)</f>
        <v>45705</v>
      </c>
      <c r="E869" s="7" t="str">
        <f>IFERROR(__xludf.DUMMYFUNCTION("""COMPUTED_VALUE"""),"FRANQUIA_D&amp;G_SP")</f>
        <v>FRANQUIA_D&amp;G_SP</v>
      </c>
      <c r="F869" s="7" t="str">
        <f>IFERROR(__xludf.DUMMYFUNCTION("""COMPUTED_VALUE"""),"MOTORCYCLE")</f>
        <v>MOTORCYCLE</v>
      </c>
      <c r="G869" s="7" t="str">
        <f>IFERROR(__xludf.DUMMYFUNCTION("""COMPUTED_VALUE"""),"ABC")</f>
        <v>ABC</v>
      </c>
    </row>
    <row r="870">
      <c r="A870" s="6">
        <f>IFERROR(__xludf.DUMMYFUNCTION("""COMPUTED_VALUE"""),45705.0)</f>
        <v>45705</v>
      </c>
      <c r="B870" s="7" t="str">
        <f>IFERROR(__xludf.DUMMYFUNCTION("""COMPUTED_VALUE"""),"74c7355f-68d2-45a7-b97f-f75743017820")</f>
        <v>74c7355f-68d2-45a7-b97f-f75743017820</v>
      </c>
      <c r="C870" s="7">
        <f>IFERROR(__xludf.DUMMYFUNCTION("""COMPUTED_VALUE"""),0.0)</f>
        <v>0</v>
      </c>
      <c r="D870" s="6">
        <f>IFERROR(__xludf.DUMMYFUNCTION("""COMPUTED_VALUE"""),45705.0)</f>
        <v>45705</v>
      </c>
      <c r="E870" s="7" t="str">
        <f>IFERROR(__xludf.DUMMYFUNCTION("""COMPUTED_VALUE"""),"FRANQUIA_D&amp;G_SP")</f>
        <v>FRANQUIA_D&amp;G_SP</v>
      </c>
      <c r="F870" s="7" t="str">
        <f>IFERROR(__xludf.DUMMYFUNCTION("""COMPUTED_VALUE"""),"MOTORCYCLE")</f>
        <v>MOTORCYCLE</v>
      </c>
      <c r="G870" s="7" t="str">
        <f>IFERROR(__xludf.DUMMYFUNCTION("""COMPUTED_VALUE"""),"SAO PAULO")</f>
        <v>SAO PAULO</v>
      </c>
    </row>
    <row r="871">
      <c r="A871" s="6">
        <f>IFERROR(__xludf.DUMMYFUNCTION("""COMPUTED_VALUE"""),45705.0)</f>
        <v>45705</v>
      </c>
      <c r="B871" s="7" t="str">
        <f>IFERROR(__xludf.DUMMYFUNCTION("""COMPUTED_VALUE"""),"296da537-9390-4198-928a-dc388fbc7f6f")</f>
        <v>296da537-9390-4198-928a-dc388fbc7f6f</v>
      </c>
      <c r="C871" s="7">
        <f>IFERROR(__xludf.DUMMYFUNCTION("""COMPUTED_VALUE"""),0.0)</f>
        <v>0</v>
      </c>
      <c r="D871" s="6">
        <f>IFERROR(__xludf.DUMMYFUNCTION("""COMPUTED_VALUE"""),45705.0)</f>
        <v>45705</v>
      </c>
      <c r="E871" s="7" t="str">
        <f>IFERROR(__xludf.DUMMYFUNCTION("""COMPUTED_VALUE"""),"FRANQUIA_D&amp;G_SP")</f>
        <v>FRANQUIA_D&amp;G_SP</v>
      </c>
      <c r="F871" s="7" t="str">
        <f>IFERROR(__xludf.DUMMYFUNCTION("""COMPUTED_VALUE"""),"BICYCLE")</f>
        <v>BICYCLE</v>
      </c>
      <c r="G871" s="7" t="str">
        <f>IFERROR(__xludf.DUMMYFUNCTION("""COMPUTED_VALUE"""),"SAO PAULO")</f>
        <v>SAO PAULO</v>
      </c>
    </row>
    <row r="872">
      <c r="A872" s="6">
        <f>IFERROR(__xludf.DUMMYFUNCTION("""COMPUTED_VALUE"""),45705.0)</f>
        <v>45705</v>
      </c>
      <c r="B872" s="7" t="str">
        <f>IFERROR(__xludf.DUMMYFUNCTION("""COMPUTED_VALUE"""),"5b94e111-3cf8-414c-a015-43b1a8511f90")</f>
        <v>5b94e111-3cf8-414c-a015-43b1a8511f90</v>
      </c>
      <c r="C872" s="7">
        <f>IFERROR(__xludf.DUMMYFUNCTION("""COMPUTED_VALUE"""),640.0)</f>
        <v>640</v>
      </c>
      <c r="D872" s="6">
        <f>IFERROR(__xludf.DUMMYFUNCTION("""COMPUTED_VALUE"""),45065.0)</f>
        <v>45065</v>
      </c>
      <c r="E872" s="7" t="str">
        <f>IFERROR(__xludf.DUMMYFUNCTION("""COMPUTED_VALUE"""),"FRANQUIA_D&amp;G_SP")</f>
        <v>FRANQUIA_D&amp;G_SP</v>
      </c>
      <c r="F872" s="7" t="str">
        <f>IFERROR(__xludf.DUMMYFUNCTION("""COMPUTED_VALUE"""),"MOTORCYCLE")</f>
        <v>MOTORCYCLE</v>
      </c>
      <c r="G872" s="7" t="str">
        <f>IFERROR(__xludf.DUMMYFUNCTION("""COMPUTED_VALUE"""),"SAO PAULO")</f>
        <v>SAO PAULO</v>
      </c>
    </row>
    <row r="873">
      <c r="A873" s="6">
        <f>IFERROR(__xludf.DUMMYFUNCTION("""COMPUTED_VALUE"""),45705.0)</f>
        <v>45705</v>
      </c>
      <c r="B873" s="7" t="str">
        <f>IFERROR(__xludf.DUMMYFUNCTION("""COMPUTED_VALUE"""),"9fc6eb83-45c8-4ae9-8522-fd6a29428646")</f>
        <v>9fc6eb83-45c8-4ae9-8522-fd6a29428646</v>
      </c>
      <c r="C873" s="7">
        <f>IFERROR(__xludf.DUMMYFUNCTION("""COMPUTED_VALUE"""),1.0)</f>
        <v>1</v>
      </c>
      <c r="D873" s="6">
        <f>IFERROR(__xludf.DUMMYFUNCTION("""COMPUTED_VALUE"""),45704.0)</f>
        <v>45704</v>
      </c>
      <c r="E873" s="7" t="str">
        <f>IFERROR(__xludf.DUMMYFUNCTION("""COMPUTED_VALUE"""),"FRANQUIA_D&amp;G_SP")</f>
        <v>FRANQUIA_D&amp;G_SP</v>
      </c>
      <c r="F873" s="7" t="str">
        <f>IFERROR(__xludf.DUMMYFUNCTION("""COMPUTED_VALUE"""),"BICYCLE")</f>
        <v>BICYCLE</v>
      </c>
      <c r="G873" s="7" t="str">
        <f>IFERROR(__xludf.DUMMYFUNCTION("""COMPUTED_VALUE"""),"SAO PAULO")</f>
        <v>SAO PAULO</v>
      </c>
    </row>
    <row r="874">
      <c r="A874" s="6">
        <f>IFERROR(__xludf.DUMMYFUNCTION("""COMPUTED_VALUE"""),45705.0)</f>
        <v>45705</v>
      </c>
      <c r="B874" s="7" t="str">
        <f>IFERROR(__xludf.DUMMYFUNCTION("""COMPUTED_VALUE"""),"a20e77b7-1338-42ac-ba3d-1810fb7ef9f2")</f>
        <v>a20e77b7-1338-42ac-ba3d-1810fb7ef9f2</v>
      </c>
      <c r="C874" s="7">
        <f>IFERROR(__xludf.DUMMYFUNCTION("""COMPUTED_VALUE"""),0.0)</f>
        <v>0</v>
      </c>
      <c r="D874" s="6">
        <f>IFERROR(__xludf.DUMMYFUNCTION("""COMPUTED_VALUE"""),0.0)</f>
        <v>0</v>
      </c>
      <c r="E874" s="7" t="str">
        <f>IFERROR(__xludf.DUMMYFUNCTION("""COMPUTED_VALUE"""),"FRANQUIA_D&amp;G_SP")</f>
        <v>FRANQUIA_D&amp;G_SP</v>
      </c>
      <c r="F874" s="7" t="str">
        <f>IFERROR(__xludf.DUMMYFUNCTION("""COMPUTED_VALUE"""),"BICYCLE")</f>
        <v>BICYCLE</v>
      </c>
      <c r="G874" s="7" t="str">
        <f>IFERROR(__xludf.DUMMYFUNCTION("""COMPUTED_VALUE"""),"0")</f>
        <v>0</v>
      </c>
    </row>
    <row r="875">
      <c r="A875" s="6">
        <f>IFERROR(__xludf.DUMMYFUNCTION("""COMPUTED_VALUE"""),45705.0)</f>
        <v>45705</v>
      </c>
      <c r="B875" s="7" t="str">
        <f>IFERROR(__xludf.DUMMYFUNCTION("""COMPUTED_VALUE"""),"559cc545-0d06-4dbc-82ce-df757987ce7c")</f>
        <v>559cc545-0d06-4dbc-82ce-df757987ce7c</v>
      </c>
      <c r="C875" s="7">
        <f>IFERROR(__xludf.DUMMYFUNCTION("""COMPUTED_VALUE"""),0.0)</f>
        <v>0</v>
      </c>
      <c r="D875" s="6">
        <f>IFERROR(__xludf.DUMMYFUNCTION("""COMPUTED_VALUE"""),45705.0)</f>
        <v>45705</v>
      </c>
      <c r="E875" s="7" t="str">
        <f>IFERROR(__xludf.DUMMYFUNCTION("""COMPUTED_VALUE"""),"FRANQUIA_D&amp;G_SP")</f>
        <v>FRANQUIA_D&amp;G_SP</v>
      </c>
      <c r="F875" s="7" t="str">
        <f>IFERROR(__xludf.DUMMYFUNCTION("""COMPUTED_VALUE"""),"BICYCLE")</f>
        <v>BICYCLE</v>
      </c>
      <c r="G875" s="7" t="str">
        <f>IFERROR(__xludf.DUMMYFUNCTION("""COMPUTED_VALUE"""),"SAO PAULO")</f>
        <v>SAO PAULO</v>
      </c>
    </row>
    <row r="876">
      <c r="A876" s="6">
        <f>IFERROR(__xludf.DUMMYFUNCTION("""COMPUTED_VALUE"""),45705.0)</f>
        <v>45705</v>
      </c>
      <c r="B876" s="7" t="str">
        <f>IFERROR(__xludf.DUMMYFUNCTION("""COMPUTED_VALUE"""),"6187bbaf-8eac-41fc-8747-ed7024393226")</f>
        <v>6187bbaf-8eac-41fc-8747-ed7024393226</v>
      </c>
      <c r="C876" s="7">
        <f>IFERROR(__xludf.DUMMYFUNCTION("""COMPUTED_VALUE"""),381.0)</f>
        <v>381</v>
      </c>
      <c r="D876" s="6">
        <f>IFERROR(__xludf.DUMMYFUNCTION("""COMPUTED_VALUE"""),45324.0)</f>
        <v>45324</v>
      </c>
      <c r="E876" s="7" t="str">
        <f>IFERROR(__xludf.DUMMYFUNCTION("""COMPUTED_VALUE"""),"FRANQUIA_D&amp;G_SP")</f>
        <v>FRANQUIA_D&amp;G_SP</v>
      </c>
      <c r="F876" s="7" t="str">
        <f>IFERROR(__xludf.DUMMYFUNCTION("""COMPUTED_VALUE"""),"MOTORCYCLE")</f>
        <v>MOTORCYCLE</v>
      </c>
      <c r="G876" s="7" t="str">
        <f>IFERROR(__xludf.DUMMYFUNCTION("""COMPUTED_VALUE"""),"SAO PAULO")</f>
        <v>SAO PAULO</v>
      </c>
    </row>
    <row r="877">
      <c r="A877" s="6">
        <f>IFERROR(__xludf.DUMMYFUNCTION("""COMPUTED_VALUE"""),45705.0)</f>
        <v>45705</v>
      </c>
      <c r="B877" s="7" t="str">
        <f>IFERROR(__xludf.DUMMYFUNCTION("""COMPUTED_VALUE"""),"4bd9d8c2-9832-4c74-8560-a289e0f70a5c")</f>
        <v>4bd9d8c2-9832-4c74-8560-a289e0f70a5c</v>
      </c>
      <c r="C877" s="7">
        <f>IFERROR(__xludf.DUMMYFUNCTION("""COMPUTED_VALUE"""),439.0)</f>
        <v>439</v>
      </c>
      <c r="D877" s="6">
        <f>IFERROR(__xludf.DUMMYFUNCTION("""COMPUTED_VALUE"""),45266.0)</f>
        <v>45266</v>
      </c>
      <c r="E877" s="7" t="str">
        <f>IFERROR(__xludf.DUMMYFUNCTION("""COMPUTED_VALUE"""),"FRANQUIA_D&amp;G_SP")</f>
        <v>FRANQUIA_D&amp;G_SP</v>
      </c>
      <c r="F877" s="7" t="str">
        <f>IFERROR(__xludf.DUMMYFUNCTION("""COMPUTED_VALUE"""),"MOTORCYCLE")</f>
        <v>MOTORCYCLE</v>
      </c>
      <c r="G877" s="7" t="str">
        <f>IFERROR(__xludf.DUMMYFUNCTION("""COMPUTED_VALUE"""),"SAO PAULO")</f>
        <v>SAO PAULO</v>
      </c>
    </row>
    <row r="878">
      <c r="A878" s="6">
        <f>IFERROR(__xludf.DUMMYFUNCTION("""COMPUTED_VALUE"""),45705.0)</f>
        <v>45705</v>
      </c>
      <c r="B878" s="7" t="str">
        <f>IFERROR(__xludf.DUMMYFUNCTION("""COMPUTED_VALUE"""),"b3f65a48-6cad-4716-b7a8-a93a04bdfcf5")</f>
        <v>b3f65a48-6cad-4716-b7a8-a93a04bdfcf5</v>
      </c>
      <c r="C878" s="7">
        <f>IFERROR(__xludf.DUMMYFUNCTION("""COMPUTED_VALUE"""),1.0)</f>
        <v>1</v>
      </c>
      <c r="D878" s="6">
        <f>IFERROR(__xludf.DUMMYFUNCTION("""COMPUTED_VALUE"""),45704.0)</f>
        <v>45704</v>
      </c>
      <c r="E878" s="7" t="str">
        <f>IFERROR(__xludf.DUMMYFUNCTION("""COMPUTED_VALUE"""),"FRANQUIA_D&amp;G_SP")</f>
        <v>FRANQUIA_D&amp;G_SP</v>
      </c>
      <c r="F878" s="7" t="str">
        <f>IFERROR(__xludf.DUMMYFUNCTION("""COMPUTED_VALUE"""),"MOTORCYCLE")</f>
        <v>MOTORCYCLE</v>
      </c>
      <c r="G878" s="7" t="str">
        <f>IFERROR(__xludf.DUMMYFUNCTION("""COMPUTED_VALUE"""),"SAO PAULO")</f>
        <v>SAO PAULO</v>
      </c>
    </row>
    <row r="879">
      <c r="A879" s="6">
        <f>IFERROR(__xludf.DUMMYFUNCTION("""COMPUTED_VALUE"""),45705.0)</f>
        <v>45705</v>
      </c>
      <c r="B879" s="7" t="str">
        <f>IFERROR(__xludf.DUMMYFUNCTION("""COMPUTED_VALUE"""),"4b7b35e0-8881-4a0a-97ce-8d4597a1a54a")</f>
        <v>4b7b35e0-8881-4a0a-97ce-8d4597a1a54a</v>
      </c>
      <c r="C879" s="7">
        <f>IFERROR(__xludf.DUMMYFUNCTION("""COMPUTED_VALUE"""),27.0)</f>
        <v>27</v>
      </c>
      <c r="D879" s="6">
        <f>IFERROR(__xludf.DUMMYFUNCTION("""COMPUTED_VALUE"""),45678.0)</f>
        <v>45678</v>
      </c>
      <c r="E879" s="7" t="str">
        <f>IFERROR(__xludf.DUMMYFUNCTION("""COMPUTED_VALUE"""),"FRANQUIA_D&amp;G_SP")</f>
        <v>FRANQUIA_D&amp;G_SP</v>
      </c>
      <c r="F879" s="7" t="str">
        <f>IFERROR(__xludf.DUMMYFUNCTION("""COMPUTED_VALUE"""),"BICYCLE")</f>
        <v>BICYCLE</v>
      </c>
      <c r="G879" s="7" t="str">
        <f>IFERROR(__xludf.DUMMYFUNCTION("""COMPUTED_VALUE"""),"SAO PAULO")</f>
        <v>SAO PAULO</v>
      </c>
    </row>
    <row r="880">
      <c r="A880" s="6">
        <f>IFERROR(__xludf.DUMMYFUNCTION("""COMPUTED_VALUE"""),45705.0)</f>
        <v>45705</v>
      </c>
      <c r="B880" s="7" t="str">
        <f>IFERROR(__xludf.DUMMYFUNCTION("""COMPUTED_VALUE"""),"6cf706ea-524d-47c7-8b5e-b97c39f0ca33")</f>
        <v>6cf706ea-524d-47c7-8b5e-b97c39f0ca33</v>
      </c>
      <c r="C880" s="7">
        <f>IFERROR(__xludf.DUMMYFUNCTION("""COMPUTED_VALUE"""),0.0)</f>
        <v>0</v>
      </c>
      <c r="D880" s="6">
        <f>IFERROR(__xludf.DUMMYFUNCTION("""COMPUTED_VALUE"""),45705.0)</f>
        <v>45705</v>
      </c>
      <c r="E880" s="7" t="str">
        <f>IFERROR(__xludf.DUMMYFUNCTION("""COMPUTED_VALUE"""),"FRANQUIA_D&amp;G_SP")</f>
        <v>FRANQUIA_D&amp;G_SP</v>
      </c>
      <c r="F880" s="7" t="str">
        <f>IFERROR(__xludf.DUMMYFUNCTION("""COMPUTED_VALUE"""),"MOTORCYCLE")</f>
        <v>MOTORCYCLE</v>
      </c>
      <c r="G880" s="7" t="str">
        <f>IFERROR(__xludf.DUMMYFUNCTION("""COMPUTED_VALUE"""),"SAO PAULO")</f>
        <v>SAO PAULO</v>
      </c>
    </row>
    <row r="881">
      <c r="A881" s="6">
        <f>IFERROR(__xludf.DUMMYFUNCTION("""COMPUTED_VALUE"""),45705.0)</f>
        <v>45705</v>
      </c>
      <c r="B881" s="7" t="str">
        <f>IFERROR(__xludf.DUMMYFUNCTION("""COMPUTED_VALUE"""),"fb273a51-27ef-4a55-a535-af16b4e5be46")</f>
        <v>fb273a51-27ef-4a55-a535-af16b4e5be46</v>
      </c>
      <c r="C881" s="7">
        <f>IFERROR(__xludf.DUMMYFUNCTION("""COMPUTED_VALUE"""),0.0)</f>
        <v>0</v>
      </c>
      <c r="D881" s="6">
        <f>IFERROR(__xludf.DUMMYFUNCTION("""COMPUTED_VALUE"""),45705.0)</f>
        <v>45705</v>
      </c>
      <c r="E881" s="7" t="str">
        <f>IFERROR(__xludf.DUMMYFUNCTION("""COMPUTED_VALUE"""),"FRANQUIA_D&amp;G_SP")</f>
        <v>FRANQUIA_D&amp;G_SP</v>
      </c>
      <c r="F881" s="7" t="str">
        <f>IFERROR(__xludf.DUMMYFUNCTION("""COMPUTED_VALUE"""),"MOTORCYCLE")</f>
        <v>MOTORCYCLE</v>
      </c>
      <c r="G881" s="7" t="str">
        <f>IFERROR(__xludf.DUMMYFUNCTION("""COMPUTED_VALUE"""),"SAO PAULO")</f>
        <v>SAO PAULO</v>
      </c>
    </row>
    <row r="882">
      <c r="A882" s="6">
        <f>IFERROR(__xludf.DUMMYFUNCTION("""COMPUTED_VALUE"""),45705.0)</f>
        <v>45705</v>
      </c>
      <c r="B882" s="7" t="str">
        <f>IFERROR(__xludf.DUMMYFUNCTION("""COMPUTED_VALUE"""),"6440ec04-c452-4f67-a099-cd84b6b26a4d")</f>
        <v>6440ec04-c452-4f67-a099-cd84b6b26a4d</v>
      </c>
      <c r="C882" s="7">
        <f>IFERROR(__xludf.DUMMYFUNCTION("""COMPUTED_VALUE"""),0.0)</f>
        <v>0</v>
      </c>
      <c r="D882" s="6">
        <f>IFERROR(__xludf.DUMMYFUNCTION("""COMPUTED_VALUE"""),45705.0)</f>
        <v>45705</v>
      </c>
      <c r="E882" s="7" t="str">
        <f>IFERROR(__xludf.DUMMYFUNCTION("""COMPUTED_VALUE"""),"FRANQUIA_D&amp;G_SP")</f>
        <v>FRANQUIA_D&amp;G_SP</v>
      </c>
      <c r="F882" s="7" t="str">
        <f>IFERROR(__xludf.DUMMYFUNCTION("""COMPUTED_VALUE"""),"MOTORCYCLE")</f>
        <v>MOTORCYCLE</v>
      </c>
      <c r="G882" s="7" t="str">
        <f>IFERROR(__xludf.DUMMYFUNCTION("""COMPUTED_VALUE"""),"SAO PAULO")</f>
        <v>SAO PAULO</v>
      </c>
    </row>
    <row r="883">
      <c r="A883" s="6">
        <f>IFERROR(__xludf.DUMMYFUNCTION("""COMPUTED_VALUE"""),45705.0)</f>
        <v>45705</v>
      </c>
      <c r="B883" s="7" t="str">
        <f>IFERROR(__xludf.DUMMYFUNCTION("""COMPUTED_VALUE"""),"c15fe3d5-27d0-4b76-8737-c7098c97d929")</f>
        <v>c15fe3d5-27d0-4b76-8737-c7098c97d929</v>
      </c>
      <c r="C883" s="7">
        <f>IFERROR(__xludf.DUMMYFUNCTION("""COMPUTED_VALUE"""),18.0)</f>
        <v>18</v>
      </c>
      <c r="D883" s="6">
        <f>IFERROR(__xludf.DUMMYFUNCTION("""COMPUTED_VALUE"""),45687.0)</f>
        <v>45687</v>
      </c>
      <c r="E883" s="7" t="str">
        <f>IFERROR(__xludf.DUMMYFUNCTION("""COMPUTED_VALUE"""),"FRANQUIA_D&amp;G_SP")</f>
        <v>FRANQUIA_D&amp;G_SP</v>
      </c>
      <c r="F883" s="7" t="str">
        <f>IFERROR(__xludf.DUMMYFUNCTION("""COMPUTED_VALUE"""),"EBIKE")</f>
        <v>EBIKE</v>
      </c>
      <c r="G883" s="7" t="str">
        <f>IFERROR(__xludf.DUMMYFUNCTION("""COMPUTED_VALUE"""),"SAO PAULO")</f>
        <v>SAO PAULO</v>
      </c>
    </row>
    <row r="884">
      <c r="A884" s="6">
        <f>IFERROR(__xludf.DUMMYFUNCTION("""COMPUTED_VALUE"""),45705.0)</f>
        <v>45705</v>
      </c>
      <c r="B884" s="7" t="str">
        <f>IFERROR(__xludf.DUMMYFUNCTION("""COMPUTED_VALUE"""),"b2b805a0-3938-40b1-acd3-c1a025816217")</f>
        <v>b2b805a0-3938-40b1-acd3-c1a025816217</v>
      </c>
      <c r="C884" s="7">
        <f>IFERROR(__xludf.DUMMYFUNCTION("""COMPUTED_VALUE"""),410.0)</f>
        <v>410</v>
      </c>
      <c r="D884" s="6">
        <f>IFERROR(__xludf.DUMMYFUNCTION("""COMPUTED_VALUE"""),45295.0)</f>
        <v>45295</v>
      </c>
      <c r="E884" s="7" t="str">
        <f>IFERROR(__xludf.DUMMYFUNCTION("""COMPUTED_VALUE"""),"FRANQUIA_D&amp;G_SP")</f>
        <v>FRANQUIA_D&amp;G_SP</v>
      </c>
      <c r="F884" s="7" t="str">
        <f>IFERROR(__xludf.DUMMYFUNCTION("""COMPUTED_VALUE"""),"MOTORCYCLE")</f>
        <v>MOTORCYCLE</v>
      </c>
      <c r="G884" s="7" t="str">
        <f>IFERROR(__xludf.DUMMYFUNCTION("""COMPUTED_VALUE"""),"SAO PAULO")</f>
        <v>SAO PAULO</v>
      </c>
    </row>
    <row r="885">
      <c r="A885" s="6">
        <f>IFERROR(__xludf.DUMMYFUNCTION("""COMPUTED_VALUE"""),45705.0)</f>
        <v>45705</v>
      </c>
      <c r="B885" s="7" t="str">
        <f>IFERROR(__xludf.DUMMYFUNCTION("""COMPUTED_VALUE"""),"18bd007f-2fe6-434b-80c9-ab3bbc1fe82c")</f>
        <v>18bd007f-2fe6-434b-80c9-ab3bbc1fe82c</v>
      </c>
      <c r="C885" s="7">
        <f>IFERROR(__xludf.DUMMYFUNCTION("""COMPUTED_VALUE"""),276.0)</f>
        <v>276</v>
      </c>
      <c r="D885" s="6">
        <f>IFERROR(__xludf.DUMMYFUNCTION("""COMPUTED_VALUE"""),45429.0)</f>
        <v>45429</v>
      </c>
      <c r="E885" s="7" t="str">
        <f>IFERROR(__xludf.DUMMYFUNCTION("""COMPUTED_VALUE"""),"FRANQUIA_D&amp;G_SP")</f>
        <v>FRANQUIA_D&amp;G_SP</v>
      </c>
      <c r="F885" s="7" t="str">
        <f>IFERROR(__xludf.DUMMYFUNCTION("""COMPUTED_VALUE"""),"BICYCLE")</f>
        <v>BICYCLE</v>
      </c>
      <c r="G885" s="7" t="str">
        <f>IFERROR(__xludf.DUMMYFUNCTION("""COMPUTED_VALUE"""),"SAO PAULO")</f>
        <v>SAO PAULO</v>
      </c>
    </row>
    <row r="886">
      <c r="A886" s="6">
        <f>IFERROR(__xludf.DUMMYFUNCTION("""COMPUTED_VALUE"""),45705.0)</f>
        <v>45705</v>
      </c>
      <c r="B886" s="7" t="str">
        <f>IFERROR(__xludf.DUMMYFUNCTION("""COMPUTED_VALUE"""),"da458aff-823d-4955-8549-bf5f4bf9cad0")</f>
        <v>da458aff-823d-4955-8549-bf5f4bf9cad0</v>
      </c>
      <c r="C886" s="7">
        <f>IFERROR(__xludf.DUMMYFUNCTION("""COMPUTED_VALUE"""),0.0)</f>
        <v>0</v>
      </c>
      <c r="D886" s="6">
        <f>IFERROR(__xludf.DUMMYFUNCTION("""COMPUTED_VALUE"""),45705.0)</f>
        <v>45705</v>
      </c>
      <c r="E886" s="7" t="str">
        <f>IFERROR(__xludf.DUMMYFUNCTION("""COMPUTED_VALUE"""),"FRANQUIA_D&amp;G_SP")</f>
        <v>FRANQUIA_D&amp;G_SP</v>
      </c>
      <c r="F886" s="7" t="str">
        <f>IFERROR(__xludf.DUMMYFUNCTION("""COMPUTED_VALUE"""),"BICYCLE")</f>
        <v>BICYCLE</v>
      </c>
      <c r="G886" s="7" t="str">
        <f>IFERROR(__xludf.DUMMYFUNCTION("""COMPUTED_VALUE"""),"SAO PAULO")</f>
        <v>SAO PAULO</v>
      </c>
    </row>
    <row r="887">
      <c r="A887" s="6">
        <f>IFERROR(__xludf.DUMMYFUNCTION("""COMPUTED_VALUE"""),45705.0)</f>
        <v>45705</v>
      </c>
      <c r="B887" s="7" t="str">
        <f>IFERROR(__xludf.DUMMYFUNCTION("""COMPUTED_VALUE"""),"d4deac65-ea84-41f0-9896-a99db3047838")</f>
        <v>d4deac65-ea84-41f0-9896-a99db3047838</v>
      </c>
      <c r="C887" s="7">
        <f>IFERROR(__xludf.DUMMYFUNCTION("""COMPUTED_VALUE"""),129.0)</f>
        <v>129</v>
      </c>
      <c r="D887" s="6">
        <f>IFERROR(__xludf.DUMMYFUNCTION("""COMPUTED_VALUE"""),45576.0)</f>
        <v>45576</v>
      </c>
      <c r="E887" s="7" t="str">
        <f>IFERROR(__xludf.DUMMYFUNCTION("""COMPUTED_VALUE"""),"FRANQUIA_D&amp;G_SP")</f>
        <v>FRANQUIA_D&amp;G_SP</v>
      </c>
      <c r="F887" s="7" t="str">
        <f>IFERROR(__xludf.DUMMYFUNCTION("""COMPUTED_VALUE"""),"BICYCLE")</f>
        <v>BICYCLE</v>
      </c>
      <c r="G887" s="7" t="str">
        <f>IFERROR(__xludf.DUMMYFUNCTION("""COMPUTED_VALUE"""),"SAO PAULO")</f>
        <v>SAO PAULO</v>
      </c>
    </row>
    <row r="888">
      <c r="A888" s="6">
        <f>IFERROR(__xludf.DUMMYFUNCTION("""COMPUTED_VALUE"""),45705.0)</f>
        <v>45705</v>
      </c>
      <c r="B888" s="7" t="str">
        <f>IFERROR(__xludf.DUMMYFUNCTION("""COMPUTED_VALUE"""),"085346cd-5332-440a-8a3f-4a5631755719")</f>
        <v>085346cd-5332-440a-8a3f-4a5631755719</v>
      </c>
      <c r="C888" s="7">
        <f>IFERROR(__xludf.DUMMYFUNCTION("""COMPUTED_VALUE"""),28.0)</f>
        <v>28</v>
      </c>
      <c r="D888" s="6">
        <f>IFERROR(__xludf.DUMMYFUNCTION("""COMPUTED_VALUE"""),45677.0)</f>
        <v>45677</v>
      </c>
      <c r="E888" s="7" t="str">
        <f>IFERROR(__xludf.DUMMYFUNCTION("""COMPUTED_VALUE"""),"FRANQUIA_D&amp;G_SP")</f>
        <v>FRANQUIA_D&amp;G_SP</v>
      </c>
      <c r="F888" s="7" t="str">
        <f>IFERROR(__xludf.DUMMYFUNCTION("""COMPUTED_VALUE"""),"BICYCLE")</f>
        <v>BICYCLE</v>
      </c>
      <c r="G888" s="7" t="str">
        <f>IFERROR(__xludf.DUMMYFUNCTION("""COMPUTED_VALUE"""),"SAO PAULO")</f>
        <v>SAO PAULO</v>
      </c>
    </row>
    <row r="889">
      <c r="A889" s="6">
        <f>IFERROR(__xludf.DUMMYFUNCTION("""COMPUTED_VALUE"""),45705.0)</f>
        <v>45705</v>
      </c>
      <c r="B889" s="7" t="str">
        <f>IFERROR(__xludf.DUMMYFUNCTION("""COMPUTED_VALUE"""),"8088bb5b-150b-484c-ab0d-8f090dc40a5d")</f>
        <v>8088bb5b-150b-484c-ab0d-8f090dc40a5d</v>
      </c>
      <c r="C889" s="7">
        <f>IFERROR(__xludf.DUMMYFUNCTION("""COMPUTED_VALUE"""),0.0)</f>
        <v>0</v>
      </c>
      <c r="D889" s="6">
        <f>IFERROR(__xludf.DUMMYFUNCTION("""COMPUTED_VALUE"""),45705.0)</f>
        <v>45705</v>
      </c>
      <c r="E889" s="7" t="str">
        <f>IFERROR(__xludf.DUMMYFUNCTION("""COMPUTED_VALUE"""),"FRANQUIA_D&amp;G_SP")</f>
        <v>FRANQUIA_D&amp;G_SP</v>
      </c>
      <c r="F889" s="7" t="str">
        <f>IFERROR(__xludf.DUMMYFUNCTION("""COMPUTED_VALUE"""),"BICYCLE")</f>
        <v>BICYCLE</v>
      </c>
      <c r="G889" s="7" t="str">
        <f>IFERROR(__xludf.DUMMYFUNCTION("""COMPUTED_VALUE"""),"SAO PAULO")</f>
        <v>SAO PAULO</v>
      </c>
    </row>
    <row r="890">
      <c r="A890" s="6">
        <f>IFERROR(__xludf.DUMMYFUNCTION("""COMPUTED_VALUE"""),45705.0)</f>
        <v>45705</v>
      </c>
      <c r="B890" s="7" t="str">
        <f>IFERROR(__xludf.DUMMYFUNCTION("""COMPUTED_VALUE"""),"5747b8c8-49b2-4c56-83c6-000b1c39cc49")</f>
        <v>5747b8c8-49b2-4c56-83c6-000b1c39cc49</v>
      </c>
      <c r="C890" s="7">
        <f>IFERROR(__xludf.DUMMYFUNCTION("""COMPUTED_VALUE"""),1.0)</f>
        <v>1</v>
      </c>
      <c r="D890" s="6">
        <f>IFERROR(__xludf.DUMMYFUNCTION("""COMPUTED_VALUE"""),45704.0)</f>
        <v>45704</v>
      </c>
      <c r="E890" s="7" t="str">
        <f>IFERROR(__xludf.DUMMYFUNCTION("""COMPUTED_VALUE"""),"FRANQUIA_D&amp;G_SP")</f>
        <v>FRANQUIA_D&amp;G_SP</v>
      </c>
      <c r="F890" s="7" t="str">
        <f>IFERROR(__xludf.DUMMYFUNCTION("""COMPUTED_VALUE"""),"MOTORCYCLE")</f>
        <v>MOTORCYCLE</v>
      </c>
      <c r="G890" s="7" t="str">
        <f>IFERROR(__xludf.DUMMYFUNCTION("""COMPUTED_VALUE"""),"SAO PAULO")</f>
        <v>SAO PAULO</v>
      </c>
    </row>
    <row r="891">
      <c r="A891" s="6">
        <f>IFERROR(__xludf.DUMMYFUNCTION("""COMPUTED_VALUE"""),45705.0)</f>
        <v>45705</v>
      </c>
      <c r="B891" s="7" t="str">
        <f>IFERROR(__xludf.DUMMYFUNCTION("""COMPUTED_VALUE"""),"568ce2ca-9ddc-4c44-aaf9-a04c069b5db2")</f>
        <v>568ce2ca-9ddc-4c44-aaf9-a04c069b5db2</v>
      </c>
      <c r="C891" s="7">
        <f>IFERROR(__xludf.DUMMYFUNCTION("""COMPUTED_VALUE"""),0.0)</f>
        <v>0</v>
      </c>
      <c r="D891" s="6">
        <f>IFERROR(__xludf.DUMMYFUNCTION("""COMPUTED_VALUE"""),45705.0)</f>
        <v>45705</v>
      </c>
      <c r="E891" s="7" t="str">
        <f>IFERROR(__xludf.DUMMYFUNCTION("""COMPUTED_VALUE"""),"FRANQUIA_D&amp;G_SP")</f>
        <v>FRANQUIA_D&amp;G_SP</v>
      </c>
      <c r="F891" s="7" t="str">
        <f>IFERROR(__xludf.DUMMYFUNCTION("""COMPUTED_VALUE"""),"MOTORCYCLE")</f>
        <v>MOTORCYCLE</v>
      </c>
      <c r="G891" s="7" t="str">
        <f>IFERROR(__xludf.DUMMYFUNCTION("""COMPUTED_VALUE"""),"SAO PAULO")</f>
        <v>SAO PAULO</v>
      </c>
    </row>
    <row r="892">
      <c r="A892" s="6">
        <f>IFERROR(__xludf.DUMMYFUNCTION("""COMPUTED_VALUE"""),45705.0)</f>
        <v>45705</v>
      </c>
      <c r="B892" s="7" t="str">
        <f>IFERROR(__xludf.DUMMYFUNCTION("""COMPUTED_VALUE"""),"e0fda8b7-6f64-4833-affb-6d3856069de1")</f>
        <v>e0fda8b7-6f64-4833-affb-6d3856069de1</v>
      </c>
      <c r="C892" s="7">
        <f>IFERROR(__xludf.DUMMYFUNCTION("""COMPUTED_VALUE"""),116.0)</f>
        <v>116</v>
      </c>
      <c r="D892" s="6">
        <f>IFERROR(__xludf.DUMMYFUNCTION("""COMPUTED_VALUE"""),45589.0)</f>
        <v>45589</v>
      </c>
      <c r="E892" s="7" t="str">
        <f>IFERROR(__xludf.DUMMYFUNCTION("""COMPUTED_VALUE"""),"FRANQUIA_D&amp;G_SP")</f>
        <v>FRANQUIA_D&amp;G_SP</v>
      </c>
      <c r="F892" s="7" t="str">
        <f>IFERROR(__xludf.DUMMYFUNCTION("""COMPUTED_VALUE"""),"BICYCLE")</f>
        <v>BICYCLE</v>
      </c>
      <c r="G892" s="7" t="str">
        <f>IFERROR(__xludf.DUMMYFUNCTION("""COMPUTED_VALUE"""),"SAO PAULO")</f>
        <v>SAO PAULO</v>
      </c>
    </row>
    <row r="893">
      <c r="A893" s="6">
        <f>IFERROR(__xludf.DUMMYFUNCTION("""COMPUTED_VALUE"""),45705.0)</f>
        <v>45705</v>
      </c>
      <c r="B893" s="7" t="str">
        <f>IFERROR(__xludf.DUMMYFUNCTION("""COMPUTED_VALUE"""),"a223a21a-b522-444a-8e39-28ff2a63a505")</f>
        <v>a223a21a-b522-444a-8e39-28ff2a63a505</v>
      </c>
      <c r="C893" s="7">
        <f>IFERROR(__xludf.DUMMYFUNCTION("""COMPUTED_VALUE"""),1.0)</f>
        <v>1</v>
      </c>
      <c r="D893" s="6">
        <f>IFERROR(__xludf.DUMMYFUNCTION("""COMPUTED_VALUE"""),45704.0)</f>
        <v>45704</v>
      </c>
      <c r="E893" s="7" t="str">
        <f>IFERROR(__xludf.DUMMYFUNCTION("""COMPUTED_VALUE"""),"FRANQUIA_D&amp;G_SP")</f>
        <v>FRANQUIA_D&amp;G_SP</v>
      </c>
      <c r="F893" s="7" t="str">
        <f>IFERROR(__xludf.DUMMYFUNCTION("""COMPUTED_VALUE"""),"BICYCLE")</f>
        <v>BICYCLE</v>
      </c>
      <c r="G893" s="7" t="str">
        <f>IFERROR(__xludf.DUMMYFUNCTION("""COMPUTED_VALUE"""),"SAO PAULO")</f>
        <v>SAO PAULO</v>
      </c>
    </row>
    <row r="894">
      <c r="A894" s="6">
        <f>IFERROR(__xludf.DUMMYFUNCTION("""COMPUTED_VALUE"""),45705.0)</f>
        <v>45705</v>
      </c>
      <c r="B894" s="7" t="str">
        <f>IFERROR(__xludf.DUMMYFUNCTION("""COMPUTED_VALUE"""),"5ac44934-0cb2-4603-86b3-4f8129af783d")</f>
        <v>5ac44934-0cb2-4603-86b3-4f8129af783d</v>
      </c>
      <c r="C894" s="7">
        <f>IFERROR(__xludf.DUMMYFUNCTION("""COMPUTED_VALUE"""),10.0)</f>
        <v>10</v>
      </c>
      <c r="D894" s="6">
        <f>IFERROR(__xludf.DUMMYFUNCTION("""COMPUTED_VALUE"""),45695.0)</f>
        <v>45695</v>
      </c>
      <c r="E894" s="7" t="str">
        <f>IFERROR(__xludf.DUMMYFUNCTION("""COMPUTED_VALUE"""),"FRANQUIA_D&amp;G_SP")</f>
        <v>FRANQUIA_D&amp;G_SP</v>
      </c>
      <c r="F894" s="7" t="str">
        <f>IFERROR(__xludf.DUMMYFUNCTION("""COMPUTED_VALUE"""),"MOTORCYCLE")</f>
        <v>MOTORCYCLE</v>
      </c>
      <c r="G894" s="7" t="str">
        <f>IFERROR(__xludf.DUMMYFUNCTION("""COMPUTED_VALUE"""),"SAO PAULO")</f>
        <v>SAO PAULO</v>
      </c>
    </row>
    <row r="895">
      <c r="A895" s="6">
        <f>IFERROR(__xludf.DUMMYFUNCTION("""COMPUTED_VALUE"""),45705.0)</f>
        <v>45705</v>
      </c>
      <c r="B895" s="7" t="str">
        <f>IFERROR(__xludf.DUMMYFUNCTION("""COMPUTED_VALUE"""),"b7eb2118-92a5-4b05-b1a8-5d8e17644343")</f>
        <v>b7eb2118-92a5-4b05-b1a8-5d8e17644343</v>
      </c>
      <c r="C895" s="7">
        <f>IFERROR(__xludf.DUMMYFUNCTION("""COMPUTED_VALUE"""),6.0)</f>
        <v>6</v>
      </c>
      <c r="D895" s="6">
        <f>IFERROR(__xludf.DUMMYFUNCTION("""COMPUTED_VALUE"""),45699.0)</f>
        <v>45699</v>
      </c>
      <c r="E895" s="7" t="str">
        <f>IFERROR(__xludf.DUMMYFUNCTION("""COMPUTED_VALUE"""),"FRANQUIA_D&amp;G_SP")</f>
        <v>FRANQUIA_D&amp;G_SP</v>
      </c>
      <c r="F895" s="7" t="str">
        <f>IFERROR(__xludf.DUMMYFUNCTION("""COMPUTED_VALUE"""),"MOTORCYCLE")</f>
        <v>MOTORCYCLE</v>
      </c>
      <c r="G895" s="7" t="str">
        <f>IFERROR(__xludf.DUMMYFUNCTION("""COMPUTED_VALUE"""),"SAO PAULO")</f>
        <v>SAO PAULO</v>
      </c>
    </row>
    <row r="896">
      <c r="A896" s="6">
        <f>IFERROR(__xludf.DUMMYFUNCTION("""COMPUTED_VALUE"""),45705.0)</f>
        <v>45705</v>
      </c>
      <c r="B896" s="7" t="str">
        <f>IFERROR(__xludf.DUMMYFUNCTION("""COMPUTED_VALUE"""),"6c528947-4b8f-43cf-9c82-30873818659a")</f>
        <v>6c528947-4b8f-43cf-9c82-30873818659a</v>
      </c>
      <c r="C896" s="7">
        <f>IFERROR(__xludf.DUMMYFUNCTION("""COMPUTED_VALUE"""),0.0)</f>
        <v>0</v>
      </c>
      <c r="D896" s="6">
        <f>IFERROR(__xludf.DUMMYFUNCTION("""COMPUTED_VALUE"""),45705.0)</f>
        <v>45705</v>
      </c>
      <c r="E896" s="7" t="str">
        <f>IFERROR(__xludf.DUMMYFUNCTION("""COMPUTED_VALUE"""),"FRANQUIA_D&amp;G_SP")</f>
        <v>FRANQUIA_D&amp;G_SP</v>
      </c>
      <c r="F896" s="7" t="str">
        <f>IFERROR(__xludf.DUMMYFUNCTION("""COMPUTED_VALUE"""),"MOTORCYCLE")</f>
        <v>MOTORCYCLE</v>
      </c>
      <c r="G896" s="7" t="str">
        <f>IFERROR(__xludf.DUMMYFUNCTION("""COMPUTED_VALUE"""),"SAO PAULO")</f>
        <v>SAO PAULO</v>
      </c>
    </row>
    <row r="897">
      <c r="A897" s="6">
        <f>IFERROR(__xludf.DUMMYFUNCTION("""COMPUTED_VALUE"""),45705.0)</f>
        <v>45705</v>
      </c>
      <c r="B897" s="7" t="str">
        <f>IFERROR(__xludf.DUMMYFUNCTION("""COMPUTED_VALUE"""),"e109cfbc-43f0-4ae8-9280-52fe143bc3ed")</f>
        <v>e109cfbc-43f0-4ae8-9280-52fe143bc3ed</v>
      </c>
      <c r="C897" s="7">
        <f>IFERROR(__xludf.DUMMYFUNCTION("""COMPUTED_VALUE"""),0.0)</f>
        <v>0</v>
      </c>
      <c r="D897" s="6">
        <f>IFERROR(__xludf.DUMMYFUNCTION("""COMPUTED_VALUE"""),45705.0)</f>
        <v>45705</v>
      </c>
      <c r="E897" s="7" t="str">
        <f>IFERROR(__xludf.DUMMYFUNCTION("""COMPUTED_VALUE"""),"FRANQUIA_D&amp;G_SP")</f>
        <v>FRANQUIA_D&amp;G_SP</v>
      </c>
      <c r="F897" s="7" t="str">
        <f>IFERROR(__xludf.DUMMYFUNCTION("""COMPUTED_VALUE"""),"MOTORCYCLE")</f>
        <v>MOTORCYCLE</v>
      </c>
      <c r="G897" s="7" t="str">
        <f>IFERROR(__xludf.DUMMYFUNCTION("""COMPUTED_VALUE"""),"SAO PAULO")</f>
        <v>SAO PAULO</v>
      </c>
    </row>
    <row r="898">
      <c r="A898" s="6">
        <f>IFERROR(__xludf.DUMMYFUNCTION("""COMPUTED_VALUE"""),45705.0)</f>
        <v>45705</v>
      </c>
      <c r="B898" s="7" t="str">
        <f>IFERROR(__xludf.DUMMYFUNCTION("""COMPUTED_VALUE"""),"f39f62f6-ec14-4a37-a68b-32c20a34eb49")</f>
        <v>f39f62f6-ec14-4a37-a68b-32c20a34eb49</v>
      </c>
      <c r="C898" s="7">
        <f>IFERROR(__xludf.DUMMYFUNCTION("""COMPUTED_VALUE"""),203.0)</f>
        <v>203</v>
      </c>
      <c r="D898" s="6">
        <f>IFERROR(__xludf.DUMMYFUNCTION("""COMPUTED_VALUE"""),45502.0)</f>
        <v>45502</v>
      </c>
      <c r="E898" s="7" t="str">
        <f>IFERROR(__xludf.DUMMYFUNCTION("""COMPUTED_VALUE"""),"FRANQUIA_D&amp;G_SP")</f>
        <v>FRANQUIA_D&amp;G_SP</v>
      </c>
      <c r="F898" s="7" t="str">
        <f>IFERROR(__xludf.DUMMYFUNCTION("""COMPUTED_VALUE"""),"MOTORCYCLE")</f>
        <v>MOTORCYCLE</v>
      </c>
      <c r="G898" s="7" t="str">
        <f>IFERROR(__xludf.DUMMYFUNCTION("""COMPUTED_VALUE"""),"SAO PAULO")</f>
        <v>SAO PAULO</v>
      </c>
    </row>
    <row r="899">
      <c r="A899" s="6">
        <f>IFERROR(__xludf.DUMMYFUNCTION("""COMPUTED_VALUE"""),45705.0)</f>
        <v>45705</v>
      </c>
      <c r="B899" s="7" t="str">
        <f>IFERROR(__xludf.DUMMYFUNCTION("""COMPUTED_VALUE"""),"87291f4c-a761-4ae1-99b0-ee7ea3aac6c5")</f>
        <v>87291f4c-a761-4ae1-99b0-ee7ea3aac6c5</v>
      </c>
      <c r="C899" s="7">
        <f>IFERROR(__xludf.DUMMYFUNCTION("""COMPUTED_VALUE"""),402.0)</f>
        <v>402</v>
      </c>
      <c r="D899" s="6">
        <f>IFERROR(__xludf.DUMMYFUNCTION("""COMPUTED_VALUE"""),45303.0)</f>
        <v>45303</v>
      </c>
      <c r="E899" s="7" t="str">
        <f>IFERROR(__xludf.DUMMYFUNCTION("""COMPUTED_VALUE"""),"FRANQUIA_D&amp;G_SP")</f>
        <v>FRANQUIA_D&amp;G_SP</v>
      </c>
      <c r="F899" s="7" t="str">
        <f>IFERROR(__xludf.DUMMYFUNCTION("""COMPUTED_VALUE"""),"BICYCLE")</f>
        <v>BICYCLE</v>
      </c>
      <c r="G899" s="7" t="str">
        <f>IFERROR(__xludf.DUMMYFUNCTION("""COMPUTED_VALUE"""),"SAO PAULO")</f>
        <v>SAO PAULO</v>
      </c>
    </row>
    <row r="900">
      <c r="A900" s="6">
        <f>IFERROR(__xludf.DUMMYFUNCTION("""COMPUTED_VALUE"""),45705.0)</f>
        <v>45705</v>
      </c>
      <c r="B900" s="7" t="str">
        <f>IFERROR(__xludf.DUMMYFUNCTION("""COMPUTED_VALUE"""),"eec63735-c68a-428c-8e06-79fa8cecc094")</f>
        <v>eec63735-c68a-428c-8e06-79fa8cecc094</v>
      </c>
      <c r="C900" s="7">
        <f>IFERROR(__xludf.DUMMYFUNCTION("""COMPUTED_VALUE"""),1.0)</f>
        <v>1</v>
      </c>
      <c r="D900" s="6">
        <f>IFERROR(__xludf.DUMMYFUNCTION("""COMPUTED_VALUE"""),45704.0)</f>
        <v>45704</v>
      </c>
      <c r="E900" s="7" t="str">
        <f>IFERROR(__xludf.DUMMYFUNCTION("""COMPUTED_VALUE"""),"FRANQUIA_D&amp;G_SP")</f>
        <v>FRANQUIA_D&amp;G_SP</v>
      </c>
      <c r="F900" s="7" t="str">
        <f>IFERROR(__xludf.DUMMYFUNCTION("""COMPUTED_VALUE"""),"MOTORCYCLE")</f>
        <v>MOTORCYCLE</v>
      </c>
      <c r="G900" s="7" t="str">
        <f>IFERROR(__xludf.DUMMYFUNCTION("""COMPUTED_VALUE"""),"SAO PAULO")</f>
        <v>SAO PAULO</v>
      </c>
    </row>
    <row r="901">
      <c r="A901" s="6">
        <f>IFERROR(__xludf.DUMMYFUNCTION("""COMPUTED_VALUE"""),45705.0)</f>
        <v>45705</v>
      </c>
      <c r="B901" s="7" t="str">
        <f>IFERROR(__xludf.DUMMYFUNCTION("""COMPUTED_VALUE"""),"e39b7508-bbd8-42af-b720-9ae0fa4bd410")</f>
        <v>e39b7508-bbd8-42af-b720-9ae0fa4bd410</v>
      </c>
      <c r="C901" s="7">
        <f>IFERROR(__xludf.DUMMYFUNCTION("""COMPUTED_VALUE"""),1.0)</f>
        <v>1</v>
      </c>
      <c r="D901" s="6">
        <f>IFERROR(__xludf.DUMMYFUNCTION("""COMPUTED_VALUE"""),45704.0)</f>
        <v>45704</v>
      </c>
      <c r="E901" s="7" t="str">
        <f>IFERROR(__xludf.DUMMYFUNCTION("""COMPUTED_VALUE"""),"FRANQUIA_D&amp;G_SP")</f>
        <v>FRANQUIA_D&amp;G_SP</v>
      </c>
      <c r="F901" s="7" t="str">
        <f>IFERROR(__xludf.DUMMYFUNCTION("""COMPUTED_VALUE"""),"MOTORCYCLE")</f>
        <v>MOTORCYCLE</v>
      </c>
      <c r="G901" s="7" t="str">
        <f>IFERROR(__xludf.DUMMYFUNCTION("""COMPUTED_VALUE"""),"SAO PAULO")</f>
        <v>SAO PAULO</v>
      </c>
    </row>
    <row r="902">
      <c r="A902" s="6">
        <f>IFERROR(__xludf.DUMMYFUNCTION("""COMPUTED_VALUE"""),45705.0)</f>
        <v>45705</v>
      </c>
      <c r="B902" s="7" t="str">
        <f>IFERROR(__xludf.DUMMYFUNCTION("""COMPUTED_VALUE"""),"7c1abaa5-871e-4c0b-b814-35349d6e81b3")</f>
        <v>7c1abaa5-871e-4c0b-b814-35349d6e81b3</v>
      </c>
      <c r="C902" s="7">
        <f>IFERROR(__xludf.DUMMYFUNCTION("""COMPUTED_VALUE"""),0.0)</f>
        <v>0</v>
      </c>
      <c r="D902" s="6">
        <f>IFERROR(__xludf.DUMMYFUNCTION("""COMPUTED_VALUE"""),0.0)</f>
        <v>0</v>
      </c>
      <c r="E902" s="7" t="str">
        <f>IFERROR(__xludf.DUMMYFUNCTION("""COMPUTED_VALUE"""),"FRANQUIA_D&amp;G_SP")</f>
        <v>FRANQUIA_D&amp;G_SP</v>
      </c>
      <c r="F902" s="7" t="str">
        <f>IFERROR(__xludf.DUMMYFUNCTION("""COMPUTED_VALUE"""),"BICYCLE")</f>
        <v>BICYCLE</v>
      </c>
      <c r="G902" s="7" t="str">
        <f>IFERROR(__xludf.DUMMYFUNCTION("""COMPUTED_VALUE"""),"0")</f>
        <v>0</v>
      </c>
    </row>
    <row r="903">
      <c r="A903" s="6">
        <f>IFERROR(__xludf.DUMMYFUNCTION("""COMPUTED_VALUE"""),45705.0)</f>
        <v>45705</v>
      </c>
      <c r="B903" s="7" t="str">
        <f>IFERROR(__xludf.DUMMYFUNCTION("""COMPUTED_VALUE"""),"51761ebd-9a81-4a0c-82b6-32986cd45dcb")</f>
        <v>51761ebd-9a81-4a0c-82b6-32986cd45dcb</v>
      </c>
      <c r="C903" s="7">
        <f>IFERROR(__xludf.DUMMYFUNCTION("""COMPUTED_VALUE"""),0.0)</f>
        <v>0</v>
      </c>
      <c r="D903" s="6">
        <f>IFERROR(__xludf.DUMMYFUNCTION("""COMPUTED_VALUE"""),45705.0)</f>
        <v>45705</v>
      </c>
      <c r="E903" s="7" t="str">
        <f>IFERROR(__xludf.DUMMYFUNCTION("""COMPUTED_VALUE"""),"FRANQUIA_D&amp;G_SP")</f>
        <v>FRANQUIA_D&amp;G_SP</v>
      </c>
      <c r="F903" s="7" t="str">
        <f>IFERROR(__xludf.DUMMYFUNCTION("""COMPUTED_VALUE"""),"EBIKE")</f>
        <v>EBIKE</v>
      </c>
      <c r="G903" s="7" t="str">
        <f>IFERROR(__xludf.DUMMYFUNCTION("""COMPUTED_VALUE"""),"SAO PAULO")</f>
        <v>SAO PAULO</v>
      </c>
    </row>
    <row r="904">
      <c r="A904" s="6">
        <f>IFERROR(__xludf.DUMMYFUNCTION("""COMPUTED_VALUE"""),45705.0)</f>
        <v>45705</v>
      </c>
      <c r="B904" s="7" t="str">
        <f>IFERROR(__xludf.DUMMYFUNCTION("""COMPUTED_VALUE"""),"c57416db-f4c6-4d51-b799-cd53e39f9bf0")</f>
        <v>c57416db-f4c6-4d51-b799-cd53e39f9bf0</v>
      </c>
      <c r="C904" s="7">
        <f>IFERROR(__xludf.DUMMYFUNCTION("""COMPUTED_VALUE"""),1.0)</f>
        <v>1</v>
      </c>
      <c r="D904" s="6">
        <f>IFERROR(__xludf.DUMMYFUNCTION("""COMPUTED_VALUE"""),45704.0)</f>
        <v>45704</v>
      </c>
      <c r="E904" s="7" t="str">
        <f>IFERROR(__xludf.DUMMYFUNCTION("""COMPUTED_VALUE"""),"FRANQUIA_D&amp;G_SP")</f>
        <v>FRANQUIA_D&amp;G_SP</v>
      </c>
      <c r="F904" s="7" t="str">
        <f>IFERROR(__xludf.DUMMYFUNCTION("""COMPUTED_VALUE"""),"BICYCLE")</f>
        <v>BICYCLE</v>
      </c>
      <c r="G904" s="7" t="str">
        <f>IFERROR(__xludf.DUMMYFUNCTION("""COMPUTED_VALUE"""),"SAO PAULO")</f>
        <v>SAO PAULO</v>
      </c>
    </row>
    <row r="905">
      <c r="A905" s="6">
        <f>IFERROR(__xludf.DUMMYFUNCTION("""COMPUTED_VALUE"""),45705.0)</f>
        <v>45705</v>
      </c>
      <c r="B905" s="7" t="str">
        <f>IFERROR(__xludf.DUMMYFUNCTION("""COMPUTED_VALUE"""),"6d03005e-b238-418e-857f-fa8d44f029c8")</f>
        <v>6d03005e-b238-418e-857f-fa8d44f029c8</v>
      </c>
      <c r="C905" s="7">
        <f>IFERROR(__xludf.DUMMYFUNCTION("""COMPUTED_VALUE"""),37.0)</f>
        <v>37</v>
      </c>
      <c r="D905" s="6">
        <f>IFERROR(__xludf.DUMMYFUNCTION("""COMPUTED_VALUE"""),45668.0)</f>
        <v>45668</v>
      </c>
      <c r="E905" s="7" t="str">
        <f>IFERROR(__xludf.DUMMYFUNCTION("""COMPUTED_VALUE"""),"FRANQUIA_D&amp;G_SP")</f>
        <v>FRANQUIA_D&amp;G_SP</v>
      </c>
      <c r="F905" s="7" t="str">
        <f>IFERROR(__xludf.DUMMYFUNCTION("""COMPUTED_VALUE"""),"BICYCLE")</f>
        <v>BICYCLE</v>
      </c>
      <c r="G905" s="7" t="str">
        <f>IFERROR(__xludf.DUMMYFUNCTION("""COMPUTED_VALUE"""),"SAO PAULO")</f>
        <v>SAO PAULO</v>
      </c>
    </row>
    <row r="906">
      <c r="A906" s="6">
        <f>IFERROR(__xludf.DUMMYFUNCTION("""COMPUTED_VALUE"""),45705.0)</f>
        <v>45705</v>
      </c>
      <c r="B906" s="7" t="str">
        <f>IFERROR(__xludf.DUMMYFUNCTION("""COMPUTED_VALUE"""),"e9eb9ad8-7de8-4f03-8d79-e58402e13ae0")</f>
        <v>e9eb9ad8-7de8-4f03-8d79-e58402e13ae0</v>
      </c>
      <c r="C906" s="7">
        <f>IFERROR(__xludf.DUMMYFUNCTION("""COMPUTED_VALUE"""),2.0)</f>
        <v>2</v>
      </c>
      <c r="D906" s="6">
        <f>IFERROR(__xludf.DUMMYFUNCTION("""COMPUTED_VALUE"""),45703.0)</f>
        <v>45703</v>
      </c>
      <c r="E906" s="7" t="str">
        <f>IFERROR(__xludf.DUMMYFUNCTION("""COMPUTED_VALUE"""),"FRANQUIA_D&amp;G_SP")</f>
        <v>FRANQUIA_D&amp;G_SP</v>
      </c>
      <c r="F906" s="7" t="str">
        <f>IFERROR(__xludf.DUMMYFUNCTION("""COMPUTED_VALUE"""),"MOTORCYCLE")</f>
        <v>MOTORCYCLE</v>
      </c>
      <c r="G906" s="7" t="str">
        <f>IFERROR(__xludf.DUMMYFUNCTION("""COMPUTED_VALUE"""),"RESTAURANTE PARCEIRO")</f>
        <v>RESTAURANTE PARCEIRO</v>
      </c>
    </row>
    <row r="907">
      <c r="A907" s="6">
        <f>IFERROR(__xludf.DUMMYFUNCTION("""COMPUTED_VALUE"""),45705.0)</f>
        <v>45705</v>
      </c>
      <c r="B907" s="7" t="str">
        <f>IFERROR(__xludf.DUMMYFUNCTION("""COMPUTED_VALUE"""),"6f800540-0d02-454f-a5c1-c2ae9dddddab")</f>
        <v>6f800540-0d02-454f-a5c1-c2ae9dddddab</v>
      </c>
      <c r="C907" s="7">
        <f>IFERROR(__xludf.DUMMYFUNCTION("""COMPUTED_VALUE"""),129.0)</f>
        <v>129</v>
      </c>
      <c r="D907" s="6">
        <f>IFERROR(__xludf.DUMMYFUNCTION("""COMPUTED_VALUE"""),45576.0)</f>
        <v>45576</v>
      </c>
      <c r="E907" s="7" t="str">
        <f>IFERROR(__xludf.DUMMYFUNCTION("""COMPUTED_VALUE"""),"FRANQUIA_D&amp;G_SP")</f>
        <v>FRANQUIA_D&amp;G_SP</v>
      </c>
      <c r="F907" s="7" t="str">
        <f>IFERROR(__xludf.DUMMYFUNCTION("""COMPUTED_VALUE"""),"BICYCLE")</f>
        <v>BICYCLE</v>
      </c>
      <c r="G907" s="7" t="str">
        <f>IFERROR(__xludf.DUMMYFUNCTION("""COMPUTED_VALUE"""),"SAO PAULO")</f>
        <v>SAO PAULO</v>
      </c>
    </row>
    <row r="908">
      <c r="A908" s="6">
        <f>IFERROR(__xludf.DUMMYFUNCTION("""COMPUTED_VALUE"""),45705.0)</f>
        <v>45705</v>
      </c>
      <c r="B908" s="7" t="str">
        <f>IFERROR(__xludf.DUMMYFUNCTION("""COMPUTED_VALUE"""),"4231f529-0e9e-48e4-8d18-90eb98e1a6a0")</f>
        <v>4231f529-0e9e-48e4-8d18-90eb98e1a6a0</v>
      </c>
      <c r="C908" s="7">
        <f>IFERROR(__xludf.DUMMYFUNCTION("""COMPUTED_VALUE"""),0.0)</f>
        <v>0</v>
      </c>
      <c r="D908" s="6">
        <f>IFERROR(__xludf.DUMMYFUNCTION("""COMPUTED_VALUE"""),45705.0)</f>
        <v>45705</v>
      </c>
      <c r="E908" s="7" t="str">
        <f>IFERROR(__xludf.DUMMYFUNCTION("""COMPUTED_VALUE"""),"FRANQUIA_D&amp;G_SP")</f>
        <v>FRANQUIA_D&amp;G_SP</v>
      </c>
      <c r="F908" s="7" t="str">
        <f>IFERROR(__xludf.DUMMYFUNCTION("""COMPUTED_VALUE"""),"MOTORCYCLE")</f>
        <v>MOTORCYCLE</v>
      </c>
      <c r="G908" s="7" t="str">
        <f>IFERROR(__xludf.DUMMYFUNCTION("""COMPUTED_VALUE"""),"SAO PAULO")</f>
        <v>SAO PAULO</v>
      </c>
    </row>
    <row r="909">
      <c r="A909" s="6">
        <f>IFERROR(__xludf.DUMMYFUNCTION("""COMPUTED_VALUE"""),45705.0)</f>
        <v>45705</v>
      </c>
      <c r="B909" s="7" t="str">
        <f>IFERROR(__xludf.DUMMYFUNCTION("""COMPUTED_VALUE"""),"fa08c80f-db62-42c9-89f8-2cc355204ab6")</f>
        <v>fa08c80f-db62-42c9-89f8-2cc355204ab6</v>
      </c>
      <c r="C909" s="7">
        <f>IFERROR(__xludf.DUMMYFUNCTION("""COMPUTED_VALUE"""),42.0)</f>
        <v>42</v>
      </c>
      <c r="D909" s="6">
        <f>IFERROR(__xludf.DUMMYFUNCTION("""COMPUTED_VALUE"""),45663.0)</f>
        <v>45663</v>
      </c>
      <c r="E909" s="7" t="str">
        <f>IFERROR(__xludf.DUMMYFUNCTION("""COMPUTED_VALUE"""),"FRANQUIA_D&amp;G_SP")</f>
        <v>FRANQUIA_D&amp;G_SP</v>
      </c>
      <c r="F909" s="7" t="str">
        <f>IFERROR(__xludf.DUMMYFUNCTION("""COMPUTED_VALUE"""),"BICYCLE")</f>
        <v>BICYCLE</v>
      </c>
      <c r="G909" s="7" t="str">
        <f>IFERROR(__xludf.DUMMYFUNCTION("""COMPUTED_VALUE"""),"SAO PAULO")</f>
        <v>SAO PAULO</v>
      </c>
    </row>
    <row r="910">
      <c r="A910" s="6">
        <f>IFERROR(__xludf.DUMMYFUNCTION("""COMPUTED_VALUE"""),45705.0)</f>
        <v>45705</v>
      </c>
      <c r="B910" s="7" t="str">
        <f>IFERROR(__xludf.DUMMYFUNCTION("""COMPUTED_VALUE"""),"b3bdeb04-28a7-4975-b9ba-fed67a561356")</f>
        <v>b3bdeb04-28a7-4975-b9ba-fed67a561356</v>
      </c>
      <c r="C910" s="7">
        <f>IFERROR(__xludf.DUMMYFUNCTION("""COMPUTED_VALUE"""),0.0)</f>
        <v>0</v>
      </c>
      <c r="D910" s="6">
        <f>IFERROR(__xludf.DUMMYFUNCTION("""COMPUTED_VALUE"""),45705.0)</f>
        <v>45705</v>
      </c>
      <c r="E910" s="7" t="str">
        <f>IFERROR(__xludf.DUMMYFUNCTION("""COMPUTED_VALUE"""),"FRANQUIA_D&amp;G_SP")</f>
        <v>FRANQUIA_D&amp;G_SP</v>
      </c>
      <c r="F910" s="7" t="str">
        <f>IFERROR(__xludf.DUMMYFUNCTION("""COMPUTED_VALUE"""),"MOTORCYCLE")</f>
        <v>MOTORCYCLE</v>
      </c>
      <c r="G910" s="7" t="str">
        <f>IFERROR(__xludf.DUMMYFUNCTION("""COMPUTED_VALUE"""),"SAO PAULO")</f>
        <v>SAO PAULO</v>
      </c>
    </row>
    <row r="911">
      <c r="A911" s="6">
        <f>IFERROR(__xludf.DUMMYFUNCTION("""COMPUTED_VALUE"""),45705.0)</f>
        <v>45705</v>
      </c>
      <c r="B911" s="7" t="str">
        <f>IFERROR(__xludf.DUMMYFUNCTION("""COMPUTED_VALUE"""),"05d7ebaa-b871-4dcf-b417-0ccd920afda2")</f>
        <v>05d7ebaa-b871-4dcf-b417-0ccd920afda2</v>
      </c>
      <c r="C911" s="7">
        <f>IFERROR(__xludf.DUMMYFUNCTION("""COMPUTED_VALUE"""),0.0)</f>
        <v>0</v>
      </c>
      <c r="D911" s="6">
        <f>IFERROR(__xludf.DUMMYFUNCTION("""COMPUTED_VALUE"""),45705.0)</f>
        <v>45705</v>
      </c>
      <c r="E911" s="7" t="str">
        <f>IFERROR(__xludf.DUMMYFUNCTION("""COMPUTED_VALUE"""),"FRANQUIA_D&amp;G_SP")</f>
        <v>FRANQUIA_D&amp;G_SP</v>
      </c>
      <c r="F911" s="7" t="str">
        <f>IFERROR(__xludf.DUMMYFUNCTION("""COMPUTED_VALUE"""),"MOTORCYCLE")</f>
        <v>MOTORCYCLE</v>
      </c>
      <c r="G911" s="7" t="str">
        <f>IFERROR(__xludf.DUMMYFUNCTION("""COMPUTED_VALUE"""),"SAO PAULO")</f>
        <v>SAO PAULO</v>
      </c>
    </row>
    <row r="912">
      <c r="A912" s="6">
        <f>IFERROR(__xludf.DUMMYFUNCTION("""COMPUTED_VALUE"""),45705.0)</f>
        <v>45705</v>
      </c>
      <c r="B912" s="7" t="str">
        <f>IFERROR(__xludf.DUMMYFUNCTION("""COMPUTED_VALUE"""),"ecce0390-ff9b-4875-a3ae-62362ded12e4")</f>
        <v>ecce0390-ff9b-4875-a3ae-62362ded12e4</v>
      </c>
      <c r="C912" s="7">
        <f>IFERROR(__xludf.DUMMYFUNCTION("""COMPUTED_VALUE"""),0.0)</f>
        <v>0</v>
      </c>
      <c r="D912" s="6">
        <f>IFERROR(__xludf.DUMMYFUNCTION("""COMPUTED_VALUE"""),45705.0)</f>
        <v>45705</v>
      </c>
      <c r="E912" s="7" t="str">
        <f>IFERROR(__xludf.DUMMYFUNCTION("""COMPUTED_VALUE"""),"FRANQUIA_D&amp;G_SP")</f>
        <v>FRANQUIA_D&amp;G_SP</v>
      </c>
      <c r="F912" s="7" t="str">
        <f>IFERROR(__xludf.DUMMYFUNCTION("""COMPUTED_VALUE"""),"BICYCLE")</f>
        <v>BICYCLE</v>
      </c>
      <c r="G912" s="7" t="str">
        <f>IFERROR(__xludf.DUMMYFUNCTION("""COMPUTED_VALUE"""),"SAO PAULO")</f>
        <v>SAO PAULO</v>
      </c>
    </row>
    <row r="913">
      <c r="A913" s="6">
        <f>IFERROR(__xludf.DUMMYFUNCTION("""COMPUTED_VALUE"""),45705.0)</f>
        <v>45705</v>
      </c>
      <c r="B913" s="7" t="str">
        <f>IFERROR(__xludf.DUMMYFUNCTION("""COMPUTED_VALUE"""),"86b2daa1-60e1-42f7-82d9-1d115aff6c4b")</f>
        <v>86b2daa1-60e1-42f7-82d9-1d115aff6c4b</v>
      </c>
      <c r="C913" s="7">
        <f>IFERROR(__xludf.DUMMYFUNCTION("""COMPUTED_VALUE"""),184.0)</f>
        <v>184</v>
      </c>
      <c r="D913" s="6">
        <f>IFERROR(__xludf.DUMMYFUNCTION("""COMPUTED_VALUE"""),45521.0)</f>
        <v>45521</v>
      </c>
      <c r="E913" s="7" t="str">
        <f>IFERROR(__xludf.DUMMYFUNCTION("""COMPUTED_VALUE"""),"FRANQUIA_D&amp;G_SP")</f>
        <v>FRANQUIA_D&amp;G_SP</v>
      </c>
      <c r="F913" s="7" t="str">
        <f>IFERROR(__xludf.DUMMYFUNCTION("""COMPUTED_VALUE"""),"MOTORCYCLE")</f>
        <v>MOTORCYCLE</v>
      </c>
      <c r="G913" s="7" t="str">
        <f>IFERROR(__xludf.DUMMYFUNCTION("""COMPUTED_VALUE"""),"SAO PAULO")</f>
        <v>SAO PAULO</v>
      </c>
    </row>
    <row r="914">
      <c r="A914" s="6">
        <f>IFERROR(__xludf.DUMMYFUNCTION("""COMPUTED_VALUE"""),45705.0)</f>
        <v>45705</v>
      </c>
      <c r="B914" s="7" t="str">
        <f>IFERROR(__xludf.DUMMYFUNCTION("""COMPUTED_VALUE"""),"d8c04dfe-b3f7-4098-a3d6-65ceb17b6bf9")</f>
        <v>d8c04dfe-b3f7-4098-a3d6-65ceb17b6bf9</v>
      </c>
      <c r="C914" s="7">
        <f>IFERROR(__xludf.DUMMYFUNCTION("""COMPUTED_VALUE"""),0.0)</f>
        <v>0</v>
      </c>
      <c r="D914" s="6">
        <f>IFERROR(__xludf.DUMMYFUNCTION("""COMPUTED_VALUE"""),45705.0)</f>
        <v>45705</v>
      </c>
      <c r="E914" s="7" t="str">
        <f>IFERROR(__xludf.DUMMYFUNCTION("""COMPUTED_VALUE"""),"FRANQUIA_D&amp;G_SP")</f>
        <v>FRANQUIA_D&amp;G_SP</v>
      </c>
      <c r="F914" s="7" t="str">
        <f>IFERROR(__xludf.DUMMYFUNCTION("""COMPUTED_VALUE"""),"MOTORCYCLE")</f>
        <v>MOTORCYCLE</v>
      </c>
      <c r="G914" s="7" t="str">
        <f>IFERROR(__xludf.DUMMYFUNCTION("""COMPUTED_VALUE"""),"SAO PAULO")</f>
        <v>SAO PAULO</v>
      </c>
    </row>
    <row r="915">
      <c r="A915" s="6">
        <f>IFERROR(__xludf.DUMMYFUNCTION("""COMPUTED_VALUE"""),45705.0)</f>
        <v>45705</v>
      </c>
      <c r="B915" s="7" t="str">
        <f>IFERROR(__xludf.DUMMYFUNCTION("""COMPUTED_VALUE"""),"be1c3b1b-9bf7-4127-aa43-83c82a111a50")</f>
        <v>be1c3b1b-9bf7-4127-aa43-83c82a111a50</v>
      </c>
      <c r="C915" s="7">
        <f>IFERROR(__xludf.DUMMYFUNCTION("""COMPUTED_VALUE"""),388.0)</f>
        <v>388</v>
      </c>
      <c r="D915" s="6">
        <f>IFERROR(__xludf.DUMMYFUNCTION("""COMPUTED_VALUE"""),45317.0)</f>
        <v>45317</v>
      </c>
      <c r="E915" s="7" t="str">
        <f>IFERROR(__xludf.DUMMYFUNCTION("""COMPUTED_VALUE"""),"FRANQUIA_D&amp;G_SP")</f>
        <v>FRANQUIA_D&amp;G_SP</v>
      </c>
      <c r="F915" s="7" t="str">
        <f>IFERROR(__xludf.DUMMYFUNCTION("""COMPUTED_VALUE"""),"BICYCLE")</f>
        <v>BICYCLE</v>
      </c>
      <c r="G915" s="7" t="str">
        <f>IFERROR(__xludf.DUMMYFUNCTION("""COMPUTED_VALUE"""),"SAO PAULO")</f>
        <v>SAO PAULO</v>
      </c>
    </row>
    <row r="916">
      <c r="A916" s="6">
        <f>IFERROR(__xludf.DUMMYFUNCTION("""COMPUTED_VALUE"""),45705.0)</f>
        <v>45705</v>
      </c>
      <c r="B916" s="7" t="str">
        <f>IFERROR(__xludf.DUMMYFUNCTION("""COMPUTED_VALUE"""),"9d044db6-dd92-4109-9262-cfc920075968")</f>
        <v>9d044db6-dd92-4109-9262-cfc920075968</v>
      </c>
      <c r="C916" s="7">
        <f>IFERROR(__xludf.DUMMYFUNCTION("""COMPUTED_VALUE"""),209.0)</f>
        <v>209</v>
      </c>
      <c r="D916" s="6">
        <f>IFERROR(__xludf.DUMMYFUNCTION("""COMPUTED_VALUE"""),45496.0)</f>
        <v>45496</v>
      </c>
      <c r="E916" s="7" t="str">
        <f>IFERROR(__xludf.DUMMYFUNCTION("""COMPUTED_VALUE"""),"FRANQUIA_D&amp;G_SP")</f>
        <v>FRANQUIA_D&amp;G_SP</v>
      </c>
      <c r="F916" s="7" t="str">
        <f>IFERROR(__xludf.DUMMYFUNCTION("""COMPUTED_VALUE"""),"MOTORCYCLE")</f>
        <v>MOTORCYCLE</v>
      </c>
      <c r="G916" s="7" t="str">
        <f>IFERROR(__xludf.DUMMYFUNCTION("""COMPUTED_VALUE"""),"SAO PAULO")</f>
        <v>SAO PAULO</v>
      </c>
    </row>
    <row r="917">
      <c r="A917" s="6">
        <f>IFERROR(__xludf.DUMMYFUNCTION("""COMPUTED_VALUE"""),45705.0)</f>
        <v>45705</v>
      </c>
      <c r="B917" s="7" t="str">
        <f>IFERROR(__xludf.DUMMYFUNCTION("""COMPUTED_VALUE"""),"f3b59935-0874-45df-b46b-4d3b874900c6")</f>
        <v>f3b59935-0874-45df-b46b-4d3b874900c6</v>
      </c>
      <c r="C917" s="7">
        <f>IFERROR(__xludf.DUMMYFUNCTION("""COMPUTED_VALUE"""),3.0)</f>
        <v>3</v>
      </c>
      <c r="D917" s="6">
        <f>IFERROR(__xludf.DUMMYFUNCTION("""COMPUTED_VALUE"""),45702.0)</f>
        <v>45702</v>
      </c>
      <c r="E917" s="7" t="str">
        <f>IFERROR(__xludf.DUMMYFUNCTION("""COMPUTED_VALUE"""),"FRANQUIA_D&amp;G_SP")</f>
        <v>FRANQUIA_D&amp;G_SP</v>
      </c>
      <c r="F917" s="7" t="str">
        <f>IFERROR(__xludf.DUMMYFUNCTION("""COMPUTED_VALUE"""),"MOTORCYCLE")</f>
        <v>MOTORCYCLE</v>
      </c>
      <c r="G917" s="7" t="str">
        <f>IFERROR(__xludf.DUMMYFUNCTION("""COMPUTED_VALUE"""),"SAO PAULO")</f>
        <v>SAO PAULO</v>
      </c>
    </row>
    <row r="918">
      <c r="A918" s="6">
        <f>IFERROR(__xludf.DUMMYFUNCTION("""COMPUTED_VALUE"""),45705.0)</f>
        <v>45705</v>
      </c>
      <c r="B918" s="7" t="str">
        <f>IFERROR(__xludf.DUMMYFUNCTION("""COMPUTED_VALUE"""),"15daece7-5328-4e6f-8d9f-9431025e233a")</f>
        <v>15daece7-5328-4e6f-8d9f-9431025e233a</v>
      </c>
      <c r="C918" s="7">
        <f>IFERROR(__xludf.DUMMYFUNCTION("""COMPUTED_VALUE"""),172.0)</f>
        <v>172</v>
      </c>
      <c r="D918" s="6">
        <f>IFERROR(__xludf.DUMMYFUNCTION("""COMPUTED_VALUE"""),45533.0)</f>
        <v>45533</v>
      </c>
      <c r="E918" s="7" t="str">
        <f>IFERROR(__xludf.DUMMYFUNCTION("""COMPUTED_VALUE"""),"FRANQUIA_D&amp;G_SP")</f>
        <v>FRANQUIA_D&amp;G_SP</v>
      </c>
      <c r="F918" s="7" t="str">
        <f>IFERROR(__xludf.DUMMYFUNCTION("""COMPUTED_VALUE"""),"MOTORCYCLE")</f>
        <v>MOTORCYCLE</v>
      </c>
      <c r="G918" s="7" t="str">
        <f>IFERROR(__xludf.DUMMYFUNCTION("""COMPUTED_VALUE"""),"SAO PAULO")</f>
        <v>SAO PAULO</v>
      </c>
    </row>
    <row r="919">
      <c r="A919" s="6">
        <f>IFERROR(__xludf.DUMMYFUNCTION("""COMPUTED_VALUE"""),45705.0)</f>
        <v>45705</v>
      </c>
      <c r="B919" s="7" t="str">
        <f>IFERROR(__xludf.DUMMYFUNCTION("""COMPUTED_VALUE"""),"256277a1-0c59-4575-b6d0-0069c4b9d3bd")</f>
        <v>256277a1-0c59-4575-b6d0-0069c4b9d3bd</v>
      </c>
      <c r="C919" s="7">
        <f>IFERROR(__xludf.DUMMYFUNCTION("""COMPUTED_VALUE"""),0.0)</f>
        <v>0</v>
      </c>
      <c r="D919" s="6">
        <f>IFERROR(__xludf.DUMMYFUNCTION("""COMPUTED_VALUE"""),45705.0)</f>
        <v>45705</v>
      </c>
      <c r="E919" s="7" t="str">
        <f>IFERROR(__xludf.DUMMYFUNCTION("""COMPUTED_VALUE"""),"FRANQUIA_D&amp;G_SP")</f>
        <v>FRANQUIA_D&amp;G_SP</v>
      </c>
      <c r="F919" s="7" t="str">
        <f>IFERROR(__xludf.DUMMYFUNCTION("""COMPUTED_VALUE"""),"EBIKE")</f>
        <v>EBIKE</v>
      </c>
      <c r="G919" s="7" t="str">
        <f>IFERROR(__xludf.DUMMYFUNCTION("""COMPUTED_VALUE"""),"SAO PAULO")</f>
        <v>SAO PAULO</v>
      </c>
    </row>
    <row r="920">
      <c r="A920" s="6">
        <f>IFERROR(__xludf.DUMMYFUNCTION("""COMPUTED_VALUE"""),45705.0)</f>
        <v>45705</v>
      </c>
      <c r="B920" s="7" t="str">
        <f>IFERROR(__xludf.DUMMYFUNCTION("""COMPUTED_VALUE"""),"b3c29164-73df-4a58-b5b7-9d65e0abf994")</f>
        <v>b3c29164-73df-4a58-b5b7-9d65e0abf994</v>
      </c>
      <c r="C920" s="7">
        <f>IFERROR(__xludf.DUMMYFUNCTION("""COMPUTED_VALUE"""),1.0)</f>
        <v>1</v>
      </c>
      <c r="D920" s="6">
        <f>IFERROR(__xludf.DUMMYFUNCTION("""COMPUTED_VALUE"""),45704.0)</f>
        <v>45704</v>
      </c>
      <c r="E920" s="7" t="str">
        <f>IFERROR(__xludf.DUMMYFUNCTION("""COMPUTED_VALUE"""),"FRANQUIA_D&amp;G_SP")</f>
        <v>FRANQUIA_D&amp;G_SP</v>
      </c>
      <c r="F920" s="7" t="str">
        <f>IFERROR(__xludf.DUMMYFUNCTION("""COMPUTED_VALUE"""),"MOTORCYCLE")</f>
        <v>MOTORCYCLE</v>
      </c>
      <c r="G920" s="7" t="str">
        <f>IFERROR(__xludf.DUMMYFUNCTION("""COMPUTED_VALUE"""),"SUZANO")</f>
        <v>SUZANO</v>
      </c>
    </row>
    <row r="921">
      <c r="A921" s="6">
        <f>IFERROR(__xludf.DUMMYFUNCTION("""COMPUTED_VALUE"""),45705.0)</f>
        <v>45705</v>
      </c>
      <c r="B921" s="7" t="str">
        <f>IFERROR(__xludf.DUMMYFUNCTION("""COMPUTED_VALUE"""),"3d9d75bb-7549-415f-8b0d-e59d47f21e91")</f>
        <v>3d9d75bb-7549-415f-8b0d-e59d47f21e91</v>
      </c>
      <c r="C921" s="7">
        <f>IFERROR(__xludf.DUMMYFUNCTION("""COMPUTED_VALUE"""),71.0)</f>
        <v>71</v>
      </c>
      <c r="D921" s="6">
        <f>IFERROR(__xludf.DUMMYFUNCTION("""COMPUTED_VALUE"""),45634.0)</f>
        <v>45634</v>
      </c>
      <c r="E921" s="7" t="str">
        <f>IFERROR(__xludf.DUMMYFUNCTION("""COMPUTED_VALUE"""),"FRANQUIA_D&amp;G_SP")</f>
        <v>FRANQUIA_D&amp;G_SP</v>
      </c>
      <c r="F921" s="7" t="str">
        <f>IFERROR(__xludf.DUMMYFUNCTION("""COMPUTED_VALUE"""),"BICYCLE")</f>
        <v>BICYCLE</v>
      </c>
      <c r="G921" s="7" t="str">
        <f>IFERROR(__xludf.DUMMYFUNCTION("""COMPUTED_VALUE"""),"SAO PAULO")</f>
        <v>SAO PAULO</v>
      </c>
    </row>
    <row r="922">
      <c r="A922" s="6">
        <f>IFERROR(__xludf.DUMMYFUNCTION("""COMPUTED_VALUE"""),45705.0)</f>
        <v>45705</v>
      </c>
      <c r="B922" s="7" t="str">
        <f>IFERROR(__xludf.DUMMYFUNCTION("""COMPUTED_VALUE"""),"e0ae4d03-8464-4ffd-aee5-cf293abb861f")</f>
        <v>e0ae4d03-8464-4ffd-aee5-cf293abb861f</v>
      </c>
      <c r="C922" s="7">
        <f>IFERROR(__xludf.DUMMYFUNCTION("""COMPUTED_VALUE"""),319.0)</f>
        <v>319</v>
      </c>
      <c r="D922" s="6">
        <f>IFERROR(__xludf.DUMMYFUNCTION("""COMPUTED_VALUE"""),45386.0)</f>
        <v>45386</v>
      </c>
      <c r="E922" s="7" t="str">
        <f>IFERROR(__xludf.DUMMYFUNCTION("""COMPUTED_VALUE"""),"FRANQUIA_D&amp;G_SP")</f>
        <v>FRANQUIA_D&amp;G_SP</v>
      </c>
      <c r="F922" s="7" t="str">
        <f>IFERROR(__xludf.DUMMYFUNCTION("""COMPUTED_VALUE"""),"BICYCLE")</f>
        <v>BICYCLE</v>
      </c>
      <c r="G922" s="7" t="str">
        <f>IFERROR(__xludf.DUMMYFUNCTION("""COMPUTED_VALUE"""),"SAO PAULO")</f>
        <v>SAO PAULO</v>
      </c>
    </row>
    <row r="923">
      <c r="A923" s="6">
        <f>IFERROR(__xludf.DUMMYFUNCTION("""COMPUTED_VALUE"""),45705.0)</f>
        <v>45705</v>
      </c>
      <c r="B923" s="7" t="str">
        <f>IFERROR(__xludf.DUMMYFUNCTION("""COMPUTED_VALUE"""),"c49811bc-e844-460a-aaae-2b8811231806")</f>
        <v>c49811bc-e844-460a-aaae-2b8811231806</v>
      </c>
      <c r="C923" s="7">
        <f>IFERROR(__xludf.DUMMYFUNCTION("""COMPUTED_VALUE"""),0.0)</f>
        <v>0</v>
      </c>
      <c r="D923" s="6">
        <f>IFERROR(__xludf.DUMMYFUNCTION("""COMPUTED_VALUE"""),45705.0)</f>
        <v>45705</v>
      </c>
      <c r="E923" s="7" t="str">
        <f>IFERROR(__xludf.DUMMYFUNCTION("""COMPUTED_VALUE"""),"FRANQUIA_D&amp;G_SP")</f>
        <v>FRANQUIA_D&amp;G_SP</v>
      </c>
      <c r="F923" s="7" t="str">
        <f>IFERROR(__xludf.DUMMYFUNCTION("""COMPUTED_VALUE"""),"MOTORCYCLE")</f>
        <v>MOTORCYCLE</v>
      </c>
      <c r="G923" s="7" t="str">
        <f>IFERROR(__xludf.DUMMYFUNCTION("""COMPUTED_VALUE"""),"SAO PAULO")</f>
        <v>SAO PAULO</v>
      </c>
    </row>
    <row r="924">
      <c r="A924" s="6">
        <f>IFERROR(__xludf.DUMMYFUNCTION("""COMPUTED_VALUE"""),45705.0)</f>
        <v>45705</v>
      </c>
      <c r="B924" s="7" t="str">
        <f>IFERROR(__xludf.DUMMYFUNCTION("""COMPUTED_VALUE"""),"c996b1bf-8118-486c-b689-fd3f28f944ee")</f>
        <v>c996b1bf-8118-486c-b689-fd3f28f944ee</v>
      </c>
      <c r="C924" s="7">
        <f>IFERROR(__xludf.DUMMYFUNCTION("""COMPUTED_VALUE"""),0.0)</f>
        <v>0</v>
      </c>
      <c r="D924" s="6">
        <f>IFERROR(__xludf.DUMMYFUNCTION("""COMPUTED_VALUE"""),45705.0)</f>
        <v>45705</v>
      </c>
      <c r="E924" s="7" t="str">
        <f>IFERROR(__xludf.DUMMYFUNCTION("""COMPUTED_VALUE"""),"FRANQUIA_D&amp;G_SP")</f>
        <v>FRANQUIA_D&amp;G_SP</v>
      </c>
      <c r="F924" s="7" t="str">
        <f>IFERROR(__xludf.DUMMYFUNCTION("""COMPUTED_VALUE"""),"BICYCLE")</f>
        <v>BICYCLE</v>
      </c>
      <c r="G924" s="7" t="str">
        <f>IFERROR(__xludf.DUMMYFUNCTION("""COMPUTED_VALUE"""),"SAO PAULO")</f>
        <v>SAO PAULO</v>
      </c>
    </row>
    <row r="925">
      <c r="A925" s="6">
        <f>IFERROR(__xludf.DUMMYFUNCTION("""COMPUTED_VALUE"""),45705.0)</f>
        <v>45705</v>
      </c>
      <c r="B925" s="7" t="str">
        <f>IFERROR(__xludf.DUMMYFUNCTION("""COMPUTED_VALUE"""),"1c59401f-b45c-4519-9fbe-b3638a24fc7d")</f>
        <v>1c59401f-b45c-4519-9fbe-b3638a24fc7d</v>
      </c>
      <c r="C925" s="7">
        <f>IFERROR(__xludf.DUMMYFUNCTION("""COMPUTED_VALUE"""),0.0)</f>
        <v>0</v>
      </c>
      <c r="D925" s="6">
        <f>IFERROR(__xludf.DUMMYFUNCTION("""COMPUTED_VALUE"""),45705.0)</f>
        <v>45705</v>
      </c>
      <c r="E925" s="7" t="str">
        <f>IFERROR(__xludf.DUMMYFUNCTION("""COMPUTED_VALUE"""),"FRANQUIA_D&amp;G_SP")</f>
        <v>FRANQUIA_D&amp;G_SP</v>
      </c>
      <c r="F925" s="7" t="str">
        <f>IFERROR(__xludf.DUMMYFUNCTION("""COMPUTED_VALUE"""),"MOTORCYCLE")</f>
        <v>MOTORCYCLE</v>
      </c>
      <c r="G925" s="7" t="str">
        <f>IFERROR(__xludf.DUMMYFUNCTION("""COMPUTED_VALUE"""),"SAO PAULO")</f>
        <v>SAO PAULO</v>
      </c>
    </row>
    <row r="926">
      <c r="A926" s="6">
        <f>IFERROR(__xludf.DUMMYFUNCTION("""COMPUTED_VALUE"""),45705.0)</f>
        <v>45705</v>
      </c>
      <c r="B926" s="7" t="str">
        <f>IFERROR(__xludf.DUMMYFUNCTION("""COMPUTED_VALUE"""),"8909f019-94c4-4e15-bdf4-858930976699")</f>
        <v>8909f019-94c4-4e15-bdf4-858930976699</v>
      </c>
      <c r="C926" s="7">
        <f>IFERROR(__xludf.DUMMYFUNCTION("""COMPUTED_VALUE"""),133.0)</f>
        <v>133</v>
      </c>
      <c r="D926" s="6">
        <f>IFERROR(__xludf.DUMMYFUNCTION("""COMPUTED_VALUE"""),45572.0)</f>
        <v>45572</v>
      </c>
      <c r="E926" s="7" t="str">
        <f>IFERROR(__xludf.DUMMYFUNCTION("""COMPUTED_VALUE"""),"FRANQUIA_D&amp;G_SP")</f>
        <v>FRANQUIA_D&amp;G_SP</v>
      </c>
      <c r="F926" s="7" t="str">
        <f>IFERROR(__xludf.DUMMYFUNCTION("""COMPUTED_VALUE"""),"BICYCLE")</f>
        <v>BICYCLE</v>
      </c>
      <c r="G926" s="7" t="str">
        <f>IFERROR(__xludf.DUMMYFUNCTION("""COMPUTED_VALUE"""),"SAO PAULO")</f>
        <v>SAO PAULO</v>
      </c>
    </row>
    <row r="927">
      <c r="A927" s="6">
        <f>IFERROR(__xludf.DUMMYFUNCTION("""COMPUTED_VALUE"""),45705.0)</f>
        <v>45705</v>
      </c>
      <c r="B927" s="7" t="str">
        <f>IFERROR(__xludf.DUMMYFUNCTION("""COMPUTED_VALUE"""),"bba6760c-71b7-4ae9-a51e-c01b9244f407")</f>
        <v>bba6760c-71b7-4ae9-a51e-c01b9244f407</v>
      </c>
      <c r="C927" s="7">
        <f>IFERROR(__xludf.DUMMYFUNCTION("""COMPUTED_VALUE"""),0.0)</f>
        <v>0</v>
      </c>
      <c r="D927" s="6">
        <f>IFERROR(__xludf.DUMMYFUNCTION("""COMPUTED_VALUE"""),45705.0)</f>
        <v>45705</v>
      </c>
      <c r="E927" s="7" t="str">
        <f>IFERROR(__xludf.DUMMYFUNCTION("""COMPUTED_VALUE"""),"FRANQUIA_D&amp;G_SP")</f>
        <v>FRANQUIA_D&amp;G_SP</v>
      </c>
      <c r="F927" s="7" t="str">
        <f>IFERROR(__xludf.DUMMYFUNCTION("""COMPUTED_VALUE"""),"MOTORCYCLE")</f>
        <v>MOTORCYCLE</v>
      </c>
      <c r="G927" s="7" t="str">
        <f>IFERROR(__xludf.DUMMYFUNCTION("""COMPUTED_VALUE"""),"SAO PAULO")</f>
        <v>SAO PAULO</v>
      </c>
    </row>
    <row r="928">
      <c r="A928" s="6">
        <f>IFERROR(__xludf.DUMMYFUNCTION("""COMPUTED_VALUE"""),45705.0)</f>
        <v>45705</v>
      </c>
      <c r="B928" s="7" t="str">
        <f>IFERROR(__xludf.DUMMYFUNCTION("""COMPUTED_VALUE"""),"c46ea84a-6489-41bd-8400-c3c7990e5df0")</f>
        <v>c46ea84a-6489-41bd-8400-c3c7990e5df0</v>
      </c>
      <c r="C928" s="7">
        <f>IFERROR(__xludf.DUMMYFUNCTION("""COMPUTED_VALUE"""),0.0)</f>
        <v>0</v>
      </c>
      <c r="D928" s="6">
        <f>IFERROR(__xludf.DUMMYFUNCTION("""COMPUTED_VALUE"""),45705.0)</f>
        <v>45705</v>
      </c>
      <c r="E928" s="7" t="str">
        <f>IFERROR(__xludf.DUMMYFUNCTION("""COMPUTED_VALUE"""),"FRANQUIA_D&amp;G_SP")</f>
        <v>FRANQUIA_D&amp;G_SP</v>
      </c>
      <c r="F928" s="7" t="str">
        <f>IFERROR(__xludf.DUMMYFUNCTION("""COMPUTED_VALUE"""),"MOTORCYCLE")</f>
        <v>MOTORCYCLE</v>
      </c>
      <c r="G928" s="7" t="str">
        <f>IFERROR(__xludf.DUMMYFUNCTION("""COMPUTED_VALUE"""),"SAO PAULO")</f>
        <v>SAO PAULO</v>
      </c>
    </row>
    <row r="929">
      <c r="A929" s="6">
        <f>IFERROR(__xludf.DUMMYFUNCTION("""COMPUTED_VALUE"""),45705.0)</f>
        <v>45705</v>
      </c>
      <c r="B929" s="7" t="str">
        <f>IFERROR(__xludf.DUMMYFUNCTION("""COMPUTED_VALUE"""),"531a9649-0931-430b-ba13-f714a313452a")</f>
        <v>531a9649-0931-430b-ba13-f714a313452a</v>
      </c>
      <c r="C929" s="7">
        <f>IFERROR(__xludf.DUMMYFUNCTION("""COMPUTED_VALUE"""),0.0)</f>
        <v>0</v>
      </c>
      <c r="D929" s="6">
        <f>IFERROR(__xludf.DUMMYFUNCTION("""COMPUTED_VALUE"""),45705.0)</f>
        <v>45705</v>
      </c>
      <c r="E929" s="7" t="str">
        <f>IFERROR(__xludf.DUMMYFUNCTION("""COMPUTED_VALUE"""),"FRANQUIA_D&amp;G_SP")</f>
        <v>FRANQUIA_D&amp;G_SP</v>
      </c>
      <c r="F929" s="7" t="str">
        <f>IFERROR(__xludf.DUMMYFUNCTION("""COMPUTED_VALUE"""),"BICYCLE")</f>
        <v>BICYCLE</v>
      </c>
      <c r="G929" s="7" t="str">
        <f>IFERROR(__xludf.DUMMYFUNCTION("""COMPUTED_VALUE"""),"SAO PAULO")</f>
        <v>SAO PAULO</v>
      </c>
    </row>
    <row r="930">
      <c r="A930" s="6">
        <f>IFERROR(__xludf.DUMMYFUNCTION("""COMPUTED_VALUE"""),45705.0)</f>
        <v>45705</v>
      </c>
      <c r="B930" s="7" t="str">
        <f>IFERROR(__xludf.DUMMYFUNCTION("""COMPUTED_VALUE"""),"a6006eff-dfd6-4102-a1c9-925e4f738703")</f>
        <v>a6006eff-dfd6-4102-a1c9-925e4f738703</v>
      </c>
      <c r="C930" s="7">
        <f>IFERROR(__xludf.DUMMYFUNCTION("""COMPUTED_VALUE"""),0.0)</f>
        <v>0</v>
      </c>
      <c r="D930" s="6">
        <f>IFERROR(__xludf.DUMMYFUNCTION("""COMPUTED_VALUE"""),45705.0)</f>
        <v>45705</v>
      </c>
      <c r="E930" s="7" t="str">
        <f>IFERROR(__xludf.DUMMYFUNCTION("""COMPUTED_VALUE"""),"FRANQUIA_D&amp;G_SP")</f>
        <v>FRANQUIA_D&amp;G_SP</v>
      </c>
      <c r="F930" s="7" t="str">
        <f>IFERROR(__xludf.DUMMYFUNCTION("""COMPUTED_VALUE"""),"BICYCLE")</f>
        <v>BICYCLE</v>
      </c>
      <c r="G930" s="7" t="str">
        <f>IFERROR(__xludf.DUMMYFUNCTION("""COMPUTED_VALUE"""),"SAO PAULO")</f>
        <v>SAO PAULO</v>
      </c>
    </row>
    <row r="931">
      <c r="A931" s="6">
        <f>IFERROR(__xludf.DUMMYFUNCTION("""COMPUTED_VALUE"""),45705.0)</f>
        <v>45705</v>
      </c>
      <c r="B931" s="7" t="str">
        <f>IFERROR(__xludf.DUMMYFUNCTION("""COMPUTED_VALUE"""),"10f815e9-b97b-4306-a9fb-254621e2ed7d")</f>
        <v>10f815e9-b97b-4306-a9fb-254621e2ed7d</v>
      </c>
      <c r="C931" s="7">
        <f>IFERROR(__xludf.DUMMYFUNCTION("""COMPUTED_VALUE"""),196.0)</f>
        <v>196</v>
      </c>
      <c r="D931" s="6">
        <f>IFERROR(__xludf.DUMMYFUNCTION("""COMPUTED_VALUE"""),45509.0)</f>
        <v>45509</v>
      </c>
      <c r="E931" s="7" t="str">
        <f>IFERROR(__xludf.DUMMYFUNCTION("""COMPUTED_VALUE"""),"FRANQUIA_D&amp;G_SP")</f>
        <v>FRANQUIA_D&amp;G_SP</v>
      </c>
      <c r="F931" s="7" t="str">
        <f>IFERROR(__xludf.DUMMYFUNCTION("""COMPUTED_VALUE"""),"BICYCLE")</f>
        <v>BICYCLE</v>
      </c>
      <c r="G931" s="7" t="str">
        <f>IFERROR(__xludf.DUMMYFUNCTION("""COMPUTED_VALUE"""),"SAO PAULO")</f>
        <v>SAO PAULO</v>
      </c>
    </row>
    <row r="932">
      <c r="A932" s="6">
        <f>IFERROR(__xludf.DUMMYFUNCTION("""COMPUTED_VALUE"""),45705.0)</f>
        <v>45705</v>
      </c>
      <c r="B932" s="7" t="str">
        <f>IFERROR(__xludf.DUMMYFUNCTION("""COMPUTED_VALUE"""),"fa07b5f1-78d1-43c6-99b0-882257d1100a")</f>
        <v>fa07b5f1-78d1-43c6-99b0-882257d1100a</v>
      </c>
      <c r="C932" s="7">
        <f>IFERROR(__xludf.DUMMYFUNCTION("""COMPUTED_VALUE"""),295.0)</f>
        <v>295</v>
      </c>
      <c r="D932" s="6">
        <f>IFERROR(__xludf.DUMMYFUNCTION("""COMPUTED_VALUE"""),45410.0)</f>
        <v>45410</v>
      </c>
      <c r="E932" s="7" t="str">
        <f>IFERROR(__xludf.DUMMYFUNCTION("""COMPUTED_VALUE"""),"FRANQUIA_D&amp;G_SP")</f>
        <v>FRANQUIA_D&amp;G_SP</v>
      </c>
      <c r="F932" s="7" t="str">
        <f>IFERROR(__xludf.DUMMYFUNCTION("""COMPUTED_VALUE"""),"MOTORCYCLE")</f>
        <v>MOTORCYCLE</v>
      </c>
      <c r="G932" s="7" t="str">
        <f>IFERROR(__xludf.DUMMYFUNCTION("""COMPUTED_VALUE"""),"SAO PAULO")</f>
        <v>SAO PAULO</v>
      </c>
    </row>
    <row r="933">
      <c r="A933" s="6">
        <f>IFERROR(__xludf.DUMMYFUNCTION("""COMPUTED_VALUE"""),45705.0)</f>
        <v>45705</v>
      </c>
      <c r="B933" s="7" t="str">
        <f>IFERROR(__xludf.DUMMYFUNCTION("""COMPUTED_VALUE"""),"04f0d696-0813-4959-be5e-6cb2283e9464")</f>
        <v>04f0d696-0813-4959-be5e-6cb2283e9464</v>
      </c>
      <c r="C933" s="7">
        <f>IFERROR(__xludf.DUMMYFUNCTION("""COMPUTED_VALUE"""),0.0)</f>
        <v>0</v>
      </c>
      <c r="D933" s="6">
        <f>IFERROR(__xludf.DUMMYFUNCTION("""COMPUTED_VALUE"""),45705.0)</f>
        <v>45705</v>
      </c>
      <c r="E933" s="7" t="str">
        <f>IFERROR(__xludf.DUMMYFUNCTION("""COMPUTED_VALUE"""),"FRANQUIA_D&amp;G_SP")</f>
        <v>FRANQUIA_D&amp;G_SP</v>
      </c>
      <c r="F933" s="7" t="str">
        <f>IFERROR(__xludf.DUMMYFUNCTION("""COMPUTED_VALUE"""),"MOTORCYCLE")</f>
        <v>MOTORCYCLE</v>
      </c>
      <c r="G933" s="7" t="str">
        <f>IFERROR(__xludf.DUMMYFUNCTION("""COMPUTED_VALUE"""),"SAO PAULO")</f>
        <v>SAO PAULO</v>
      </c>
    </row>
    <row r="934">
      <c r="A934" s="6">
        <f>IFERROR(__xludf.DUMMYFUNCTION("""COMPUTED_VALUE"""),45705.0)</f>
        <v>45705</v>
      </c>
      <c r="B934" s="7" t="str">
        <f>IFERROR(__xludf.DUMMYFUNCTION("""COMPUTED_VALUE"""),"1358adcb-f814-485d-b9b4-9031aa15e586")</f>
        <v>1358adcb-f814-485d-b9b4-9031aa15e586</v>
      </c>
      <c r="C934" s="7">
        <f>IFERROR(__xludf.DUMMYFUNCTION("""COMPUTED_VALUE"""),2.0)</f>
        <v>2</v>
      </c>
      <c r="D934" s="6">
        <f>IFERROR(__xludf.DUMMYFUNCTION("""COMPUTED_VALUE"""),45703.0)</f>
        <v>45703</v>
      </c>
      <c r="E934" s="7" t="str">
        <f>IFERROR(__xludf.DUMMYFUNCTION("""COMPUTED_VALUE"""),"FRANQUIA_D&amp;G_SP")</f>
        <v>FRANQUIA_D&amp;G_SP</v>
      </c>
      <c r="F934" s="7" t="str">
        <f>IFERROR(__xludf.DUMMYFUNCTION("""COMPUTED_VALUE"""),"BICYCLE")</f>
        <v>BICYCLE</v>
      </c>
      <c r="G934" s="7" t="str">
        <f>IFERROR(__xludf.DUMMYFUNCTION("""COMPUTED_VALUE"""),"SAO PAULO")</f>
        <v>SAO PAULO</v>
      </c>
    </row>
    <row r="935">
      <c r="A935" s="6">
        <f>IFERROR(__xludf.DUMMYFUNCTION("""COMPUTED_VALUE"""),45705.0)</f>
        <v>45705</v>
      </c>
      <c r="B935" s="7" t="str">
        <f>IFERROR(__xludf.DUMMYFUNCTION("""COMPUTED_VALUE"""),"ed78a0a0-70c3-4809-afa4-f2be28cb900e")</f>
        <v>ed78a0a0-70c3-4809-afa4-f2be28cb900e</v>
      </c>
      <c r="C935" s="7">
        <f>IFERROR(__xludf.DUMMYFUNCTION("""COMPUTED_VALUE"""),109.0)</f>
        <v>109</v>
      </c>
      <c r="D935" s="6">
        <f>IFERROR(__xludf.DUMMYFUNCTION("""COMPUTED_VALUE"""),45596.0)</f>
        <v>45596</v>
      </c>
      <c r="E935" s="7" t="str">
        <f>IFERROR(__xludf.DUMMYFUNCTION("""COMPUTED_VALUE"""),"FRANQUIA_D&amp;G_SP")</f>
        <v>FRANQUIA_D&amp;G_SP</v>
      </c>
      <c r="F935" s="7" t="str">
        <f>IFERROR(__xludf.DUMMYFUNCTION("""COMPUTED_VALUE"""),"MOTORCYCLE")</f>
        <v>MOTORCYCLE</v>
      </c>
      <c r="G935" s="7" t="str">
        <f>IFERROR(__xludf.DUMMYFUNCTION("""COMPUTED_VALUE"""),"ABC")</f>
        <v>ABC</v>
      </c>
    </row>
    <row r="936">
      <c r="A936" s="6">
        <f>IFERROR(__xludf.DUMMYFUNCTION("""COMPUTED_VALUE"""),45705.0)</f>
        <v>45705</v>
      </c>
      <c r="B936" s="7" t="str">
        <f>IFERROR(__xludf.DUMMYFUNCTION("""COMPUTED_VALUE"""),"2d704dfe-b4b1-485d-9518-818694da0b00")</f>
        <v>2d704dfe-b4b1-485d-9518-818694da0b00</v>
      </c>
      <c r="C936" s="7">
        <f>IFERROR(__xludf.DUMMYFUNCTION("""COMPUTED_VALUE"""),77.0)</f>
        <v>77</v>
      </c>
      <c r="D936" s="6">
        <f>IFERROR(__xludf.DUMMYFUNCTION("""COMPUTED_VALUE"""),45628.0)</f>
        <v>45628</v>
      </c>
      <c r="E936" s="7" t="str">
        <f>IFERROR(__xludf.DUMMYFUNCTION("""COMPUTED_VALUE"""),"FRANQUIA_D&amp;G_SP")</f>
        <v>FRANQUIA_D&amp;G_SP</v>
      </c>
      <c r="F936" s="7" t="str">
        <f>IFERROR(__xludf.DUMMYFUNCTION("""COMPUTED_VALUE"""),"BICYCLE")</f>
        <v>BICYCLE</v>
      </c>
      <c r="G936" s="7" t="str">
        <f>IFERROR(__xludf.DUMMYFUNCTION("""COMPUTED_VALUE"""),"SAO PAULO")</f>
        <v>SAO PAULO</v>
      </c>
    </row>
    <row r="937">
      <c r="A937" s="6">
        <f>IFERROR(__xludf.DUMMYFUNCTION("""COMPUTED_VALUE"""),45705.0)</f>
        <v>45705</v>
      </c>
      <c r="B937" s="7" t="str">
        <f>IFERROR(__xludf.DUMMYFUNCTION("""COMPUTED_VALUE"""),"028a9240-77a5-4261-99db-77d95456bd64")</f>
        <v>028a9240-77a5-4261-99db-77d95456bd64</v>
      </c>
      <c r="C937" s="7">
        <f>IFERROR(__xludf.DUMMYFUNCTION("""COMPUTED_VALUE"""),2.0)</f>
        <v>2</v>
      </c>
      <c r="D937" s="6">
        <f>IFERROR(__xludf.DUMMYFUNCTION("""COMPUTED_VALUE"""),45703.0)</f>
        <v>45703</v>
      </c>
      <c r="E937" s="7" t="str">
        <f>IFERROR(__xludf.DUMMYFUNCTION("""COMPUTED_VALUE"""),"FRANQUIA_D&amp;G_SP")</f>
        <v>FRANQUIA_D&amp;G_SP</v>
      </c>
      <c r="F937" s="7" t="str">
        <f>IFERROR(__xludf.DUMMYFUNCTION("""COMPUTED_VALUE"""),"MOTORCYCLE")</f>
        <v>MOTORCYCLE</v>
      </c>
      <c r="G937" s="7" t="str">
        <f>IFERROR(__xludf.DUMMYFUNCTION("""COMPUTED_VALUE"""),"SAO PAULO")</f>
        <v>SAO PAULO</v>
      </c>
    </row>
    <row r="938">
      <c r="A938" s="6">
        <f>IFERROR(__xludf.DUMMYFUNCTION("""COMPUTED_VALUE"""),45705.0)</f>
        <v>45705</v>
      </c>
      <c r="B938" s="7" t="str">
        <f>IFERROR(__xludf.DUMMYFUNCTION("""COMPUTED_VALUE"""),"0f1f413f-d74d-44f0-9f6b-67ab888c1fdd")</f>
        <v>0f1f413f-d74d-44f0-9f6b-67ab888c1fdd</v>
      </c>
      <c r="C938" s="7">
        <f>IFERROR(__xludf.DUMMYFUNCTION("""COMPUTED_VALUE"""),2.0)</f>
        <v>2</v>
      </c>
      <c r="D938" s="6">
        <f>IFERROR(__xludf.DUMMYFUNCTION("""COMPUTED_VALUE"""),45703.0)</f>
        <v>45703</v>
      </c>
      <c r="E938" s="7" t="str">
        <f>IFERROR(__xludf.DUMMYFUNCTION("""COMPUTED_VALUE"""),"FRANQUIA_D&amp;G_SP")</f>
        <v>FRANQUIA_D&amp;G_SP</v>
      </c>
      <c r="F938" s="7" t="str">
        <f>IFERROR(__xludf.DUMMYFUNCTION("""COMPUTED_VALUE"""),"EMOTORCYCLE")</f>
        <v>EMOTORCYCLE</v>
      </c>
      <c r="G938" s="7" t="str">
        <f>IFERROR(__xludf.DUMMYFUNCTION("""COMPUTED_VALUE"""),"TABOAO DA SERRA")</f>
        <v>TABOAO DA SERRA</v>
      </c>
    </row>
    <row r="939">
      <c r="A939" s="6">
        <f>IFERROR(__xludf.DUMMYFUNCTION("""COMPUTED_VALUE"""),45705.0)</f>
        <v>45705</v>
      </c>
      <c r="B939" s="7" t="str">
        <f>IFERROR(__xludf.DUMMYFUNCTION("""COMPUTED_VALUE"""),"a675fe0b-02e9-4ba5-a71e-260f62500772")</f>
        <v>a675fe0b-02e9-4ba5-a71e-260f62500772</v>
      </c>
      <c r="C939" s="7">
        <f>IFERROR(__xludf.DUMMYFUNCTION("""COMPUTED_VALUE"""),0.0)</f>
        <v>0</v>
      </c>
      <c r="D939" s="6">
        <f>IFERROR(__xludf.DUMMYFUNCTION("""COMPUTED_VALUE"""),45705.0)</f>
        <v>45705</v>
      </c>
      <c r="E939" s="7" t="str">
        <f>IFERROR(__xludf.DUMMYFUNCTION("""COMPUTED_VALUE"""),"FRANQUIA_D&amp;G_SP")</f>
        <v>FRANQUIA_D&amp;G_SP</v>
      </c>
      <c r="F939" s="7" t="str">
        <f>IFERROR(__xludf.DUMMYFUNCTION("""COMPUTED_VALUE"""),"EBIKE")</f>
        <v>EBIKE</v>
      </c>
      <c r="G939" s="7" t="str">
        <f>IFERROR(__xludf.DUMMYFUNCTION("""COMPUTED_VALUE"""),"SAO PAULO")</f>
        <v>SAO PAULO</v>
      </c>
    </row>
    <row r="940">
      <c r="A940" s="6">
        <f>IFERROR(__xludf.DUMMYFUNCTION("""COMPUTED_VALUE"""),45705.0)</f>
        <v>45705</v>
      </c>
      <c r="B940" s="7" t="str">
        <f>IFERROR(__xludf.DUMMYFUNCTION("""COMPUTED_VALUE"""),"783f9552-99d4-4756-b32c-126dd1d48f12")</f>
        <v>783f9552-99d4-4756-b32c-126dd1d48f12</v>
      </c>
      <c r="C940" s="7">
        <f>IFERROR(__xludf.DUMMYFUNCTION("""COMPUTED_VALUE"""),0.0)</f>
        <v>0</v>
      </c>
      <c r="D940" s="6">
        <f>IFERROR(__xludf.DUMMYFUNCTION("""COMPUTED_VALUE"""),45705.0)</f>
        <v>45705</v>
      </c>
      <c r="E940" s="7" t="str">
        <f>IFERROR(__xludf.DUMMYFUNCTION("""COMPUTED_VALUE"""),"FRANQUIA_D&amp;G_SP")</f>
        <v>FRANQUIA_D&amp;G_SP</v>
      </c>
      <c r="F940" s="7" t="str">
        <f>IFERROR(__xludf.DUMMYFUNCTION("""COMPUTED_VALUE"""),"MOTORCYCLE")</f>
        <v>MOTORCYCLE</v>
      </c>
      <c r="G940" s="7" t="str">
        <f>IFERROR(__xludf.DUMMYFUNCTION("""COMPUTED_VALUE"""),"SAO PAULO")</f>
        <v>SAO PAULO</v>
      </c>
    </row>
    <row r="941">
      <c r="A941" s="6">
        <f>IFERROR(__xludf.DUMMYFUNCTION("""COMPUTED_VALUE"""),45705.0)</f>
        <v>45705</v>
      </c>
      <c r="B941" s="7" t="str">
        <f>IFERROR(__xludf.DUMMYFUNCTION("""COMPUTED_VALUE"""),"146e4c45-ce05-4330-ba7d-5780033a4087")</f>
        <v>146e4c45-ce05-4330-ba7d-5780033a4087</v>
      </c>
      <c r="C941" s="7">
        <f>IFERROR(__xludf.DUMMYFUNCTION("""COMPUTED_VALUE"""),0.0)</f>
        <v>0</v>
      </c>
      <c r="D941" s="6">
        <f>IFERROR(__xludf.DUMMYFUNCTION("""COMPUTED_VALUE"""),45705.0)</f>
        <v>45705</v>
      </c>
      <c r="E941" s="7" t="str">
        <f>IFERROR(__xludf.DUMMYFUNCTION("""COMPUTED_VALUE"""),"FRANQUIA_D&amp;G_SP")</f>
        <v>FRANQUIA_D&amp;G_SP</v>
      </c>
      <c r="F941" s="7" t="str">
        <f>IFERROR(__xludf.DUMMYFUNCTION("""COMPUTED_VALUE"""),"EBIKE")</f>
        <v>EBIKE</v>
      </c>
      <c r="G941" s="7" t="str">
        <f>IFERROR(__xludf.DUMMYFUNCTION("""COMPUTED_VALUE"""),"GUARULHOS")</f>
        <v>GUARULHOS</v>
      </c>
    </row>
    <row r="942">
      <c r="A942" s="6">
        <f>IFERROR(__xludf.DUMMYFUNCTION("""COMPUTED_VALUE"""),45705.0)</f>
        <v>45705</v>
      </c>
      <c r="B942" s="7" t="str">
        <f>IFERROR(__xludf.DUMMYFUNCTION("""COMPUTED_VALUE"""),"1bb9e686-2613-42ee-b914-0948daf1f2bd")</f>
        <v>1bb9e686-2613-42ee-b914-0948daf1f2bd</v>
      </c>
      <c r="C942" s="7">
        <f>IFERROR(__xludf.DUMMYFUNCTION("""COMPUTED_VALUE"""),27.0)</f>
        <v>27</v>
      </c>
      <c r="D942" s="6">
        <f>IFERROR(__xludf.DUMMYFUNCTION("""COMPUTED_VALUE"""),45678.0)</f>
        <v>45678</v>
      </c>
      <c r="E942" s="7" t="str">
        <f>IFERROR(__xludf.DUMMYFUNCTION("""COMPUTED_VALUE"""),"FRANQUIA_D&amp;G_SP")</f>
        <v>FRANQUIA_D&amp;G_SP</v>
      </c>
      <c r="F942" s="7" t="str">
        <f>IFERROR(__xludf.DUMMYFUNCTION("""COMPUTED_VALUE"""),"MOTORCYCLE")</f>
        <v>MOTORCYCLE</v>
      </c>
      <c r="G942" s="7" t="str">
        <f>IFERROR(__xludf.DUMMYFUNCTION("""COMPUTED_VALUE"""),"SAO PAULO")</f>
        <v>SAO PAULO</v>
      </c>
    </row>
    <row r="943">
      <c r="A943" s="6">
        <f>IFERROR(__xludf.DUMMYFUNCTION("""COMPUTED_VALUE"""),45705.0)</f>
        <v>45705</v>
      </c>
      <c r="B943" s="7" t="str">
        <f>IFERROR(__xludf.DUMMYFUNCTION("""COMPUTED_VALUE"""),"42dce1e8-8f85-4039-b450-eccba59f2d2c")</f>
        <v>42dce1e8-8f85-4039-b450-eccba59f2d2c</v>
      </c>
      <c r="C943" s="7">
        <f>IFERROR(__xludf.DUMMYFUNCTION("""COMPUTED_VALUE"""),0.0)</f>
        <v>0</v>
      </c>
      <c r="D943" s="6">
        <f>IFERROR(__xludf.DUMMYFUNCTION("""COMPUTED_VALUE"""),45705.0)</f>
        <v>45705</v>
      </c>
      <c r="E943" s="7" t="str">
        <f>IFERROR(__xludf.DUMMYFUNCTION("""COMPUTED_VALUE"""),"FRANQUIA_D&amp;G_SP")</f>
        <v>FRANQUIA_D&amp;G_SP</v>
      </c>
      <c r="F943" s="7" t="str">
        <f>IFERROR(__xludf.DUMMYFUNCTION("""COMPUTED_VALUE"""),"MOTORCYCLE")</f>
        <v>MOTORCYCLE</v>
      </c>
      <c r="G943" s="7" t="str">
        <f>IFERROR(__xludf.DUMMYFUNCTION("""COMPUTED_VALUE"""),"SAO PAULO")</f>
        <v>SAO PAULO</v>
      </c>
    </row>
    <row r="944">
      <c r="A944" s="6">
        <f>IFERROR(__xludf.DUMMYFUNCTION("""COMPUTED_VALUE"""),45705.0)</f>
        <v>45705</v>
      </c>
      <c r="B944" s="7" t="str">
        <f>IFERROR(__xludf.DUMMYFUNCTION("""COMPUTED_VALUE"""),"1b87b4c6-fe03-416d-be07-32569c25eefa")</f>
        <v>1b87b4c6-fe03-416d-be07-32569c25eefa</v>
      </c>
      <c r="C944" s="7">
        <f>IFERROR(__xludf.DUMMYFUNCTION("""COMPUTED_VALUE"""),0.0)</f>
        <v>0</v>
      </c>
      <c r="D944" s="6">
        <f>IFERROR(__xludf.DUMMYFUNCTION("""COMPUTED_VALUE"""),45705.0)</f>
        <v>45705</v>
      </c>
      <c r="E944" s="7" t="str">
        <f>IFERROR(__xludf.DUMMYFUNCTION("""COMPUTED_VALUE"""),"FRANQUIA_D&amp;G_SP")</f>
        <v>FRANQUIA_D&amp;G_SP</v>
      </c>
      <c r="F944" s="7" t="str">
        <f>IFERROR(__xludf.DUMMYFUNCTION("""COMPUTED_VALUE"""),"BICYCLE")</f>
        <v>BICYCLE</v>
      </c>
      <c r="G944" s="7" t="str">
        <f>IFERROR(__xludf.DUMMYFUNCTION("""COMPUTED_VALUE"""),"SAO PAULO")</f>
        <v>SAO PAULO</v>
      </c>
    </row>
    <row r="945">
      <c r="A945" s="6">
        <f>IFERROR(__xludf.DUMMYFUNCTION("""COMPUTED_VALUE"""),45705.0)</f>
        <v>45705</v>
      </c>
      <c r="B945" s="7" t="str">
        <f>IFERROR(__xludf.DUMMYFUNCTION("""COMPUTED_VALUE"""),"ce7bdfde-0a16-4b2b-8598-b78f08662813")</f>
        <v>ce7bdfde-0a16-4b2b-8598-b78f08662813</v>
      </c>
      <c r="C945" s="7">
        <f>IFERROR(__xludf.DUMMYFUNCTION("""COMPUTED_VALUE"""),8.0)</f>
        <v>8</v>
      </c>
      <c r="D945" s="6">
        <f>IFERROR(__xludf.DUMMYFUNCTION("""COMPUTED_VALUE"""),45697.0)</f>
        <v>45697</v>
      </c>
      <c r="E945" s="7" t="str">
        <f>IFERROR(__xludf.DUMMYFUNCTION("""COMPUTED_VALUE"""),"FRANQUIA_D&amp;G_SP")</f>
        <v>FRANQUIA_D&amp;G_SP</v>
      </c>
      <c r="F945" s="7" t="str">
        <f>IFERROR(__xludf.DUMMYFUNCTION("""COMPUTED_VALUE"""),"BICYCLE")</f>
        <v>BICYCLE</v>
      </c>
      <c r="G945" s="7" t="str">
        <f>IFERROR(__xludf.DUMMYFUNCTION("""COMPUTED_VALUE"""),"SAO PAULO")</f>
        <v>SAO PAULO</v>
      </c>
    </row>
    <row r="946">
      <c r="A946" s="6">
        <f>IFERROR(__xludf.DUMMYFUNCTION("""COMPUTED_VALUE"""),45705.0)</f>
        <v>45705</v>
      </c>
      <c r="B946" s="7" t="str">
        <f>IFERROR(__xludf.DUMMYFUNCTION("""COMPUTED_VALUE"""),"a33a2120-07c7-4554-ab4c-faea9220fcd0")</f>
        <v>a33a2120-07c7-4554-ab4c-faea9220fcd0</v>
      </c>
      <c r="C946" s="7">
        <f>IFERROR(__xludf.DUMMYFUNCTION("""COMPUTED_VALUE"""),0.0)</f>
        <v>0</v>
      </c>
      <c r="D946" s="6">
        <f>IFERROR(__xludf.DUMMYFUNCTION("""COMPUTED_VALUE"""),45705.0)</f>
        <v>45705</v>
      </c>
      <c r="E946" s="7" t="str">
        <f>IFERROR(__xludf.DUMMYFUNCTION("""COMPUTED_VALUE"""),"FRANQUIA_D&amp;G_SP")</f>
        <v>FRANQUIA_D&amp;G_SP</v>
      </c>
      <c r="F946" s="7" t="str">
        <f>IFERROR(__xludf.DUMMYFUNCTION("""COMPUTED_VALUE"""),"MOTORCYCLE")</f>
        <v>MOTORCYCLE</v>
      </c>
      <c r="G946" s="7" t="str">
        <f>IFERROR(__xludf.DUMMYFUNCTION("""COMPUTED_VALUE"""),"SAO PAULO")</f>
        <v>SAO PAULO</v>
      </c>
    </row>
    <row r="947">
      <c r="A947" s="6">
        <f>IFERROR(__xludf.DUMMYFUNCTION("""COMPUTED_VALUE"""),45705.0)</f>
        <v>45705</v>
      </c>
      <c r="B947" s="7" t="str">
        <f>IFERROR(__xludf.DUMMYFUNCTION("""COMPUTED_VALUE"""),"d80413e5-97fb-4ae0-bbff-c70f2e4d3df8")</f>
        <v>d80413e5-97fb-4ae0-bbff-c70f2e4d3df8</v>
      </c>
      <c r="C947" s="7">
        <f>IFERROR(__xludf.DUMMYFUNCTION("""COMPUTED_VALUE"""),0.0)</f>
        <v>0</v>
      </c>
      <c r="D947" s="6">
        <f>IFERROR(__xludf.DUMMYFUNCTION("""COMPUTED_VALUE"""),45705.0)</f>
        <v>45705</v>
      </c>
      <c r="E947" s="7" t="str">
        <f>IFERROR(__xludf.DUMMYFUNCTION("""COMPUTED_VALUE"""),"FRANQUIA_D&amp;G_SP")</f>
        <v>FRANQUIA_D&amp;G_SP</v>
      </c>
      <c r="F947" s="7" t="str">
        <f>IFERROR(__xludf.DUMMYFUNCTION("""COMPUTED_VALUE"""),"MOTORCYCLE")</f>
        <v>MOTORCYCLE</v>
      </c>
      <c r="G947" s="7" t="str">
        <f>IFERROR(__xludf.DUMMYFUNCTION("""COMPUTED_VALUE"""),"SAO PAULO")</f>
        <v>SAO PAULO</v>
      </c>
    </row>
    <row r="948">
      <c r="A948" s="6">
        <f>IFERROR(__xludf.DUMMYFUNCTION("""COMPUTED_VALUE"""),45705.0)</f>
        <v>45705</v>
      </c>
      <c r="B948" s="7" t="str">
        <f>IFERROR(__xludf.DUMMYFUNCTION("""COMPUTED_VALUE"""),"535fbcb0-f378-4059-9e78-b09aa2210960")</f>
        <v>535fbcb0-f378-4059-9e78-b09aa2210960</v>
      </c>
      <c r="C948" s="7">
        <f>IFERROR(__xludf.DUMMYFUNCTION("""COMPUTED_VALUE"""),0.0)</f>
        <v>0</v>
      </c>
      <c r="D948" s="6">
        <f>IFERROR(__xludf.DUMMYFUNCTION("""COMPUTED_VALUE"""),45705.0)</f>
        <v>45705</v>
      </c>
      <c r="E948" s="7" t="str">
        <f>IFERROR(__xludf.DUMMYFUNCTION("""COMPUTED_VALUE"""),"FRANQUIA_D&amp;G_SP")</f>
        <v>FRANQUIA_D&amp;G_SP</v>
      </c>
      <c r="F948" s="7" t="str">
        <f>IFERROR(__xludf.DUMMYFUNCTION("""COMPUTED_VALUE"""),"MOTORCYCLE")</f>
        <v>MOTORCYCLE</v>
      </c>
      <c r="G948" s="7" t="str">
        <f>IFERROR(__xludf.DUMMYFUNCTION("""COMPUTED_VALUE"""),"SAO PAULO")</f>
        <v>SAO PAULO</v>
      </c>
    </row>
    <row r="949">
      <c r="A949" s="6">
        <f>IFERROR(__xludf.DUMMYFUNCTION("""COMPUTED_VALUE"""),45705.0)</f>
        <v>45705</v>
      </c>
      <c r="B949" s="7" t="str">
        <f>IFERROR(__xludf.DUMMYFUNCTION("""COMPUTED_VALUE"""),"218b0aed-9cd2-45ee-b69b-9f50c9ce6785")</f>
        <v>218b0aed-9cd2-45ee-b69b-9f50c9ce6785</v>
      </c>
      <c r="C949" s="7">
        <f>IFERROR(__xludf.DUMMYFUNCTION("""COMPUTED_VALUE"""),0.0)</f>
        <v>0</v>
      </c>
      <c r="D949" s="6">
        <f>IFERROR(__xludf.DUMMYFUNCTION("""COMPUTED_VALUE"""),45705.0)</f>
        <v>45705</v>
      </c>
      <c r="E949" s="7" t="str">
        <f>IFERROR(__xludf.DUMMYFUNCTION("""COMPUTED_VALUE"""),"FRANQUIA_D&amp;G_SP")</f>
        <v>FRANQUIA_D&amp;G_SP</v>
      </c>
      <c r="F949" s="7" t="str">
        <f>IFERROR(__xludf.DUMMYFUNCTION("""COMPUTED_VALUE"""),"BICYCLE")</f>
        <v>BICYCLE</v>
      </c>
      <c r="G949" s="7" t="str">
        <f>IFERROR(__xludf.DUMMYFUNCTION("""COMPUTED_VALUE"""),"SAO PAULO")</f>
        <v>SAO PAULO</v>
      </c>
    </row>
    <row r="950">
      <c r="A950" s="6">
        <f>IFERROR(__xludf.DUMMYFUNCTION("""COMPUTED_VALUE"""),45705.0)</f>
        <v>45705</v>
      </c>
      <c r="B950" s="7" t="str">
        <f>IFERROR(__xludf.DUMMYFUNCTION("""COMPUTED_VALUE"""),"7ceab5b8-19e2-4e29-be66-b4dc5de72d77")</f>
        <v>7ceab5b8-19e2-4e29-be66-b4dc5de72d77</v>
      </c>
      <c r="C950" s="7">
        <f>IFERROR(__xludf.DUMMYFUNCTION("""COMPUTED_VALUE"""),29.0)</f>
        <v>29</v>
      </c>
      <c r="D950" s="6">
        <f>IFERROR(__xludf.DUMMYFUNCTION("""COMPUTED_VALUE"""),45676.0)</f>
        <v>45676</v>
      </c>
      <c r="E950" s="7" t="str">
        <f>IFERROR(__xludf.DUMMYFUNCTION("""COMPUTED_VALUE"""),"FRANQUIA_D&amp;G_SP")</f>
        <v>FRANQUIA_D&amp;G_SP</v>
      </c>
      <c r="F950" s="7" t="str">
        <f>IFERROR(__xludf.DUMMYFUNCTION("""COMPUTED_VALUE"""),"BICYCLE")</f>
        <v>BICYCLE</v>
      </c>
      <c r="G950" s="7" t="str">
        <f>IFERROR(__xludf.DUMMYFUNCTION("""COMPUTED_VALUE"""),"SAO PAULO")</f>
        <v>SAO PAULO</v>
      </c>
    </row>
    <row r="951">
      <c r="A951" s="6">
        <f>IFERROR(__xludf.DUMMYFUNCTION("""COMPUTED_VALUE"""),45705.0)</f>
        <v>45705</v>
      </c>
      <c r="B951" s="7" t="str">
        <f>IFERROR(__xludf.DUMMYFUNCTION("""COMPUTED_VALUE"""),"15c29643-8dfd-4225-8879-e5948ac34f12")</f>
        <v>15c29643-8dfd-4225-8879-e5948ac34f12</v>
      </c>
      <c r="C951" s="7">
        <f>IFERROR(__xludf.DUMMYFUNCTION("""COMPUTED_VALUE"""),1.0)</f>
        <v>1</v>
      </c>
      <c r="D951" s="6">
        <f>IFERROR(__xludf.DUMMYFUNCTION("""COMPUTED_VALUE"""),45704.0)</f>
        <v>45704</v>
      </c>
      <c r="E951" s="7" t="str">
        <f>IFERROR(__xludf.DUMMYFUNCTION("""COMPUTED_VALUE"""),"FRANQUIA_D&amp;G_SP")</f>
        <v>FRANQUIA_D&amp;G_SP</v>
      </c>
      <c r="F951" s="7" t="str">
        <f>IFERROR(__xludf.DUMMYFUNCTION("""COMPUTED_VALUE"""),"MOTORCYCLE")</f>
        <v>MOTORCYCLE</v>
      </c>
      <c r="G951" s="7" t="str">
        <f>IFERROR(__xludf.DUMMYFUNCTION("""COMPUTED_VALUE"""),"SAO PAULO")</f>
        <v>SAO PAULO</v>
      </c>
    </row>
    <row r="952">
      <c r="A952" s="6">
        <f>IFERROR(__xludf.DUMMYFUNCTION("""COMPUTED_VALUE"""),45705.0)</f>
        <v>45705</v>
      </c>
      <c r="B952" s="7" t="str">
        <f>IFERROR(__xludf.DUMMYFUNCTION("""COMPUTED_VALUE"""),"e2b98f65-1f8e-4cd9-9024-a54f0efd65dc")</f>
        <v>e2b98f65-1f8e-4cd9-9024-a54f0efd65dc</v>
      </c>
      <c r="C952" s="7">
        <f>IFERROR(__xludf.DUMMYFUNCTION("""COMPUTED_VALUE"""),1.0)</f>
        <v>1</v>
      </c>
      <c r="D952" s="6">
        <f>IFERROR(__xludf.DUMMYFUNCTION("""COMPUTED_VALUE"""),45704.0)</f>
        <v>45704</v>
      </c>
      <c r="E952" s="7" t="str">
        <f>IFERROR(__xludf.DUMMYFUNCTION("""COMPUTED_VALUE"""),"FRANQUIA_D&amp;G_SP")</f>
        <v>FRANQUIA_D&amp;G_SP</v>
      </c>
      <c r="F952" s="7" t="str">
        <f>IFERROR(__xludf.DUMMYFUNCTION("""COMPUTED_VALUE"""),"MOTORCYCLE")</f>
        <v>MOTORCYCLE</v>
      </c>
      <c r="G952" s="7" t="str">
        <f>IFERROR(__xludf.DUMMYFUNCTION("""COMPUTED_VALUE"""),"SAO PAULO")</f>
        <v>SAO PAULO</v>
      </c>
    </row>
    <row r="953">
      <c r="A953" s="6">
        <f>IFERROR(__xludf.DUMMYFUNCTION("""COMPUTED_VALUE"""),45705.0)</f>
        <v>45705</v>
      </c>
      <c r="B953" s="7" t="str">
        <f>IFERROR(__xludf.DUMMYFUNCTION("""COMPUTED_VALUE"""),"4919b58e-34f0-41eb-bef5-7cbcbfa962d6")</f>
        <v>4919b58e-34f0-41eb-bef5-7cbcbfa962d6</v>
      </c>
      <c r="C953" s="7">
        <f>IFERROR(__xludf.DUMMYFUNCTION("""COMPUTED_VALUE"""),9.0)</f>
        <v>9</v>
      </c>
      <c r="D953" s="6">
        <f>IFERROR(__xludf.DUMMYFUNCTION("""COMPUTED_VALUE"""),45696.0)</f>
        <v>45696</v>
      </c>
      <c r="E953" s="7" t="str">
        <f>IFERROR(__xludf.DUMMYFUNCTION("""COMPUTED_VALUE"""),"FRANQUIA_D&amp;G_SP")</f>
        <v>FRANQUIA_D&amp;G_SP</v>
      </c>
      <c r="F953" s="7" t="str">
        <f>IFERROR(__xludf.DUMMYFUNCTION("""COMPUTED_VALUE"""),"MOTORCYCLE")</f>
        <v>MOTORCYCLE</v>
      </c>
      <c r="G953" s="7" t="str">
        <f>IFERROR(__xludf.DUMMYFUNCTION("""COMPUTED_VALUE"""),"SAO PAULO")</f>
        <v>SAO PAULO</v>
      </c>
    </row>
    <row r="954">
      <c r="A954" s="6">
        <f>IFERROR(__xludf.DUMMYFUNCTION("""COMPUTED_VALUE"""),45705.0)</f>
        <v>45705</v>
      </c>
      <c r="B954" s="7" t="str">
        <f>IFERROR(__xludf.DUMMYFUNCTION("""COMPUTED_VALUE"""),"fd4c44f7-3df5-4f9d-b65d-c1f3cb19fa71")</f>
        <v>fd4c44f7-3df5-4f9d-b65d-c1f3cb19fa71</v>
      </c>
      <c r="C954" s="7">
        <f>IFERROR(__xludf.DUMMYFUNCTION("""COMPUTED_VALUE"""),0.0)</f>
        <v>0</v>
      </c>
      <c r="D954" s="6">
        <f>IFERROR(__xludf.DUMMYFUNCTION("""COMPUTED_VALUE"""),45705.0)</f>
        <v>45705</v>
      </c>
      <c r="E954" s="7" t="str">
        <f>IFERROR(__xludf.DUMMYFUNCTION("""COMPUTED_VALUE"""),"FRANQUIA_D&amp;G_SP")</f>
        <v>FRANQUIA_D&amp;G_SP</v>
      </c>
      <c r="F954" s="7" t="str">
        <f>IFERROR(__xludf.DUMMYFUNCTION("""COMPUTED_VALUE"""),"MOTORCYCLE")</f>
        <v>MOTORCYCLE</v>
      </c>
      <c r="G954" s="7" t="str">
        <f>IFERROR(__xludf.DUMMYFUNCTION("""COMPUTED_VALUE"""),"SAO PAULO")</f>
        <v>SAO PAULO</v>
      </c>
    </row>
    <row r="955">
      <c r="A955" s="6">
        <f>IFERROR(__xludf.DUMMYFUNCTION("""COMPUTED_VALUE"""),45705.0)</f>
        <v>45705</v>
      </c>
      <c r="B955" s="7" t="str">
        <f>IFERROR(__xludf.DUMMYFUNCTION("""COMPUTED_VALUE"""),"ba848b9d-3bf1-42b4-bfda-964db4658580")</f>
        <v>ba848b9d-3bf1-42b4-bfda-964db4658580</v>
      </c>
      <c r="C955" s="7">
        <f>IFERROR(__xludf.DUMMYFUNCTION("""COMPUTED_VALUE"""),19.0)</f>
        <v>19</v>
      </c>
      <c r="D955" s="6">
        <f>IFERROR(__xludf.DUMMYFUNCTION("""COMPUTED_VALUE"""),45686.0)</f>
        <v>45686</v>
      </c>
      <c r="E955" s="7" t="str">
        <f>IFERROR(__xludf.DUMMYFUNCTION("""COMPUTED_VALUE"""),"FRANQUIA_D&amp;G_SP")</f>
        <v>FRANQUIA_D&amp;G_SP</v>
      </c>
      <c r="F955" s="7" t="str">
        <f>IFERROR(__xludf.DUMMYFUNCTION("""COMPUTED_VALUE"""),"EMOTORCYCLE")</f>
        <v>EMOTORCYCLE</v>
      </c>
      <c r="G955" s="7" t="str">
        <f>IFERROR(__xludf.DUMMYFUNCTION("""COMPUTED_VALUE"""),"SAO PAULO")</f>
        <v>SAO PAULO</v>
      </c>
    </row>
    <row r="956">
      <c r="A956" s="6">
        <f>IFERROR(__xludf.DUMMYFUNCTION("""COMPUTED_VALUE"""),45705.0)</f>
        <v>45705</v>
      </c>
      <c r="B956" s="7" t="str">
        <f>IFERROR(__xludf.DUMMYFUNCTION("""COMPUTED_VALUE"""),"894ad3c2-8d57-47c3-bc47-a474b8fed10f")</f>
        <v>894ad3c2-8d57-47c3-bc47-a474b8fed10f</v>
      </c>
      <c r="C956" s="7">
        <f>IFERROR(__xludf.DUMMYFUNCTION("""COMPUTED_VALUE"""),0.0)</f>
        <v>0</v>
      </c>
      <c r="D956" s="6">
        <f>IFERROR(__xludf.DUMMYFUNCTION("""COMPUTED_VALUE"""),45705.0)</f>
        <v>45705</v>
      </c>
      <c r="E956" s="7" t="str">
        <f>IFERROR(__xludf.DUMMYFUNCTION("""COMPUTED_VALUE"""),"FRANQUIA_D&amp;G_SP")</f>
        <v>FRANQUIA_D&amp;G_SP</v>
      </c>
      <c r="F956" s="7" t="str">
        <f>IFERROR(__xludf.DUMMYFUNCTION("""COMPUTED_VALUE"""),"MOTORCYCLE")</f>
        <v>MOTORCYCLE</v>
      </c>
      <c r="G956" s="7" t="str">
        <f>IFERROR(__xludf.DUMMYFUNCTION("""COMPUTED_VALUE"""),"SAO PAULO")</f>
        <v>SAO PAULO</v>
      </c>
    </row>
    <row r="957">
      <c r="A957" s="6">
        <f>IFERROR(__xludf.DUMMYFUNCTION("""COMPUTED_VALUE"""),45705.0)</f>
        <v>45705</v>
      </c>
      <c r="B957" s="7" t="str">
        <f>IFERROR(__xludf.DUMMYFUNCTION("""COMPUTED_VALUE"""),"a6e3497a-22f5-41cd-b049-5fb4d159900b")</f>
        <v>a6e3497a-22f5-41cd-b049-5fb4d159900b</v>
      </c>
      <c r="C957" s="7">
        <f>IFERROR(__xludf.DUMMYFUNCTION("""COMPUTED_VALUE"""),0.0)</f>
        <v>0</v>
      </c>
      <c r="D957" s="6">
        <f>IFERROR(__xludf.DUMMYFUNCTION("""COMPUTED_VALUE"""),0.0)</f>
        <v>0</v>
      </c>
      <c r="E957" s="7" t="str">
        <f>IFERROR(__xludf.DUMMYFUNCTION("""COMPUTED_VALUE"""),"FRANQUIA_D&amp;G_SP")</f>
        <v>FRANQUIA_D&amp;G_SP</v>
      </c>
      <c r="F957" s="7" t="str">
        <f>IFERROR(__xludf.DUMMYFUNCTION("""COMPUTED_VALUE"""),"MOTORCYCLE")</f>
        <v>MOTORCYCLE</v>
      </c>
      <c r="G957" s="7" t="str">
        <f>IFERROR(__xludf.DUMMYFUNCTION("""COMPUTED_VALUE"""),"0")</f>
        <v>0</v>
      </c>
    </row>
    <row r="958">
      <c r="A958" s="6">
        <f>IFERROR(__xludf.DUMMYFUNCTION("""COMPUTED_VALUE"""),45705.0)</f>
        <v>45705</v>
      </c>
      <c r="B958" s="7" t="str">
        <f>IFERROR(__xludf.DUMMYFUNCTION("""COMPUTED_VALUE"""),"c5a46cef-32d6-4f71-bb32-08c0bb6f0af1")</f>
        <v>c5a46cef-32d6-4f71-bb32-08c0bb6f0af1</v>
      </c>
      <c r="C958" s="7">
        <f>IFERROR(__xludf.DUMMYFUNCTION("""COMPUTED_VALUE"""),0.0)</f>
        <v>0</v>
      </c>
      <c r="D958" s="6">
        <f>IFERROR(__xludf.DUMMYFUNCTION("""COMPUTED_VALUE"""),45705.0)</f>
        <v>45705</v>
      </c>
      <c r="E958" s="7" t="str">
        <f>IFERROR(__xludf.DUMMYFUNCTION("""COMPUTED_VALUE"""),"FRANQUIA_D&amp;G_SP")</f>
        <v>FRANQUIA_D&amp;G_SP</v>
      </c>
      <c r="F958" s="7" t="str">
        <f>IFERROR(__xludf.DUMMYFUNCTION("""COMPUTED_VALUE"""),"MOTORCYCLE")</f>
        <v>MOTORCYCLE</v>
      </c>
      <c r="G958" s="7" t="str">
        <f>IFERROR(__xludf.DUMMYFUNCTION("""COMPUTED_VALUE"""),"SAO PAULO")</f>
        <v>SAO PAULO</v>
      </c>
    </row>
    <row r="959">
      <c r="A959" s="6">
        <f>IFERROR(__xludf.DUMMYFUNCTION("""COMPUTED_VALUE"""),45705.0)</f>
        <v>45705</v>
      </c>
      <c r="B959" s="7" t="str">
        <f>IFERROR(__xludf.DUMMYFUNCTION("""COMPUTED_VALUE"""),"12831897-08ad-4852-84b0-ed175a422496")</f>
        <v>12831897-08ad-4852-84b0-ed175a422496</v>
      </c>
      <c r="C959" s="7">
        <f>IFERROR(__xludf.DUMMYFUNCTION("""COMPUTED_VALUE"""),25.0)</f>
        <v>25</v>
      </c>
      <c r="D959" s="6">
        <f>IFERROR(__xludf.DUMMYFUNCTION("""COMPUTED_VALUE"""),45680.0)</f>
        <v>45680</v>
      </c>
      <c r="E959" s="7" t="str">
        <f>IFERROR(__xludf.DUMMYFUNCTION("""COMPUTED_VALUE"""),"FRANQUIA_D&amp;G_SP")</f>
        <v>FRANQUIA_D&amp;G_SP</v>
      </c>
      <c r="F959" s="7" t="str">
        <f>IFERROR(__xludf.DUMMYFUNCTION("""COMPUTED_VALUE"""),"BICYCLE")</f>
        <v>BICYCLE</v>
      </c>
      <c r="G959" s="7" t="str">
        <f>IFERROR(__xludf.DUMMYFUNCTION("""COMPUTED_VALUE"""),"SAO PAULO")</f>
        <v>SAO PAULO</v>
      </c>
    </row>
    <row r="960">
      <c r="A960" s="6">
        <f>IFERROR(__xludf.DUMMYFUNCTION("""COMPUTED_VALUE"""),45705.0)</f>
        <v>45705</v>
      </c>
      <c r="B960" s="7" t="str">
        <f>IFERROR(__xludf.DUMMYFUNCTION("""COMPUTED_VALUE"""),"ef4753e6-1fea-404e-974e-8c81367e0482")</f>
        <v>ef4753e6-1fea-404e-974e-8c81367e0482</v>
      </c>
      <c r="C960" s="7">
        <f>IFERROR(__xludf.DUMMYFUNCTION("""COMPUTED_VALUE"""),41.0)</f>
        <v>41</v>
      </c>
      <c r="D960" s="6">
        <f>IFERROR(__xludf.DUMMYFUNCTION("""COMPUTED_VALUE"""),45664.0)</f>
        <v>45664</v>
      </c>
      <c r="E960" s="7" t="str">
        <f>IFERROR(__xludf.DUMMYFUNCTION("""COMPUTED_VALUE"""),"FRANQUIA_D&amp;G_SP")</f>
        <v>FRANQUIA_D&amp;G_SP</v>
      </c>
      <c r="F960" s="7" t="str">
        <f>IFERROR(__xludf.DUMMYFUNCTION("""COMPUTED_VALUE"""),"BICYCLE")</f>
        <v>BICYCLE</v>
      </c>
      <c r="G960" s="7" t="str">
        <f>IFERROR(__xludf.DUMMYFUNCTION("""COMPUTED_VALUE"""),"SAO PAULO")</f>
        <v>SAO PAULO</v>
      </c>
    </row>
    <row r="961">
      <c r="A961" s="6">
        <f>IFERROR(__xludf.DUMMYFUNCTION("""COMPUTED_VALUE"""),45705.0)</f>
        <v>45705</v>
      </c>
      <c r="B961" s="7" t="str">
        <f>IFERROR(__xludf.DUMMYFUNCTION("""COMPUTED_VALUE"""),"053ebe2e-cb51-464b-b905-3f3ffb7fb230")</f>
        <v>053ebe2e-cb51-464b-b905-3f3ffb7fb230</v>
      </c>
      <c r="C961" s="7">
        <f>IFERROR(__xludf.DUMMYFUNCTION("""COMPUTED_VALUE"""),16.0)</f>
        <v>16</v>
      </c>
      <c r="D961" s="6">
        <f>IFERROR(__xludf.DUMMYFUNCTION("""COMPUTED_VALUE"""),45689.0)</f>
        <v>45689</v>
      </c>
      <c r="E961" s="7" t="str">
        <f>IFERROR(__xludf.DUMMYFUNCTION("""COMPUTED_VALUE"""),"FRANQUIA_D&amp;G_SP")</f>
        <v>FRANQUIA_D&amp;G_SP</v>
      </c>
      <c r="F961" s="7" t="str">
        <f>IFERROR(__xludf.DUMMYFUNCTION("""COMPUTED_VALUE"""),"MOTORCYCLE")</f>
        <v>MOTORCYCLE</v>
      </c>
      <c r="G961" s="7" t="str">
        <f>IFERROR(__xludf.DUMMYFUNCTION("""COMPUTED_VALUE"""),"SAO PAULO")</f>
        <v>SAO PAULO</v>
      </c>
    </row>
    <row r="962">
      <c r="A962" s="6">
        <f>IFERROR(__xludf.DUMMYFUNCTION("""COMPUTED_VALUE"""),45705.0)</f>
        <v>45705</v>
      </c>
      <c r="B962" s="7" t="str">
        <f>IFERROR(__xludf.DUMMYFUNCTION("""COMPUTED_VALUE"""),"7bd42f96-c351-41bb-b9fc-fbe8fff97162")</f>
        <v>7bd42f96-c351-41bb-b9fc-fbe8fff97162</v>
      </c>
      <c r="C962" s="7">
        <f>IFERROR(__xludf.DUMMYFUNCTION("""COMPUTED_VALUE"""),0.0)</f>
        <v>0</v>
      </c>
      <c r="D962" s="6">
        <f>IFERROR(__xludf.DUMMYFUNCTION("""COMPUTED_VALUE"""),45705.0)</f>
        <v>45705</v>
      </c>
      <c r="E962" s="7" t="str">
        <f>IFERROR(__xludf.DUMMYFUNCTION("""COMPUTED_VALUE"""),"FRANQUIA_D&amp;G_SP")</f>
        <v>FRANQUIA_D&amp;G_SP</v>
      </c>
      <c r="F962" s="7" t="str">
        <f>IFERROR(__xludf.DUMMYFUNCTION("""COMPUTED_VALUE"""),"MOTORCYCLE")</f>
        <v>MOTORCYCLE</v>
      </c>
      <c r="G962" s="7" t="str">
        <f>IFERROR(__xludf.DUMMYFUNCTION("""COMPUTED_VALUE"""),"ABC")</f>
        <v>ABC</v>
      </c>
    </row>
    <row r="963">
      <c r="A963" s="6">
        <f>IFERROR(__xludf.DUMMYFUNCTION("""COMPUTED_VALUE"""),45705.0)</f>
        <v>45705</v>
      </c>
      <c r="B963" s="7" t="str">
        <f>IFERROR(__xludf.DUMMYFUNCTION("""COMPUTED_VALUE"""),"f6091961-24f3-4cba-bc01-46fcc8ab452e")</f>
        <v>f6091961-24f3-4cba-bc01-46fcc8ab452e</v>
      </c>
      <c r="C963" s="7">
        <f>IFERROR(__xludf.DUMMYFUNCTION("""COMPUTED_VALUE"""),447.0)</f>
        <v>447</v>
      </c>
      <c r="D963" s="6">
        <f>IFERROR(__xludf.DUMMYFUNCTION("""COMPUTED_VALUE"""),45258.0)</f>
        <v>45258</v>
      </c>
      <c r="E963" s="7" t="str">
        <f>IFERROR(__xludf.DUMMYFUNCTION("""COMPUTED_VALUE"""),"FRANQUIA_D&amp;G_SP")</f>
        <v>FRANQUIA_D&amp;G_SP</v>
      </c>
      <c r="F963" s="7" t="str">
        <f>IFERROR(__xludf.DUMMYFUNCTION("""COMPUTED_VALUE"""),"MOTORCYCLE")</f>
        <v>MOTORCYCLE</v>
      </c>
      <c r="G963" s="7" t="str">
        <f>IFERROR(__xludf.DUMMYFUNCTION("""COMPUTED_VALUE"""),"SAO PAULO")</f>
        <v>SAO PAULO</v>
      </c>
    </row>
    <row r="964">
      <c r="A964" s="6">
        <f>IFERROR(__xludf.DUMMYFUNCTION("""COMPUTED_VALUE"""),45705.0)</f>
        <v>45705</v>
      </c>
      <c r="B964" s="7" t="str">
        <f>IFERROR(__xludf.DUMMYFUNCTION("""COMPUTED_VALUE"""),"36734a30-2ce6-4510-bf15-5961937334fc")</f>
        <v>36734a30-2ce6-4510-bf15-5961937334fc</v>
      </c>
      <c r="C964" s="7">
        <f>IFERROR(__xludf.DUMMYFUNCTION("""COMPUTED_VALUE"""),38.0)</f>
        <v>38</v>
      </c>
      <c r="D964" s="6">
        <f>IFERROR(__xludf.DUMMYFUNCTION("""COMPUTED_VALUE"""),45667.0)</f>
        <v>45667</v>
      </c>
      <c r="E964" s="7" t="str">
        <f>IFERROR(__xludf.DUMMYFUNCTION("""COMPUTED_VALUE"""),"FRANQUIA_D&amp;G_SP")</f>
        <v>FRANQUIA_D&amp;G_SP</v>
      </c>
      <c r="F964" s="7" t="str">
        <f>IFERROR(__xludf.DUMMYFUNCTION("""COMPUTED_VALUE"""),"MOTORCYCLE")</f>
        <v>MOTORCYCLE</v>
      </c>
      <c r="G964" s="7" t="str">
        <f>IFERROR(__xludf.DUMMYFUNCTION("""COMPUTED_VALUE"""),"GUARULHOS")</f>
        <v>GUARULHOS</v>
      </c>
    </row>
    <row r="965">
      <c r="A965" s="6">
        <f>IFERROR(__xludf.DUMMYFUNCTION("""COMPUTED_VALUE"""),45705.0)</f>
        <v>45705</v>
      </c>
      <c r="B965" s="7" t="str">
        <f>IFERROR(__xludf.DUMMYFUNCTION("""COMPUTED_VALUE"""),"916696d3-308f-482a-83a3-6f4c3f552191")</f>
        <v>916696d3-308f-482a-83a3-6f4c3f552191</v>
      </c>
      <c r="C965" s="7">
        <f>IFERROR(__xludf.DUMMYFUNCTION("""COMPUTED_VALUE"""),2.0)</f>
        <v>2</v>
      </c>
      <c r="D965" s="6">
        <f>IFERROR(__xludf.DUMMYFUNCTION("""COMPUTED_VALUE"""),45703.0)</f>
        <v>45703</v>
      </c>
      <c r="E965" s="7" t="str">
        <f>IFERROR(__xludf.DUMMYFUNCTION("""COMPUTED_VALUE"""),"FRANQUIA_D&amp;G_SP")</f>
        <v>FRANQUIA_D&amp;G_SP</v>
      </c>
      <c r="F965" s="7" t="str">
        <f>IFERROR(__xludf.DUMMYFUNCTION("""COMPUTED_VALUE"""),"BICYCLE")</f>
        <v>BICYCLE</v>
      </c>
      <c r="G965" s="7" t="str">
        <f>IFERROR(__xludf.DUMMYFUNCTION("""COMPUTED_VALUE"""),"SAO PAULO")</f>
        <v>SAO PAULO</v>
      </c>
    </row>
    <row r="966">
      <c r="A966" s="6">
        <f>IFERROR(__xludf.DUMMYFUNCTION("""COMPUTED_VALUE"""),45705.0)</f>
        <v>45705</v>
      </c>
      <c r="B966" s="7" t="str">
        <f>IFERROR(__xludf.DUMMYFUNCTION("""COMPUTED_VALUE"""),"012d3701-b637-4c57-a56a-107664479a71")</f>
        <v>012d3701-b637-4c57-a56a-107664479a71</v>
      </c>
      <c r="C966" s="7">
        <f>IFERROR(__xludf.DUMMYFUNCTION("""COMPUTED_VALUE"""),1.0)</f>
        <v>1</v>
      </c>
      <c r="D966" s="6">
        <f>IFERROR(__xludf.DUMMYFUNCTION("""COMPUTED_VALUE"""),45704.0)</f>
        <v>45704</v>
      </c>
      <c r="E966" s="7" t="str">
        <f>IFERROR(__xludf.DUMMYFUNCTION("""COMPUTED_VALUE"""),"FRANQUIA_D&amp;G_SP")</f>
        <v>FRANQUIA_D&amp;G_SP</v>
      </c>
      <c r="F966" s="7" t="str">
        <f>IFERROR(__xludf.DUMMYFUNCTION("""COMPUTED_VALUE"""),"MOTORCYCLE")</f>
        <v>MOTORCYCLE</v>
      </c>
      <c r="G966" s="7" t="str">
        <f>IFERROR(__xludf.DUMMYFUNCTION("""COMPUTED_VALUE"""),"SAO PAULO")</f>
        <v>SAO PAULO</v>
      </c>
    </row>
    <row r="967">
      <c r="A967" s="6">
        <f>IFERROR(__xludf.DUMMYFUNCTION("""COMPUTED_VALUE"""),45705.0)</f>
        <v>45705</v>
      </c>
      <c r="B967" s="7" t="str">
        <f>IFERROR(__xludf.DUMMYFUNCTION("""COMPUTED_VALUE"""),"9d7aadce-47d2-4d81-85f5-29e272143647")</f>
        <v>9d7aadce-47d2-4d81-85f5-29e272143647</v>
      </c>
      <c r="C967" s="7">
        <f>IFERROR(__xludf.DUMMYFUNCTION("""COMPUTED_VALUE"""),2.0)</f>
        <v>2</v>
      </c>
      <c r="D967" s="6">
        <f>IFERROR(__xludf.DUMMYFUNCTION("""COMPUTED_VALUE"""),45703.0)</f>
        <v>45703</v>
      </c>
      <c r="E967" s="7" t="str">
        <f>IFERROR(__xludf.DUMMYFUNCTION("""COMPUTED_VALUE"""),"FRANQUIA_D&amp;G_SP")</f>
        <v>FRANQUIA_D&amp;G_SP</v>
      </c>
      <c r="F967" s="7" t="str">
        <f>IFERROR(__xludf.DUMMYFUNCTION("""COMPUTED_VALUE"""),"MOTORCYCLE")</f>
        <v>MOTORCYCLE</v>
      </c>
      <c r="G967" s="7" t="str">
        <f>IFERROR(__xludf.DUMMYFUNCTION("""COMPUTED_VALUE"""),"SAO PAULO")</f>
        <v>SAO PAULO</v>
      </c>
    </row>
    <row r="968">
      <c r="A968" s="6">
        <f>IFERROR(__xludf.DUMMYFUNCTION("""COMPUTED_VALUE"""),45705.0)</f>
        <v>45705</v>
      </c>
      <c r="B968" s="7" t="str">
        <f>IFERROR(__xludf.DUMMYFUNCTION("""COMPUTED_VALUE"""),"ec32dfa4-c116-44c7-9532-9b412fb42259")</f>
        <v>ec32dfa4-c116-44c7-9532-9b412fb42259</v>
      </c>
      <c r="C968" s="7">
        <f>IFERROR(__xludf.DUMMYFUNCTION("""COMPUTED_VALUE"""),0.0)</f>
        <v>0</v>
      </c>
      <c r="D968" s="6">
        <f>IFERROR(__xludf.DUMMYFUNCTION("""COMPUTED_VALUE"""),45705.0)</f>
        <v>45705</v>
      </c>
      <c r="E968" s="7" t="str">
        <f>IFERROR(__xludf.DUMMYFUNCTION("""COMPUTED_VALUE"""),"FRANQUIA_D&amp;G_SP")</f>
        <v>FRANQUIA_D&amp;G_SP</v>
      </c>
      <c r="F968" s="7" t="str">
        <f>IFERROR(__xludf.DUMMYFUNCTION("""COMPUTED_VALUE"""),"BICYCLE")</f>
        <v>BICYCLE</v>
      </c>
      <c r="G968" s="7" t="str">
        <f>IFERROR(__xludf.DUMMYFUNCTION("""COMPUTED_VALUE"""),"SAO PAULO")</f>
        <v>SAO PAULO</v>
      </c>
    </row>
    <row r="969">
      <c r="A969" s="6">
        <f>IFERROR(__xludf.DUMMYFUNCTION("""COMPUTED_VALUE"""),45705.0)</f>
        <v>45705</v>
      </c>
      <c r="B969" s="7" t="str">
        <f>IFERROR(__xludf.DUMMYFUNCTION("""COMPUTED_VALUE"""),"978f9a0e-4b23-429e-abce-776cddbe9672")</f>
        <v>978f9a0e-4b23-429e-abce-776cddbe9672</v>
      </c>
      <c r="C969" s="7">
        <f>IFERROR(__xludf.DUMMYFUNCTION("""COMPUTED_VALUE"""),0.0)</f>
        <v>0</v>
      </c>
      <c r="D969" s="6">
        <f>IFERROR(__xludf.DUMMYFUNCTION("""COMPUTED_VALUE"""),45705.0)</f>
        <v>45705</v>
      </c>
      <c r="E969" s="7" t="str">
        <f>IFERROR(__xludf.DUMMYFUNCTION("""COMPUTED_VALUE"""),"FRANQUIA_D&amp;G_SP")</f>
        <v>FRANQUIA_D&amp;G_SP</v>
      </c>
      <c r="F969" s="7" t="str">
        <f>IFERROR(__xludf.DUMMYFUNCTION("""COMPUTED_VALUE"""),"BICYCLE")</f>
        <v>BICYCLE</v>
      </c>
      <c r="G969" s="7" t="str">
        <f>IFERROR(__xludf.DUMMYFUNCTION("""COMPUTED_VALUE"""),"SAO PAULO")</f>
        <v>SAO PAULO</v>
      </c>
    </row>
    <row r="970">
      <c r="A970" s="6">
        <f>IFERROR(__xludf.DUMMYFUNCTION("""COMPUTED_VALUE"""),45705.0)</f>
        <v>45705</v>
      </c>
      <c r="B970" s="7" t="str">
        <f>IFERROR(__xludf.DUMMYFUNCTION("""COMPUTED_VALUE"""),"d2258950-2138-437b-84d1-b6e75ce4c7e8")</f>
        <v>d2258950-2138-437b-84d1-b6e75ce4c7e8</v>
      </c>
      <c r="C970" s="7">
        <f>IFERROR(__xludf.DUMMYFUNCTION("""COMPUTED_VALUE"""),57.0)</f>
        <v>57</v>
      </c>
      <c r="D970" s="6">
        <f>IFERROR(__xludf.DUMMYFUNCTION("""COMPUTED_VALUE"""),45648.0)</f>
        <v>45648</v>
      </c>
      <c r="E970" s="7" t="str">
        <f>IFERROR(__xludf.DUMMYFUNCTION("""COMPUTED_VALUE"""),"FRANQUIA_D&amp;G_SP")</f>
        <v>FRANQUIA_D&amp;G_SP</v>
      </c>
      <c r="F970" s="7" t="str">
        <f>IFERROR(__xludf.DUMMYFUNCTION("""COMPUTED_VALUE"""),"BICYCLE")</f>
        <v>BICYCLE</v>
      </c>
      <c r="G970" s="7" t="str">
        <f>IFERROR(__xludf.DUMMYFUNCTION("""COMPUTED_VALUE"""),"SAO PAULO")</f>
        <v>SAO PAULO</v>
      </c>
    </row>
    <row r="971">
      <c r="A971" s="6">
        <f>IFERROR(__xludf.DUMMYFUNCTION("""COMPUTED_VALUE"""),45705.0)</f>
        <v>45705</v>
      </c>
      <c r="B971" s="7" t="str">
        <f>IFERROR(__xludf.DUMMYFUNCTION("""COMPUTED_VALUE"""),"9e782398-1630-4782-9b8c-3cef7dce8639")</f>
        <v>9e782398-1630-4782-9b8c-3cef7dce8639</v>
      </c>
      <c r="C971" s="7">
        <f>IFERROR(__xludf.DUMMYFUNCTION("""COMPUTED_VALUE"""),2.0)</f>
        <v>2</v>
      </c>
      <c r="D971" s="6">
        <f>IFERROR(__xludf.DUMMYFUNCTION("""COMPUTED_VALUE"""),45703.0)</f>
        <v>45703</v>
      </c>
      <c r="E971" s="7" t="str">
        <f>IFERROR(__xludf.DUMMYFUNCTION("""COMPUTED_VALUE"""),"FRANQUIA_D&amp;G_SP")</f>
        <v>FRANQUIA_D&amp;G_SP</v>
      </c>
      <c r="F971" s="7" t="str">
        <f>IFERROR(__xludf.DUMMYFUNCTION("""COMPUTED_VALUE"""),"MOTORCYCLE")</f>
        <v>MOTORCYCLE</v>
      </c>
      <c r="G971" s="7" t="str">
        <f>IFERROR(__xludf.DUMMYFUNCTION("""COMPUTED_VALUE"""),"SAO PAULO")</f>
        <v>SAO PAULO</v>
      </c>
    </row>
    <row r="972">
      <c r="A972" s="6">
        <f>IFERROR(__xludf.DUMMYFUNCTION("""COMPUTED_VALUE"""),45705.0)</f>
        <v>45705</v>
      </c>
      <c r="B972" s="7" t="str">
        <f>IFERROR(__xludf.DUMMYFUNCTION("""COMPUTED_VALUE"""),"68d07c1a-edc8-4c84-9f21-b570a912fdd5")</f>
        <v>68d07c1a-edc8-4c84-9f21-b570a912fdd5</v>
      </c>
      <c r="C972" s="7">
        <f>IFERROR(__xludf.DUMMYFUNCTION("""COMPUTED_VALUE"""),6.0)</f>
        <v>6</v>
      </c>
      <c r="D972" s="6">
        <f>IFERROR(__xludf.DUMMYFUNCTION("""COMPUTED_VALUE"""),45699.0)</f>
        <v>45699</v>
      </c>
      <c r="E972" s="7" t="str">
        <f>IFERROR(__xludf.DUMMYFUNCTION("""COMPUTED_VALUE"""),"FRANQUIA_D&amp;G_SP")</f>
        <v>FRANQUIA_D&amp;G_SP</v>
      </c>
      <c r="F972" s="7" t="str">
        <f>IFERROR(__xludf.DUMMYFUNCTION("""COMPUTED_VALUE"""),"MOTORCYCLE")</f>
        <v>MOTORCYCLE</v>
      </c>
      <c r="G972" s="7" t="str">
        <f>IFERROR(__xludf.DUMMYFUNCTION("""COMPUTED_VALUE"""),"ABC")</f>
        <v>ABC</v>
      </c>
    </row>
    <row r="973">
      <c r="A973" s="6">
        <f>IFERROR(__xludf.DUMMYFUNCTION("""COMPUTED_VALUE"""),45705.0)</f>
        <v>45705</v>
      </c>
      <c r="B973" s="7" t="str">
        <f>IFERROR(__xludf.DUMMYFUNCTION("""COMPUTED_VALUE"""),"84de145d-aec2-4c50-8871-65657921d93a")</f>
        <v>84de145d-aec2-4c50-8871-65657921d93a</v>
      </c>
      <c r="C973" s="7">
        <f>IFERROR(__xludf.DUMMYFUNCTION("""COMPUTED_VALUE"""),53.0)</f>
        <v>53</v>
      </c>
      <c r="D973" s="6">
        <f>IFERROR(__xludf.DUMMYFUNCTION("""COMPUTED_VALUE"""),45652.0)</f>
        <v>45652</v>
      </c>
      <c r="E973" s="7" t="str">
        <f>IFERROR(__xludf.DUMMYFUNCTION("""COMPUTED_VALUE"""),"FRANQUIA_D&amp;G_SP")</f>
        <v>FRANQUIA_D&amp;G_SP</v>
      </c>
      <c r="F973" s="7" t="str">
        <f>IFERROR(__xludf.DUMMYFUNCTION("""COMPUTED_VALUE"""),"MOTORCYCLE")</f>
        <v>MOTORCYCLE</v>
      </c>
      <c r="G973" s="7" t="str">
        <f>IFERROR(__xludf.DUMMYFUNCTION("""COMPUTED_VALUE"""),"SAO PAULO")</f>
        <v>SAO PAULO</v>
      </c>
    </row>
    <row r="974">
      <c r="A974" s="6">
        <f>IFERROR(__xludf.DUMMYFUNCTION("""COMPUTED_VALUE"""),45705.0)</f>
        <v>45705</v>
      </c>
      <c r="B974" s="7" t="str">
        <f>IFERROR(__xludf.DUMMYFUNCTION("""COMPUTED_VALUE"""),"dc4d9dfe-91fd-45ab-8335-ea0c81e03b99")</f>
        <v>dc4d9dfe-91fd-45ab-8335-ea0c81e03b99</v>
      </c>
      <c r="C974" s="7">
        <f>IFERROR(__xludf.DUMMYFUNCTION("""COMPUTED_VALUE"""),12.0)</f>
        <v>12</v>
      </c>
      <c r="D974" s="6">
        <f>IFERROR(__xludf.DUMMYFUNCTION("""COMPUTED_VALUE"""),45693.0)</f>
        <v>45693</v>
      </c>
      <c r="E974" s="7" t="str">
        <f>IFERROR(__xludf.DUMMYFUNCTION("""COMPUTED_VALUE"""),"FRANQUIA_D&amp;G_SP")</f>
        <v>FRANQUIA_D&amp;G_SP</v>
      </c>
      <c r="F974" s="7" t="str">
        <f>IFERROR(__xludf.DUMMYFUNCTION("""COMPUTED_VALUE"""),"MOTORCYCLE")</f>
        <v>MOTORCYCLE</v>
      </c>
      <c r="G974" s="7" t="str">
        <f>IFERROR(__xludf.DUMMYFUNCTION("""COMPUTED_VALUE"""),"SAO PAULO")</f>
        <v>SAO PAULO</v>
      </c>
    </row>
    <row r="975">
      <c r="A975" s="6">
        <f>IFERROR(__xludf.DUMMYFUNCTION("""COMPUTED_VALUE"""),45705.0)</f>
        <v>45705</v>
      </c>
      <c r="B975" s="7" t="str">
        <f>IFERROR(__xludf.DUMMYFUNCTION("""COMPUTED_VALUE"""),"a6952865-54b2-4edc-b513-194f8cc4faad")</f>
        <v>a6952865-54b2-4edc-b513-194f8cc4faad</v>
      </c>
      <c r="C975" s="7">
        <f>IFERROR(__xludf.DUMMYFUNCTION("""COMPUTED_VALUE"""),0.0)</f>
        <v>0</v>
      </c>
      <c r="D975" s="6">
        <f>IFERROR(__xludf.DUMMYFUNCTION("""COMPUTED_VALUE"""),45705.0)</f>
        <v>45705</v>
      </c>
      <c r="E975" s="7" t="str">
        <f>IFERROR(__xludf.DUMMYFUNCTION("""COMPUTED_VALUE"""),"FRANQUIA_D&amp;G_SP")</f>
        <v>FRANQUIA_D&amp;G_SP</v>
      </c>
      <c r="F975" s="7" t="str">
        <f>IFERROR(__xludf.DUMMYFUNCTION("""COMPUTED_VALUE"""),"MOTORCYCLE")</f>
        <v>MOTORCYCLE</v>
      </c>
      <c r="G975" s="7" t="str">
        <f>IFERROR(__xludf.DUMMYFUNCTION("""COMPUTED_VALUE"""),"SAO PAULO")</f>
        <v>SAO PAULO</v>
      </c>
    </row>
    <row r="976">
      <c r="A976" s="6">
        <f>IFERROR(__xludf.DUMMYFUNCTION("""COMPUTED_VALUE"""),45705.0)</f>
        <v>45705</v>
      </c>
      <c r="B976" s="7" t="str">
        <f>IFERROR(__xludf.DUMMYFUNCTION("""COMPUTED_VALUE"""),"f1039a95-bee9-4b65-b3df-01b9664a1c5d")</f>
        <v>f1039a95-bee9-4b65-b3df-01b9664a1c5d</v>
      </c>
      <c r="C976" s="7">
        <f>IFERROR(__xludf.DUMMYFUNCTION("""COMPUTED_VALUE"""),302.0)</f>
        <v>302</v>
      </c>
      <c r="D976" s="6">
        <f>IFERROR(__xludf.DUMMYFUNCTION("""COMPUTED_VALUE"""),45403.0)</f>
        <v>45403</v>
      </c>
      <c r="E976" s="7" t="str">
        <f>IFERROR(__xludf.DUMMYFUNCTION("""COMPUTED_VALUE"""),"FRANQUIA_D&amp;G_SP")</f>
        <v>FRANQUIA_D&amp;G_SP</v>
      </c>
      <c r="F976" s="7" t="str">
        <f>IFERROR(__xludf.DUMMYFUNCTION("""COMPUTED_VALUE"""),"BICYCLE")</f>
        <v>BICYCLE</v>
      </c>
      <c r="G976" s="7" t="str">
        <f>IFERROR(__xludf.DUMMYFUNCTION("""COMPUTED_VALUE"""),"SAO PAULO")</f>
        <v>SAO PAULO</v>
      </c>
    </row>
    <row r="977">
      <c r="A977" s="6">
        <f>IFERROR(__xludf.DUMMYFUNCTION("""COMPUTED_VALUE"""),45705.0)</f>
        <v>45705</v>
      </c>
      <c r="B977" s="7" t="str">
        <f>IFERROR(__xludf.DUMMYFUNCTION("""COMPUTED_VALUE"""),"b24340cf-3d92-4432-bd63-5b0786a571bc")</f>
        <v>b24340cf-3d92-4432-bd63-5b0786a571bc</v>
      </c>
      <c r="C977" s="7">
        <f>IFERROR(__xludf.DUMMYFUNCTION("""COMPUTED_VALUE"""),0.0)</f>
        <v>0</v>
      </c>
      <c r="D977" s="6">
        <f>IFERROR(__xludf.DUMMYFUNCTION("""COMPUTED_VALUE"""),45705.0)</f>
        <v>45705</v>
      </c>
      <c r="E977" s="7" t="str">
        <f>IFERROR(__xludf.DUMMYFUNCTION("""COMPUTED_VALUE"""),"FRANQUIA_D&amp;G_SP")</f>
        <v>FRANQUIA_D&amp;G_SP</v>
      </c>
      <c r="F977" s="7" t="str">
        <f>IFERROR(__xludf.DUMMYFUNCTION("""COMPUTED_VALUE"""),"MOTORCYCLE")</f>
        <v>MOTORCYCLE</v>
      </c>
      <c r="G977" s="7" t="str">
        <f>IFERROR(__xludf.DUMMYFUNCTION("""COMPUTED_VALUE"""),"SAO PAULO")</f>
        <v>SAO PAULO</v>
      </c>
    </row>
    <row r="978">
      <c r="A978" s="6">
        <f>IFERROR(__xludf.DUMMYFUNCTION("""COMPUTED_VALUE"""),45705.0)</f>
        <v>45705</v>
      </c>
      <c r="B978" s="7" t="str">
        <f>IFERROR(__xludf.DUMMYFUNCTION("""COMPUTED_VALUE"""),"da9e53d6-546f-425e-b57c-c4de5243026d")</f>
        <v>da9e53d6-546f-425e-b57c-c4de5243026d</v>
      </c>
      <c r="C978" s="7">
        <f>IFERROR(__xludf.DUMMYFUNCTION("""COMPUTED_VALUE"""),0.0)</f>
        <v>0</v>
      </c>
      <c r="D978" s="6">
        <f>IFERROR(__xludf.DUMMYFUNCTION("""COMPUTED_VALUE"""),45705.0)</f>
        <v>45705</v>
      </c>
      <c r="E978" s="7" t="str">
        <f>IFERROR(__xludf.DUMMYFUNCTION("""COMPUTED_VALUE"""),"FRANQUIA_D&amp;G_SP")</f>
        <v>FRANQUIA_D&amp;G_SP</v>
      </c>
      <c r="F978" s="7" t="str">
        <f>IFERROR(__xludf.DUMMYFUNCTION("""COMPUTED_VALUE"""),"MOTORCYCLE")</f>
        <v>MOTORCYCLE</v>
      </c>
      <c r="G978" s="7" t="str">
        <f>IFERROR(__xludf.DUMMYFUNCTION("""COMPUTED_VALUE"""),"SAO PAULO")</f>
        <v>SAO PAULO</v>
      </c>
    </row>
    <row r="979">
      <c r="A979" s="6">
        <f>IFERROR(__xludf.DUMMYFUNCTION("""COMPUTED_VALUE"""),45705.0)</f>
        <v>45705</v>
      </c>
      <c r="B979" s="7" t="str">
        <f>IFERROR(__xludf.DUMMYFUNCTION("""COMPUTED_VALUE"""),"c0ecec17-60d1-4099-a65a-cf2b1bc17084")</f>
        <v>c0ecec17-60d1-4099-a65a-cf2b1bc17084</v>
      </c>
      <c r="C979" s="7">
        <f>IFERROR(__xludf.DUMMYFUNCTION("""COMPUTED_VALUE"""),0.0)</f>
        <v>0</v>
      </c>
      <c r="D979" s="6">
        <f>IFERROR(__xludf.DUMMYFUNCTION("""COMPUTED_VALUE"""),45705.0)</f>
        <v>45705</v>
      </c>
      <c r="E979" s="7" t="str">
        <f>IFERROR(__xludf.DUMMYFUNCTION("""COMPUTED_VALUE"""),"FRANQUIA_D&amp;G_SP")</f>
        <v>FRANQUIA_D&amp;G_SP</v>
      </c>
      <c r="F979" s="7" t="str">
        <f>IFERROR(__xludf.DUMMYFUNCTION("""COMPUTED_VALUE"""),"MOTORCYCLE")</f>
        <v>MOTORCYCLE</v>
      </c>
      <c r="G979" s="7" t="str">
        <f>IFERROR(__xludf.DUMMYFUNCTION("""COMPUTED_VALUE"""),"SAO PAULO")</f>
        <v>SAO PAULO</v>
      </c>
    </row>
    <row r="980">
      <c r="A980" s="6">
        <f>IFERROR(__xludf.DUMMYFUNCTION("""COMPUTED_VALUE"""),45705.0)</f>
        <v>45705</v>
      </c>
      <c r="B980" s="7" t="str">
        <f>IFERROR(__xludf.DUMMYFUNCTION("""COMPUTED_VALUE"""),"8c0ca54f-3316-4437-96be-fbccc5ad91f4")</f>
        <v>8c0ca54f-3316-4437-96be-fbccc5ad91f4</v>
      </c>
      <c r="C980" s="7">
        <f>IFERROR(__xludf.DUMMYFUNCTION("""COMPUTED_VALUE"""),1.0)</f>
        <v>1</v>
      </c>
      <c r="D980" s="6">
        <f>IFERROR(__xludf.DUMMYFUNCTION("""COMPUTED_VALUE"""),45704.0)</f>
        <v>45704</v>
      </c>
      <c r="E980" s="7" t="str">
        <f>IFERROR(__xludf.DUMMYFUNCTION("""COMPUTED_VALUE"""),"FRANQUIA_D&amp;G_SP")</f>
        <v>FRANQUIA_D&amp;G_SP</v>
      </c>
      <c r="F980" s="7" t="str">
        <f>IFERROR(__xludf.DUMMYFUNCTION("""COMPUTED_VALUE"""),"MOTORCYCLE")</f>
        <v>MOTORCYCLE</v>
      </c>
      <c r="G980" s="7" t="str">
        <f>IFERROR(__xludf.DUMMYFUNCTION("""COMPUTED_VALUE"""),"SAO PAULO")</f>
        <v>SAO PAULO</v>
      </c>
    </row>
    <row r="981">
      <c r="A981" s="6">
        <f>IFERROR(__xludf.DUMMYFUNCTION("""COMPUTED_VALUE"""),45705.0)</f>
        <v>45705</v>
      </c>
      <c r="B981" s="7" t="str">
        <f>IFERROR(__xludf.DUMMYFUNCTION("""COMPUTED_VALUE"""),"b0032841-e193-4a43-9ae4-06058c7764c4")</f>
        <v>b0032841-e193-4a43-9ae4-06058c7764c4</v>
      </c>
      <c r="C981" s="7">
        <f>IFERROR(__xludf.DUMMYFUNCTION("""COMPUTED_VALUE"""),59.0)</f>
        <v>59</v>
      </c>
      <c r="D981" s="6">
        <f>IFERROR(__xludf.DUMMYFUNCTION("""COMPUTED_VALUE"""),45646.0)</f>
        <v>45646</v>
      </c>
      <c r="E981" s="7" t="str">
        <f>IFERROR(__xludf.DUMMYFUNCTION("""COMPUTED_VALUE"""),"FRANQUIA_D&amp;G_SP")</f>
        <v>FRANQUIA_D&amp;G_SP</v>
      </c>
      <c r="F981" s="7" t="str">
        <f>IFERROR(__xludf.DUMMYFUNCTION("""COMPUTED_VALUE"""),"BICYCLE")</f>
        <v>BICYCLE</v>
      </c>
      <c r="G981" s="7" t="str">
        <f>IFERROR(__xludf.DUMMYFUNCTION("""COMPUTED_VALUE"""),"SAO PAULO")</f>
        <v>SAO PAULO</v>
      </c>
    </row>
    <row r="982">
      <c r="A982" s="6">
        <f>IFERROR(__xludf.DUMMYFUNCTION("""COMPUTED_VALUE"""),45705.0)</f>
        <v>45705</v>
      </c>
      <c r="B982" s="7" t="str">
        <f>IFERROR(__xludf.DUMMYFUNCTION("""COMPUTED_VALUE"""),"c55caeb7-a3f3-40aa-8eb5-fee05630d685")</f>
        <v>c55caeb7-a3f3-40aa-8eb5-fee05630d685</v>
      </c>
      <c r="C982" s="7">
        <f>IFERROR(__xludf.DUMMYFUNCTION("""COMPUTED_VALUE"""),0.0)</f>
        <v>0</v>
      </c>
      <c r="D982" s="6">
        <f>IFERROR(__xludf.DUMMYFUNCTION("""COMPUTED_VALUE"""),45705.0)</f>
        <v>45705</v>
      </c>
      <c r="E982" s="7" t="str">
        <f>IFERROR(__xludf.DUMMYFUNCTION("""COMPUTED_VALUE"""),"FRANQUIA_D&amp;G_SP")</f>
        <v>FRANQUIA_D&amp;G_SP</v>
      </c>
      <c r="F982" s="7" t="str">
        <f>IFERROR(__xludf.DUMMYFUNCTION("""COMPUTED_VALUE"""),"MOTORCYCLE")</f>
        <v>MOTORCYCLE</v>
      </c>
      <c r="G982" s="7" t="str">
        <f>IFERROR(__xludf.DUMMYFUNCTION("""COMPUTED_VALUE"""),"SAO PAULO")</f>
        <v>SAO PAULO</v>
      </c>
    </row>
    <row r="983">
      <c r="A983" s="6">
        <f>IFERROR(__xludf.DUMMYFUNCTION("""COMPUTED_VALUE"""),45705.0)</f>
        <v>45705</v>
      </c>
      <c r="B983" s="7" t="str">
        <f>IFERROR(__xludf.DUMMYFUNCTION("""COMPUTED_VALUE"""),"064e7f2f-b7ab-49a6-bf4c-3e11856e3c47")</f>
        <v>064e7f2f-b7ab-49a6-bf4c-3e11856e3c47</v>
      </c>
      <c r="C983" s="7">
        <f>IFERROR(__xludf.DUMMYFUNCTION("""COMPUTED_VALUE"""),1.0)</f>
        <v>1</v>
      </c>
      <c r="D983" s="6">
        <f>IFERROR(__xludf.DUMMYFUNCTION("""COMPUTED_VALUE"""),45704.0)</f>
        <v>45704</v>
      </c>
      <c r="E983" s="7" t="str">
        <f>IFERROR(__xludf.DUMMYFUNCTION("""COMPUTED_VALUE"""),"FRANQUIA_D&amp;G_SP")</f>
        <v>FRANQUIA_D&amp;G_SP</v>
      </c>
      <c r="F983" s="7" t="str">
        <f>IFERROR(__xludf.DUMMYFUNCTION("""COMPUTED_VALUE"""),"MOTORCYCLE")</f>
        <v>MOTORCYCLE</v>
      </c>
      <c r="G983" s="7" t="str">
        <f>IFERROR(__xludf.DUMMYFUNCTION("""COMPUTED_VALUE"""),"SAO PAULO")</f>
        <v>SAO PAULO</v>
      </c>
    </row>
    <row r="984">
      <c r="A984" s="6">
        <f>IFERROR(__xludf.DUMMYFUNCTION("""COMPUTED_VALUE"""),45705.0)</f>
        <v>45705</v>
      </c>
      <c r="B984" s="7" t="str">
        <f>IFERROR(__xludf.DUMMYFUNCTION("""COMPUTED_VALUE"""),"1710b3af-a8c8-4370-a945-ac8f8d427e8e")</f>
        <v>1710b3af-a8c8-4370-a945-ac8f8d427e8e</v>
      </c>
      <c r="C984" s="7">
        <f>IFERROR(__xludf.DUMMYFUNCTION("""COMPUTED_VALUE"""),0.0)</f>
        <v>0</v>
      </c>
      <c r="D984" s="6">
        <f>IFERROR(__xludf.DUMMYFUNCTION("""COMPUTED_VALUE"""),45705.0)</f>
        <v>45705</v>
      </c>
      <c r="E984" s="7" t="str">
        <f>IFERROR(__xludf.DUMMYFUNCTION("""COMPUTED_VALUE"""),"FRANQUIA_D&amp;G_SP")</f>
        <v>FRANQUIA_D&amp;G_SP</v>
      </c>
      <c r="F984" s="7" t="str">
        <f>IFERROR(__xludf.DUMMYFUNCTION("""COMPUTED_VALUE"""),"MOTORCYCLE")</f>
        <v>MOTORCYCLE</v>
      </c>
      <c r="G984" s="7" t="str">
        <f>IFERROR(__xludf.DUMMYFUNCTION("""COMPUTED_VALUE"""),"SAO PAULO")</f>
        <v>SAO PAULO</v>
      </c>
    </row>
    <row r="985">
      <c r="A985" s="6">
        <f>IFERROR(__xludf.DUMMYFUNCTION("""COMPUTED_VALUE"""),45705.0)</f>
        <v>45705</v>
      </c>
      <c r="B985" s="7" t="str">
        <f>IFERROR(__xludf.DUMMYFUNCTION("""COMPUTED_VALUE"""),"bbc8743a-2228-4951-97e6-5c6dffa23777")</f>
        <v>bbc8743a-2228-4951-97e6-5c6dffa23777</v>
      </c>
      <c r="C985" s="7">
        <f>IFERROR(__xludf.DUMMYFUNCTION("""COMPUTED_VALUE"""),79.0)</f>
        <v>79</v>
      </c>
      <c r="D985" s="6">
        <f>IFERROR(__xludf.DUMMYFUNCTION("""COMPUTED_VALUE"""),45626.0)</f>
        <v>45626</v>
      </c>
      <c r="E985" s="7" t="str">
        <f>IFERROR(__xludf.DUMMYFUNCTION("""COMPUTED_VALUE"""),"FRANQUIA_D&amp;G_SP")</f>
        <v>FRANQUIA_D&amp;G_SP</v>
      </c>
      <c r="F985" s="7" t="str">
        <f>IFERROR(__xludf.DUMMYFUNCTION("""COMPUTED_VALUE"""),"BICYCLE")</f>
        <v>BICYCLE</v>
      </c>
      <c r="G985" s="7" t="str">
        <f>IFERROR(__xludf.DUMMYFUNCTION("""COMPUTED_VALUE"""),"SAO PAULO")</f>
        <v>SAO PAULO</v>
      </c>
    </row>
    <row r="986">
      <c r="A986" s="6">
        <f>IFERROR(__xludf.DUMMYFUNCTION("""COMPUTED_VALUE"""),45705.0)</f>
        <v>45705</v>
      </c>
      <c r="B986" s="7" t="str">
        <f>IFERROR(__xludf.DUMMYFUNCTION("""COMPUTED_VALUE"""),"fd5110bd-449e-4c78-95b1-d8256abd0212")</f>
        <v>fd5110bd-449e-4c78-95b1-d8256abd0212</v>
      </c>
      <c r="C986" s="7">
        <f>IFERROR(__xludf.DUMMYFUNCTION("""COMPUTED_VALUE"""),0.0)</f>
        <v>0</v>
      </c>
      <c r="D986" s="6">
        <f>IFERROR(__xludf.DUMMYFUNCTION("""COMPUTED_VALUE"""),0.0)</f>
        <v>0</v>
      </c>
      <c r="E986" s="7" t="str">
        <f>IFERROR(__xludf.DUMMYFUNCTION("""COMPUTED_VALUE"""),"FRANQUIA_D&amp;G_SP")</f>
        <v>FRANQUIA_D&amp;G_SP</v>
      </c>
      <c r="F986" s="7" t="str">
        <f>IFERROR(__xludf.DUMMYFUNCTION("""COMPUTED_VALUE"""),"MOTORCYCLE")</f>
        <v>MOTORCYCLE</v>
      </c>
      <c r="G986" s="7" t="str">
        <f>IFERROR(__xludf.DUMMYFUNCTION("""COMPUTED_VALUE"""),"0")</f>
        <v>0</v>
      </c>
    </row>
    <row r="987">
      <c r="A987" s="6">
        <f>IFERROR(__xludf.DUMMYFUNCTION("""COMPUTED_VALUE"""),45705.0)</f>
        <v>45705</v>
      </c>
      <c r="B987" s="7" t="str">
        <f>IFERROR(__xludf.DUMMYFUNCTION("""COMPUTED_VALUE"""),"f22b6ce7-a27d-4e2a-89c7-eca5e9a2323e")</f>
        <v>f22b6ce7-a27d-4e2a-89c7-eca5e9a2323e</v>
      </c>
      <c r="C987" s="7">
        <f>IFERROR(__xludf.DUMMYFUNCTION("""COMPUTED_VALUE"""),0.0)</f>
        <v>0</v>
      </c>
      <c r="D987" s="6">
        <f>IFERROR(__xludf.DUMMYFUNCTION("""COMPUTED_VALUE"""),45705.0)</f>
        <v>45705</v>
      </c>
      <c r="E987" s="7" t="str">
        <f>IFERROR(__xludf.DUMMYFUNCTION("""COMPUTED_VALUE"""),"FRANQUIA_D&amp;G_SP")</f>
        <v>FRANQUIA_D&amp;G_SP</v>
      </c>
      <c r="F987" s="7" t="str">
        <f>IFERROR(__xludf.DUMMYFUNCTION("""COMPUTED_VALUE"""),"BICYCLE")</f>
        <v>BICYCLE</v>
      </c>
      <c r="G987" s="7" t="str">
        <f>IFERROR(__xludf.DUMMYFUNCTION("""COMPUTED_VALUE"""),"SAO PAULO")</f>
        <v>SAO PAULO</v>
      </c>
    </row>
    <row r="988">
      <c r="A988" s="6">
        <f>IFERROR(__xludf.DUMMYFUNCTION("""COMPUTED_VALUE"""),45705.0)</f>
        <v>45705</v>
      </c>
      <c r="B988" s="7" t="str">
        <f>IFERROR(__xludf.DUMMYFUNCTION("""COMPUTED_VALUE"""),"86b82c42-54ac-44ab-a15f-da6c1c71249c")</f>
        <v>86b82c42-54ac-44ab-a15f-da6c1c71249c</v>
      </c>
      <c r="C988" s="7">
        <f>IFERROR(__xludf.DUMMYFUNCTION("""COMPUTED_VALUE"""),0.0)</f>
        <v>0</v>
      </c>
      <c r="D988" s="6">
        <f>IFERROR(__xludf.DUMMYFUNCTION("""COMPUTED_VALUE"""),45705.0)</f>
        <v>45705</v>
      </c>
      <c r="E988" s="7" t="str">
        <f>IFERROR(__xludf.DUMMYFUNCTION("""COMPUTED_VALUE"""),"FRANQUIA_D&amp;G_SP")</f>
        <v>FRANQUIA_D&amp;G_SP</v>
      </c>
      <c r="F988" s="7" t="str">
        <f>IFERROR(__xludf.DUMMYFUNCTION("""COMPUTED_VALUE"""),"BICYCLE")</f>
        <v>BICYCLE</v>
      </c>
      <c r="G988" s="7" t="str">
        <f>IFERROR(__xludf.DUMMYFUNCTION("""COMPUTED_VALUE"""),"SAO PAULO")</f>
        <v>SAO PAULO</v>
      </c>
    </row>
    <row r="989">
      <c r="A989" s="6">
        <f>IFERROR(__xludf.DUMMYFUNCTION("""COMPUTED_VALUE"""),45705.0)</f>
        <v>45705</v>
      </c>
      <c r="B989" s="7" t="str">
        <f>IFERROR(__xludf.DUMMYFUNCTION("""COMPUTED_VALUE"""),"af9dcbce-845e-46d8-b803-7929d18f1876")</f>
        <v>af9dcbce-845e-46d8-b803-7929d18f1876</v>
      </c>
      <c r="C989" s="7">
        <f>IFERROR(__xludf.DUMMYFUNCTION("""COMPUTED_VALUE"""),1.0)</f>
        <v>1</v>
      </c>
      <c r="D989" s="6">
        <f>IFERROR(__xludf.DUMMYFUNCTION("""COMPUTED_VALUE"""),45704.0)</f>
        <v>45704</v>
      </c>
      <c r="E989" s="7" t="str">
        <f>IFERROR(__xludf.DUMMYFUNCTION("""COMPUTED_VALUE"""),"FRANQUIA_D&amp;G_SP")</f>
        <v>FRANQUIA_D&amp;G_SP</v>
      </c>
      <c r="F989" s="7" t="str">
        <f>IFERROR(__xludf.DUMMYFUNCTION("""COMPUTED_VALUE"""),"BICYCLE")</f>
        <v>BICYCLE</v>
      </c>
      <c r="G989" s="7" t="str">
        <f>IFERROR(__xludf.DUMMYFUNCTION("""COMPUTED_VALUE"""),"SAO PAULO")</f>
        <v>SAO PAULO</v>
      </c>
    </row>
    <row r="990">
      <c r="A990" s="6">
        <f>IFERROR(__xludf.DUMMYFUNCTION("""COMPUTED_VALUE"""),45705.0)</f>
        <v>45705</v>
      </c>
      <c r="B990" s="7" t="str">
        <f>IFERROR(__xludf.DUMMYFUNCTION("""COMPUTED_VALUE"""),"6aef4bf5-9bb2-4337-9856-cfda46cd4010")</f>
        <v>6aef4bf5-9bb2-4337-9856-cfda46cd4010</v>
      </c>
      <c r="C990" s="7">
        <f>IFERROR(__xludf.DUMMYFUNCTION("""COMPUTED_VALUE"""),171.0)</f>
        <v>171</v>
      </c>
      <c r="D990" s="6">
        <f>IFERROR(__xludf.DUMMYFUNCTION("""COMPUTED_VALUE"""),45534.0)</f>
        <v>45534</v>
      </c>
      <c r="E990" s="7" t="str">
        <f>IFERROR(__xludf.DUMMYFUNCTION("""COMPUTED_VALUE"""),"FRANQUIA_D&amp;G_SP")</f>
        <v>FRANQUIA_D&amp;G_SP</v>
      </c>
      <c r="F990" s="7" t="str">
        <f>IFERROR(__xludf.DUMMYFUNCTION("""COMPUTED_VALUE"""),"MOTORCYCLE")</f>
        <v>MOTORCYCLE</v>
      </c>
      <c r="G990" s="7" t="str">
        <f>IFERROR(__xludf.DUMMYFUNCTION("""COMPUTED_VALUE"""),"SAO PAULO")</f>
        <v>SAO PAULO</v>
      </c>
    </row>
    <row r="991">
      <c r="A991" s="6">
        <f>IFERROR(__xludf.DUMMYFUNCTION("""COMPUTED_VALUE"""),45705.0)</f>
        <v>45705</v>
      </c>
      <c r="B991" s="7" t="str">
        <f>IFERROR(__xludf.DUMMYFUNCTION("""COMPUTED_VALUE"""),"5327ef75-27bc-45ca-8e03-620f3664775d")</f>
        <v>5327ef75-27bc-45ca-8e03-620f3664775d</v>
      </c>
      <c r="C991" s="7">
        <f>IFERROR(__xludf.DUMMYFUNCTION("""COMPUTED_VALUE"""),1.0)</f>
        <v>1</v>
      </c>
      <c r="D991" s="6">
        <f>IFERROR(__xludf.DUMMYFUNCTION("""COMPUTED_VALUE"""),45704.0)</f>
        <v>45704</v>
      </c>
      <c r="E991" s="7" t="str">
        <f>IFERROR(__xludf.DUMMYFUNCTION("""COMPUTED_VALUE"""),"FRANQUIA_D&amp;G_SP")</f>
        <v>FRANQUIA_D&amp;G_SP</v>
      </c>
      <c r="F991" s="7" t="str">
        <f>IFERROR(__xludf.DUMMYFUNCTION("""COMPUTED_VALUE"""),"BICYCLE")</f>
        <v>BICYCLE</v>
      </c>
      <c r="G991" s="7" t="str">
        <f>IFERROR(__xludf.DUMMYFUNCTION("""COMPUTED_VALUE"""),"SAO PAULO")</f>
        <v>SAO PAULO</v>
      </c>
    </row>
    <row r="992">
      <c r="A992" s="6">
        <f>IFERROR(__xludf.DUMMYFUNCTION("""COMPUTED_VALUE"""),45705.0)</f>
        <v>45705</v>
      </c>
      <c r="B992" s="7" t="str">
        <f>IFERROR(__xludf.DUMMYFUNCTION("""COMPUTED_VALUE"""),"3fea02a1-f4be-4f05-b5b9-b00c7f8da9f1")</f>
        <v>3fea02a1-f4be-4f05-b5b9-b00c7f8da9f1</v>
      </c>
      <c r="C992" s="7">
        <f>IFERROR(__xludf.DUMMYFUNCTION("""COMPUTED_VALUE"""),0.0)</f>
        <v>0</v>
      </c>
      <c r="D992" s="6">
        <f>IFERROR(__xludf.DUMMYFUNCTION("""COMPUTED_VALUE"""),45705.0)</f>
        <v>45705</v>
      </c>
      <c r="E992" s="7" t="str">
        <f>IFERROR(__xludf.DUMMYFUNCTION("""COMPUTED_VALUE"""),"FRANQUIA_D&amp;G_SP")</f>
        <v>FRANQUIA_D&amp;G_SP</v>
      </c>
      <c r="F992" s="7" t="str">
        <f>IFERROR(__xludf.DUMMYFUNCTION("""COMPUTED_VALUE"""),"MOTORCYCLE")</f>
        <v>MOTORCYCLE</v>
      </c>
      <c r="G992" s="7" t="str">
        <f>IFERROR(__xludf.DUMMYFUNCTION("""COMPUTED_VALUE"""),"SAO PAULO")</f>
        <v>SAO PAULO</v>
      </c>
    </row>
    <row r="993">
      <c r="A993" s="6">
        <f>IFERROR(__xludf.DUMMYFUNCTION("""COMPUTED_VALUE"""),45705.0)</f>
        <v>45705</v>
      </c>
      <c r="B993" s="7" t="str">
        <f>IFERROR(__xludf.DUMMYFUNCTION("""COMPUTED_VALUE"""),"e8b2ae64-652b-496f-8002-db41776c7f9a")</f>
        <v>e8b2ae64-652b-496f-8002-db41776c7f9a</v>
      </c>
      <c r="C993" s="7">
        <f>IFERROR(__xludf.DUMMYFUNCTION("""COMPUTED_VALUE"""),0.0)</f>
        <v>0</v>
      </c>
      <c r="D993" s="6">
        <f>IFERROR(__xludf.DUMMYFUNCTION("""COMPUTED_VALUE"""),45705.0)</f>
        <v>45705</v>
      </c>
      <c r="E993" s="7" t="str">
        <f>IFERROR(__xludf.DUMMYFUNCTION("""COMPUTED_VALUE"""),"FRANQUIA_D&amp;G_SP")</f>
        <v>FRANQUIA_D&amp;G_SP</v>
      </c>
      <c r="F993" s="7" t="str">
        <f>IFERROR(__xludf.DUMMYFUNCTION("""COMPUTED_VALUE"""),"EBIKE")</f>
        <v>EBIKE</v>
      </c>
      <c r="G993" s="7" t="str">
        <f>IFERROR(__xludf.DUMMYFUNCTION("""COMPUTED_VALUE"""),"SAO PAULO")</f>
        <v>SAO PAULO</v>
      </c>
    </row>
    <row r="994">
      <c r="A994" s="6">
        <f>IFERROR(__xludf.DUMMYFUNCTION("""COMPUTED_VALUE"""),45705.0)</f>
        <v>45705</v>
      </c>
      <c r="B994" s="7" t="str">
        <f>IFERROR(__xludf.DUMMYFUNCTION("""COMPUTED_VALUE"""),"6c73fe5c-24f8-43cf-9f1a-ab493758655f")</f>
        <v>6c73fe5c-24f8-43cf-9f1a-ab493758655f</v>
      </c>
      <c r="C994" s="7">
        <f>IFERROR(__xludf.DUMMYFUNCTION("""COMPUTED_VALUE"""),1.0)</f>
        <v>1</v>
      </c>
      <c r="D994" s="6">
        <f>IFERROR(__xludf.DUMMYFUNCTION("""COMPUTED_VALUE"""),45704.0)</f>
        <v>45704</v>
      </c>
      <c r="E994" s="7" t="str">
        <f>IFERROR(__xludf.DUMMYFUNCTION("""COMPUTED_VALUE"""),"FRANQUIA_D&amp;G_SP")</f>
        <v>FRANQUIA_D&amp;G_SP</v>
      </c>
      <c r="F994" s="7" t="str">
        <f>IFERROR(__xludf.DUMMYFUNCTION("""COMPUTED_VALUE"""),"BICYCLE")</f>
        <v>BICYCLE</v>
      </c>
      <c r="G994" s="7" t="str">
        <f>IFERROR(__xludf.DUMMYFUNCTION("""COMPUTED_VALUE"""),"SAO PAULO")</f>
        <v>SAO PAULO</v>
      </c>
    </row>
    <row r="995">
      <c r="A995" s="6">
        <f>IFERROR(__xludf.DUMMYFUNCTION("""COMPUTED_VALUE"""),45705.0)</f>
        <v>45705</v>
      </c>
      <c r="B995" s="7" t="str">
        <f>IFERROR(__xludf.DUMMYFUNCTION("""COMPUTED_VALUE"""),"b3565bbb-6bf7-4ad2-a3c4-e39849706a36")</f>
        <v>b3565bbb-6bf7-4ad2-a3c4-e39849706a36</v>
      </c>
      <c r="C995" s="7">
        <f>IFERROR(__xludf.DUMMYFUNCTION("""COMPUTED_VALUE"""),1.0)</f>
        <v>1</v>
      </c>
      <c r="D995" s="6">
        <f>IFERROR(__xludf.DUMMYFUNCTION("""COMPUTED_VALUE"""),45704.0)</f>
        <v>45704</v>
      </c>
      <c r="E995" s="7" t="str">
        <f>IFERROR(__xludf.DUMMYFUNCTION("""COMPUTED_VALUE"""),"FRANQUIA_D&amp;G_SP")</f>
        <v>FRANQUIA_D&amp;G_SP</v>
      </c>
      <c r="F995" s="7" t="str">
        <f>IFERROR(__xludf.DUMMYFUNCTION("""COMPUTED_VALUE"""),"BICYCLE")</f>
        <v>BICYCLE</v>
      </c>
      <c r="G995" s="7" t="str">
        <f>IFERROR(__xludf.DUMMYFUNCTION("""COMPUTED_VALUE"""),"SAO PAULO")</f>
        <v>SAO PAULO</v>
      </c>
    </row>
    <row r="996">
      <c r="A996" s="6">
        <f>IFERROR(__xludf.DUMMYFUNCTION("""COMPUTED_VALUE"""),45705.0)</f>
        <v>45705</v>
      </c>
      <c r="B996" s="7" t="str">
        <f>IFERROR(__xludf.DUMMYFUNCTION("""COMPUTED_VALUE"""),"a5a5a977-f51c-406f-9260-1e9dc8ae21fe")</f>
        <v>a5a5a977-f51c-406f-9260-1e9dc8ae21fe</v>
      </c>
      <c r="C996" s="7">
        <f>IFERROR(__xludf.DUMMYFUNCTION("""COMPUTED_VALUE"""),231.0)</f>
        <v>231</v>
      </c>
      <c r="D996" s="6">
        <f>IFERROR(__xludf.DUMMYFUNCTION("""COMPUTED_VALUE"""),45474.0)</f>
        <v>45474</v>
      </c>
      <c r="E996" s="7" t="str">
        <f>IFERROR(__xludf.DUMMYFUNCTION("""COMPUTED_VALUE"""),"FRANQUIA_D&amp;G_SP")</f>
        <v>FRANQUIA_D&amp;G_SP</v>
      </c>
      <c r="F996" s="7" t="str">
        <f>IFERROR(__xludf.DUMMYFUNCTION("""COMPUTED_VALUE"""),"BICYCLE")</f>
        <v>BICYCLE</v>
      </c>
      <c r="G996" s="7" t="str">
        <f>IFERROR(__xludf.DUMMYFUNCTION("""COMPUTED_VALUE"""),"SAO PAULO")</f>
        <v>SAO PAULO</v>
      </c>
    </row>
    <row r="997">
      <c r="A997" s="6">
        <f>IFERROR(__xludf.DUMMYFUNCTION("""COMPUTED_VALUE"""),45705.0)</f>
        <v>45705</v>
      </c>
      <c r="B997" s="7" t="str">
        <f>IFERROR(__xludf.DUMMYFUNCTION("""COMPUTED_VALUE"""),"e7ad8bea-5fe0-4486-9886-9cc270ca9a2f")</f>
        <v>e7ad8bea-5fe0-4486-9886-9cc270ca9a2f</v>
      </c>
      <c r="C997" s="7">
        <f>IFERROR(__xludf.DUMMYFUNCTION("""COMPUTED_VALUE"""),0.0)</f>
        <v>0</v>
      </c>
      <c r="D997" s="6">
        <f>IFERROR(__xludf.DUMMYFUNCTION("""COMPUTED_VALUE"""),45705.0)</f>
        <v>45705</v>
      </c>
      <c r="E997" s="7" t="str">
        <f>IFERROR(__xludf.DUMMYFUNCTION("""COMPUTED_VALUE"""),"FRANQUIA_D&amp;G_SP")</f>
        <v>FRANQUIA_D&amp;G_SP</v>
      </c>
      <c r="F997" s="7" t="str">
        <f>IFERROR(__xludf.DUMMYFUNCTION("""COMPUTED_VALUE"""),"MOTORCYCLE")</f>
        <v>MOTORCYCLE</v>
      </c>
      <c r="G997" s="7" t="str">
        <f>IFERROR(__xludf.DUMMYFUNCTION("""COMPUTED_VALUE"""),"SAO PAULO")</f>
        <v>SAO PAULO</v>
      </c>
    </row>
    <row r="998">
      <c r="A998" s="6">
        <f>IFERROR(__xludf.DUMMYFUNCTION("""COMPUTED_VALUE"""),45705.0)</f>
        <v>45705</v>
      </c>
      <c r="B998" s="7" t="str">
        <f>IFERROR(__xludf.DUMMYFUNCTION("""COMPUTED_VALUE"""),"c2130dfc-6c50-4570-97cc-97d42e532c3e")</f>
        <v>c2130dfc-6c50-4570-97cc-97d42e532c3e</v>
      </c>
      <c r="C998" s="7">
        <f>IFERROR(__xludf.DUMMYFUNCTION("""COMPUTED_VALUE"""),0.0)</f>
        <v>0</v>
      </c>
      <c r="D998" s="6">
        <f>IFERROR(__xludf.DUMMYFUNCTION("""COMPUTED_VALUE"""),45705.0)</f>
        <v>45705</v>
      </c>
      <c r="E998" s="7" t="str">
        <f>IFERROR(__xludf.DUMMYFUNCTION("""COMPUTED_VALUE"""),"FRANQUIA_D&amp;G_SP")</f>
        <v>FRANQUIA_D&amp;G_SP</v>
      </c>
      <c r="F998" s="7" t="str">
        <f>IFERROR(__xludf.DUMMYFUNCTION("""COMPUTED_VALUE"""),"MOTORCYCLE")</f>
        <v>MOTORCYCLE</v>
      </c>
      <c r="G998" s="7" t="str">
        <f>IFERROR(__xludf.DUMMYFUNCTION("""COMPUTED_VALUE"""),"SAO PAULO")</f>
        <v>SAO PAULO</v>
      </c>
    </row>
    <row r="999">
      <c r="A999" s="6">
        <f>IFERROR(__xludf.DUMMYFUNCTION("""COMPUTED_VALUE"""),45705.0)</f>
        <v>45705</v>
      </c>
      <c r="B999" s="7" t="str">
        <f>IFERROR(__xludf.DUMMYFUNCTION("""COMPUTED_VALUE"""),"de8420d6-0499-440b-86c0-542a0e109a1c")</f>
        <v>de8420d6-0499-440b-86c0-542a0e109a1c</v>
      </c>
      <c r="C999" s="7">
        <f>IFERROR(__xludf.DUMMYFUNCTION("""COMPUTED_VALUE"""),0.0)</f>
        <v>0</v>
      </c>
      <c r="D999" s="6">
        <f>IFERROR(__xludf.DUMMYFUNCTION("""COMPUTED_VALUE"""),45705.0)</f>
        <v>45705</v>
      </c>
      <c r="E999" s="7" t="str">
        <f>IFERROR(__xludf.DUMMYFUNCTION("""COMPUTED_VALUE"""),"FRANQUIA_D&amp;G_SP")</f>
        <v>FRANQUIA_D&amp;G_SP</v>
      </c>
      <c r="F999" s="7" t="str">
        <f>IFERROR(__xludf.DUMMYFUNCTION("""COMPUTED_VALUE"""),"MOTORCYCLE")</f>
        <v>MOTORCYCLE</v>
      </c>
      <c r="G999" s="7" t="str">
        <f>IFERROR(__xludf.DUMMYFUNCTION("""COMPUTED_VALUE"""),"SAO PAULO")</f>
        <v>SAO PAULO</v>
      </c>
    </row>
    <row r="1000">
      <c r="A1000" s="6">
        <f>IFERROR(__xludf.DUMMYFUNCTION("""COMPUTED_VALUE"""),45705.0)</f>
        <v>45705</v>
      </c>
      <c r="B1000" s="7" t="str">
        <f>IFERROR(__xludf.DUMMYFUNCTION("""COMPUTED_VALUE"""),"6d807f65-236e-42b6-bc9c-4454a22fa8b4")</f>
        <v>6d807f65-236e-42b6-bc9c-4454a22fa8b4</v>
      </c>
      <c r="C1000" s="7">
        <f>IFERROR(__xludf.DUMMYFUNCTION("""COMPUTED_VALUE"""),358.0)</f>
        <v>358</v>
      </c>
      <c r="D1000" s="6">
        <f>IFERROR(__xludf.DUMMYFUNCTION("""COMPUTED_VALUE"""),45347.0)</f>
        <v>45347</v>
      </c>
      <c r="E1000" s="7" t="str">
        <f>IFERROR(__xludf.DUMMYFUNCTION("""COMPUTED_VALUE"""),"FRANQUIA_D&amp;G_SP")</f>
        <v>FRANQUIA_D&amp;G_SP</v>
      </c>
      <c r="F1000" s="7" t="str">
        <f>IFERROR(__xludf.DUMMYFUNCTION("""COMPUTED_VALUE"""),"BICYCLE")</f>
        <v>BICYCLE</v>
      </c>
      <c r="G1000" s="7" t="str">
        <f>IFERROR(__xludf.DUMMYFUNCTION("""COMPUTED_VALUE"""),"SAO PAULO")</f>
        <v>SAO PAULO</v>
      </c>
    </row>
    <row r="1001">
      <c r="A1001" s="6">
        <f>IFERROR(__xludf.DUMMYFUNCTION("""COMPUTED_VALUE"""),45705.0)</f>
        <v>45705</v>
      </c>
      <c r="B1001" s="7" t="str">
        <f>IFERROR(__xludf.DUMMYFUNCTION("""COMPUTED_VALUE"""),"5d6d2649-881d-4f35-9a12-a4d18d88260a")</f>
        <v>5d6d2649-881d-4f35-9a12-a4d18d88260a</v>
      </c>
      <c r="C1001" s="7">
        <f>IFERROR(__xludf.DUMMYFUNCTION("""COMPUTED_VALUE"""),0.0)</f>
        <v>0</v>
      </c>
      <c r="D1001" s="6">
        <f>IFERROR(__xludf.DUMMYFUNCTION("""COMPUTED_VALUE"""),45705.0)</f>
        <v>45705</v>
      </c>
      <c r="E1001" s="7" t="str">
        <f>IFERROR(__xludf.DUMMYFUNCTION("""COMPUTED_VALUE"""),"FRANQUIA_D&amp;G_SP")</f>
        <v>FRANQUIA_D&amp;G_SP</v>
      </c>
      <c r="F1001" s="7" t="str">
        <f>IFERROR(__xludf.DUMMYFUNCTION("""COMPUTED_VALUE"""),"MOTORCYCLE")</f>
        <v>MOTORCYCLE</v>
      </c>
      <c r="G1001" s="7" t="str">
        <f>IFERROR(__xludf.DUMMYFUNCTION("""COMPUTED_VALUE"""),"SAO PAULO")</f>
        <v>SAO PAULO</v>
      </c>
    </row>
    <row r="1002">
      <c r="A1002" s="6">
        <f>IFERROR(__xludf.DUMMYFUNCTION("""COMPUTED_VALUE"""),45705.0)</f>
        <v>45705</v>
      </c>
      <c r="B1002" s="7" t="str">
        <f>IFERROR(__xludf.DUMMYFUNCTION("""COMPUTED_VALUE"""),"0bc828d4-9887-4e1c-8f36-1f2d5ea0d9e4")</f>
        <v>0bc828d4-9887-4e1c-8f36-1f2d5ea0d9e4</v>
      </c>
      <c r="C1002" s="7">
        <f>IFERROR(__xludf.DUMMYFUNCTION("""COMPUTED_VALUE"""),0.0)</f>
        <v>0</v>
      </c>
      <c r="D1002" s="6">
        <f>IFERROR(__xludf.DUMMYFUNCTION("""COMPUTED_VALUE"""),45705.0)</f>
        <v>45705</v>
      </c>
      <c r="E1002" s="7" t="str">
        <f>IFERROR(__xludf.DUMMYFUNCTION("""COMPUTED_VALUE"""),"FRANQUIA_D&amp;G_SP")</f>
        <v>FRANQUIA_D&amp;G_SP</v>
      </c>
      <c r="F1002" s="7" t="str">
        <f>IFERROR(__xludf.DUMMYFUNCTION("""COMPUTED_VALUE"""),"MOTORCYCLE")</f>
        <v>MOTORCYCLE</v>
      </c>
      <c r="G1002" s="7" t="str">
        <f>IFERROR(__xludf.DUMMYFUNCTION("""COMPUTED_VALUE"""),"SAO PAULO")</f>
        <v>SAO PAULO</v>
      </c>
    </row>
    <row r="1003">
      <c r="A1003" s="6">
        <f>IFERROR(__xludf.DUMMYFUNCTION("""COMPUTED_VALUE"""),45705.0)</f>
        <v>45705</v>
      </c>
      <c r="B1003" s="7" t="str">
        <f>IFERROR(__xludf.DUMMYFUNCTION("""COMPUTED_VALUE"""),"e7d526b3-35b3-4db6-9ae9-0186b9c33166")</f>
        <v>e7d526b3-35b3-4db6-9ae9-0186b9c33166</v>
      </c>
      <c r="C1003" s="7">
        <f>IFERROR(__xludf.DUMMYFUNCTION("""COMPUTED_VALUE"""),248.0)</f>
        <v>248</v>
      </c>
      <c r="D1003" s="6">
        <f>IFERROR(__xludf.DUMMYFUNCTION("""COMPUTED_VALUE"""),45457.0)</f>
        <v>45457</v>
      </c>
      <c r="E1003" s="7" t="str">
        <f>IFERROR(__xludf.DUMMYFUNCTION("""COMPUTED_VALUE"""),"FRANQUIA_D&amp;G_SP")</f>
        <v>FRANQUIA_D&amp;G_SP</v>
      </c>
      <c r="F1003" s="7" t="str">
        <f>IFERROR(__xludf.DUMMYFUNCTION("""COMPUTED_VALUE"""),"MOTORCYCLE")</f>
        <v>MOTORCYCLE</v>
      </c>
      <c r="G1003" s="7" t="str">
        <f>IFERROR(__xludf.DUMMYFUNCTION("""COMPUTED_VALUE"""),"SAO PAULO")</f>
        <v>SAO PAULO</v>
      </c>
    </row>
    <row r="1004">
      <c r="A1004" s="6">
        <f>IFERROR(__xludf.DUMMYFUNCTION("""COMPUTED_VALUE"""),45705.0)</f>
        <v>45705</v>
      </c>
      <c r="B1004" s="7" t="str">
        <f>IFERROR(__xludf.DUMMYFUNCTION("""COMPUTED_VALUE"""),"0be19d57-7132-4b17-8700-8a8c7bf5eab5")</f>
        <v>0be19d57-7132-4b17-8700-8a8c7bf5eab5</v>
      </c>
      <c r="C1004" s="7">
        <f>IFERROR(__xludf.DUMMYFUNCTION("""COMPUTED_VALUE"""),470.0)</f>
        <v>470</v>
      </c>
      <c r="D1004" s="6">
        <f>IFERROR(__xludf.DUMMYFUNCTION("""COMPUTED_VALUE"""),45235.0)</f>
        <v>45235</v>
      </c>
      <c r="E1004" s="7" t="str">
        <f>IFERROR(__xludf.DUMMYFUNCTION("""COMPUTED_VALUE"""),"FRANQUIA_D&amp;G_SP")</f>
        <v>FRANQUIA_D&amp;G_SP</v>
      </c>
      <c r="F1004" s="7" t="str">
        <f>IFERROR(__xludf.DUMMYFUNCTION("""COMPUTED_VALUE"""),"Bike Express")</f>
        <v>Bike Express</v>
      </c>
      <c r="G1004" s="7" t="str">
        <f>IFERROR(__xludf.DUMMYFUNCTION("""COMPUTED_VALUE"""),"SAO PAULO")</f>
        <v>SAO PAULO</v>
      </c>
    </row>
    <row r="1005">
      <c r="A1005" s="6">
        <f>IFERROR(__xludf.DUMMYFUNCTION("""COMPUTED_VALUE"""),45705.0)</f>
        <v>45705</v>
      </c>
      <c r="B1005" s="7" t="str">
        <f>IFERROR(__xludf.DUMMYFUNCTION("""COMPUTED_VALUE"""),"7f2409a2-04f7-46e2-bc2e-466aed180aeb")</f>
        <v>7f2409a2-04f7-46e2-bc2e-466aed180aeb</v>
      </c>
      <c r="C1005" s="7">
        <f>IFERROR(__xludf.DUMMYFUNCTION("""COMPUTED_VALUE"""),1.0)</f>
        <v>1</v>
      </c>
      <c r="D1005" s="6">
        <f>IFERROR(__xludf.DUMMYFUNCTION("""COMPUTED_VALUE"""),45704.0)</f>
        <v>45704</v>
      </c>
      <c r="E1005" s="7" t="str">
        <f>IFERROR(__xludf.DUMMYFUNCTION("""COMPUTED_VALUE"""),"FRANQUIA_D&amp;G_SP")</f>
        <v>FRANQUIA_D&amp;G_SP</v>
      </c>
      <c r="F1005" s="7" t="str">
        <f>IFERROR(__xludf.DUMMYFUNCTION("""COMPUTED_VALUE"""),"MOTORCYCLE")</f>
        <v>MOTORCYCLE</v>
      </c>
      <c r="G1005" s="7" t="str">
        <f>IFERROR(__xludf.DUMMYFUNCTION("""COMPUTED_VALUE"""),"SAO PAULO")</f>
        <v>SAO PAULO</v>
      </c>
    </row>
    <row r="1006">
      <c r="A1006" s="6">
        <f>IFERROR(__xludf.DUMMYFUNCTION("""COMPUTED_VALUE"""),45705.0)</f>
        <v>45705</v>
      </c>
      <c r="B1006" s="7" t="str">
        <f>IFERROR(__xludf.DUMMYFUNCTION("""COMPUTED_VALUE"""),"3132609e-6c6b-4d32-9f24-65bf7001bf3a")</f>
        <v>3132609e-6c6b-4d32-9f24-65bf7001bf3a</v>
      </c>
      <c r="C1006" s="7">
        <f>IFERROR(__xludf.DUMMYFUNCTION("""COMPUTED_VALUE"""),0.0)</f>
        <v>0</v>
      </c>
      <c r="D1006" s="6">
        <f>IFERROR(__xludf.DUMMYFUNCTION("""COMPUTED_VALUE"""),45705.0)</f>
        <v>45705</v>
      </c>
      <c r="E1006" s="7" t="str">
        <f>IFERROR(__xludf.DUMMYFUNCTION("""COMPUTED_VALUE"""),"FRANQUIA_D&amp;G_SP")</f>
        <v>FRANQUIA_D&amp;G_SP</v>
      </c>
      <c r="F1006" s="7" t="str">
        <f>IFERROR(__xludf.DUMMYFUNCTION("""COMPUTED_VALUE"""),"MOTORCYCLE")</f>
        <v>MOTORCYCLE</v>
      </c>
      <c r="G1006" s="7" t="str">
        <f>IFERROR(__xludf.DUMMYFUNCTION("""COMPUTED_VALUE"""),"SAO PAULO")</f>
        <v>SAO PAULO</v>
      </c>
    </row>
    <row r="1007">
      <c r="A1007" s="6">
        <f>IFERROR(__xludf.DUMMYFUNCTION("""COMPUTED_VALUE"""),45705.0)</f>
        <v>45705</v>
      </c>
      <c r="B1007" s="7" t="str">
        <f>IFERROR(__xludf.DUMMYFUNCTION("""COMPUTED_VALUE"""),"9e11c40d-e828-4630-bfd0-30a3ecbe08f1")</f>
        <v>9e11c40d-e828-4630-bfd0-30a3ecbe08f1</v>
      </c>
      <c r="C1007" s="7">
        <f>IFERROR(__xludf.DUMMYFUNCTION("""COMPUTED_VALUE"""),192.0)</f>
        <v>192</v>
      </c>
      <c r="D1007" s="6">
        <f>IFERROR(__xludf.DUMMYFUNCTION("""COMPUTED_VALUE"""),45513.0)</f>
        <v>45513</v>
      </c>
      <c r="E1007" s="7" t="str">
        <f>IFERROR(__xludf.DUMMYFUNCTION("""COMPUTED_VALUE"""),"FRANQUIA_D&amp;G_SP")</f>
        <v>FRANQUIA_D&amp;G_SP</v>
      </c>
      <c r="F1007" s="7" t="str">
        <f>IFERROR(__xludf.DUMMYFUNCTION("""COMPUTED_VALUE"""),"MOTORCYCLE")</f>
        <v>MOTORCYCLE</v>
      </c>
      <c r="G1007" s="7" t="str">
        <f>IFERROR(__xludf.DUMMYFUNCTION("""COMPUTED_VALUE"""),"SAO PAULO")</f>
        <v>SAO PAULO</v>
      </c>
    </row>
    <row r="1008">
      <c r="A1008" s="6">
        <f>IFERROR(__xludf.DUMMYFUNCTION("""COMPUTED_VALUE"""),45705.0)</f>
        <v>45705</v>
      </c>
      <c r="B1008" s="7" t="str">
        <f>IFERROR(__xludf.DUMMYFUNCTION("""COMPUTED_VALUE"""),"696d6daf-147b-469f-8b6d-10dac6357005")</f>
        <v>696d6daf-147b-469f-8b6d-10dac6357005</v>
      </c>
      <c r="C1008" s="7">
        <f>IFERROR(__xludf.DUMMYFUNCTION("""COMPUTED_VALUE"""),3.0)</f>
        <v>3</v>
      </c>
      <c r="D1008" s="6">
        <f>IFERROR(__xludf.DUMMYFUNCTION("""COMPUTED_VALUE"""),45702.0)</f>
        <v>45702</v>
      </c>
      <c r="E1008" s="7" t="str">
        <f>IFERROR(__xludf.DUMMYFUNCTION("""COMPUTED_VALUE"""),"FRANQUIA_D&amp;G_SP")</f>
        <v>FRANQUIA_D&amp;G_SP</v>
      </c>
      <c r="F1008" s="7" t="str">
        <f>IFERROR(__xludf.DUMMYFUNCTION("""COMPUTED_VALUE"""),"MOTORCYCLE")</f>
        <v>MOTORCYCLE</v>
      </c>
      <c r="G1008" s="7" t="str">
        <f>IFERROR(__xludf.DUMMYFUNCTION("""COMPUTED_VALUE"""),"SAO PAULO")</f>
        <v>SAO PAULO</v>
      </c>
    </row>
    <row r="1009">
      <c r="A1009" s="6">
        <f>IFERROR(__xludf.DUMMYFUNCTION("""COMPUTED_VALUE"""),45705.0)</f>
        <v>45705</v>
      </c>
      <c r="B1009" s="7" t="str">
        <f>IFERROR(__xludf.DUMMYFUNCTION("""COMPUTED_VALUE"""),"2d900b24-2b41-49ab-b282-6ddd91b59a66")</f>
        <v>2d900b24-2b41-49ab-b282-6ddd91b59a66</v>
      </c>
      <c r="C1009" s="7">
        <f>IFERROR(__xludf.DUMMYFUNCTION("""COMPUTED_VALUE"""),0.0)</f>
        <v>0</v>
      </c>
      <c r="D1009" s="6">
        <f>IFERROR(__xludf.DUMMYFUNCTION("""COMPUTED_VALUE"""),45705.0)</f>
        <v>45705</v>
      </c>
      <c r="E1009" s="7" t="str">
        <f>IFERROR(__xludf.DUMMYFUNCTION("""COMPUTED_VALUE"""),"FRANQUIA_D&amp;G_SP")</f>
        <v>FRANQUIA_D&amp;G_SP</v>
      </c>
      <c r="F1009" s="7" t="str">
        <f>IFERROR(__xludf.DUMMYFUNCTION("""COMPUTED_VALUE"""),"MOTORCYCLE")</f>
        <v>MOTORCYCLE</v>
      </c>
      <c r="G1009" s="7" t="str">
        <f>IFERROR(__xludf.DUMMYFUNCTION("""COMPUTED_VALUE"""),"SAO PAULO")</f>
        <v>SAO PAULO</v>
      </c>
    </row>
    <row r="1010">
      <c r="A1010" s="6">
        <f>IFERROR(__xludf.DUMMYFUNCTION("""COMPUTED_VALUE"""),45705.0)</f>
        <v>45705</v>
      </c>
      <c r="B1010" s="7" t="str">
        <f>IFERROR(__xludf.DUMMYFUNCTION("""COMPUTED_VALUE"""),"df15d4e9-3814-4a85-817d-3060910c0f52")</f>
        <v>df15d4e9-3814-4a85-817d-3060910c0f52</v>
      </c>
      <c r="C1010" s="7">
        <f>IFERROR(__xludf.DUMMYFUNCTION("""COMPUTED_VALUE"""),0.0)</f>
        <v>0</v>
      </c>
      <c r="D1010" s="6">
        <f>IFERROR(__xludf.DUMMYFUNCTION("""COMPUTED_VALUE"""),45705.0)</f>
        <v>45705</v>
      </c>
      <c r="E1010" s="7" t="str">
        <f>IFERROR(__xludf.DUMMYFUNCTION("""COMPUTED_VALUE"""),"FRANQUIA_D&amp;G_SP")</f>
        <v>FRANQUIA_D&amp;G_SP</v>
      </c>
      <c r="F1010" s="7" t="str">
        <f>IFERROR(__xludf.DUMMYFUNCTION("""COMPUTED_VALUE"""),"MOTORCYCLE")</f>
        <v>MOTORCYCLE</v>
      </c>
      <c r="G1010" s="7" t="str">
        <f>IFERROR(__xludf.DUMMYFUNCTION("""COMPUTED_VALUE"""),"SAO PAULO")</f>
        <v>SAO PAULO</v>
      </c>
    </row>
    <row r="1011">
      <c r="A1011" s="6">
        <f>IFERROR(__xludf.DUMMYFUNCTION("""COMPUTED_VALUE"""),45705.0)</f>
        <v>45705</v>
      </c>
      <c r="B1011" s="7" t="str">
        <f>IFERROR(__xludf.DUMMYFUNCTION("""COMPUTED_VALUE"""),"39cf5419-e582-40d2-8024-1ff2d31b0675")</f>
        <v>39cf5419-e582-40d2-8024-1ff2d31b0675</v>
      </c>
      <c r="C1011" s="7">
        <f>IFERROR(__xludf.DUMMYFUNCTION("""COMPUTED_VALUE"""),0.0)</f>
        <v>0</v>
      </c>
      <c r="D1011" s="6">
        <f>IFERROR(__xludf.DUMMYFUNCTION("""COMPUTED_VALUE"""),45705.0)</f>
        <v>45705</v>
      </c>
      <c r="E1011" s="7" t="str">
        <f>IFERROR(__xludf.DUMMYFUNCTION("""COMPUTED_VALUE"""),"FRANQUIA_D&amp;G_SP")</f>
        <v>FRANQUIA_D&amp;G_SP</v>
      </c>
      <c r="F1011" s="7" t="str">
        <f>IFERROR(__xludf.DUMMYFUNCTION("""COMPUTED_VALUE"""),"MOTORCYCLE")</f>
        <v>MOTORCYCLE</v>
      </c>
      <c r="G1011" s="7" t="str">
        <f>IFERROR(__xludf.DUMMYFUNCTION("""COMPUTED_VALUE"""),"SAO PAULO")</f>
        <v>SAO PAULO</v>
      </c>
    </row>
    <row r="1012">
      <c r="A1012" s="6">
        <f>IFERROR(__xludf.DUMMYFUNCTION("""COMPUTED_VALUE"""),45705.0)</f>
        <v>45705</v>
      </c>
      <c r="B1012" s="7" t="str">
        <f>IFERROR(__xludf.DUMMYFUNCTION("""COMPUTED_VALUE"""),"e35ddd37-18c4-4343-bd7d-5bf1b7b30253")</f>
        <v>e35ddd37-18c4-4343-bd7d-5bf1b7b30253</v>
      </c>
      <c r="C1012" s="7">
        <f>IFERROR(__xludf.DUMMYFUNCTION("""COMPUTED_VALUE"""),0.0)</f>
        <v>0</v>
      </c>
      <c r="D1012" s="6">
        <f>IFERROR(__xludf.DUMMYFUNCTION("""COMPUTED_VALUE"""),45705.0)</f>
        <v>45705</v>
      </c>
      <c r="E1012" s="7" t="str">
        <f>IFERROR(__xludf.DUMMYFUNCTION("""COMPUTED_VALUE"""),"FRANQUIA_D&amp;G_SP")</f>
        <v>FRANQUIA_D&amp;G_SP</v>
      </c>
      <c r="F1012" s="7" t="str">
        <f>IFERROR(__xludf.DUMMYFUNCTION("""COMPUTED_VALUE"""),"MOTORCYCLE")</f>
        <v>MOTORCYCLE</v>
      </c>
      <c r="G1012" s="7" t="str">
        <f>IFERROR(__xludf.DUMMYFUNCTION("""COMPUTED_VALUE"""),"SAO PAULO")</f>
        <v>SAO PAULO</v>
      </c>
    </row>
    <row r="1013">
      <c r="A1013" s="6">
        <f>IFERROR(__xludf.DUMMYFUNCTION("""COMPUTED_VALUE"""),45705.0)</f>
        <v>45705</v>
      </c>
      <c r="B1013" s="7" t="str">
        <f>IFERROR(__xludf.DUMMYFUNCTION("""COMPUTED_VALUE"""),"fd6497ab-dd49-4899-a7ea-c4e85a542921")</f>
        <v>fd6497ab-dd49-4899-a7ea-c4e85a542921</v>
      </c>
      <c r="C1013" s="7">
        <f>IFERROR(__xludf.DUMMYFUNCTION("""COMPUTED_VALUE"""),0.0)</f>
        <v>0</v>
      </c>
      <c r="D1013" s="6">
        <f>IFERROR(__xludf.DUMMYFUNCTION("""COMPUTED_VALUE"""),45705.0)</f>
        <v>45705</v>
      </c>
      <c r="E1013" s="7" t="str">
        <f>IFERROR(__xludf.DUMMYFUNCTION("""COMPUTED_VALUE"""),"FRANQUIA_D&amp;G_SP")</f>
        <v>FRANQUIA_D&amp;G_SP</v>
      </c>
      <c r="F1013" s="7" t="str">
        <f>IFERROR(__xludf.DUMMYFUNCTION("""COMPUTED_VALUE"""),"BICYCLE")</f>
        <v>BICYCLE</v>
      </c>
      <c r="G1013" s="7" t="str">
        <f>IFERROR(__xludf.DUMMYFUNCTION("""COMPUTED_VALUE"""),"SAO PAULO")</f>
        <v>SAO PAULO</v>
      </c>
    </row>
    <row r="1014">
      <c r="A1014" s="6">
        <f>IFERROR(__xludf.DUMMYFUNCTION("""COMPUTED_VALUE"""),45705.0)</f>
        <v>45705</v>
      </c>
      <c r="B1014" s="7" t="str">
        <f>IFERROR(__xludf.DUMMYFUNCTION("""COMPUTED_VALUE"""),"1602f4d4-e037-46ef-bf12-3bb1f997a08b")</f>
        <v>1602f4d4-e037-46ef-bf12-3bb1f997a08b</v>
      </c>
      <c r="C1014" s="7">
        <f>IFERROR(__xludf.DUMMYFUNCTION("""COMPUTED_VALUE"""),2.0)</f>
        <v>2</v>
      </c>
      <c r="D1014" s="6">
        <f>IFERROR(__xludf.DUMMYFUNCTION("""COMPUTED_VALUE"""),45703.0)</f>
        <v>45703</v>
      </c>
      <c r="E1014" s="7" t="str">
        <f>IFERROR(__xludf.DUMMYFUNCTION("""COMPUTED_VALUE"""),"FRANQUIA_D&amp;G_SP")</f>
        <v>FRANQUIA_D&amp;G_SP</v>
      </c>
      <c r="F1014" s="7" t="str">
        <f>IFERROR(__xludf.DUMMYFUNCTION("""COMPUTED_VALUE"""),"MOTORCYCLE")</f>
        <v>MOTORCYCLE</v>
      </c>
      <c r="G1014" s="7" t="str">
        <f>IFERROR(__xludf.DUMMYFUNCTION("""COMPUTED_VALUE"""),"SAO PAULO")</f>
        <v>SAO PAULO</v>
      </c>
    </row>
    <row r="1015">
      <c r="A1015" s="6">
        <f>IFERROR(__xludf.DUMMYFUNCTION("""COMPUTED_VALUE"""),45705.0)</f>
        <v>45705</v>
      </c>
      <c r="B1015" s="7" t="str">
        <f>IFERROR(__xludf.DUMMYFUNCTION("""COMPUTED_VALUE"""),"32a84feb-298a-41c8-a6e7-62c135a368ad")</f>
        <v>32a84feb-298a-41c8-a6e7-62c135a368ad</v>
      </c>
      <c r="C1015" s="7">
        <f>IFERROR(__xludf.DUMMYFUNCTION("""COMPUTED_VALUE"""),46.0)</f>
        <v>46</v>
      </c>
      <c r="D1015" s="6">
        <f>IFERROR(__xludf.DUMMYFUNCTION("""COMPUTED_VALUE"""),45659.0)</f>
        <v>45659</v>
      </c>
      <c r="E1015" s="7" t="str">
        <f>IFERROR(__xludf.DUMMYFUNCTION("""COMPUTED_VALUE"""),"FRANQUIA_D&amp;G_SP")</f>
        <v>FRANQUIA_D&amp;G_SP</v>
      </c>
      <c r="F1015" s="7" t="str">
        <f>IFERROR(__xludf.DUMMYFUNCTION("""COMPUTED_VALUE"""),"MOTORCYCLE")</f>
        <v>MOTORCYCLE</v>
      </c>
      <c r="G1015" s="7" t="str">
        <f>IFERROR(__xludf.DUMMYFUNCTION("""COMPUTED_VALUE"""),"SAO PAULO")</f>
        <v>SAO PAULO</v>
      </c>
    </row>
    <row r="1016">
      <c r="A1016" s="6">
        <f>IFERROR(__xludf.DUMMYFUNCTION("""COMPUTED_VALUE"""),45705.0)</f>
        <v>45705</v>
      </c>
      <c r="B1016" s="7" t="str">
        <f>IFERROR(__xludf.DUMMYFUNCTION("""COMPUTED_VALUE"""),"56bd44bb-4774-4c07-8f6d-bbafaa94f056")</f>
        <v>56bd44bb-4774-4c07-8f6d-bbafaa94f056</v>
      </c>
      <c r="C1016" s="7">
        <f>IFERROR(__xludf.DUMMYFUNCTION("""COMPUTED_VALUE"""),144.0)</f>
        <v>144</v>
      </c>
      <c r="D1016" s="6">
        <f>IFERROR(__xludf.DUMMYFUNCTION("""COMPUTED_VALUE"""),45561.0)</f>
        <v>45561</v>
      </c>
      <c r="E1016" s="7" t="str">
        <f>IFERROR(__xludf.DUMMYFUNCTION("""COMPUTED_VALUE"""),"FRANQUIA_D&amp;G_SP")</f>
        <v>FRANQUIA_D&amp;G_SP</v>
      </c>
      <c r="F1016" s="7" t="str">
        <f>IFERROR(__xludf.DUMMYFUNCTION("""COMPUTED_VALUE"""),"MOTORCYCLE")</f>
        <v>MOTORCYCLE</v>
      </c>
      <c r="G1016" s="7" t="str">
        <f>IFERROR(__xludf.DUMMYFUNCTION("""COMPUTED_VALUE"""),"SAO PAULO")</f>
        <v>SAO PAULO</v>
      </c>
    </row>
    <row r="1017">
      <c r="A1017" s="6">
        <f>IFERROR(__xludf.DUMMYFUNCTION("""COMPUTED_VALUE"""),45705.0)</f>
        <v>45705</v>
      </c>
      <c r="B1017" s="7" t="str">
        <f>IFERROR(__xludf.DUMMYFUNCTION("""COMPUTED_VALUE"""),"79012ebb-9594-456c-8ef2-64b2fa9765ca")</f>
        <v>79012ebb-9594-456c-8ef2-64b2fa9765ca</v>
      </c>
      <c r="C1017" s="7">
        <f>IFERROR(__xludf.DUMMYFUNCTION("""COMPUTED_VALUE"""),1092.0)</f>
        <v>1092</v>
      </c>
      <c r="D1017" s="6">
        <f>IFERROR(__xludf.DUMMYFUNCTION("""COMPUTED_VALUE"""),44613.0)</f>
        <v>44613</v>
      </c>
      <c r="E1017" s="7" t="str">
        <f>IFERROR(__xludf.DUMMYFUNCTION("""COMPUTED_VALUE"""),"FRANQUIA_D&amp;G_SP")</f>
        <v>FRANQUIA_D&amp;G_SP</v>
      </c>
      <c r="F1017" s="7" t="str">
        <f>IFERROR(__xludf.DUMMYFUNCTION("""COMPUTED_VALUE"""),"BICYCLE")</f>
        <v>BICYCLE</v>
      </c>
      <c r="G1017" s="7" t="str">
        <f>IFERROR(__xludf.DUMMYFUNCTION("""COMPUTED_VALUE"""),"SAO PAULO")</f>
        <v>SAO PAULO</v>
      </c>
    </row>
    <row r="1018">
      <c r="A1018" s="6">
        <f>IFERROR(__xludf.DUMMYFUNCTION("""COMPUTED_VALUE"""),45705.0)</f>
        <v>45705</v>
      </c>
      <c r="B1018" s="7" t="str">
        <f>IFERROR(__xludf.DUMMYFUNCTION("""COMPUTED_VALUE"""),"cd862340-80c9-417f-9a69-504e27d4314a")</f>
        <v>cd862340-80c9-417f-9a69-504e27d4314a</v>
      </c>
      <c r="C1018" s="7">
        <f>IFERROR(__xludf.DUMMYFUNCTION("""COMPUTED_VALUE"""),32.0)</f>
        <v>32</v>
      </c>
      <c r="D1018" s="6">
        <f>IFERROR(__xludf.DUMMYFUNCTION("""COMPUTED_VALUE"""),45673.0)</f>
        <v>45673</v>
      </c>
      <c r="E1018" s="7" t="str">
        <f>IFERROR(__xludf.DUMMYFUNCTION("""COMPUTED_VALUE"""),"FRANQUIA_D&amp;G_SP")</f>
        <v>FRANQUIA_D&amp;G_SP</v>
      </c>
      <c r="F1018" s="7" t="str">
        <f>IFERROR(__xludf.DUMMYFUNCTION("""COMPUTED_VALUE"""),"BICYCLE - GRCS")</f>
        <v>BICYCLE - GRCS</v>
      </c>
      <c r="G1018" s="7" t="str">
        <f>IFERROR(__xludf.DUMMYFUNCTION("""COMPUTED_VALUE"""),"SAO PAULO")</f>
        <v>SAO PAULO</v>
      </c>
    </row>
    <row r="1019">
      <c r="A1019" s="6">
        <f>IFERROR(__xludf.DUMMYFUNCTION("""COMPUTED_VALUE"""),45705.0)</f>
        <v>45705</v>
      </c>
      <c r="B1019" s="7" t="str">
        <f>IFERROR(__xludf.DUMMYFUNCTION("""COMPUTED_VALUE"""),"0c679ec2-90e0-4d0f-a7a4-dcbb9af9c56b")</f>
        <v>0c679ec2-90e0-4d0f-a7a4-dcbb9af9c56b</v>
      </c>
      <c r="C1019" s="7">
        <f>IFERROR(__xludf.DUMMYFUNCTION("""COMPUTED_VALUE"""),0.0)</f>
        <v>0</v>
      </c>
      <c r="D1019" s="6">
        <f>IFERROR(__xludf.DUMMYFUNCTION("""COMPUTED_VALUE"""),45705.0)</f>
        <v>45705</v>
      </c>
      <c r="E1019" s="7" t="str">
        <f>IFERROR(__xludf.DUMMYFUNCTION("""COMPUTED_VALUE"""),"FRANQUIA_D&amp;G_SP")</f>
        <v>FRANQUIA_D&amp;G_SP</v>
      </c>
      <c r="F1019" s="7" t="str">
        <f>IFERROR(__xludf.DUMMYFUNCTION("""COMPUTED_VALUE"""),"MOTORCYCLE")</f>
        <v>MOTORCYCLE</v>
      </c>
      <c r="G1019" s="7" t="str">
        <f>IFERROR(__xludf.DUMMYFUNCTION("""COMPUTED_VALUE"""),"SAO PAULO")</f>
        <v>SAO PAULO</v>
      </c>
    </row>
    <row r="1020">
      <c r="A1020" s="6">
        <f>IFERROR(__xludf.DUMMYFUNCTION("""COMPUTED_VALUE"""),45705.0)</f>
        <v>45705</v>
      </c>
      <c r="B1020" s="7" t="str">
        <f>IFERROR(__xludf.DUMMYFUNCTION("""COMPUTED_VALUE"""),"847afa0b-3c40-43b3-95b4-789ab5048401")</f>
        <v>847afa0b-3c40-43b3-95b4-789ab5048401</v>
      </c>
      <c r="C1020" s="7">
        <f>IFERROR(__xludf.DUMMYFUNCTION("""COMPUTED_VALUE"""),28.0)</f>
        <v>28</v>
      </c>
      <c r="D1020" s="6">
        <f>IFERROR(__xludf.DUMMYFUNCTION("""COMPUTED_VALUE"""),45677.0)</f>
        <v>45677</v>
      </c>
      <c r="E1020" s="7" t="str">
        <f>IFERROR(__xludf.DUMMYFUNCTION("""COMPUTED_VALUE"""),"FRANQUIA_D&amp;G_SP")</f>
        <v>FRANQUIA_D&amp;G_SP</v>
      </c>
      <c r="F1020" s="7" t="str">
        <f>IFERROR(__xludf.DUMMYFUNCTION("""COMPUTED_VALUE"""),"MOTORCYCLE")</f>
        <v>MOTORCYCLE</v>
      </c>
      <c r="G1020" s="7" t="str">
        <f>IFERROR(__xludf.DUMMYFUNCTION("""COMPUTED_VALUE"""),"SAO PAULO")</f>
        <v>SAO PAULO</v>
      </c>
    </row>
    <row r="1021">
      <c r="A1021" s="6">
        <f>IFERROR(__xludf.DUMMYFUNCTION("""COMPUTED_VALUE"""),45705.0)</f>
        <v>45705</v>
      </c>
      <c r="B1021" s="7" t="str">
        <f>IFERROR(__xludf.DUMMYFUNCTION("""COMPUTED_VALUE"""),"239e2d39-ccf9-45e9-b2dc-6e6bcc877402")</f>
        <v>239e2d39-ccf9-45e9-b2dc-6e6bcc877402</v>
      </c>
      <c r="C1021" s="7">
        <f>IFERROR(__xludf.DUMMYFUNCTION("""COMPUTED_VALUE"""),1.0)</f>
        <v>1</v>
      </c>
      <c r="D1021" s="6">
        <f>IFERROR(__xludf.DUMMYFUNCTION("""COMPUTED_VALUE"""),45704.0)</f>
        <v>45704</v>
      </c>
      <c r="E1021" s="7" t="str">
        <f>IFERROR(__xludf.DUMMYFUNCTION("""COMPUTED_VALUE"""),"FRANQUIA_D&amp;G_SP")</f>
        <v>FRANQUIA_D&amp;G_SP</v>
      </c>
      <c r="F1021" s="7" t="str">
        <f>IFERROR(__xludf.DUMMYFUNCTION("""COMPUTED_VALUE"""),"MOTORCYCLE")</f>
        <v>MOTORCYCLE</v>
      </c>
      <c r="G1021" s="7" t="str">
        <f>IFERROR(__xludf.DUMMYFUNCTION("""COMPUTED_VALUE"""),"SAO PAULO")</f>
        <v>SAO PAULO</v>
      </c>
    </row>
    <row r="1022">
      <c r="A1022" s="6">
        <f>IFERROR(__xludf.DUMMYFUNCTION("""COMPUTED_VALUE"""),45705.0)</f>
        <v>45705</v>
      </c>
      <c r="B1022" s="7" t="str">
        <f>IFERROR(__xludf.DUMMYFUNCTION("""COMPUTED_VALUE"""),"1a0e1cde-c902-4e07-8ec3-01d379b9a527")</f>
        <v>1a0e1cde-c902-4e07-8ec3-01d379b9a527</v>
      </c>
      <c r="C1022" s="7">
        <f>IFERROR(__xludf.DUMMYFUNCTION("""COMPUTED_VALUE"""),18.0)</f>
        <v>18</v>
      </c>
      <c r="D1022" s="6">
        <f>IFERROR(__xludf.DUMMYFUNCTION("""COMPUTED_VALUE"""),45687.0)</f>
        <v>45687</v>
      </c>
      <c r="E1022" s="7" t="str">
        <f>IFERROR(__xludf.DUMMYFUNCTION("""COMPUTED_VALUE"""),"FRANQUIA_D&amp;G_SP")</f>
        <v>FRANQUIA_D&amp;G_SP</v>
      </c>
      <c r="F1022" s="7" t="str">
        <f>IFERROR(__xludf.DUMMYFUNCTION("""COMPUTED_VALUE"""),"MOTORCYCLE")</f>
        <v>MOTORCYCLE</v>
      </c>
      <c r="G1022" s="7" t="str">
        <f>IFERROR(__xludf.DUMMYFUNCTION("""COMPUTED_VALUE"""),"SAO PAULO")</f>
        <v>SAO PAULO</v>
      </c>
    </row>
    <row r="1023">
      <c r="A1023" s="6">
        <f>IFERROR(__xludf.DUMMYFUNCTION("""COMPUTED_VALUE"""),45705.0)</f>
        <v>45705</v>
      </c>
      <c r="B1023" s="7" t="str">
        <f>IFERROR(__xludf.DUMMYFUNCTION("""COMPUTED_VALUE"""),"93652626-f80c-4bc1-8130-acb5ad73398e")</f>
        <v>93652626-f80c-4bc1-8130-acb5ad73398e</v>
      </c>
      <c r="C1023" s="7">
        <f>IFERROR(__xludf.DUMMYFUNCTION("""COMPUTED_VALUE"""),0.0)</f>
        <v>0</v>
      </c>
      <c r="D1023" s="6">
        <f>IFERROR(__xludf.DUMMYFUNCTION("""COMPUTED_VALUE"""),45705.0)</f>
        <v>45705</v>
      </c>
      <c r="E1023" s="7" t="str">
        <f>IFERROR(__xludf.DUMMYFUNCTION("""COMPUTED_VALUE"""),"FRANQUIA_D&amp;G_SP")</f>
        <v>FRANQUIA_D&amp;G_SP</v>
      </c>
      <c r="F1023" s="7" t="str">
        <f>IFERROR(__xludf.DUMMYFUNCTION("""COMPUTED_VALUE"""),"MOTORCYCLE")</f>
        <v>MOTORCYCLE</v>
      </c>
      <c r="G1023" s="7" t="str">
        <f>IFERROR(__xludf.DUMMYFUNCTION("""COMPUTED_VALUE"""),"SAO PAULO")</f>
        <v>SAO PAULO</v>
      </c>
    </row>
    <row r="1024">
      <c r="A1024" s="6">
        <f>IFERROR(__xludf.DUMMYFUNCTION("""COMPUTED_VALUE"""),45705.0)</f>
        <v>45705</v>
      </c>
      <c r="B1024" s="7" t="str">
        <f>IFERROR(__xludf.DUMMYFUNCTION("""COMPUTED_VALUE"""),"84df78ba-4d1a-4d88-a933-bad8e4dd69a1")</f>
        <v>84df78ba-4d1a-4d88-a933-bad8e4dd69a1</v>
      </c>
      <c r="C1024" s="7">
        <f>IFERROR(__xludf.DUMMYFUNCTION("""COMPUTED_VALUE"""),0.0)</f>
        <v>0</v>
      </c>
      <c r="D1024" s="6">
        <f>IFERROR(__xludf.DUMMYFUNCTION("""COMPUTED_VALUE"""),45705.0)</f>
        <v>45705</v>
      </c>
      <c r="E1024" s="7" t="str">
        <f>IFERROR(__xludf.DUMMYFUNCTION("""COMPUTED_VALUE"""),"FRANQUIA_D&amp;G_SP")</f>
        <v>FRANQUIA_D&amp;G_SP</v>
      </c>
      <c r="F1024" s="7" t="str">
        <f>IFERROR(__xludf.DUMMYFUNCTION("""COMPUTED_VALUE"""),"MOTORCYCLE")</f>
        <v>MOTORCYCLE</v>
      </c>
      <c r="G1024" s="7" t="str">
        <f>IFERROR(__xludf.DUMMYFUNCTION("""COMPUTED_VALUE"""),"SAO PAULO")</f>
        <v>SAO PAULO</v>
      </c>
    </row>
    <row r="1025">
      <c r="A1025" s="6">
        <f>IFERROR(__xludf.DUMMYFUNCTION("""COMPUTED_VALUE"""),45705.0)</f>
        <v>45705</v>
      </c>
      <c r="B1025" s="7" t="str">
        <f>IFERROR(__xludf.DUMMYFUNCTION("""COMPUTED_VALUE"""),"b2401ff5-27d3-43b5-b272-40e41097fc03")</f>
        <v>b2401ff5-27d3-43b5-b272-40e41097fc03</v>
      </c>
      <c r="C1025" s="7">
        <f>IFERROR(__xludf.DUMMYFUNCTION("""COMPUTED_VALUE"""),145.0)</f>
        <v>145</v>
      </c>
      <c r="D1025" s="6">
        <f>IFERROR(__xludf.DUMMYFUNCTION("""COMPUTED_VALUE"""),45560.0)</f>
        <v>45560</v>
      </c>
      <c r="E1025" s="7" t="str">
        <f>IFERROR(__xludf.DUMMYFUNCTION("""COMPUTED_VALUE"""),"FRANQUIA_D&amp;G_SP")</f>
        <v>FRANQUIA_D&amp;G_SP</v>
      </c>
      <c r="F1025" s="7" t="str">
        <f>IFERROR(__xludf.DUMMYFUNCTION("""COMPUTED_VALUE"""),"BICYCLE")</f>
        <v>BICYCLE</v>
      </c>
      <c r="G1025" s="7" t="str">
        <f>IFERROR(__xludf.DUMMYFUNCTION("""COMPUTED_VALUE"""),"SAO PAULO")</f>
        <v>SAO PAULO</v>
      </c>
    </row>
    <row r="1026">
      <c r="A1026" s="6">
        <f>IFERROR(__xludf.DUMMYFUNCTION("""COMPUTED_VALUE"""),45705.0)</f>
        <v>45705</v>
      </c>
      <c r="B1026" s="7" t="str">
        <f>IFERROR(__xludf.DUMMYFUNCTION("""COMPUTED_VALUE"""),"3d392538-9aab-402c-b111-aadb05071bd6")</f>
        <v>3d392538-9aab-402c-b111-aadb05071bd6</v>
      </c>
      <c r="C1026" s="7">
        <f>IFERROR(__xludf.DUMMYFUNCTION("""COMPUTED_VALUE"""),0.0)</f>
        <v>0</v>
      </c>
      <c r="D1026" s="6">
        <f>IFERROR(__xludf.DUMMYFUNCTION("""COMPUTED_VALUE"""),45705.0)</f>
        <v>45705</v>
      </c>
      <c r="E1026" s="7" t="str">
        <f>IFERROR(__xludf.DUMMYFUNCTION("""COMPUTED_VALUE"""),"FRANQUIA_D&amp;G_SP")</f>
        <v>FRANQUIA_D&amp;G_SP</v>
      </c>
      <c r="F1026" s="7" t="str">
        <f>IFERROR(__xludf.DUMMYFUNCTION("""COMPUTED_VALUE"""),"MOTORCYCLE")</f>
        <v>MOTORCYCLE</v>
      </c>
      <c r="G1026" s="7" t="str">
        <f>IFERROR(__xludf.DUMMYFUNCTION("""COMPUTED_VALUE"""),"SAO PAULO")</f>
        <v>SAO PAULO</v>
      </c>
    </row>
    <row r="1027">
      <c r="A1027" s="6">
        <f>IFERROR(__xludf.DUMMYFUNCTION("""COMPUTED_VALUE"""),45705.0)</f>
        <v>45705</v>
      </c>
      <c r="B1027" s="7" t="str">
        <f>IFERROR(__xludf.DUMMYFUNCTION("""COMPUTED_VALUE"""),"841b3732-8390-4c68-968f-685dae7c1355")</f>
        <v>841b3732-8390-4c68-968f-685dae7c1355</v>
      </c>
      <c r="C1027" s="7">
        <f>IFERROR(__xludf.DUMMYFUNCTION("""COMPUTED_VALUE"""),1.0)</f>
        <v>1</v>
      </c>
      <c r="D1027" s="6">
        <f>IFERROR(__xludf.DUMMYFUNCTION("""COMPUTED_VALUE"""),45704.0)</f>
        <v>45704</v>
      </c>
      <c r="E1027" s="7" t="str">
        <f>IFERROR(__xludf.DUMMYFUNCTION("""COMPUTED_VALUE"""),"FRANQUIA_D&amp;G_SP")</f>
        <v>FRANQUIA_D&amp;G_SP</v>
      </c>
      <c r="F1027" s="7" t="str">
        <f>IFERROR(__xludf.DUMMYFUNCTION("""COMPUTED_VALUE"""),"MOTORCYCLE")</f>
        <v>MOTORCYCLE</v>
      </c>
      <c r="G1027" s="7" t="str">
        <f>IFERROR(__xludf.DUMMYFUNCTION("""COMPUTED_VALUE"""),"SAO PAULO")</f>
        <v>SAO PAULO</v>
      </c>
    </row>
    <row r="1028">
      <c r="A1028" s="6">
        <f>IFERROR(__xludf.DUMMYFUNCTION("""COMPUTED_VALUE"""),45705.0)</f>
        <v>45705</v>
      </c>
      <c r="B1028" s="7" t="str">
        <f>IFERROR(__xludf.DUMMYFUNCTION("""COMPUTED_VALUE"""),"d53deaa0-51aa-43b2-82fc-fff601251ae0")</f>
        <v>d53deaa0-51aa-43b2-82fc-fff601251ae0</v>
      </c>
      <c r="C1028" s="7">
        <f>IFERROR(__xludf.DUMMYFUNCTION("""COMPUTED_VALUE"""),0.0)</f>
        <v>0</v>
      </c>
      <c r="D1028" s="6">
        <f>IFERROR(__xludf.DUMMYFUNCTION("""COMPUTED_VALUE"""),45705.0)</f>
        <v>45705</v>
      </c>
      <c r="E1028" s="7" t="str">
        <f>IFERROR(__xludf.DUMMYFUNCTION("""COMPUTED_VALUE"""),"FRANQUIA_D&amp;G_SP")</f>
        <v>FRANQUIA_D&amp;G_SP</v>
      </c>
      <c r="F1028" s="7" t="str">
        <f>IFERROR(__xludf.DUMMYFUNCTION("""COMPUTED_VALUE"""),"EMOTORCYCLE")</f>
        <v>EMOTORCYCLE</v>
      </c>
      <c r="G1028" s="7" t="str">
        <f>IFERROR(__xludf.DUMMYFUNCTION("""COMPUTED_VALUE"""),"SAO PAULO")</f>
        <v>SAO PAULO</v>
      </c>
    </row>
    <row r="1029">
      <c r="A1029" s="6">
        <f>IFERROR(__xludf.DUMMYFUNCTION("""COMPUTED_VALUE"""),45705.0)</f>
        <v>45705</v>
      </c>
      <c r="B1029" s="7" t="str">
        <f>IFERROR(__xludf.DUMMYFUNCTION("""COMPUTED_VALUE"""),"bab2a77b-a3e7-45c3-a998-dd6856cb1ae1")</f>
        <v>bab2a77b-a3e7-45c3-a998-dd6856cb1ae1</v>
      </c>
      <c r="C1029" s="7">
        <f>IFERROR(__xludf.DUMMYFUNCTION("""COMPUTED_VALUE"""),293.0)</f>
        <v>293</v>
      </c>
      <c r="D1029" s="6">
        <f>IFERROR(__xludf.DUMMYFUNCTION("""COMPUTED_VALUE"""),45412.0)</f>
        <v>45412</v>
      </c>
      <c r="E1029" s="7" t="str">
        <f>IFERROR(__xludf.DUMMYFUNCTION("""COMPUTED_VALUE"""),"FRANQUIA_D&amp;G_SP")</f>
        <v>FRANQUIA_D&amp;G_SP</v>
      </c>
      <c r="F1029" s="7" t="str">
        <f>IFERROR(__xludf.DUMMYFUNCTION("""COMPUTED_VALUE"""),"BICYCLE")</f>
        <v>BICYCLE</v>
      </c>
      <c r="G1029" s="7" t="str">
        <f>IFERROR(__xludf.DUMMYFUNCTION("""COMPUTED_VALUE"""),"SAO PAULO")</f>
        <v>SAO PAULO</v>
      </c>
    </row>
    <row r="1030">
      <c r="A1030" s="6">
        <f>IFERROR(__xludf.DUMMYFUNCTION("""COMPUTED_VALUE"""),45705.0)</f>
        <v>45705</v>
      </c>
      <c r="B1030" s="7" t="str">
        <f>IFERROR(__xludf.DUMMYFUNCTION("""COMPUTED_VALUE"""),"154b2d60-e3ae-4a44-9939-eea0cfd322b6")</f>
        <v>154b2d60-e3ae-4a44-9939-eea0cfd322b6</v>
      </c>
      <c r="C1030" s="7">
        <f>IFERROR(__xludf.DUMMYFUNCTION("""COMPUTED_VALUE"""),0.0)</f>
        <v>0</v>
      </c>
      <c r="D1030" s="6">
        <f>IFERROR(__xludf.DUMMYFUNCTION("""COMPUTED_VALUE"""),0.0)</f>
        <v>0</v>
      </c>
      <c r="E1030" s="7" t="str">
        <f>IFERROR(__xludf.DUMMYFUNCTION("""COMPUTED_VALUE"""),"FRANQUIA_D&amp;G_SP")</f>
        <v>FRANQUIA_D&amp;G_SP</v>
      </c>
      <c r="F1030" s="7" t="str">
        <f>IFERROR(__xludf.DUMMYFUNCTION("""COMPUTED_VALUE"""),"BICYCLE")</f>
        <v>BICYCLE</v>
      </c>
      <c r="G1030" s="7" t="str">
        <f>IFERROR(__xludf.DUMMYFUNCTION("""COMPUTED_VALUE"""),"0")</f>
        <v>0</v>
      </c>
    </row>
    <row r="1031">
      <c r="A1031" s="6">
        <f>IFERROR(__xludf.DUMMYFUNCTION("""COMPUTED_VALUE"""),45705.0)</f>
        <v>45705</v>
      </c>
      <c r="B1031" s="7" t="str">
        <f>IFERROR(__xludf.DUMMYFUNCTION("""COMPUTED_VALUE"""),"43a026f8-d8ad-4f03-a051-62dccfc2f13e")</f>
        <v>43a026f8-d8ad-4f03-a051-62dccfc2f13e</v>
      </c>
      <c r="C1031" s="7">
        <f>IFERROR(__xludf.DUMMYFUNCTION("""COMPUTED_VALUE"""),0.0)</f>
        <v>0</v>
      </c>
      <c r="D1031" s="6">
        <f>IFERROR(__xludf.DUMMYFUNCTION("""COMPUTED_VALUE"""),45705.0)</f>
        <v>45705</v>
      </c>
      <c r="E1031" s="7" t="str">
        <f>IFERROR(__xludf.DUMMYFUNCTION("""COMPUTED_VALUE"""),"FRANQUIA_D&amp;G_SP")</f>
        <v>FRANQUIA_D&amp;G_SP</v>
      </c>
      <c r="F1031" s="7" t="str">
        <f>IFERROR(__xludf.DUMMYFUNCTION("""COMPUTED_VALUE"""),"MOTORCYCLE")</f>
        <v>MOTORCYCLE</v>
      </c>
      <c r="G1031" s="7" t="str">
        <f>IFERROR(__xludf.DUMMYFUNCTION("""COMPUTED_VALUE"""),"SAO PAULO")</f>
        <v>SAO PAULO</v>
      </c>
    </row>
    <row r="1032">
      <c r="A1032" s="6">
        <f>IFERROR(__xludf.DUMMYFUNCTION("""COMPUTED_VALUE"""),45705.0)</f>
        <v>45705</v>
      </c>
      <c r="B1032" s="7" t="str">
        <f>IFERROR(__xludf.DUMMYFUNCTION("""COMPUTED_VALUE"""),"00358807-b2af-4318-9325-fcb8385b6b5d")</f>
        <v>00358807-b2af-4318-9325-fcb8385b6b5d</v>
      </c>
      <c r="C1032" s="7">
        <f>IFERROR(__xludf.DUMMYFUNCTION("""COMPUTED_VALUE"""),1.0)</f>
        <v>1</v>
      </c>
      <c r="D1032" s="6">
        <f>IFERROR(__xludf.DUMMYFUNCTION("""COMPUTED_VALUE"""),45704.0)</f>
        <v>45704</v>
      </c>
      <c r="E1032" s="7" t="str">
        <f>IFERROR(__xludf.DUMMYFUNCTION("""COMPUTED_VALUE"""),"FRANQUIA_D&amp;G_SP")</f>
        <v>FRANQUIA_D&amp;G_SP</v>
      </c>
      <c r="F1032" s="7" t="str">
        <f>IFERROR(__xludf.DUMMYFUNCTION("""COMPUTED_VALUE"""),"MOTORCYCLE")</f>
        <v>MOTORCYCLE</v>
      </c>
      <c r="G1032" s="7" t="str">
        <f>IFERROR(__xludf.DUMMYFUNCTION("""COMPUTED_VALUE"""),"SAO PAULO")</f>
        <v>SAO PAULO</v>
      </c>
    </row>
    <row r="1033">
      <c r="A1033" s="6">
        <f>IFERROR(__xludf.DUMMYFUNCTION("""COMPUTED_VALUE"""),45705.0)</f>
        <v>45705</v>
      </c>
      <c r="B1033" s="7" t="str">
        <f>IFERROR(__xludf.DUMMYFUNCTION("""COMPUTED_VALUE"""),"24cc344a-1c4c-4d72-bef9-e7e5bcf18ac7")</f>
        <v>24cc344a-1c4c-4d72-bef9-e7e5bcf18ac7</v>
      </c>
      <c r="C1033" s="7">
        <f>IFERROR(__xludf.DUMMYFUNCTION("""COMPUTED_VALUE"""),659.0)</f>
        <v>659</v>
      </c>
      <c r="D1033" s="6">
        <f>IFERROR(__xludf.DUMMYFUNCTION("""COMPUTED_VALUE"""),45046.0)</f>
        <v>45046</v>
      </c>
      <c r="E1033" s="7" t="str">
        <f>IFERROR(__xludf.DUMMYFUNCTION("""COMPUTED_VALUE"""),"FRANQUIA_D&amp;G_SP")</f>
        <v>FRANQUIA_D&amp;G_SP</v>
      </c>
      <c r="F1033" s="7" t="str">
        <f>IFERROR(__xludf.DUMMYFUNCTION("""COMPUTED_VALUE"""),"BICYCLE")</f>
        <v>BICYCLE</v>
      </c>
      <c r="G1033" s="7" t="str">
        <f>IFERROR(__xludf.DUMMYFUNCTION("""COMPUTED_VALUE"""),"SAO PAULO")</f>
        <v>SAO PAULO</v>
      </c>
    </row>
    <row r="1034">
      <c r="A1034" s="6">
        <f>IFERROR(__xludf.DUMMYFUNCTION("""COMPUTED_VALUE"""),45705.0)</f>
        <v>45705</v>
      </c>
      <c r="B1034" s="7" t="str">
        <f>IFERROR(__xludf.DUMMYFUNCTION("""COMPUTED_VALUE"""),"2323fd99-9a19-4577-8981-d84850e660e4")</f>
        <v>2323fd99-9a19-4577-8981-d84850e660e4</v>
      </c>
      <c r="C1034" s="7">
        <f>IFERROR(__xludf.DUMMYFUNCTION("""COMPUTED_VALUE"""),2.0)</f>
        <v>2</v>
      </c>
      <c r="D1034" s="6">
        <f>IFERROR(__xludf.DUMMYFUNCTION("""COMPUTED_VALUE"""),45703.0)</f>
        <v>45703</v>
      </c>
      <c r="E1034" s="7" t="str">
        <f>IFERROR(__xludf.DUMMYFUNCTION("""COMPUTED_VALUE"""),"FRANQUIA_D&amp;G_SP")</f>
        <v>FRANQUIA_D&amp;G_SP</v>
      </c>
      <c r="F1034" s="7" t="str">
        <f>IFERROR(__xludf.DUMMYFUNCTION("""COMPUTED_VALUE"""),"BICYCLE")</f>
        <v>BICYCLE</v>
      </c>
      <c r="G1034" s="7" t="str">
        <f>IFERROR(__xludf.DUMMYFUNCTION("""COMPUTED_VALUE"""),"SAO PAULO")</f>
        <v>SAO PAULO</v>
      </c>
    </row>
    <row r="1035">
      <c r="A1035" s="6">
        <f>IFERROR(__xludf.DUMMYFUNCTION("""COMPUTED_VALUE"""),45705.0)</f>
        <v>45705</v>
      </c>
      <c r="B1035" s="7" t="str">
        <f>IFERROR(__xludf.DUMMYFUNCTION("""COMPUTED_VALUE"""),"0a47566d-1dad-4189-94cf-acb660ad5689")</f>
        <v>0a47566d-1dad-4189-94cf-acb660ad5689</v>
      </c>
      <c r="C1035" s="7">
        <f>IFERROR(__xludf.DUMMYFUNCTION("""COMPUTED_VALUE"""),67.0)</f>
        <v>67</v>
      </c>
      <c r="D1035" s="6">
        <f>IFERROR(__xludf.DUMMYFUNCTION("""COMPUTED_VALUE"""),45638.0)</f>
        <v>45638</v>
      </c>
      <c r="E1035" s="7" t="str">
        <f>IFERROR(__xludf.DUMMYFUNCTION("""COMPUTED_VALUE"""),"FRANQUIA_D&amp;G_SP")</f>
        <v>FRANQUIA_D&amp;G_SP</v>
      </c>
      <c r="F1035" s="7" t="str">
        <f>IFERROR(__xludf.DUMMYFUNCTION("""COMPUTED_VALUE"""),"BICYCLE")</f>
        <v>BICYCLE</v>
      </c>
      <c r="G1035" s="7" t="str">
        <f>IFERROR(__xludf.DUMMYFUNCTION("""COMPUTED_VALUE"""),"SAO PAULO")</f>
        <v>SAO PAULO</v>
      </c>
    </row>
    <row r="1036">
      <c r="A1036" s="6">
        <f>IFERROR(__xludf.DUMMYFUNCTION("""COMPUTED_VALUE"""),45705.0)</f>
        <v>45705</v>
      </c>
      <c r="B1036" s="7" t="str">
        <f>IFERROR(__xludf.DUMMYFUNCTION("""COMPUTED_VALUE"""),"c0e5f4b7-0690-4f0f-9f4b-c2ed95af2479")</f>
        <v>c0e5f4b7-0690-4f0f-9f4b-c2ed95af2479</v>
      </c>
      <c r="C1036" s="7">
        <f>IFERROR(__xludf.DUMMYFUNCTION("""COMPUTED_VALUE"""),0.0)</f>
        <v>0</v>
      </c>
      <c r="D1036" s="6">
        <f>IFERROR(__xludf.DUMMYFUNCTION("""COMPUTED_VALUE"""),45705.0)</f>
        <v>45705</v>
      </c>
      <c r="E1036" s="7" t="str">
        <f>IFERROR(__xludf.DUMMYFUNCTION("""COMPUTED_VALUE"""),"FRANQUIA_D&amp;G_SP")</f>
        <v>FRANQUIA_D&amp;G_SP</v>
      </c>
      <c r="F1036" s="7" t="str">
        <f>IFERROR(__xludf.DUMMYFUNCTION("""COMPUTED_VALUE"""),"MOTORCYCLE")</f>
        <v>MOTORCYCLE</v>
      </c>
      <c r="G1036" s="7" t="str">
        <f>IFERROR(__xludf.DUMMYFUNCTION("""COMPUTED_VALUE"""),"SAO PAULO")</f>
        <v>SAO PAULO</v>
      </c>
    </row>
    <row r="1037">
      <c r="A1037" s="6">
        <f>IFERROR(__xludf.DUMMYFUNCTION("""COMPUTED_VALUE"""),45705.0)</f>
        <v>45705</v>
      </c>
      <c r="B1037" s="7" t="str">
        <f>IFERROR(__xludf.DUMMYFUNCTION("""COMPUTED_VALUE"""),"18aa35c1-aa48-41c9-9c28-6ad655885790")</f>
        <v>18aa35c1-aa48-41c9-9c28-6ad655885790</v>
      </c>
      <c r="C1037" s="7">
        <f>IFERROR(__xludf.DUMMYFUNCTION("""COMPUTED_VALUE"""),2.0)</f>
        <v>2</v>
      </c>
      <c r="D1037" s="6">
        <f>IFERROR(__xludf.DUMMYFUNCTION("""COMPUTED_VALUE"""),45703.0)</f>
        <v>45703</v>
      </c>
      <c r="E1037" s="7" t="str">
        <f>IFERROR(__xludf.DUMMYFUNCTION("""COMPUTED_VALUE"""),"FRANQUIA_D&amp;G_SP")</f>
        <v>FRANQUIA_D&amp;G_SP</v>
      </c>
      <c r="F1037" s="7" t="str">
        <f>IFERROR(__xludf.DUMMYFUNCTION("""COMPUTED_VALUE"""),"EMOTORCYCLE")</f>
        <v>EMOTORCYCLE</v>
      </c>
      <c r="G1037" s="7" t="str">
        <f>IFERROR(__xludf.DUMMYFUNCTION("""COMPUTED_VALUE"""),"SAO PAULO")</f>
        <v>SAO PAULO</v>
      </c>
    </row>
    <row r="1038">
      <c r="A1038" s="6">
        <f>IFERROR(__xludf.DUMMYFUNCTION("""COMPUTED_VALUE"""),45705.0)</f>
        <v>45705</v>
      </c>
      <c r="B1038" s="7" t="str">
        <f>IFERROR(__xludf.DUMMYFUNCTION("""COMPUTED_VALUE"""),"45107fef-1cd5-4751-8333-ecc6446bc461")</f>
        <v>45107fef-1cd5-4751-8333-ecc6446bc461</v>
      </c>
      <c r="C1038" s="7">
        <f>IFERROR(__xludf.DUMMYFUNCTION("""COMPUTED_VALUE"""),0.0)</f>
        <v>0</v>
      </c>
      <c r="D1038" s="6">
        <f>IFERROR(__xludf.DUMMYFUNCTION("""COMPUTED_VALUE"""),45705.0)</f>
        <v>45705</v>
      </c>
      <c r="E1038" s="7" t="str">
        <f>IFERROR(__xludf.DUMMYFUNCTION("""COMPUTED_VALUE"""),"FRANQUIA_D&amp;G_SP")</f>
        <v>FRANQUIA_D&amp;G_SP</v>
      </c>
      <c r="F1038" s="7" t="str">
        <f>IFERROR(__xludf.DUMMYFUNCTION("""COMPUTED_VALUE"""),"EMOTORCYCLE")</f>
        <v>EMOTORCYCLE</v>
      </c>
      <c r="G1038" s="7" t="str">
        <f>IFERROR(__xludf.DUMMYFUNCTION("""COMPUTED_VALUE"""),"SAO PAULO")</f>
        <v>SAO PAULO</v>
      </c>
    </row>
    <row r="1039">
      <c r="A1039" s="6">
        <f>IFERROR(__xludf.DUMMYFUNCTION("""COMPUTED_VALUE"""),45705.0)</f>
        <v>45705</v>
      </c>
      <c r="B1039" s="7" t="str">
        <f>IFERROR(__xludf.DUMMYFUNCTION("""COMPUTED_VALUE"""),"bc2a6f4a-2a1a-488b-b2c5-2322b8e9800e")</f>
        <v>bc2a6f4a-2a1a-488b-b2c5-2322b8e9800e</v>
      </c>
      <c r="C1039" s="7">
        <f>IFERROR(__xludf.DUMMYFUNCTION("""COMPUTED_VALUE"""),3.0)</f>
        <v>3</v>
      </c>
      <c r="D1039" s="6">
        <f>IFERROR(__xludf.DUMMYFUNCTION("""COMPUTED_VALUE"""),45702.0)</f>
        <v>45702</v>
      </c>
      <c r="E1039" s="7" t="str">
        <f>IFERROR(__xludf.DUMMYFUNCTION("""COMPUTED_VALUE"""),"FRANQUIA_D&amp;G_SP")</f>
        <v>FRANQUIA_D&amp;G_SP</v>
      </c>
      <c r="F1039" s="7" t="str">
        <f>IFERROR(__xludf.DUMMYFUNCTION("""COMPUTED_VALUE"""),"BICYCLE")</f>
        <v>BICYCLE</v>
      </c>
      <c r="G1039" s="7" t="str">
        <f>IFERROR(__xludf.DUMMYFUNCTION("""COMPUTED_VALUE"""),"SAO PAULO")</f>
        <v>SAO PAULO</v>
      </c>
    </row>
    <row r="1040">
      <c r="A1040" s="6">
        <f>IFERROR(__xludf.DUMMYFUNCTION("""COMPUTED_VALUE"""),45705.0)</f>
        <v>45705</v>
      </c>
      <c r="B1040" s="7" t="str">
        <f>IFERROR(__xludf.DUMMYFUNCTION("""COMPUTED_VALUE"""),"3b15d114-a56b-47d8-ba14-60e6b0218e8a")</f>
        <v>3b15d114-a56b-47d8-ba14-60e6b0218e8a</v>
      </c>
      <c r="C1040" s="7">
        <f>IFERROR(__xludf.DUMMYFUNCTION("""COMPUTED_VALUE"""),194.0)</f>
        <v>194</v>
      </c>
      <c r="D1040" s="6">
        <f>IFERROR(__xludf.DUMMYFUNCTION("""COMPUTED_VALUE"""),45511.0)</f>
        <v>45511</v>
      </c>
      <c r="E1040" s="7" t="str">
        <f>IFERROR(__xludf.DUMMYFUNCTION("""COMPUTED_VALUE"""),"FRANQUIA_D&amp;G_SP")</f>
        <v>FRANQUIA_D&amp;G_SP</v>
      </c>
      <c r="F1040" s="7" t="str">
        <f>IFERROR(__xludf.DUMMYFUNCTION("""COMPUTED_VALUE"""),"BICYCLE")</f>
        <v>BICYCLE</v>
      </c>
      <c r="G1040" s="7" t="str">
        <f>IFERROR(__xludf.DUMMYFUNCTION("""COMPUTED_VALUE"""),"SAO PAULO")</f>
        <v>SAO PAULO</v>
      </c>
    </row>
    <row r="1041">
      <c r="A1041" s="6">
        <f>IFERROR(__xludf.DUMMYFUNCTION("""COMPUTED_VALUE"""),45705.0)</f>
        <v>45705</v>
      </c>
      <c r="B1041" s="7" t="str">
        <f>IFERROR(__xludf.DUMMYFUNCTION("""COMPUTED_VALUE"""),"419083e6-91ef-421b-91e1-4e6f91fde709")</f>
        <v>419083e6-91ef-421b-91e1-4e6f91fde709</v>
      </c>
      <c r="C1041" s="7">
        <f>IFERROR(__xludf.DUMMYFUNCTION("""COMPUTED_VALUE"""),0.0)</f>
        <v>0</v>
      </c>
      <c r="D1041" s="6">
        <f>IFERROR(__xludf.DUMMYFUNCTION("""COMPUTED_VALUE"""),45705.0)</f>
        <v>45705</v>
      </c>
      <c r="E1041" s="7" t="str">
        <f>IFERROR(__xludf.DUMMYFUNCTION("""COMPUTED_VALUE"""),"FRANQUIA_D&amp;G_SP")</f>
        <v>FRANQUIA_D&amp;G_SP</v>
      </c>
      <c r="F1041" s="7" t="str">
        <f>IFERROR(__xludf.DUMMYFUNCTION("""COMPUTED_VALUE"""),"BICYCLE")</f>
        <v>BICYCLE</v>
      </c>
      <c r="G1041" s="7" t="str">
        <f>IFERROR(__xludf.DUMMYFUNCTION("""COMPUTED_VALUE"""),"SAO PAULO")</f>
        <v>SAO PAULO</v>
      </c>
    </row>
    <row r="1042">
      <c r="A1042" s="6">
        <f>IFERROR(__xludf.DUMMYFUNCTION("""COMPUTED_VALUE"""),45705.0)</f>
        <v>45705</v>
      </c>
      <c r="B1042" s="7" t="str">
        <f>IFERROR(__xludf.DUMMYFUNCTION("""COMPUTED_VALUE"""),"db654019-0301-4758-bfe9-fe6536bf299d")</f>
        <v>db654019-0301-4758-bfe9-fe6536bf299d</v>
      </c>
      <c r="C1042" s="7">
        <f>IFERROR(__xludf.DUMMYFUNCTION("""COMPUTED_VALUE"""),0.0)</f>
        <v>0</v>
      </c>
      <c r="D1042" s="6">
        <f>IFERROR(__xludf.DUMMYFUNCTION("""COMPUTED_VALUE"""),45705.0)</f>
        <v>45705</v>
      </c>
      <c r="E1042" s="7" t="str">
        <f>IFERROR(__xludf.DUMMYFUNCTION("""COMPUTED_VALUE"""),"FRANQUIA_D&amp;G_SP")</f>
        <v>FRANQUIA_D&amp;G_SP</v>
      </c>
      <c r="F1042" s="7" t="str">
        <f>IFERROR(__xludf.DUMMYFUNCTION("""COMPUTED_VALUE"""),"EMOTORCYCLE")</f>
        <v>EMOTORCYCLE</v>
      </c>
      <c r="G1042" s="7" t="str">
        <f>IFERROR(__xludf.DUMMYFUNCTION("""COMPUTED_VALUE"""),"SAO PAULO")</f>
        <v>SAO PAULO</v>
      </c>
    </row>
    <row r="1043">
      <c r="A1043" s="6">
        <f>IFERROR(__xludf.DUMMYFUNCTION("""COMPUTED_VALUE"""),45705.0)</f>
        <v>45705</v>
      </c>
      <c r="B1043" s="7" t="str">
        <f>IFERROR(__xludf.DUMMYFUNCTION("""COMPUTED_VALUE"""),"667cad53-e5a3-48aa-923f-3570dc43256d")</f>
        <v>667cad53-e5a3-48aa-923f-3570dc43256d</v>
      </c>
      <c r="C1043" s="7">
        <f>IFERROR(__xludf.DUMMYFUNCTION("""COMPUTED_VALUE"""),1.0)</f>
        <v>1</v>
      </c>
      <c r="D1043" s="6">
        <f>IFERROR(__xludf.DUMMYFUNCTION("""COMPUTED_VALUE"""),45704.0)</f>
        <v>45704</v>
      </c>
      <c r="E1043" s="7" t="str">
        <f>IFERROR(__xludf.DUMMYFUNCTION("""COMPUTED_VALUE"""),"FRANQUIA_D&amp;G_SP")</f>
        <v>FRANQUIA_D&amp;G_SP</v>
      </c>
      <c r="F1043" s="7" t="str">
        <f>IFERROR(__xludf.DUMMYFUNCTION("""COMPUTED_VALUE"""),"BICYCLE")</f>
        <v>BICYCLE</v>
      </c>
      <c r="G1043" s="7" t="str">
        <f>IFERROR(__xludf.DUMMYFUNCTION("""COMPUTED_VALUE"""),"SAO PAULO")</f>
        <v>SAO PAULO</v>
      </c>
    </row>
    <row r="1044">
      <c r="A1044" s="6">
        <f>IFERROR(__xludf.DUMMYFUNCTION("""COMPUTED_VALUE"""),45705.0)</f>
        <v>45705</v>
      </c>
      <c r="B1044" s="7" t="str">
        <f>IFERROR(__xludf.DUMMYFUNCTION("""COMPUTED_VALUE"""),"cde4c54a-830a-451b-83df-8edc9d88c88a")</f>
        <v>cde4c54a-830a-451b-83df-8edc9d88c88a</v>
      </c>
      <c r="C1044" s="7">
        <f>IFERROR(__xludf.DUMMYFUNCTION("""COMPUTED_VALUE"""),3.0)</f>
        <v>3</v>
      </c>
      <c r="D1044" s="6">
        <f>IFERROR(__xludf.DUMMYFUNCTION("""COMPUTED_VALUE"""),45702.0)</f>
        <v>45702</v>
      </c>
      <c r="E1044" s="7" t="str">
        <f>IFERROR(__xludf.DUMMYFUNCTION("""COMPUTED_VALUE"""),"FRANQUIA_D&amp;G_SP")</f>
        <v>FRANQUIA_D&amp;G_SP</v>
      </c>
      <c r="F1044" s="7" t="str">
        <f>IFERROR(__xludf.DUMMYFUNCTION("""COMPUTED_VALUE"""),"EMOTORCYCLE")</f>
        <v>EMOTORCYCLE</v>
      </c>
      <c r="G1044" s="7" t="str">
        <f>IFERROR(__xludf.DUMMYFUNCTION("""COMPUTED_VALUE"""),"SUZANO")</f>
        <v>SUZANO</v>
      </c>
    </row>
    <row r="1045">
      <c r="A1045" s="6">
        <f>IFERROR(__xludf.DUMMYFUNCTION("""COMPUTED_VALUE"""),45705.0)</f>
        <v>45705</v>
      </c>
      <c r="B1045" s="7" t="str">
        <f>IFERROR(__xludf.DUMMYFUNCTION("""COMPUTED_VALUE"""),"cb8f7637-bc8f-4f34-8246-7adba5033c4f")</f>
        <v>cb8f7637-bc8f-4f34-8246-7adba5033c4f</v>
      </c>
      <c r="C1045" s="7">
        <f>IFERROR(__xludf.DUMMYFUNCTION("""COMPUTED_VALUE"""),0.0)</f>
        <v>0</v>
      </c>
      <c r="D1045" s="6">
        <f>IFERROR(__xludf.DUMMYFUNCTION("""COMPUTED_VALUE"""),45705.0)</f>
        <v>45705</v>
      </c>
      <c r="E1045" s="7" t="str">
        <f>IFERROR(__xludf.DUMMYFUNCTION("""COMPUTED_VALUE"""),"FRANQUIA_D&amp;G_SP")</f>
        <v>FRANQUIA_D&amp;G_SP</v>
      </c>
      <c r="F1045" s="7" t="str">
        <f>IFERROR(__xludf.DUMMYFUNCTION("""COMPUTED_VALUE"""),"MOTORCYCLE")</f>
        <v>MOTORCYCLE</v>
      </c>
      <c r="G1045" s="7" t="str">
        <f>IFERROR(__xludf.DUMMYFUNCTION("""COMPUTED_VALUE"""),"SAO PAULO")</f>
        <v>SAO PAULO</v>
      </c>
    </row>
    <row r="1046">
      <c r="A1046" s="6">
        <f>IFERROR(__xludf.DUMMYFUNCTION("""COMPUTED_VALUE"""),45705.0)</f>
        <v>45705</v>
      </c>
      <c r="B1046" s="7" t="str">
        <f>IFERROR(__xludf.DUMMYFUNCTION("""COMPUTED_VALUE"""),"bfc1c127-8cb6-4a7c-9ec2-60200558afb8")</f>
        <v>bfc1c127-8cb6-4a7c-9ec2-60200558afb8</v>
      </c>
      <c r="C1046" s="7">
        <f>IFERROR(__xludf.DUMMYFUNCTION("""COMPUTED_VALUE"""),1.0)</f>
        <v>1</v>
      </c>
      <c r="D1046" s="6">
        <f>IFERROR(__xludf.DUMMYFUNCTION("""COMPUTED_VALUE"""),45704.0)</f>
        <v>45704</v>
      </c>
      <c r="E1046" s="7" t="str">
        <f>IFERROR(__xludf.DUMMYFUNCTION("""COMPUTED_VALUE"""),"FRANQUIA_D&amp;G_SP")</f>
        <v>FRANQUIA_D&amp;G_SP</v>
      </c>
      <c r="F1046" s="7" t="str">
        <f>IFERROR(__xludf.DUMMYFUNCTION("""COMPUTED_VALUE"""),"BICYCLE")</f>
        <v>BICYCLE</v>
      </c>
      <c r="G1046" s="7" t="str">
        <f>IFERROR(__xludf.DUMMYFUNCTION("""COMPUTED_VALUE"""),"SAO PAULO")</f>
        <v>SAO PAULO</v>
      </c>
    </row>
    <row r="1047">
      <c r="A1047" s="6">
        <f>IFERROR(__xludf.DUMMYFUNCTION("""COMPUTED_VALUE"""),45705.0)</f>
        <v>45705</v>
      </c>
      <c r="B1047" s="7" t="str">
        <f>IFERROR(__xludf.DUMMYFUNCTION("""COMPUTED_VALUE"""),"a83ba0b8-4487-406b-a623-a43580521af4")</f>
        <v>a83ba0b8-4487-406b-a623-a43580521af4</v>
      </c>
      <c r="C1047" s="7">
        <f>IFERROR(__xludf.DUMMYFUNCTION("""COMPUTED_VALUE"""),17.0)</f>
        <v>17</v>
      </c>
      <c r="D1047" s="6">
        <f>IFERROR(__xludf.DUMMYFUNCTION("""COMPUTED_VALUE"""),45688.0)</f>
        <v>45688</v>
      </c>
      <c r="E1047" s="7" t="str">
        <f>IFERROR(__xludf.DUMMYFUNCTION("""COMPUTED_VALUE"""),"FRANQUIA_D&amp;G_SP")</f>
        <v>FRANQUIA_D&amp;G_SP</v>
      </c>
      <c r="F1047" s="7" t="str">
        <f>IFERROR(__xludf.DUMMYFUNCTION("""COMPUTED_VALUE"""),"BICYCLE")</f>
        <v>BICYCLE</v>
      </c>
      <c r="G1047" s="7" t="str">
        <f>IFERROR(__xludf.DUMMYFUNCTION("""COMPUTED_VALUE"""),"SAO PAULO")</f>
        <v>SAO PAULO</v>
      </c>
    </row>
    <row r="1048">
      <c r="A1048" s="6">
        <f>IFERROR(__xludf.DUMMYFUNCTION("""COMPUTED_VALUE"""),45705.0)</f>
        <v>45705</v>
      </c>
      <c r="B1048" s="7" t="str">
        <f>IFERROR(__xludf.DUMMYFUNCTION("""COMPUTED_VALUE"""),"e17b86ee-b877-4984-9895-1c9ce052f72d")</f>
        <v>e17b86ee-b877-4984-9895-1c9ce052f72d</v>
      </c>
      <c r="C1048" s="7">
        <f>IFERROR(__xludf.DUMMYFUNCTION("""COMPUTED_VALUE"""),2.0)</f>
        <v>2</v>
      </c>
      <c r="D1048" s="6">
        <f>IFERROR(__xludf.DUMMYFUNCTION("""COMPUTED_VALUE"""),45703.0)</f>
        <v>45703</v>
      </c>
      <c r="E1048" s="7" t="str">
        <f>IFERROR(__xludf.DUMMYFUNCTION("""COMPUTED_VALUE"""),"FRANQUIA_D&amp;G_SP")</f>
        <v>FRANQUIA_D&amp;G_SP</v>
      </c>
      <c r="F1048" s="7" t="str">
        <f>IFERROR(__xludf.DUMMYFUNCTION("""COMPUTED_VALUE"""),"MOTORCYCLE")</f>
        <v>MOTORCYCLE</v>
      </c>
      <c r="G1048" s="7" t="str">
        <f>IFERROR(__xludf.DUMMYFUNCTION("""COMPUTED_VALUE"""),"SAO PAULO")</f>
        <v>SAO PAULO</v>
      </c>
    </row>
    <row r="1049">
      <c r="A1049" s="6">
        <f>IFERROR(__xludf.DUMMYFUNCTION("""COMPUTED_VALUE"""),45705.0)</f>
        <v>45705</v>
      </c>
      <c r="B1049" s="7" t="str">
        <f>IFERROR(__xludf.DUMMYFUNCTION("""COMPUTED_VALUE"""),"deeb78a2-2812-4c6d-9941-52cfee7d568f")</f>
        <v>deeb78a2-2812-4c6d-9941-52cfee7d568f</v>
      </c>
      <c r="C1049" s="7">
        <f>IFERROR(__xludf.DUMMYFUNCTION("""COMPUTED_VALUE"""),2.0)</f>
        <v>2</v>
      </c>
      <c r="D1049" s="6">
        <f>IFERROR(__xludf.DUMMYFUNCTION("""COMPUTED_VALUE"""),45703.0)</f>
        <v>45703</v>
      </c>
      <c r="E1049" s="7" t="str">
        <f>IFERROR(__xludf.DUMMYFUNCTION("""COMPUTED_VALUE"""),"FRANQUIA_D&amp;G_SP")</f>
        <v>FRANQUIA_D&amp;G_SP</v>
      </c>
      <c r="F1049" s="7" t="str">
        <f>IFERROR(__xludf.DUMMYFUNCTION("""COMPUTED_VALUE"""),"MOTORCYCLE")</f>
        <v>MOTORCYCLE</v>
      </c>
      <c r="G1049" s="7" t="str">
        <f>IFERROR(__xludf.DUMMYFUNCTION("""COMPUTED_VALUE"""),"SAO PAULO")</f>
        <v>SAO PAULO</v>
      </c>
    </row>
    <row r="1050">
      <c r="A1050" s="6">
        <f>IFERROR(__xludf.DUMMYFUNCTION("""COMPUTED_VALUE"""),45705.0)</f>
        <v>45705</v>
      </c>
      <c r="B1050" s="7" t="str">
        <f>IFERROR(__xludf.DUMMYFUNCTION("""COMPUTED_VALUE"""),"0bf6ac1c-98c4-4359-a428-d1f4e07c8728")</f>
        <v>0bf6ac1c-98c4-4359-a428-d1f4e07c8728</v>
      </c>
      <c r="C1050" s="7">
        <f>IFERROR(__xludf.DUMMYFUNCTION("""COMPUTED_VALUE"""),0.0)</f>
        <v>0</v>
      </c>
      <c r="D1050" s="6">
        <f>IFERROR(__xludf.DUMMYFUNCTION("""COMPUTED_VALUE"""),45705.0)</f>
        <v>45705</v>
      </c>
      <c r="E1050" s="7" t="str">
        <f>IFERROR(__xludf.DUMMYFUNCTION("""COMPUTED_VALUE"""),"FRANQUIA_D&amp;G_SP")</f>
        <v>FRANQUIA_D&amp;G_SP</v>
      </c>
      <c r="F1050" s="7" t="str">
        <f>IFERROR(__xludf.DUMMYFUNCTION("""COMPUTED_VALUE"""),"BICYCLE")</f>
        <v>BICYCLE</v>
      </c>
      <c r="G1050" s="7" t="str">
        <f>IFERROR(__xludf.DUMMYFUNCTION("""COMPUTED_VALUE"""),"SAO PAULO")</f>
        <v>SAO PAULO</v>
      </c>
    </row>
    <row r="1051">
      <c r="A1051" s="6">
        <f>IFERROR(__xludf.DUMMYFUNCTION("""COMPUTED_VALUE"""),45705.0)</f>
        <v>45705</v>
      </c>
      <c r="B1051" s="7" t="str">
        <f>IFERROR(__xludf.DUMMYFUNCTION("""COMPUTED_VALUE"""),"0fb3765b-20a9-4381-969b-dfb8978e8ac7")</f>
        <v>0fb3765b-20a9-4381-969b-dfb8978e8ac7</v>
      </c>
      <c r="C1051" s="7">
        <f>IFERROR(__xludf.DUMMYFUNCTION("""COMPUTED_VALUE"""),310.0)</f>
        <v>310</v>
      </c>
      <c r="D1051" s="6">
        <f>IFERROR(__xludf.DUMMYFUNCTION("""COMPUTED_VALUE"""),45395.0)</f>
        <v>45395</v>
      </c>
      <c r="E1051" s="7" t="str">
        <f>IFERROR(__xludf.DUMMYFUNCTION("""COMPUTED_VALUE"""),"FRANQUIA_D&amp;G_SP")</f>
        <v>FRANQUIA_D&amp;G_SP</v>
      </c>
      <c r="F1051" s="7" t="str">
        <f>IFERROR(__xludf.DUMMYFUNCTION("""COMPUTED_VALUE"""),"BICYCLE")</f>
        <v>BICYCLE</v>
      </c>
      <c r="G1051" s="7" t="str">
        <f>IFERROR(__xludf.DUMMYFUNCTION("""COMPUTED_VALUE"""),"SAO PAULO")</f>
        <v>SAO PAULO</v>
      </c>
    </row>
    <row r="1052">
      <c r="A1052" s="6">
        <f>IFERROR(__xludf.DUMMYFUNCTION("""COMPUTED_VALUE"""),45705.0)</f>
        <v>45705</v>
      </c>
      <c r="B1052" s="7" t="str">
        <f>IFERROR(__xludf.DUMMYFUNCTION("""COMPUTED_VALUE"""),"85720840-201e-40ed-8db3-2f2c652641b2")</f>
        <v>85720840-201e-40ed-8db3-2f2c652641b2</v>
      </c>
      <c r="C1052" s="7">
        <f>IFERROR(__xludf.DUMMYFUNCTION("""COMPUTED_VALUE"""),1.0)</f>
        <v>1</v>
      </c>
      <c r="D1052" s="6">
        <f>IFERROR(__xludf.DUMMYFUNCTION("""COMPUTED_VALUE"""),45704.0)</f>
        <v>45704</v>
      </c>
      <c r="E1052" s="7" t="str">
        <f>IFERROR(__xludf.DUMMYFUNCTION("""COMPUTED_VALUE"""),"FRANQUIA_D&amp;G_SP")</f>
        <v>FRANQUIA_D&amp;G_SP</v>
      </c>
      <c r="F1052" s="7" t="str">
        <f>IFERROR(__xludf.DUMMYFUNCTION("""COMPUTED_VALUE"""),"BICYCLE")</f>
        <v>BICYCLE</v>
      </c>
      <c r="G1052" s="7" t="str">
        <f>IFERROR(__xludf.DUMMYFUNCTION("""COMPUTED_VALUE"""),"SAO PAULO")</f>
        <v>SAO PAULO</v>
      </c>
    </row>
    <row r="1053">
      <c r="A1053" s="6">
        <f>IFERROR(__xludf.DUMMYFUNCTION("""COMPUTED_VALUE"""),45705.0)</f>
        <v>45705</v>
      </c>
      <c r="B1053" s="7" t="str">
        <f>IFERROR(__xludf.DUMMYFUNCTION("""COMPUTED_VALUE"""),"cd5bd079-8de4-4ff3-acbb-bce101da9784")</f>
        <v>cd5bd079-8de4-4ff3-acbb-bce101da9784</v>
      </c>
      <c r="C1053" s="7">
        <f>IFERROR(__xludf.DUMMYFUNCTION("""COMPUTED_VALUE"""),0.0)</f>
        <v>0</v>
      </c>
      <c r="D1053" s="6">
        <f>IFERROR(__xludf.DUMMYFUNCTION("""COMPUTED_VALUE"""),45705.0)</f>
        <v>45705</v>
      </c>
      <c r="E1053" s="7" t="str">
        <f>IFERROR(__xludf.DUMMYFUNCTION("""COMPUTED_VALUE"""),"FRANQUIA_D&amp;G_SP")</f>
        <v>FRANQUIA_D&amp;G_SP</v>
      </c>
      <c r="F1053" s="7" t="str">
        <f>IFERROR(__xludf.DUMMYFUNCTION("""COMPUTED_VALUE"""),"BICYCLE")</f>
        <v>BICYCLE</v>
      </c>
      <c r="G1053" s="7" t="str">
        <f>IFERROR(__xludf.DUMMYFUNCTION("""COMPUTED_VALUE"""),"SAO PAULO")</f>
        <v>SAO PAULO</v>
      </c>
    </row>
    <row r="1054">
      <c r="A1054" s="6">
        <f>IFERROR(__xludf.DUMMYFUNCTION("""COMPUTED_VALUE"""),45705.0)</f>
        <v>45705</v>
      </c>
      <c r="B1054" s="7" t="str">
        <f>IFERROR(__xludf.DUMMYFUNCTION("""COMPUTED_VALUE"""),"fc8fa79a-1601-4307-a622-be3e26996684")</f>
        <v>fc8fa79a-1601-4307-a622-be3e26996684</v>
      </c>
      <c r="C1054" s="7">
        <f>IFERROR(__xludf.DUMMYFUNCTION("""COMPUTED_VALUE"""),3.0)</f>
        <v>3</v>
      </c>
      <c r="D1054" s="6">
        <f>IFERROR(__xludf.DUMMYFUNCTION("""COMPUTED_VALUE"""),45702.0)</f>
        <v>45702</v>
      </c>
      <c r="E1054" s="7" t="str">
        <f>IFERROR(__xludf.DUMMYFUNCTION("""COMPUTED_VALUE"""),"FRANQUIA_D&amp;G_SP")</f>
        <v>FRANQUIA_D&amp;G_SP</v>
      </c>
      <c r="F1054" s="7" t="str">
        <f>IFERROR(__xludf.DUMMYFUNCTION("""COMPUTED_VALUE"""),"MOTORCYCLE")</f>
        <v>MOTORCYCLE</v>
      </c>
      <c r="G1054" s="7" t="str">
        <f>IFERROR(__xludf.DUMMYFUNCTION("""COMPUTED_VALUE"""),"SAO PAULO")</f>
        <v>SAO PAULO</v>
      </c>
    </row>
    <row r="1055">
      <c r="A1055" s="6">
        <f>IFERROR(__xludf.DUMMYFUNCTION("""COMPUTED_VALUE"""),45705.0)</f>
        <v>45705</v>
      </c>
      <c r="B1055" s="7" t="str">
        <f>IFERROR(__xludf.DUMMYFUNCTION("""COMPUTED_VALUE"""),"95eefea2-37af-4a32-95f4-a85209856a7c")</f>
        <v>95eefea2-37af-4a32-95f4-a85209856a7c</v>
      </c>
      <c r="C1055" s="7">
        <f>IFERROR(__xludf.DUMMYFUNCTION("""COMPUTED_VALUE"""),0.0)</f>
        <v>0</v>
      </c>
      <c r="D1055" s="6">
        <f>IFERROR(__xludf.DUMMYFUNCTION("""COMPUTED_VALUE"""),45705.0)</f>
        <v>45705</v>
      </c>
      <c r="E1055" s="7" t="str">
        <f>IFERROR(__xludf.DUMMYFUNCTION("""COMPUTED_VALUE"""),"FRANQUIA_D&amp;G_SP")</f>
        <v>FRANQUIA_D&amp;G_SP</v>
      </c>
      <c r="F1055" s="7" t="str">
        <f>IFERROR(__xludf.DUMMYFUNCTION("""COMPUTED_VALUE"""),"MOTORCYCLE")</f>
        <v>MOTORCYCLE</v>
      </c>
      <c r="G1055" s="7" t="str">
        <f>IFERROR(__xludf.DUMMYFUNCTION("""COMPUTED_VALUE"""),"SAO PAULO")</f>
        <v>SAO PAULO</v>
      </c>
    </row>
    <row r="1056">
      <c r="A1056" s="6">
        <f>IFERROR(__xludf.DUMMYFUNCTION("""COMPUTED_VALUE"""),45705.0)</f>
        <v>45705</v>
      </c>
      <c r="B1056" s="7" t="str">
        <f>IFERROR(__xludf.DUMMYFUNCTION("""COMPUTED_VALUE"""),"f95d877d-1510-44ed-9ddb-d47df8eda763")</f>
        <v>f95d877d-1510-44ed-9ddb-d47df8eda763</v>
      </c>
      <c r="C1056" s="7">
        <f>IFERROR(__xludf.DUMMYFUNCTION("""COMPUTED_VALUE"""),107.0)</f>
        <v>107</v>
      </c>
      <c r="D1056" s="6">
        <f>IFERROR(__xludf.DUMMYFUNCTION("""COMPUTED_VALUE"""),45598.0)</f>
        <v>45598</v>
      </c>
      <c r="E1056" s="7" t="str">
        <f>IFERROR(__xludf.DUMMYFUNCTION("""COMPUTED_VALUE"""),"FRANQUIA_D&amp;G_SP")</f>
        <v>FRANQUIA_D&amp;G_SP</v>
      </c>
      <c r="F1056" s="7" t="str">
        <f>IFERROR(__xludf.DUMMYFUNCTION("""COMPUTED_VALUE"""),"MOTORCYCLE")</f>
        <v>MOTORCYCLE</v>
      </c>
      <c r="G1056" s="7" t="str">
        <f>IFERROR(__xludf.DUMMYFUNCTION("""COMPUTED_VALUE"""),"SAO PAULO")</f>
        <v>SAO PAULO</v>
      </c>
    </row>
    <row r="1057">
      <c r="A1057" s="6">
        <f>IFERROR(__xludf.DUMMYFUNCTION("""COMPUTED_VALUE"""),45705.0)</f>
        <v>45705</v>
      </c>
      <c r="B1057" s="7" t="str">
        <f>IFERROR(__xludf.DUMMYFUNCTION("""COMPUTED_VALUE"""),"f9f17db9-9bb0-4087-89bf-1236ce06c879")</f>
        <v>f9f17db9-9bb0-4087-89bf-1236ce06c879</v>
      </c>
      <c r="C1057" s="7">
        <f>IFERROR(__xludf.DUMMYFUNCTION("""COMPUTED_VALUE"""),0.0)</f>
        <v>0</v>
      </c>
      <c r="D1057" s="6">
        <f>IFERROR(__xludf.DUMMYFUNCTION("""COMPUTED_VALUE"""),45705.0)</f>
        <v>45705</v>
      </c>
      <c r="E1057" s="7" t="str">
        <f>IFERROR(__xludf.DUMMYFUNCTION("""COMPUTED_VALUE"""),"FRANQUIA_D&amp;G_SP")</f>
        <v>FRANQUIA_D&amp;G_SP</v>
      </c>
      <c r="F1057" s="7" t="str">
        <f>IFERROR(__xludf.DUMMYFUNCTION("""COMPUTED_VALUE"""),"MOTORCYCLE")</f>
        <v>MOTORCYCLE</v>
      </c>
      <c r="G1057" s="7" t="str">
        <f>IFERROR(__xludf.DUMMYFUNCTION("""COMPUTED_VALUE"""),"SAO PAULO")</f>
        <v>SAO PAULO</v>
      </c>
    </row>
    <row r="1058">
      <c r="A1058" s="6">
        <f>IFERROR(__xludf.DUMMYFUNCTION("""COMPUTED_VALUE"""),45705.0)</f>
        <v>45705</v>
      </c>
      <c r="B1058" s="7" t="str">
        <f>IFERROR(__xludf.DUMMYFUNCTION("""COMPUTED_VALUE"""),"b79d0b5e-aad8-4518-a3ee-804a88dcc9e0")</f>
        <v>b79d0b5e-aad8-4518-a3ee-804a88dcc9e0</v>
      </c>
      <c r="C1058" s="7">
        <f>IFERROR(__xludf.DUMMYFUNCTION("""COMPUTED_VALUE"""),0.0)</f>
        <v>0</v>
      </c>
      <c r="D1058" s="6">
        <f>IFERROR(__xludf.DUMMYFUNCTION("""COMPUTED_VALUE"""),45705.0)</f>
        <v>45705</v>
      </c>
      <c r="E1058" s="7" t="str">
        <f>IFERROR(__xludf.DUMMYFUNCTION("""COMPUTED_VALUE"""),"FRANQUIA_D&amp;G_SP")</f>
        <v>FRANQUIA_D&amp;G_SP</v>
      </c>
      <c r="F1058" s="7" t="str">
        <f>IFERROR(__xludf.DUMMYFUNCTION("""COMPUTED_VALUE"""),"MOTORCYCLE")</f>
        <v>MOTORCYCLE</v>
      </c>
      <c r="G1058" s="7" t="str">
        <f>IFERROR(__xludf.DUMMYFUNCTION("""COMPUTED_VALUE"""),"SAO PAULO")</f>
        <v>SAO PAULO</v>
      </c>
    </row>
    <row r="1059">
      <c r="A1059" s="6">
        <f>IFERROR(__xludf.DUMMYFUNCTION("""COMPUTED_VALUE"""),45705.0)</f>
        <v>45705</v>
      </c>
      <c r="B1059" s="7" t="str">
        <f>IFERROR(__xludf.DUMMYFUNCTION("""COMPUTED_VALUE"""),"b0262a51-fe6f-43c5-a6c5-b0023e21f4e3")</f>
        <v>b0262a51-fe6f-43c5-a6c5-b0023e21f4e3</v>
      </c>
      <c r="C1059" s="7">
        <f>IFERROR(__xludf.DUMMYFUNCTION("""COMPUTED_VALUE"""),0.0)</f>
        <v>0</v>
      </c>
      <c r="D1059" s="6">
        <f>IFERROR(__xludf.DUMMYFUNCTION("""COMPUTED_VALUE"""),45705.0)</f>
        <v>45705</v>
      </c>
      <c r="E1059" s="7" t="str">
        <f>IFERROR(__xludf.DUMMYFUNCTION("""COMPUTED_VALUE"""),"FRANQUIA_D&amp;G_SP")</f>
        <v>FRANQUIA_D&amp;G_SP</v>
      </c>
      <c r="F1059" s="7" t="str">
        <f>IFERROR(__xludf.DUMMYFUNCTION("""COMPUTED_VALUE"""),"MOTORCYCLE")</f>
        <v>MOTORCYCLE</v>
      </c>
      <c r="G1059" s="7" t="str">
        <f>IFERROR(__xludf.DUMMYFUNCTION("""COMPUTED_VALUE"""),"SAO PAULO")</f>
        <v>SAO PAULO</v>
      </c>
    </row>
    <row r="1060">
      <c r="A1060" s="6">
        <f>IFERROR(__xludf.DUMMYFUNCTION("""COMPUTED_VALUE"""),45705.0)</f>
        <v>45705</v>
      </c>
      <c r="B1060" s="7" t="str">
        <f>IFERROR(__xludf.DUMMYFUNCTION("""COMPUTED_VALUE"""),"df2b2df7-ba64-4787-80f4-d1fced2dc0bc")</f>
        <v>df2b2df7-ba64-4787-80f4-d1fced2dc0bc</v>
      </c>
      <c r="C1060" s="7">
        <f>IFERROR(__xludf.DUMMYFUNCTION("""COMPUTED_VALUE"""),66.0)</f>
        <v>66</v>
      </c>
      <c r="D1060" s="6">
        <f>IFERROR(__xludf.DUMMYFUNCTION("""COMPUTED_VALUE"""),45639.0)</f>
        <v>45639</v>
      </c>
      <c r="E1060" s="7" t="str">
        <f>IFERROR(__xludf.DUMMYFUNCTION("""COMPUTED_VALUE"""),"FRANQUIA_D&amp;G_SP")</f>
        <v>FRANQUIA_D&amp;G_SP</v>
      </c>
      <c r="F1060" s="7" t="str">
        <f>IFERROR(__xludf.DUMMYFUNCTION("""COMPUTED_VALUE"""),"BICYCLE")</f>
        <v>BICYCLE</v>
      </c>
      <c r="G1060" s="7" t="str">
        <f>IFERROR(__xludf.DUMMYFUNCTION("""COMPUTED_VALUE"""),"SAO PAULO")</f>
        <v>SAO PAULO</v>
      </c>
    </row>
    <row r="1061">
      <c r="A1061" s="6">
        <f>IFERROR(__xludf.DUMMYFUNCTION("""COMPUTED_VALUE"""),45705.0)</f>
        <v>45705</v>
      </c>
      <c r="B1061" s="7" t="str">
        <f>IFERROR(__xludf.DUMMYFUNCTION("""COMPUTED_VALUE"""),"bd9bd7f2-3110-4e23-a3c2-833171832520")</f>
        <v>bd9bd7f2-3110-4e23-a3c2-833171832520</v>
      </c>
      <c r="C1061" s="7">
        <f>IFERROR(__xludf.DUMMYFUNCTION("""COMPUTED_VALUE"""),54.0)</f>
        <v>54</v>
      </c>
      <c r="D1061" s="6">
        <f>IFERROR(__xludf.DUMMYFUNCTION("""COMPUTED_VALUE"""),45651.0)</f>
        <v>45651</v>
      </c>
      <c r="E1061" s="7" t="str">
        <f>IFERROR(__xludf.DUMMYFUNCTION("""COMPUTED_VALUE"""),"FRANQUIA_D&amp;G_SP")</f>
        <v>FRANQUIA_D&amp;G_SP</v>
      </c>
      <c r="F1061" s="7" t="str">
        <f>IFERROR(__xludf.DUMMYFUNCTION("""COMPUTED_VALUE"""),"BICYCLE")</f>
        <v>BICYCLE</v>
      </c>
      <c r="G1061" s="7" t="str">
        <f>IFERROR(__xludf.DUMMYFUNCTION("""COMPUTED_VALUE"""),"SAO PAULO")</f>
        <v>SAO PAULO</v>
      </c>
    </row>
    <row r="1062">
      <c r="A1062" s="6">
        <f>IFERROR(__xludf.DUMMYFUNCTION("""COMPUTED_VALUE"""),45705.0)</f>
        <v>45705</v>
      </c>
      <c r="B1062" s="7" t="str">
        <f>IFERROR(__xludf.DUMMYFUNCTION("""COMPUTED_VALUE"""),"7bdff7af-6724-4e3d-8d4f-47a41ad5ac1b")</f>
        <v>7bdff7af-6724-4e3d-8d4f-47a41ad5ac1b</v>
      </c>
      <c r="C1062" s="7">
        <f>IFERROR(__xludf.DUMMYFUNCTION("""COMPUTED_VALUE"""),0.0)</f>
        <v>0</v>
      </c>
      <c r="D1062" s="6">
        <f>IFERROR(__xludf.DUMMYFUNCTION("""COMPUTED_VALUE"""),45705.0)</f>
        <v>45705</v>
      </c>
      <c r="E1062" s="7" t="str">
        <f>IFERROR(__xludf.DUMMYFUNCTION("""COMPUTED_VALUE"""),"FRANQUIA_D&amp;G_SP")</f>
        <v>FRANQUIA_D&amp;G_SP</v>
      </c>
      <c r="F1062" s="7" t="str">
        <f>IFERROR(__xludf.DUMMYFUNCTION("""COMPUTED_VALUE"""),"MOTORCYCLE")</f>
        <v>MOTORCYCLE</v>
      </c>
      <c r="G1062" s="7" t="str">
        <f>IFERROR(__xludf.DUMMYFUNCTION("""COMPUTED_VALUE"""),"ABC")</f>
        <v>ABC</v>
      </c>
    </row>
    <row r="1063">
      <c r="A1063" s="6">
        <f>IFERROR(__xludf.DUMMYFUNCTION("""COMPUTED_VALUE"""),45705.0)</f>
        <v>45705</v>
      </c>
      <c r="B1063" s="7" t="str">
        <f>IFERROR(__xludf.DUMMYFUNCTION("""COMPUTED_VALUE"""),"07375eb7-839e-4b68-8b84-68dbffb296df")</f>
        <v>07375eb7-839e-4b68-8b84-68dbffb296df</v>
      </c>
      <c r="C1063" s="7">
        <f>IFERROR(__xludf.DUMMYFUNCTION("""COMPUTED_VALUE"""),0.0)</f>
        <v>0</v>
      </c>
      <c r="D1063" s="6">
        <f>IFERROR(__xludf.DUMMYFUNCTION("""COMPUTED_VALUE"""),45705.0)</f>
        <v>45705</v>
      </c>
      <c r="E1063" s="7" t="str">
        <f>IFERROR(__xludf.DUMMYFUNCTION("""COMPUTED_VALUE"""),"FRANQUIA_D&amp;G_SP")</f>
        <v>FRANQUIA_D&amp;G_SP</v>
      </c>
      <c r="F1063" s="7" t="str">
        <f>IFERROR(__xludf.DUMMYFUNCTION("""COMPUTED_VALUE"""),"MOTORCYCLE")</f>
        <v>MOTORCYCLE</v>
      </c>
      <c r="G1063" s="7" t="str">
        <f>IFERROR(__xludf.DUMMYFUNCTION("""COMPUTED_VALUE"""),"SAO PAULO")</f>
        <v>SAO PAULO</v>
      </c>
    </row>
    <row r="1064">
      <c r="A1064" s="6">
        <f>IFERROR(__xludf.DUMMYFUNCTION("""COMPUTED_VALUE"""),45705.0)</f>
        <v>45705</v>
      </c>
      <c r="B1064" s="7" t="str">
        <f>IFERROR(__xludf.DUMMYFUNCTION("""COMPUTED_VALUE"""),"0ed9e1bb-9488-48c1-9d84-a950d197ca6a")</f>
        <v>0ed9e1bb-9488-48c1-9d84-a950d197ca6a</v>
      </c>
      <c r="C1064" s="7">
        <f>IFERROR(__xludf.DUMMYFUNCTION("""COMPUTED_VALUE"""),7.0)</f>
        <v>7</v>
      </c>
      <c r="D1064" s="6">
        <f>IFERROR(__xludf.DUMMYFUNCTION("""COMPUTED_VALUE"""),45698.0)</f>
        <v>45698</v>
      </c>
      <c r="E1064" s="7" t="str">
        <f>IFERROR(__xludf.DUMMYFUNCTION("""COMPUTED_VALUE"""),"FRANQUIA_D&amp;G_SP")</f>
        <v>FRANQUIA_D&amp;G_SP</v>
      </c>
      <c r="F1064" s="7" t="str">
        <f>IFERROR(__xludf.DUMMYFUNCTION("""COMPUTED_VALUE"""),"MOTORCYCLE")</f>
        <v>MOTORCYCLE</v>
      </c>
      <c r="G1064" s="7" t="str">
        <f>IFERROR(__xludf.DUMMYFUNCTION("""COMPUTED_VALUE"""),"SAO PAULO")</f>
        <v>SAO PAULO</v>
      </c>
    </row>
    <row r="1065">
      <c r="A1065" s="6">
        <f>IFERROR(__xludf.DUMMYFUNCTION("""COMPUTED_VALUE"""),45705.0)</f>
        <v>45705</v>
      </c>
      <c r="B1065" s="7" t="str">
        <f>IFERROR(__xludf.DUMMYFUNCTION("""COMPUTED_VALUE"""),"ee218011-a713-4118-8bc9-629c5c1402c3")</f>
        <v>ee218011-a713-4118-8bc9-629c5c1402c3</v>
      </c>
      <c r="C1065" s="7">
        <f>IFERROR(__xludf.DUMMYFUNCTION("""COMPUTED_VALUE"""),508.0)</f>
        <v>508</v>
      </c>
      <c r="D1065" s="6">
        <f>IFERROR(__xludf.DUMMYFUNCTION("""COMPUTED_VALUE"""),45197.0)</f>
        <v>45197</v>
      </c>
      <c r="E1065" s="7" t="str">
        <f>IFERROR(__xludf.DUMMYFUNCTION("""COMPUTED_VALUE"""),"FRANQUIA_D&amp;G_SP")</f>
        <v>FRANQUIA_D&amp;G_SP</v>
      </c>
      <c r="F1065" s="7" t="str">
        <f>IFERROR(__xludf.DUMMYFUNCTION("""COMPUTED_VALUE"""),"MOTORCYCLE")</f>
        <v>MOTORCYCLE</v>
      </c>
      <c r="G1065" s="7" t="str">
        <f>IFERROR(__xludf.DUMMYFUNCTION("""COMPUTED_VALUE"""),"SAO PAULO")</f>
        <v>SAO PAULO</v>
      </c>
    </row>
    <row r="1066">
      <c r="A1066" s="6">
        <f>IFERROR(__xludf.DUMMYFUNCTION("""COMPUTED_VALUE"""),45705.0)</f>
        <v>45705</v>
      </c>
      <c r="B1066" s="7" t="str">
        <f>IFERROR(__xludf.DUMMYFUNCTION("""COMPUTED_VALUE"""),"1b972566-9e9e-424b-8b50-1bda344aaff4")</f>
        <v>1b972566-9e9e-424b-8b50-1bda344aaff4</v>
      </c>
      <c r="C1066" s="7">
        <f>IFERROR(__xludf.DUMMYFUNCTION("""COMPUTED_VALUE"""),2.0)</f>
        <v>2</v>
      </c>
      <c r="D1066" s="6">
        <f>IFERROR(__xludf.DUMMYFUNCTION("""COMPUTED_VALUE"""),45703.0)</f>
        <v>45703</v>
      </c>
      <c r="E1066" s="7" t="str">
        <f>IFERROR(__xludf.DUMMYFUNCTION("""COMPUTED_VALUE"""),"FRANQUIA_D&amp;G_SP")</f>
        <v>FRANQUIA_D&amp;G_SP</v>
      </c>
      <c r="F1066" s="7" t="str">
        <f>IFERROR(__xludf.DUMMYFUNCTION("""COMPUTED_VALUE"""),"MOTORCYCLE")</f>
        <v>MOTORCYCLE</v>
      </c>
      <c r="G1066" s="7" t="str">
        <f>IFERROR(__xludf.DUMMYFUNCTION("""COMPUTED_VALUE"""),"SAO PAULO")</f>
        <v>SAO PAULO</v>
      </c>
    </row>
    <row r="1067">
      <c r="A1067" s="6">
        <f>IFERROR(__xludf.DUMMYFUNCTION("""COMPUTED_VALUE"""),45705.0)</f>
        <v>45705</v>
      </c>
      <c r="B1067" s="7" t="str">
        <f>IFERROR(__xludf.DUMMYFUNCTION("""COMPUTED_VALUE"""),"f5377143-78fd-49f8-90fa-ce92e2c64e29")</f>
        <v>f5377143-78fd-49f8-90fa-ce92e2c64e29</v>
      </c>
      <c r="C1067" s="7">
        <f>IFERROR(__xludf.DUMMYFUNCTION("""COMPUTED_VALUE"""),2.0)</f>
        <v>2</v>
      </c>
      <c r="D1067" s="6">
        <f>IFERROR(__xludf.DUMMYFUNCTION("""COMPUTED_VALUE"""),45703.0)</f>
        <v>45703</v>
      </c>
      <c r="E1067" s="7" t="str">
        <f>IFERROR(__xludf.DUMMYFUNCTION("""COMPUTED_VALUE"""),"FRANQUIA_D&amp;G_SP")</f>
        <v>FRANQUIA_D&amp;G_SP</v>
      </c>
      <c r="F1067" s="7" t="str">
        <f>IFERROR(__xludf.DUMMYFUNCTION("""COMPUTED_VALUE"""),"MOTORCYCLE")</f>
        <v>MOTORCYCLE</v>
      </c>
      <c r="G1067" s="7" t="str">
        <f>IFERROR(__xludf.DUMMYFUNCTION("""COMPUTED_VALUE"""),"SAO PAULO")</f>
        <v>SAO PAULO</v>
      </c>
    </row>
    <row r="1068">
      <c r="A1068" s="6">
        <f>IFERROR(__xludf.DUMMYFUNCTION("""COMPUTED_VALUE"""),45705.0)</f>
        <v>45705</v>
      </c>
      <c r="B1068" s="7" t="str">
        <f>IFERROR(__xludf.DUMMYFUNCTION("""COMPUTED_VALUE"""),"b4965560-3302-4033-a3e1-96c575eed8fd")</f>
        <v>b4965560-3302-4033-a3e1-96c575eed8fd</v>
      </c>
      <c r="C1068" s="7">
        <f>IFERROR(__xludf.DUMMYFUNCTION("""COMPUTED_VALUE"""),2.0)</f>
        <v>2</v>
      </c>
      <c r="D1068" s="6">
        <f>IFERROR(__xludf.DUMMYFUNCTION("""COMPUTED_VALUE"""),45703.0)</f>
        <v>45703</v>
      </c>
      <c r="E1068" s="7" t="str">
        <f>IFERROR(__xludf.DUMMYFUNCTION("""COMPUTED_VALUE"""),"FRANQUIA_D&amp;G_SP")</f>
        <v>FRANQUIA_D&amp;G_SP</v>
      </c>
      <c r="F1068" s="7" t="str">
        <f>IFERROR(__xludf.DUMMYFUNCTION("""COMPUTED_VALUE"""),"MOTORCYCLE")</f>
        <v>MOTORCYCLE</v>
      </c>
      <c r="G1068" s="7" t="str">
        <f>IFERROR(__xludf.DUMMYFUNCTION("""COMPUTED_VALUE"""),"SAO PAULO")</f>
        <v>SAO PAULO</v>
      </c>
    </row>
    <row r="1069">
      <c r="A1069" s="6">
        <f>IFERROR(__xludf.DUMMYFUNCTION("""COMPUTED_VALUE"""),45705.0)</f>
        <v>45705</v>
      </c>
      <c r="B1069" s="7" t="str">
        <f>IFERROR(__xludf.DUMMYFUNCTION("""COMPUTED_VALUE"""),"6b07a24f-c371-43ad-862b-b89bebd9c5b5")</f>
        <v>6b07a24f-c371-43ad-862b-b89bebd9c5b5</v>
      </c>
      <c r="C1069" s="7">
        <f>IFERROR(__xludf.DUMMYFUNCTION("""COMPUTED_VALUE"""),2.0)</f>
        <v>2</v>
      </c>
      <c r="D1069" s="6">
        <f>IFERROR(__xludf.DUMMYFUNCTION("""COMPUTED_VALUE"""),45703.0)</f>
        <v>45703</v>
      </c>
      <c r="E1069" s="7" t="str">
        <f>IFERROR(__xludf.DUMMYFUNCTION("""COMPUTED_VALUE"""),"FRANQUIA_D&amp;G_SP")</f>
        <v>FRANQUIA_D&amp;G_SP</v>
      </c>
      <c r="F1069" s="7" t="str">
        <f>IFERROR(__xludf.DUMMYFUNCTION("""COMPUTED_VALUE"""),"BICYCLE")</f>
        <v>BICYCLE</v>
      </c>
      <c r="G1069" s="7" t="str">
        <f>IFERROR(__xludf.DUMMYFUNCTION("""COMPUTED_VALUE"""),"SAO PAULO")</f>
        <v>SAO PAULO</v>
      </c>
    </row>
    <row r="1070">
      <c r="A1070" s="6">
        <f>IFERROR(__xludf.DUMMYFUNCTION("""COMPUTED_VALUE"""),45705.0)</f>
        <v>45705</v>
      </c>
      <c r="B1070" s="7" t="str">
        <f>IFERROR(__xludf.DUMMYFUNCTION("""COMPUTED_VALUE"""),"8e0e81aa-8234-4c88-b06d-6d9062326b0c")</f>
        <v>8e0e81aa-8234-4c88-b06d-6d9062326b0c</v>
      </c>
      <c r="C1070" s="7">
        <f>IFERROR(__xludf.DUMMYFUNCTION("""COMPUTED_VALUE"""),5.0)</f>
        <v>5</v>
      </c>
      <c r="D1070" s="6">
        <f>IFERROR(__xludf.DUMMYFUNCTION("""COMPUTED_VALUE"""),45700.0)</f>
        <v>45700</v>
      </c>
      <c r="E1070" s="7" t="str">
        <f>IFERROR(__xludf.DUMMYFUNCTION("""COMPUTED_VALUE"""),"FRANQUIA_D&amp;G_SP")</f>
        <v>FRANQUIA_D&amp;G_SP</v>
      </c>
      <c r="F1070" s="7" t="str">
        <f>IFERROR(__xludf.DUMMYFUNCTION("""COMPUTED_VALUE"""),"MOTORCYCLE")</f>
        <v>MOTORCYCLE</v>
      </c>
      <c r="G1070" s="7" t="str">
        <f>IFERROR(__xludf.DUMMYFUNCTION("""COMPUTED_VALUE"""),"SAO PAULO")</f>
        <v>SAO PAULO</v>
      </c>
    </row>
    <row r="1071">
      <c r="A1071" s="6">
        <f>IFERROR(__xludf.DUMMYFUNCTION("""COMPUTED_VALUE"""),45705.0)</f>
        <v>45705</v>
      </c>
      <c r="B1071" s="7" t="str">
        <f>IFERROR(__xludf.DUMMYFUNCTION("""COMPUTED_VALUE"""),"7fc0abbb-4d7f-4556-8a27-43c1cc95b014")</f>
        <v>7fc0abbb-4d7f-4556-8a27-43c1cc95b014</v>
      </c>
      <c r="C1071" s="7">
        <f>IFERROR(__xludf.DUMMYFUNCTION("""COMPUTED_VALUE"""),1.0)</f>
        <v>1</v>
      </c>
      <c r="D1071" s="6">
        <f>IFERROR(__xludf.DUMMYFUNCTION("""COMPUTED_VALUE"""),45704.0)</f>
        <v>45704</v>
      </c>
      <c r="E1071" s="7" t="str">
        <f>IFERROR(__xludf.DUMMYFUNCTION("""COMPUTED_VALUE"""),"FRANQUIA_D&amp;G_SP")</f>
        <v>FRANQUIA_D&amp;G_SP</v>
      </c>
      <c r="F1071" s="7" t="str">
        <f>IFERROR(__xludf.DUMMYFUNCTION("""COMPUTED_VALUE"""),"MOTORCYCLE")</f>
        <v>MOTORCYCLE</v>
      </c>
      <c r="G1071" s="7" t="str">
        <f>IFERROR(__xludf.DUMMYFUNCTION("""COMPUTED_VALUE"""),"TABOAO DA SERRA")</f>
        <v>TABOAO DA SERRA</v>
      </c>
    </row>
    <row r="1072">
      <c r="A1072" s="6">
        <f>IFERROR(__xludf.DUMMYFUNCTION("""COMPUTED_VALUE"""),45705.0)</f>
        <v>45705</v>
      </c>
      <c r="B1072" s="7" t="str">
        <f>IFERROR(__xludf.DUMMYFUNCTION("""COMPUTED_VALUE"""),"00d9293e-2d40-4d8e-b0db-ebc5b7dcc4c1")</f>
        <v>00d9293e-2d40-4d8e-b0db-ebc5b7dcc4c1</v>
      </c>
      <c r="C1072" s="7">
        <f>IFERROR(__xludf.DUMMYFUNCTION("""COMPUTED_VALUE"""),57.0)</f>
        <v>57</v>
      </c>
      <c r="D1072" s="6">
        <f>IFERROR(__xludf.DUMMYFUNCTION("""COMPUTED_VALUE"""),45648.0)</f>
        <v>45648</v>
      </c>
      <c r="E1072" s="7" t="str">
        <f>IFERROR(__xludf.DUMMYFUNCTION("""COMPUTED_VALUE"""),"FRANQUIA_D&amp;G_SP")</f>
        <v>FRANQUIA_D&amp;G_SP</v>
      </c>
      <c r="F1072" s="7" t="str">
        <f>IFERROR(__xludf.DUMMYFUNCTION("""COMPUTED_VALUE"""),"BICYCLE")</f>
        <v>BICYCLE</v>
      </c>
      <c r="G1072" s="7" t="str">
        <f>IFERROR(__xludf.DUMMYFUNCTION("""COMPUTED_VALUE"""),"SAO PAULO")</f>
        <v>SAO PAULO</v>
      </c>
    </row>
    <row r="1073">
      <c r="A1073" s="6">
        <f>IFERROR(__xludf.DUMMYFUNCTION("""COMPUTED_VALUE"""),45705.0)</f>
        <v>45705</v>
      </c>
      <c r="B1073" s="7" t="str">
        <f>IFERROR(__xludf.DUMMYFUNCTION("""COMPUTED_VALUE"""),"8cf4343a-3819-41a1-871e-c92681a33983")</f>
        <v>8cf4343a-3819-41a1-871e-c92681a33983</v>
      </c>
      <c r="C1073" s="7">
        <f>IFERROR(__xludf.DUMMYFUNCTION("""COMPUTED_VALUE"""),0.0)</f>
        <v>0</v>
      </c>
      <c r="D1073" s="6">
        <f>IFERROR(__xludf.DUMMYFUNCTION("""COMPUTED_VALUE"""),45705.0)</f>
        <v>45705</v>
      </c>
      <c r="E1073" s="7" t="str">
        <f>IFERROR(__xludf.DUMMYFUNCTION("""COMPUTED_VALUE"""),"FRANQUIA_D&amp;G_SP")</f>
        <v>FRANQUIA_D&amp;G_SP</v>
      </c>
      <c r="F1073" s="7" t="str">
        <f>IFERROR(__xludf.DUMMYFUNCTION("""COMPUTED_VALUE"""),"MOTORCYCLE")</f>
        <v>MOTORCYCLE</v>
      </c>
      <c r="G1073" s="7" t="str">
        <f>IFERROR(__xludf.DUMMYFUNCTION("""COMPUTED_VALUE"""),"SAO PAULO")</f>
        <v>SAO PAULO</v>
      </c>
    </row>
    <row r="1074">
      <c r="A1074" s="6">
        <f>IFERROR(__xludf.DUMMYFUNCTION("""COMPUTED_VALUE"""),45705.0)</f>
        <v>45705</v>
      </c>
      <c r="B1074" s="7" t="str">
        <f>IFERROR(__xludf.DUMMYFUNCTION("""COMPUTED_VALUE"""),"41620010-5a08-4fb8-a9c2-55af3cbfdcb9")</f>
        <v>41620010-5a08-4fb8-a9c2-55af3cbfdcb9</v>
      </c>
      <c r="C1074" s="7">
        <f>IFERROR(__xludf.DUMMYFUNCTION("""COMPUTED_VALUE"""),0.0)</f>
        <v>0</v>
      </c>
      <c r="D1074" s="6">
        <f>IFERROR(__xludf.DUMMYFUNCTION("""COMPUTED_VALUE"""),45705.0)</f>
        <v>45705</v>
      </c>
      <c r="E1074" s="7" t="str">
        <f>IFERROR(__xludf.DUMMYFUNCTION("""COMPUTED_VALUE"""),"FRANQUIA_D&amp;G_SP")</f>
        <v>FRANQUIA_D&amp;G_SP</v>
      </c>
      <c r="F1074" s="7" t="str">
        <f>IFERROR(__xludf.DUMMYFUNCTION("""COMPUTED_VALUE"""),"MOTORCYCLE")</f>
        <v>MOTORCYCLE</v>
      </c>
      <c r="G1074" s="7" t="str">
        <f>IFERROR(__xludf.DUMMYFUNCTION("""COMPUTED_VALUE"""),"SAO PAULO")</f>
        <v>SAO PAULO</v>
      </c>
    </row>
    <row r="1075">
      <c r="A1075" s="6">
        <f>IFERROR(__xludf.DUMMYFUNCTION("""COMPUTED_VALUE"""),45705.0)</f>
        <v>45705</v>
      </c>
      <c r="B1075" s="7" t="str">
        <f>IFERROR(__xludf.DUMMYFUNCTION("""COMPUTED_VALUE"""),"5dc0cf09-85ab-4140-9e25-f0d1b00d8a9f")</f>
        <v>5dc0cf09-85ab-4140-9e25-f0d1b00d8a9f</v>
      </c>
      <c r="C1075" s="7">
        <f>IFERROR(__xludf.DUMMYFUNCTION("""COMPUTED_VALUE"""),465.0)</f>
        <v>465</v>
      </c>
      <c r="D1075" s="6">
        <f>IFERROR(__xludf.DUMMYFUNCTION("""COMPUTED_VALUE"""),45240.0)</f>
        <v>45240</v>
      </c>
      <c r="E1075" s="7" t="str">
        <f>IFERROR(__xludf.DUMMYFUNCTION("""COMPUTED_VALUE"""),"FRANQUIA_D&amp;G_SP")</f>
        <v>FRANQUIA_D&amp;G_SP</v>
      </c>
      <c r="F1075" s="7" t="str">
        <f>IFERROR(__xludf.DUMMYFUNCTION("""COMPUTED_VALUE"""),"BICYCLE")</f>
        <v>BICYCLE</v>
      </c>
      <c r="G1075" s="7" t="str">
        <f>IFERROR(__xludf.DUMMYFUNCTION("""COMPUTED_VALUE"""),"SAO PAULO")</f>
        <v>SAO PAULO</v>
      </c>
    </row>
    <row r="1076">
      <c r="A1076" s="6">
        <f>IFERROR(__xludf.DUMMYFUNCTION("""COMPUTED_VALUE"""),45705.0)</f>
        <v>45705</v>
      </c>
      <c r="B1076" s="7" t="str">
        <f>IFERROR(__xludf.DUMMYFUNCTION("""COMPUTED_VALUE"""),"2dad0be4-8a2e-4829-9dfa-bedf8d8c3089")</f>
        <v>2dad0be4-8a2e-4829-9dfa-bedf8d8c3089</v>
      </c>
      <c r="C1076" s="7">
        <f>IFERROR(__xludf.DUMMYFUNCTION("""COMPUTED_VALUE"""),0.0)</f>
        <v>0</v>
      </c>
      <c r="D1076" s="6">
        <f>IFERROR(__xludf.DUMMYFUNCTION("""COMPUTED_VALUE"""),45705.0)</f>
        <v>45705</v>
      </c>
      <c r="E1076" s="7" t="str">
        <f>IFERROR(__xludf.DUMMYFUNCTION("""COMPUTED_VALUE"""),"FRANQUIA_D&amp;G_SP")</f>
        <v>FRANQUIA_D&amp;G_SP</v>
      </c>
      <c r="F1076" s="7" t="str">
        <f>IFERROR(__xludf.DUMMYFUNCTION("""COMPUTED_VALUE"""),"MOTORCYCLE")</f>
        <v>MOTORCYCLE</v>
      </c>
      <c r="G1076" s="7" t="str">
        <f>IFERROR(__xludf.DUMMYFUNCTION("""COMPUTED_VALUE"""),"SAO PAULO")</f>
        <v>SAO PAULO</v>
      </c>
    </row>
    <row r="1077">
      <c r="A1077" s="6">
        <f>IFERROR(__xludf.DUMMYFUNCTION("""COMPUTED_VALUE"""),45705.0)</f>
        <v>45705</v>
      </c>
      <c r="B1077" s="7" t="str">
        <f>IFERROR(__xludf.DUMMYFUNCTION("""COMPUTED_VALUE"""),"37aaa3d4-fe5d-4dd0-b933-79f1a92665ec")</f>
        <v>37aaa3d4-fe5d-4dd0-b933-79f1a92665ec</v>
      </c>
      <c r="C1077" s="7">
        <f>IFERROR(__xludf.DUMMYFUNCTION("""COMPUTED_VALUE"""),220.0)</f>
        <v>220</v>
      </c>
      <c r="D1077" s="6">
        <f>IFERROR(__xludf.DUMMYFUNCTION("""COMPUTED_VALUE"""),45485.0)</f>
        <v>45485</v>
      </c>
      <c r="E1077" s="7" t="str">
        <f>IFERROR(__xludf.DUMMYFUNCTION("""COMPUTED_VALUE"""),"FRANQUIA_D&amp;G_SP")</f>
        <v>FRANQUIA_D&amp;G_SP</v>
      </c>
      <c r="F1077" s="7" t="str">
        <f>IFERROR(__xludf.DUMMYFUNCTION("""COMPUTED_VALUE"""),"MOTORCYCLE")</f>
        <v>MOTORCYCLE</v>
      </c>
      <c r="G1077" s="7" t="str">
        <f>IFERROR(__xludf.DUMMYFUNCTION("""COMPUTED_VALUE"""),"GUARULHOS")</f>
        <v>GUARULHOS</v>
      </c>
    </row>
    <row r="1078">
      <c r="A1078" s="6">
        <f>IFERROR(__xludf.DUMMYFUNCTION("""COMPUTED_VALUE"""),45705.0)</f>
        <v>45705</v>
      </c>
      <c r="B1078" s="7" t="str">
        <f>IFERROR(__xludf.DUMMYFUNCTION("""COMPUTED_VALUE"""),"37f51d70-b714-47ae-a183-3a672b385d00")</f>
        <v>37f51d70-b714-47ae-a183-3a672b385d00</v>
      </c>
      <c r="C1078" s="7">
        <f>IFERROR(__xludf.DUMMYFUNCTION("""COMPUTED_VALUE"""),4.0)</f>
        <v>4</v>
      </c>
      <c r="D1078" s="6">
        <f>IFERROR(__xludf.DUMMYFUNCTION("""COMPUTED_VALUE"""),45701.0)</f>
        <v>45701</v>
      </c>
      <c r="E1078" s="7" t="str">
        <f>IFERROR(__xludf.DUMMYFUNCTION("""COMPUTED_VALUE"""),"FRANQUIA_D&amp;G_SP")</f>
        <v>FRANQUIA_D&amp;G_SP</v>
      </c>
      <c r="F1078" s="7" t="str">
        <f>IFERROR(__xludf.DUMMYFUNCTION("""COMPUTED_VALUE"""),"MOTORCYCLE")</f>
        <v>MOTORCYCLE</v>
      </c>
      <c r="G1078" s="7" t="str">
        <f>IFERROR(__xludf.DUMMYFUNCTION("""COMPUTED_VALUE"""),"SAO PAULO")</f>
        <v>SAO PAULO</v>
      </c>
    </row>
    <row r="1079">
      <c r="A1079" s="6">
        <f>IFERROR(__xludf.DUMMYFUNCTION("""COMPUTED_VALUE"""),45705.0)</f>
        <v>45705</v>
      </c>
      <c r="B1079" s="7" t="str">
        <f>IFERROR(__xludf.DUMMYFUNCTION("""COMPUTED_VALUE"""),"84d734b0-6fba-483a-967c-1d6a48f5a83d")</f>
        <v>84d734b0-6fba-483a-967c-1d6a48f5a83d</v>
      </c>
      <c r="C1079" s="7">
        <f>IFERROR(__xludf.DUMMYFUNCTION("""COMPUTED_VALUE"""),0.0)</f>
        <v>0</v>
      </c>
      <c r="D1079" s="6">
        <f>IFERROR(__xludf.DUMMYFUNCTION("""COMPUTED_VALUE"""),45705.0)</f>
        <v>45705</v>
      </c>
      <c r="E1079" s="7" t="str">
        <f>IFERROR(__xludf.DUMMYFUNCTION("""COMPUTED_VALUE"""),"FRANQUIA_D&amp;G_SP")</f>
        <v>FRANQUIA_D&amp;G_SP</v>
      </c>
      <c r="F1079" s="7" t="str">
        <f>IFERROR(__xludf.DUMMYFUNCTION("""COMPUTED_VALUE"""),"MOTORCYCLE")</f>
        <v>MOTORCYCLE</v>
      </c>
      <c r="G1079" s="7" t="str">
        <f>IFERROR(__xludf.DUMMYFUNCTION("""COMPUTED_VALUE"""),"SAO PAULO")</f>
        <v>SAO PAULO</v>
      </c>
    </row>
    <row r="1080">
      <c r="A1080" s="6">
        <f>IFERROR(__xludf.DUMMYFUNCTION("""COMPUTED_VALUE"""),45705.0)</f>
        <v>45705</v>
      </c>
      <c r="B1080" s="7" t="str">
        <f>IFERROR(__xludf.DUMMYFUNCTION("""COMPUTED_VALUE"""),"6af9755c-4510-43fc-b2ed-c8113e5aac74")</f>
        <v>6af9755c-4510-43fc-b2ed-c8113e5aac74</v>
      </c>
      <c r="C1080" s="7">
        <f>IFERROR(__xludf.DUMMYFUNCTION("""COMPUTED_VALUE"""),0.0)</f>
        <v>0</v>
      </c>
      <c r="D1080" s="6">
        <f>IFERROR(__xludf.DUMMYFUNCTION("""COMPUTED_VALUE"""),45705.0)</f>
        <v>45705</v>
      </c>
      <c r="E1080" s="7" t="str">
        <f>IFERROR(__xludf.DUMMYFUNCTION("""COMPUTED_VALUE"""),"FRANQUIA_D&amp;G_SP")</f>
        <v>FRANQUIA_D&amp;G_SP</v>
      </c>
      <c r="F1080" s="7" t="str">
        <f>IFERROR(__xludf.DUMMYFUNCTION("""COMPUTED_VALUE"""),"BICYCLE")</f>
        <v>BICYCLE</v>
      </c>
      <c r="G1080" s="7" t="str">
        <f>IFERROR(__xludf.DUMMYFUNCTION("""COMPUTED_VALUE"""),"SAO PAULO")</f>
        <v>SAO PAULO</v>
      </c>
    </row>
    <row r="1081">
      <c r="A1081" s="6">
        <f>IFERROR(__xludf.DUMMYFUNCTION("""COMPUTED_VALUE"""),45705.0)</f>
        <v>45705</v>
      </c>
      <c r="B1081" s="7" t="str">
        <f>IFERROR(__xludf.DUMMYFUNCTION("""COMPUTED_VALUE"""),"53f6cf89-0d08-49d6-9bff-64ba397c98c5")</f>
        <v>53f6cf89-0d08-49d6-9bff-64ba397c98c5</v>
      </c>
      <c r="C1081" s="7">
        <f>IFERROR(__xludf.DUMMYFUNCTION("""COMPUTED_VALUE"""),1.0)</f>
        <v>1</v>
      </c>
      <c r="D1081" s="6">
        <f>IFERROR(__xludf.DUMMYFUNCTION("""COMPUTED_VALUE"""),45704.0)</f>
        <v>45704</v>
      </c>
      <c r="E1081" s="7" t="str">
        <f>IFERROR(__xludf.DUMMYFUNCTION("""COMPUTED_VALUE"""),"FRANQUIA_D&amp;G_SP")</f>
        <v>FRANQUIA_D&amp;G_SP</v>
      </c>
      <c r="F1081" s="7" t="str">
        <f>IFERROR(__xludf.DUMMYFUNCTION("""COMPUTED_VALUE"""),"MOTORCYCLE")</f>
        <v>MOTORCYCLE</v>
      </c>
      <c r="G1081" s="7" t="str">
        <f>IFERROR(__xludf.DUMMYFUNCTION("""COMPUTED_VALUE"""),"SAO PAULO")</f>
        <v>SAO PAULO</v>
      </c>
    </row>
    <row r="1082">
      <c r="A1082" s="6">
        <f>IFERROR(__xludf.DUMMYFUNCTION("""COMPUTED_VALUE"""),45705.0)</f>
        <v>45705</v>
      </c>
      <c r="B1082" s="7" t="str">
        <f>IFERROR(__xludf.DUMMYFUNCTION("""COMPUTED_VALUE"""),"51d85bd6-00d1-4716-b582-6230ae215948")</f>
        <v>51d85bd6-00d1-4716-b582-6230ae215948</v>
      </c>
      <c r="C1082" s="7">
        <f>IFERROR(__xludf.DUMMYFUNCTION("""COMPUTED_VALUE"""),0.0)</f>
        <v>0</v>
      </c>
      <c r="D1082" s="6">
        <f>IFERROR(__xludf.DUMMYFUNCTION("""COMPUTED_VALUE"""),45705.0)</f>
        <v>45705</v>
      </c>
      <c r="E1082" s="7" t="str">
        <f>IFERROR(__xludf.DUMMYFUNCTION("""COMPUTED_VALUE"""),"FRANQUIA_D&amp;G_SP")</f>
        <v>FRANQUIA_D&amp;G_SP</v>
      </c>
      <c r="F1082" s="7" t="str">
        <f>IFERROR(__xludf.DUMMYFUNCTION("""COMPUTED_VALUE"""),"BICYCLE")</f>
        <v>BICYCLE</v>
      </c>
      <c r="G1082" s="7" t="str">
        <f>IFERROR(__xludf.DUMMYFUNCTION("""COMPUTED_VALUE"""),"SAO PAULO")</f>
        <v>SAO PAULO</v>
      </c>
    </row>
    <row r="1083">
      <c r="A1083" s="6">
        <f>IFERROR(__xludf.DUMMYFUNCTION("""COMPUTED_VALUE"""),45705.0)</f>
        <v>45705</v>
      </c>
      <c r="B1083" s="7" t="str">
        <f>IFERROR(__xludf.DUMMYFUNCTION("""COMPUTED_VALUE"""),"cf30b940-f23a-4c4e-a462-4fc935f7b92a")</f>
        <v>cf30b940-f23a-4c4e-a462-4fc935f7b92a</v>
      </c>
      <c r="C1083" s="7">
        <f>IFERROR(__xludf.DUMMYFUNCTION("""COMPUTED_VALUE"""),51.0)</f>
        <v>51</v>
      </c>
      <c r="D1083" s="6">
        <f>IFERROR(__xludf.DUMMYFUNCTION("""COMPUTED_VALUE"""),45654.0)</f>
        <v>45654</v>
      </c>
      <c r="E1083" s="7" t="str">
        <f>IFERROR(__xludf.DUMMYFUNCTION("""COMPUTED_VALUE"""),"FRANQUIA_D&amp;G_SP")</f>
        <v>FRANQUIA_D&amp;G_SP</v>
      </c>
      <c r="F1083" s="7" t="str">
        <f>IFERROR(__xludf.DUMMYFUNCTION("""COMPUTED_VALUE"""),"MOTORCYCLE")</f>
        <v>MOTORCYCLE</v>
      </c>
      <c r="G1083" s="7" t="str">
        <f>IFERROR(__xludf.DUMMYFUNCTION("""COMPUTED_VALUE"""),"ABC")</f>
        <v>ABC</v>
      </c>
    </row>
    <row r="1084">
      <c r="A1084" s="6">
        <f>IFERROR(__xludf.DUMMYFUNCTION("""COMPUTED_VALUE"""),45705.0)</f>
        <v>45705</v>
      </c>
      <c r="B1084" s="7" t="str">
        <f>IFERROR(__xludf.DUMMYFUNCTION("""COMPUTED_VALUE"""),"821aaf24-12fb-475c-bf86-6b4fe41719fc")</f>
        <v>821aaf24-12fb-475c-bf86-6b4fe41719fc</v>
      </c>
      <c r="C1084" s="7">
        <f>IFERROR(__xludf.DUMMYFUNCTION("""COMPUTED_VALUE"""),40.0)</f>
        <v>40</v>
      </c>
      <c r="D1084" s="6">
        <f>IFERROR(__xludf.DUMMYFUNCTION("""COMPUTED_VALUE"""),45665.0)</f>
        <v>45665</v>
      </c>
      <c r="E1084" s="7" t="str">
        <f>IFERROR(__xludf.DUMMYFUNCTION("""COMPUTED_VALUE"""),"FRANQUIA_D&amp;G_SP")</f>
        <v>FRANQUIA_D&amp;G_SP</v>
      </c>
      <c r="F1084" s="7" t="str">
        <f>IFERROR(__xludf.DUMMYFUNCTION("""COMPUTED_VALUE"""),"BICYCLE")</f>
        <v>BICYCLE</v>
      </c>
      <c r="G1084" s="7" t="str">
        <f>IFERROR(__xludf.DUMMYFUNCTION("""COMPUTED_VALUE"""),"SAO PAULO")</f>
        <v>SAO PAULO</v>
      </c>
    </row>
    <row r="1085">
      <c r="A1085" s="6">
        <f>IFERROR(__xludf.DUMMYFUNCTION("""COMPUTED_VALUE"""),45705.0)</f>
        <v>45705</v>
      </c>
      <c r="B1085" s="7" t="str">
        <f>IFERROR(__xludf.DUMMYFUNCTION("""COMPUTED_VALUE"""),"755c4485-541a-41c7-894a-30015c41ab29")</f>
        <v>755c4485-541a-41c7-894a-30015c41ab29</v>
      </c>
      <c r="C1085" s="7">
        <f>IFERROR(__xludf.DUMMYFUNCTION("""COMPUTED_VALUE"""),43.0)</f>
        <v>43</v>
      </c>
      <c r="D1085" s="6">
        <f>IFERROR(__xludf.DUMMYFUNCTION("""COMPUTED_VALUE"""),45662.0)</f>
        <v>45662</v>
      </c>
      <c r="E1085" s="7" t="str">
        <f>IFERROR(__xludf.DUMMYFUNCTION("""COMPUTED_VALUE"""),"FRANQUIA_D&amp;G_SP")</f>
        <v>FRANQUIA_D&amp;G_SP</v>
      </c>
      <c r="F1085" s="7" t="str">
        <f>IFERROR(__xludf.DUMMYFUNCTION("""COMPUTED_VALUE"""),"MOTORCYCLE")</f>
        <v>MOTORCYCLE</v>
      </c>
      <c r="G1085" s="7" t="str">
        <f>IFERROR(__xludf.DUMMYFUNCTION("""COMPUTED_VALUE"""),"SAO PAULO")</f>
        <v>SAO PAULO</v>
      </c>
    </row>
    <row r="1086">
      <c r="A1086" s="6">
        <f>IFERROR(__xludf.DUMMYFUNCTION("""COMPUTED_VALUE"""),45705.0)</f>
        <v>45705</v>
      </c>
      <c r="B1086" s="7" t="str">
        <f>IFERROR(__xludf.DUMMYFUNCTION("""COMPUTED_VALUE"""),"720dd731-4455-462d-9117-a5ece31e4bc0")</f>
        <v>720dd731-4455-462d-9117-a5ece31e4bc0</v>
      </c>
      <c r="C1086" s="7">
        <f>IFERROR(__xludf.DUMMYFUNCTION("""COMPUTED_VALUE"""),172.0)</f>
        <v>172</v>
      </c>
      <c r="D1086" s="6">
        <f>IFERROR(__xludf.DUMMYFUNCTION("""COMPUTED_VALUE"""),45533.0)</f>
        <v>45533</v>
      </c>
      <c r="E1086" s="7" t="str">
        <f>IFERROR(__xludf.DUMMYFUNCTION("""COMPUTED_VALUE"""),"FRANQUIA_D&amp;G_SP")</f>
        <v>FRANQUIA_D&amp;G_SP</v>
      </c>
      <c r="F1086" s="7" t="str">
        <f>IFERROR(__xludf.DUMMYFUNCTION("""COMPUTED_VALUE"""),"MOTORCYCLE")</f>
        <v>MOTORCYCLE</v>
      </c>
      <c r="G1086" s="7" t="str">
        <f>IFERROR(__xludf.DUMMYFUNCTION("""COMPUTED_VALUE"""),"SAO PAULO")</f>
        <v>SAO PAULO</v>
      </c>
    </row>
    <row r="1087">
      <c r="A1087" s="6">
        <f>IFERROR(__xludf.DUMMYFUNCTION("""COMPUTED_VALUE"""),45705.0)</f>
        <v>45705</v>
      </c>
      <c r="B1087" s="7" t="str">
        <f>IFERROR(__xludf.DUMMYFUNCTION("""COMPUTED_VALUE"""),"bd36023c-4746-40f8-8e08-8bbf9ac09059")</f>
        <v>bd36023c-4746-40f8-8e08-8bbf9ac09059</v>
      </c>
      <c r="C1087" s="7">
        <f>IFERROR(__xludf.DUMMYFUNCTION("""COMPUTED_VALUE"""),25.0)</f>
        <v>25</v>
      </c>
      <c r="D1087" s="6">
        <f>IFERROR(__xludf.DUMMYFUNCTION("""COMPUTED_VALUE"""),45680.0)</f>
        <v>45680</v>
      </c>
      <c r="E1087" s="7" t="str">
        <f>IFERROR(__xludf.DUMMYFUNCTION("""COMPUTED_VALUE"""),"FRANQUIA_D&amp;G_SP")</f>
        <v>FRANQUIA_D&amp;G_SP</v>
      </c>
      <c r="F1087" s="7" t="str">
        <f>IFERROR(__xludf.DUMMYFUNCTION("""COMPUTED_VALUE"""),"MOTORCYCLE")</f>
        <v>MOTORCYCLE</v>
      </c>
      <c r="G1087" s="7" t="str">
        <f>IFERROR(__xludf.DUMMYFUNCTION("""COMPUTED_VALUE"""),"SAO PAULO")</f>
        <v>SAO PAULO</v>
      </c>
    </row>
    <row r="1088">
      <c r="A1088" s="6">
        <f>IFERROR(__xludf.DUMMYFUNCTION("""COMPUTED_VALUE"""),45705.0)</f>
        <v>45705</v>
      </c>
      <c r="B1088" s="7" t="str">
        <f>IFERROR(__xludf.DUMMYFUNCTION("""COMPUTED_VALUE"""),"755a04c7-0b71-4d91-8618-56d9ef758beb")</f>
        <v>755a04c7-0b71-4d91-8618-56d9ef758beb</v>
      </c>
      <c r="C1088" s="7">
        <f>IFERROR(__xludf.DUMMYFUNCTION("""COMPUTED_VALUE"""),0.0)</f>
        <v>0</v>
      </c>
      <c r="D1088" s="6">
        <f>IFERROR(__xludf.DUMMYFUNCTION("""COMPUTED_VALUE"""),45705.0)</f>
        <v>45705</v>
      </c>
      <c r="E1088" s="7" t="str">
        <f>IFERROR(__xludf.DUMMYFUNCTION("""COMPUTED_VALUE"""),"FRANQUIA_D&amp;G_SP")</f>
        <v>FRANQUIA_D&amp;G_SP</v>
      </c>
      <c r="F1088" s="7" t="str">
        <f>IFERROR(__xludf.DUMMYFUNCTION("""COMPUTED_VALUE"""),"MOTORCYCLE")</f>
        <v>MOTORCYCLE</v>
      </c>
      <c r="G1088" s="7" t="str">
        <f>IFERROR(__xludf.DUMMYFUNCTION("""COMPUTED_VALUE"""),"SUZANO")</f>
        <v>SUZANO</v>
      </c>
    </row>
    <row r="1089">
      <c r="A1089" s="6">
        <f>IFERROR(__xludf.DUMMYFUNCTION("""COMPUTED_VALUE"""),45705.0)</f>
        <v>45705</v>
      </c>
      <c r="B1089" s="7" t="str">
        <f>IFERROR(__xludf.DUMMYFUNCTION("""COMPUTED_VALUE"""),"91c776a8-969e-47a3-8c13-d5785bdb3ebf")</f>
        <v>91c776a8-969e-47a3-8c13-d5785bdb3ebf</v>
      </c>
      <c r="C1089" s="7">
        <f>IFERROR(__xludf.DUMMYFUNCTION("""COMPUTED_VALUE"""),0.0)</f>
        <v>0</v>
      </c>
      <c r="D1089" s="6">
        <f>IFERROR(__xludf.DUMMYFUNCTION("""COMPUTED_VALUE"""),45705.0)</f>
        <v>45705</v>
      </c>
      <c r="E1089" s="7" t="str">
        <f>IFERROR(__xludf.DUMMYFUNCTION("""COMPUTED_VALUE"""),"FRANQUIA_D&amp;G_SP")</f>
        <v>FRANQUIA_D&amp;G_SP</v>
      </c>
      <c r="F1089" s="7" t="str">
        <f>IFERROR(__xludf.DUMMYFUNCTION("""COMPUTED_VALUE"""),"MOTORCYCLE")</f>
        <v>MOTORCYCLE</v>
      </c>
      <c r="G1089" s="7" t="str">
        <f>IFERROR(__xludf.DUMMYFUNCTION("""COMPUTED_VALUE"""),"RESTAURANTE PARCEIRO")</f>
        <v>RESTAURANTE PARCEIRO</v>
      </c>
    </row>
    <row r="1090">
      <c r="A1090" s="6">
        <f>IFERROR(__xludf.DUMMYFUNCTION("""COMPUTED_VALUE"""),45705.0)</f>
        <v>45705</v>
      </c>
      <c r="B1090" s="7" t="str">
        <f>IFERROR(__xludf.DUMMYFUNCTION("""COMPUTED_VALUE"""),"451b013b-b3f8-41e1-80cb-662bd736fe96")</f>
        <v>451b013b-b3f8-41e1-80cb-662bd736fe96</v>
      </c>
      <c r="C1090" s="7">
        <f>IFERROR(__xludf.DUMMYFUNCTION("""COMPUTED_VALUE"""),1.0)</f>
        <v>1</v>
      </c>
      <c r="D1090" s="6">
        <f>IFERROR(__xludf.DUMMYFUNCTION("""COMPUTED_VALUE"""),45704.0)</f>
        <v>45704</v>
      </c>
      <c r="E1090" s="7" t="str">
        <f>IFERROR(__xludf.DUMMYFUNCTION("""COMPUTED_VALUE"""),"FRANQUIA_D&amp;G_SP")</f>
        <v>FRANQUIA_D&amp;G_SP</v>
      </c>
      <c r="F1090" s="7" t="str">
        <f>IFERROR(__xludf.DUMMYFUNCTION("""COMPUTED_VALUE"""),"MOTORCYCLE")</f>
        <v>MOTORCYCLE</v>
      </c>
      <c r="G1090" s="7" t="str">
        <f>IFERROR(__xludf.DUMMYFUNCTION("""COMPUTED_VALUE"""),"SAO PAULO")</f>
        <v>SAO PAULO</v>
      </c>
    </row>
    <row r="1091">
      <c r="A1091" s="6">
        <f>IFERROR(__xludf.DUMMYFUNCTION("""COMPUTED_VALUE"""),45705.0)</f>
        <v>45705</v>
      </c>
      <c r="B1091" s="7" t="str">
        <f>IFERROR(__xludf.DUMMYFUNCTION("""COMPUTED_VALUE"""),"f19a808b-7255-41d4-aa77-d0baad1d1ca4")</f>
        <v>f19a808b-7255-41d4-aa77-d0baad1d1ca4</v>
      </c>
      <c r="C1091" s="7">
        <f>IFERROR(__xludf.DUMMYFUNCTION("""COMPUTED_VALUE"""),0.0)</f>
        <v>0</v>
      </c>
      <c r="D1091" s="6">
        <f>IFERROR(__xludf.DUMMYFUNCTION("""COMPUTED_VALUE"""),45705.0)</f>
        <v>45705</v>
      </c>
      <c r="E1091" s="7" t="str">
        <f>IFERROR(__xludf.DUMMYFUNCTION("""COMPUTED_VALUE"""),"FRANQUIA_D&amp;G_SP")</f>
        <v>FRANQUIA_D&amp;G_SP</v>
      </c>
      <c r="F1091" s="7" t="str">
        <f>IFERROR(__xludf.DUMMYFUNCTION("""COMPUTED_VALUE"""),"MOTORCYCLE")</f>
        <v>MOTORCYCLE</v>
      </c>
      <c r="G1091" s="7" t="str">
        <f>IFERROR(__xludf.DUMMYFUNCTION("""COMPUTED_VALUE"""),"SAO PAULO")</f>
        <v>SAO PAULO</v>
      </c>
    </row>
    <row r="1092">
      <c r="A1092" s="6">
        <f>IFERROR(__xludf.DUMMYFUNCTION("""COMPUTED_VALUE"""),45705.0)</f>
        <v>45705</v>
      </c>
      <c r="B1092" s="7" t="str">
        <f>IFERROR(__xludf.DUMMYFUNCTION("""COMPUTED_VALUE"""),"5ae13bb6-ef26-4ede-bf2f-0d9c89f23cbd")</f>
        <v>5ae13bb6-ef26-4ede-bf2f-0d9c89f23cbd</v>
      </c>
      <c r="C1092" s="7">
        <f>IFERROR(__xludf.DUMMYFUNCTION("""COMPUTED_VALUE"""),3.0)</f>
        <v>3</v>
      </c>
      <c r="D1092" s="6">
        <f>IFERROR(__xludf.DUMMYFUNCTION("""COMPUTED_VALUE"""),45702.0)</f>
        <v>45702</v>
      </c>
      <c r="E1092" s="7" t="str">
        <f>IFERROR(__xludf.DUMMYFUNCTION("""COMPUTED_VALUE"""),"FRANQUIA_D&amp;G_SP")</f>
        <v>FRANQUIA_D&amp;G_SP</v>
      </c>
      <c r="F1092" s="7" t="str">
        <f>IFERROR(__xludf.DUMMYFUNCTION("""COMPUTED_VALUE"""),"BICYCLE")</f>
        <v>BICYCLE</v>
      </c>
      <c r="G1092" s="7" t="str">
        <f>IFERROR(__xludf.DUMMYFUNCTION("""COMPUTED_VALUE"""),"SAO PAULO")</f>
        <v>SAO PAULO</v>
      </c>
    </row>
    <row r="1093">
      <c r="A1093" s="6">
        <f>IFERROR(__xludf.DUMMYFUNCTION("""COMPUTED_VALUE"""),45705.0)</f>
        <v>45705</v>
      </c>
      <c r="B1093" s="7" t="str">
        <f>IFERROR(__xludf.DUMMYFUNCTION("""COMPUTED_VALUE"""),"89106512-ea05-4a71-8e42-1d59678d9baa")</f>
        <v>89106512-ea05-4a71-8e42-1d59678d9baa</v>
      </c>
      <c r="C1093" s="7">
        <f>IFERROR(__xludf.DUMMYFUNCTION("""COMPUTED_VALUE"""),17.0)</f>
        <v>17</v>
      </c>
      <c r="D1093" s="6">
        <f>IFERROR(__xludf.DUMMYFUNCTION("""COMPUTED_VALUE"""),45688.0)</f>
        <v>45688</v>
      </c>
      <c r="E1093" s="7" t="str">
        <f>IFERROR(__xludf.DUMMYFUNCTION("""COMPUTED_VALUE"""),"FRANQUIA_D&amp;G_SP")</f>
        <v>FRANQUIA_D&amp;G_SP</v>
      </c>
      <c r="F1093" s="7" t="str">
        <f>IFERROR(__xludf.DUMMYFUNCTION("""COMPUTED_VALUE"""),"MOTORCYCLE")</f>
        <v>MOTORCYCLE</v>
      </c>
      <c r="G1093" s="7" t="str">
        <f>IFERROR(__xludf.DUMMYFUNCTION("""COMPUTED_VALUE"""),"SAO PAULO")</f>
        <v>SAO PAULO</v>
      </c>
    </row>
    <row r="1094">
      <c r="A1094" s="6">
        <f>IFERROR(__xludf.DUMMYFUNCTION("""COMPUTED_VALUE"""),45705.0)</f>
        <v>45705</v>
      </c>
      <c r="B1094" s="7" t="str">
        <f>IFERROR(__xludf.DUMMYFUNCTION("""COMPUTED_VALUE"""),"ed5a34ea-5b54-4168-8f8c-c04f5dca50f9")</f>
        <v>ed5a34ea-5b54-4168-8f8c-c04f5dca50f9</v>
      </c>
      <c r="C1094" s="7">
        <f>IFERROR(__xludf.DUMMYFUNCTION("""COMPUTED_VALUE"""),0.0)</f>
        <v>0</v>
      </c>
      <c r="D1094" s="6">
        <f>IFERROR(__xludf.DUMMYFUNCTION("""COMPUTED_VALUE"""),0.0)</f>
        <v>0</v>
      </c>
      <c r="E1094" s="7" t="str">
        <f>IFERROR(__xludf.DUMMYFUNCTION("""COMPUTED_VALUE"""),"FRANQUIA_D&amp;G_SP")</f>
        <v>FRANQUIA_D&amp;G_SP</v>
      </c>
      <c r="F1094" s="7" t="str">
        <f>IFERROR(__xludf.DUMMYFUNCTION("""COMPUTED_VALUE"""),"BICYCLE")</f>
        <v>BICYCLE</v>
      </c>
      <c r="G1094" s="7" t="str">
        <f>IFERROR(__xludf.DUMMYFUNCTION("""COMPUTED_VALUE"""),"0")</f>
        <v>0</v>
      </c>
    </row>
    <row r="1095">
      <c r="A1095" s="6">
        <f>IFERROR(__xludf.DUMMYFUNCTION("""COMPUTED_VALUE"""),45705.0)</f>
        <v>45705</v>
      </c>
      <c r="B1095" s="7" t="str">
        <f>IFERROR(__xludf.DUMMYFUNCTION("""COMPUTED_VALUE"""),"15258ba2-831e-43eb-8119-90a23cfed4ae")</f>
        <v>15258ba2-831e-43eb-8119-90a23cfed4ae</v>
      </c>
      <c r="C1095" s="7">
        <f>IFERROR(__xludf.DUMMYFUNCTION("""COMPUTED_VALUE"""),0.0)</f>
        <v>0</v>
      </c>
      <c r="D1095" s="6">
        <f>IFERROR(__xludf.DUMMYFUNCTION("""COMPUTED_VALUE"""),45705.0)</f>
        <v>45705</v>
      </c>
      <c r="E1095" s="7" t="str">
        <f>IFERROR(__xludf.DUMMYFUNCTION("""COMPUTED_VALUE"""),"FRANQUIA_D&amp;G_SP")</f>
        <v>FRANQUIA_D&amp;G_SP</v>
      </c>
      <c r="F1095" s="7" t="str">
        <f>IFERROR(__xludf.DUMMYFUNCTION("""COMPUTED_VALUE"""),"EMOTORCYCLE")</f>
        <v>EMOTORCYCLE</v>
      </c>
      <c r="G1095" s="7" t="str">
        <f>IFERROR(__xludf.DUMMYFUNCTION("""COMPUTED_VALUE"""),"SAO PAULO")</f>
        <v>SAO PAULO</v>
      </c>
    </row>
    <row r="1096">
      <c r="A1096" s="6">
        <f>IFERROR(__xludf.DUMMYFUNCTION("""COMPUTED_VALUE"""),45705.0)</f>
        <v>45705</v>
      </c>
      <c r="B1096" s="7" t="str">
        <f>IFERROR(__xludf.DUMMYFUNCTION("""COMPUTED_VALUE"""),"7ce419ad-1499-4063-8331-b03c23eac5de")</f>
        <v>7ce419ad-1499-4063-8331-b03c23eac5de</v>
      </c>
      <c r="C1096" s="7">
        <f>IFERROR(__xludf.DUMMYFUNCTION("""COMPUTED_VALUE"""),0.0)</f>
        <v>0</v>
      </c>
      <c r="D1096" s="6">
        <f>IFERROR(__xludf.DUMMYFUNCTION("""COMPUTED_VALUE"""),45705.0)</f>
        <v>45705</v>
      </c>
      <c r="E1096" s="7" t="str">
        <f>IFERROR(__xludf.DUMMYFUNCTION("""COMPUTED_VALUE"""),"FRANQUIA_D&amp;G_SP")</f>
        <v>FRANQUIA_D&amp;G_SP</v>
      </c>
      <c r="F1096" s="7" t="str">
        <f>IFERROR(__xludf.DUMMYFUNCTION("""COMPUTED_VALUE"""),"MOTORCYCLE")</f>
        <v>MOTORCYCLE</v>
      </c>
      <c r="G1096" s="7" t="str">
        <f>IFERROR(__xludf.DUMMYFUNCTION("""COMPUTED_VALUE"""),"SAO PAULO")</f>
        <v>SAO PAULO</v>
      </c>
    </row>
    <row r="1097">
      <c r="A1097" s="6">
        <f>IFERROR(__xludf.DUMMYFUNCTION("""COMPUTED_VALUE"""),45705.0)</f>
        <v>45705</v>
      </c>
      <c r="B1097" s="7" t="str">
        <f>IFERROR(__xludf.DUMMYFUNCTION("""COMPUTED_VALUE"""),"42e7b75d-fb97-4958-91a9-57d10209f14d")</f>
        <v>42e7b75d-fb97-4958-91a9-57d10209f14d</v>
      </c>
      <c r="C1097" s="7">
        <f>IFERROR(__xludf.DUMMYFUNCTION("""COMPUTED_VALUE"""),0.0)</f>
        <v>0</v>
      </c>
      <c r="D1097" s="6">
        <f>IFERROR(__xludf.DUMMYFUNCTION("""COMPUTED_VALUE"""),45705.0)</f>
        <v>45705</v>
      </c>
      <c r="E1097" s="7" t="str">
        <f>IFERROR(__xludf.DUMMYFUNCTION("""COMPUTED_VALUE"""),"FRANQUIA_D&amp;G_SP")</f>
        <v>FRANQUIA_D&amp;G_SP</v>
      </c>
      <c r="F1097" s="7" t="str">
        <f>IFERROR(__xludf.DUMMYFUNCTION("""COMPUTED_VALUE"""),"MOTORCYCLE")</f>
        <v>MOTORCYCLE</v>
      </c>
      <c r="G1097" s="7" t="str">
        <f>IFERROR(__xludf.DUMMYFUNCTION("""COMPUTED_VALUE"""),"SAO PAULO")</f>
        <v>SAO PAULO</v>
      </c>
    </row>
    <row r="1098">
      <c r="A1098" s="6">
        <f>IFERROR(__xludf.DUMMYFUNCTION("""COMPUTED_VALUE"""),45705.0)</f>
        <v>45705</v>
      </c>
      <c r="B1098" s="7" t="str">
        <f>IFERROR(__xludf.DUMMYFUNCTION("""COMPUTED_VALUE"""),"34db9891-2222-4f79-b0db-6b63c530069c")</f>
        <v>34db9891-2222-4f79-b0db-6b63c530069c</v>
      </c>
      <c r="C1098" s="7">
        <f>IFERROR(__xludf.DUMMYFUNCTION("""COMPUTED_VALUE"""),100.0)</f>
        <v>100</v>
      </c>
      <c r="D1098" s="6">
        <f>IFERROR(__xludf.DUMMYFUNCTION("""COMPUTED_VALUE"""),45605.0)</f>
        <v>45605</v>
      </c>
      <c r="E1098" s="7" t="str">
        <f>IFERROR(__xludf.DUMMYFUNCTION("""COMPUTED_VALUE"""),"FRANQUIA_D&amp;G_SP")</f>
        <v>FRANQUIA_D&amp;G_SP</v>
      </c>
      <c r="F1098" s="7" t="str">
        <f>IFERROR(__xludf.DUMMYFUNCTION("""COMPUTED_VALUE"""),"BIKE")</f>
        <v>BIKE</v>
      </c>
      <c r="G1098" s="7" t="str">
        <f>IFERROR(__xludf.DUMMYFUNCTION("""COMPUTED_VALUE"""),"SAO PAULO")</f>
        <v>SAO PAULO</v>
      </c>
    </row>
    <row r="1099">
      <c r="A1099" s="6">
        <f>IFERROR(__xludf.DUMMYFUNCTION("""COMPUTED_VALUE"""),45705.0)</f>
        <v>45705</v>
      </c>
      <c r="B1099" s="7" t="str">
        <f>IFERROR(__xludf.DUMMYFUNCTION("""COMPUTED_VALUE"""),"402e0886-117b-40d4-a8e8-34baf04832df")</f>
        <v>402e0886-117b-40d4-a8e8-34baf04832df</v>
      </c>
      <c r="C1099" s="7">
        <f>IFERROR(__xludf.DUMMYFUNCTION("""COMPUTED_VALUE"""),1.0)</f>
        <v>1</v>
      </c>
      <c r="D1099" s="6">
        <f>IFERROR(__xludf.DUMMYFUNCTION("""COMPUTED_VALUE"""),45704.0)</f>
        <v>45704</v>
      </c>
      <c r="E1099" s="7" t="str">
        <f>IFERROR(__xludf.DUMMYFUNCTION("""COMPUTED_VALUE"""),"FRANQUIA_D&amp;G_SP")</f>
        <v>FRANQUIA_D&amp;G_SP</v>
      </c>
      <c r="F1099" s="7" t="str">
        <f>IFERROR(__xludf.DUMMYFUNCTION("""COMPUTED_VALUE"""),"MOTORCYCLE")</f>
        <v>MOTORCYCLE</v>
      </c>
      <c r="G1099" s="7" t="str">
        <f>IFERROR(__xludf.DUMMYFUNCTION("""COMPUTED_VALUE"""),"SAO PAULO")</f>
        <v>SAO PAULO</v>
      </c>
    </row>
    <row r="1100">
      <c r="A1100" s="6">
        <f>IFERROR(__xludf.DUMMYFUNCTION("""COMPUTED_VALUE"""),45705.0)</f>
        <v>45705</v>
      </c>
      <c r="B1100" s="7" t="str">
        <f>IFERROR(__xludf.DUMMYFUNCTION("""COMPUTED_VALUE"""),"c6e6941b-ff59-449a-b63d-850538cd49a9")</f>
        <v>c6e6941b-ff59-449a-b63d-850538cd49a9</v>
      </c>
      <c r="C1100" s="7">
        <f>IFERROR(__xludf.DUMMYFUNCTION("""COMPUTED_VALUE"""),25.0)</f>
        <v>25</v>
      </c>
      <c r="D1100" s="6">
        <f>IFERROR(__xludf.DUMMYFUNCTION("""COMPUTED_VALUE"""),45680.0)</f>
        <v>45680</v>
      </c>
      <c r="E1100" s="7" t="str">
        <f>IFERROR(__xludf.DUMMYFUNCTION("""COMPUTED_VALUE"""),"FRANQUIA_D&amp;G_SP")</f>
        <v>FRANQUIA_D&amp;G_SP</v>
      </c>
      <c r="F1100" s="7" t="str">
        <f>IFERROR(__xludf.DUMMYFUNCTION("""COMPUTED_VALUE"""),"BICYCLE - GRCS")</f>
        <v>BICYCLE - GRCS</v>
      </c>
      <c r="G1100" s="7" t="str">
        <f>IFERROR(__xludf.DUMMYFUNCTION("""COMPUTED_VALUE"""),"SAO PAULO")</f>
        <v>SAO PAULO</v>
      </c>
    </row>
    <row r="1101">
      <c r="A1101" s="6">
        <f>IFERROR(__xludf.DUMMYFUNCTION("""COMPUTED_VALUE"""),45705.0)</f>
        <v>45705</v>
      </c>
      <c r="B1101" s="7" t="str">
        <f>IFERROR(__xludf.DUMMYFUNCTION("""COMPUTED_VALUE"""),"78676ad4-ba78-4ba4-aca9-dff670d3e913")</f>
        <v>78676ad4-ba78-4ba4-aca9-dff670d3e913</v>
      </c>
      <c r="C1101" s="7">
        <f>IFERROR(__xludf.DUMMYFUNCTION("""COMPUTED_VALUE"""),69.0)</f>
        <v>69</v>
      </c>
      <c r="D1101" s="6">
        <f>IFERROR(__xludf.DUMMYFUNCTION("""COMPUTED_VALUE"""),45636.0)</f>
        <v>45636</v>
      </c>
      <c r="E1101" s="7" t="str">
        <f>IFERROR(__xludf.DUMMYFUNCTION("""COMPUTED_VALUE"""),"FRANQUIA_D&amp;G_SP")</f>
        <v>FRANQUIA_D&amp;G_SP</v>
      </c>
      <c r="F1101" s="7" t="str">
        <f>IFERROR(__xludf.DUMMYFUNCTION("""COMPUTED_VALUE"""),"BICYCLE")</f>
        <v>BICYCLE</v>
      </c>
      <c r="G1101" s="7" t="str">
        <f>IFERROR(__xludf.DUMMYFUNCTION("""COMPUTED_VALUE"""),"SAO PAULO")</f>
        <v>SAO PAULO</v>
      </c>
    </row>
    <row r="1102">
      <c r="A1102" s="6">
        <f>IFERROR(__xludf.DUMMYFUNCTION("""COMPUTED_VALUE"""),45705.0)</f>
        <v>45705</v>
      </c>
      <c r="B1102" s="7" t="str">
        <f>IFERROR(__xludf.DUMMYFUNCTION("""COMPUTED_VALUE"""),"41701f5e-ee99-4097-9423-ece888a7d54b")</f>
        <v>41701f5e-ee99-4097-9423-ece888a7d54b</v>
      </c>
      <c r="C1102" s="7">
        <f>IFERROR(__xludf.DUMMYFUNCTION("""COMPUTED_VALUE"""),0.0)</f>
        <v>0</v>
      </c>
      <c r="D1102" s="6">
        <f>IFERROR(__xludf.DUMMYFUNCTION("""COMPUTED_VALUE"""),0.0)</f>
        <v>0</v>
      </c>
      <c r="E1102" s="7" t="str">
        <f>IFERROR(__xludf.DUMMYFUNCTION("""COMPUTED_VALUE"""),"FRANQUIA_D&amp;G_SP")</f>
        <v>FRANQUIA_D&amp;G_SP</v>
      </c>
      <c r="F1102" s="7" t="str">
        <f>IFERROR(__xludf.DUMMYFUNCTION("""COMPUTED_VALUE"""),"BICYCLE")</f>
        <v>BICYCLE</v>
      </c>
      <c r="G1102" s="7" t="str">
        <f>IFERROR(__xludf.DUMMYFUNCTION("""COMPUTED_VALUE"""),"0")</f>
        <v>0</v>
      </c>
    </row>
    <row r="1103">
      <c r="A1103" s="6">
        <f>IFERROR(__xludf.DUMMYFUNCTION("""COMPUTED_VALUE"""),45705.0)</f>
        <v>45705</v>
      </c>
      <c r="B1103" s="7" t="str">
        <f>IFERROR(__xludf.DUMMYFUNCTION("""COMPUTED_VALUE"""),"9c455c6f-8166-4cb1-8d00-0b0f129353a9")</f>
        <v>9c455c6f-8166-4cb1-8d00-0b0f129353a9</v>
      </c>
      <c r="C1103" s="7">
        <f>IFERROR(__xludf.DUMMYFUNCTION("""COMPUTED_VALUE"""),0.0)</f>
        <v>0</v>
      </c>
      <c r="D1103" s="6">
        <f>IFERROR(__xludf.DUMMYFUNCTION("""COMPUTED_VALUE"""),45705.0)</f>
        <v>45705</v>
      </c>
      <c r="E1103" s="7" t="str">
        <f>IFERROR(__xludf.DUMMYFUNCTION("""COMPUTED_VALUE"""),"FRANQUIA_D&amp;G_SP")</f>
        <v>FRANQUIA_D&amp;G_SP</v>
      </c>
      <c r="F1103" s="7" t="str">
        <f>IFERROR(__xludf.DUMMYFUNCTION("""COMPUTED_VALUE"""),"MOTORCYCLE")</f>
        <v>MOTORCYCLE</v>
      </c>
      <c r="G1103" s="7" t="str">
        <f>IFERROR(__xludf.DUMMYFUNCTION("""COMPUTED_VALUE"""),"SAO PAULO")</f>
        <v>SAO PAULO</v>
      </c>
    </row>
    <row r="1104">
      <c r="A1104" s="6">
        <f>IFERROR(__xludf.DUMMYFUNCTION("""COMPUTED_VALUE"""),45705.0)</f>
        <v>45705</v>
      </c>
      <c r="B1104" s="7" t="str">
        <f>IFERROR(__xludf.DUMMYFUNCTION("""COMPUTED_VALUE"""),"e2801532-9015-477a-8872-17bd3293fff8")</f>
        <v>e2801532-9015-477a-8872-17bd3293fff8</v>
      </c>
      <c r="C1104" s="7">
        <f>IFERROR(__xludf.DUMMYFUNCTION("""COMPUTED_VALUE"""),0.0)</f>
        <v>0</v>
      </c>
      <c r="D1104" s="6">
        <f>IFERROR(__xludf.DUMMYFUNCTION("""COMPUTED_VALUE"""),45705.0)</f>
        <v>45705</v>
      </c>
      <c r="E1104" s="7" t="str">
        <f>IFERROR(__xludf.DUMMYFUNCTION("""COMPUTED_VALUE"""),"FRANQUIA_D&amp;G_SP")</f>
        <v>FRANQUIA_D&amp;G_SP</v>
      </c>
      <c r="F1104" s="7" t="str">
        <f>IFERROR(__xludf.DUMMYFUNCTION("""COMPUTED_VALUE"""),"BICYCLE")</f>
        <v>BICYCLE</v>
      </c>
      <c r="G1104" s="7" t="str">
        <f>IFERROR(__xludf.DUMMYFUNCTION("""COMPUTED_VALUE"""),"SAO PAULO")</f>
        <v>SAO PAULO</v>
      </c>
    </row>
    <row r="1105">
      <c r="A1105" s="6">
        <f>IFERROR(__xludf.DUMMYFUNCTION("""COMPUTED_VALUE"""),45705.0)</f>
        <v>45705</v>
      </c>
      <c r="B1105" s="7" t="str">
        <f>IFERROR(__xludf.DUMMYFUNCTION("""COMPUTED_VALUE"""),"4bafc8db-7c68-4bbc-b1ef-8952f3942c0b")</f>
        <v>4bafc8db-7c68-4bbc-b1ef-8952f3942c0b</v>
      </c>
      <c r="C1105" s="7">
        <f>IFERROR(__xludf.DUMMYFUNCTION("""COMPUTED_VALUE"""),2.0)</f>
        <v>2</v>
      </c>
      <c r="D1105" s="6">
        <f>IFERROR(__xludf.DUMMYFUNCTION("""COMPUTED_VALUE"""),45703.0)</f>
        <v>45703</v>
      </c>
      <c r="E1105" s="7" t="str">
        <f>IFERROR(__xludf.DUMMYFUNCTION("""COMPUTED_VALUE"""),"FRANQUIA_D&amp;G_SP")</f>
        <v>FRANQUIA_D&amp;G_SP</v>
      </c>
      <c r="F1105" s="7" t="str">
        <f>IFERROR(__xludf.DUMMYFUNCTION("""COMPUTED_VALUE"""),"EBIKE")</f>
        <v>EBIKE</v>
      </c>
      <c r="G1105" s="7" t="str">
        <f>IFERROR(__xludf.DUMMYFUNCTION("""COMPUTED_VALUE"""),"SAO PAULO")</f>
        <v>SAO PAULO</v>
      </c>
    </row>
    <row r="1106">
      <c r="A1106" s="6">
        <f>IFERROR(__xludf.DUMMYFUNCTION("""COMPUTED_VALUE"""),45705.0)</f>
        <v>45705</v>
      </c>
      <c r="B1106" s="7" t="str">
        <f>IFERROR(__xludf.DUMMYFUNCTION("""COMPUTED_VALUE"""),"5b290705-63d0-4d54-aa0a-30f679b88b7b")</f>
        <v>5b290705-63d0-4d54-aa0a-30f679b88b7b</v>
      </c>
      <c r="C1106" s="7">
        <f>IFERROR(__xludf.DUMMYFUNCTION("""COMPUTED_VALUE"""),82.0)</f>
        <v>82</v>
      </c>
      <c r="D1106" s="6">
        <f>IFERROR(__xludf.DUMMYFUNCTION("""COMPUTED_VALUE"""),45623.0)</f>
        <v>45623</v>
      </c>
      <c r="E1106" s="7" t="str">
        <f>IFERROR(__xludf.DUMMYFUNCTION("""COMPUTED_VALUE"""),"FRANQUIA_D&amp;G_SP")</f>
        <v>FRANQUIA_D&amp;G_SP</v>
      </c>
      <c r="F1106" s="7" t="str">
        <f>IFERROR(__xludf.DUMMYFUNCTION("""COMPUTED_VALUE"""),"BICYCLE")</f>
        <v>BICYCLE</v>
      </c>
      <c r="G1106" s="7" t="str">
        <f>IFERROR(__xludf.DUMMYFUNCTION("""COMPUTED_VALUE"""),"SAO PAULO")</f>
        <v>SAO PAULO</v>
      </c>
    </row>
    <row r="1107">
      <c r="A1107" s="6">
        <f>IFERROR(__xludf.DUMMYFUNCTION("""COMPUTED_VALUE"""),45705.0)</f>
        <v>45705</v>
      </c>
      <c r="B1107" s="7" t="str">
        <f>IFERROR(__xludf.DUMMYFUNCTION("""COMPUTED_VALUE"""),"3905b45e-41fb-4173-84cd-93228f55abb9")</f>
        <v>3905b45e-41fb-4173-84cd-93228f55abb9</v>
      </c>
      <c r="C1107" s="7">
        <f>IFERROR(__xludf.DUMMYFUNCTION("""COMPUTED_VALUE"""),51.0)</f>
        <v>51</v>
      </c>
      <c r="D1107" s="6">
        <f>IFERROR(__xludf.DUMMYFUNCTION("""COMPUTED_VALUE"""),45654.0)</f>
        <v>45654</v>
      </c>
      <c r="E1107" s="7" t="str">
        <f>IFERROR(__xludf.DUMMYFUNCTION("""COMPUTED_VALUE"""),"FRANQUIA_D&amp;G_SP")</f>
        <v>FRANQUIA_D&amp;G_SP</v>
      </c>
      <c r="F1107" s="7" t="str">
        <f>IFERROR(__xludf.DUMMYFUNCTION("""COMPUTED_VALUE"""),"MOTORCYCLE")</f>
        <v>MOTORCYCLE</v>
      </c>
      <c r="G1107" s="7" t="str">
        <f>IFERROR(__xludf.DUMMYFUNCTION("""COMPUTED_VALUE"""),"SAO PAULO")</f>
        <v>SAO PAULO</v>
      </c>
    </row>
    <row r="1108">
      <c r="A1108" s="6">
        <f>IFERROR(__xludf.DUMMYFUNCTION("""COMPUTED_VALUE"""),45705.0)</f>
        <v>45705</v>
      </c>
      <c r="B1108" s="7" t="str">
        <f>IFERROR(__xludf.DUMMYFUNCTION("""COMPUTED_VALUE"""),"3d2dbdb2-767d-4e14-bbba-94363f7e9f0a")</f>
        <v>3d2dbdb2-767d-4e14-bbba-94363f7e9f0a</v>
      </c>
      <c r="C1108" s="7">
        <f>IFERROR(__xludf.DUMMYFUNCTION("""COMPUTED_VALUE"""),0.0)</f>
        <v>0</v>
      </c>
      <c r="D1108" s="6">
        <f>IFERROR(__xludf.DUMMYFUNCTION("""COMPUTED_VALUE"""),45705.0)</f>
        <v>45705</v>
      </c>
      <c r="E1108" s="7" t="str">
        <f>IFERROR(__xludf.DUMMYFUNCTION("""COMPUTED_VALUE"""),"FRANQUIA_D&amp;G_SP")</f>
        <v>FRANQUIA_D&amp;G_SP</v>
      </c>
      <c r="F1108" s="7" t="str">
        <f>IFERROR(__xludf.DUMMYFUNCTION("""COMPUTED_VALUE"""),"MOTORCYCLE")</f>
        <v>MOTORCYCLE</v>
      </c>
      <c r="G1108" s="7" t="str">
        <f>IFERROR(__xludf.DUMMYFUNCTION("""COMPUTED_VALUE"""),"SAO PAULO")</f>
        <v>SAO PAULO</v>
      </c>
    </row>
    <row r="1109">
      <c r="A1109" s="6">
        <f>IFERROR(__xludf.DUMMYFUNCTION("""COMPUTED_VALUE"""),45705.0)</f>
        <v>45705</v>
      </c>
      <c r="B1109" s="7" t="str">
        <f>IFERROR(__xludf.DUMMYFUNCTION("""COMPUTED_VALUE"""),"634c790d-adb3-47be-b29b-8f8a2e692916")</f>
        <v>634c790d-adb3-47be-b29b-8f8a2e692916</v>
      </c>
      <c r="C1109" s="7">
        <f>IFERROR(__xludf.DUMMYFUNCTION("""COMPUTED_VALUE"""),0.0)</f>
        <v>0</v>
      </c>
      <c r="D1109" s="6">
        <f>IFERROR(__xludf.DUMMYFUNCTION("""COMPUTED_VALUE"""),45705.0)</f>
        <v>45705</v>
      </c>
      <c r="E1109" s="7" t="str">
        <f>IFERROR(__xludf.DUMMYFUNCTION("""COMPUTED_VALUE"""),"FRANQUIA_D&amp;G_SP")</f>
        <v>FRANQUIA_D&amp;G_SP</v>
      </c>
      <c r="F1109" s="7" t="str">
        <f>IFERROR(__xludf.DUMMYFUNCTION("""COMPUTED_VALUE"""),"MOTORCYCLE")</f>
        <v>MOTORCYCLE</v>
      </c>
      <c r="G1109" s="7" t="str">
        <f>IFERROR(__xludf.DUMMYFUNCTION("""COMPUTED_VALUE"""),"SAO PAULO")</f>
        <v>SAO PAULO</v>
      </c>
    </row>
    <row r="1110">
      <c r="A1110" s="6">
        <f>IFERROR(__xludf.DUMMYFUNCTION("""COMPUTED_VALUE"""),45705.0)</f>
        <v>45705</v>
      </c>
      <c r="B1110" s="7" t="str">
        <f>IFERROR(__xludf.DUMMYFUNCTION("""COMPUTED_VALUE"""),"44e0bf98-227b-4a96-9d74-70795cf5f2f6")</f>
        <v>44e0bf98-227b-4a96-9d74-70795cf5f2f6</v>
      </c>
      <c r="C1110" s="7">
        <f>IFERROR(__xludf.DUMMYFUNCTION("""COMPUTED_VALUE"""),0.0)</f>
        <v>0</v>
      </c>
      <c r="D1110" s="6">
        <f>IFERROR(__xludf.DUMMYFUNCTION("""COMPUTED_VALUE"""),45705.0)</f>
        <v>45705</v>
      </c>
      <c r="E1110" s="7" t="str">
        <f>IFERROR(__xludf.DUMMYFUNCTION("""COMPUTED_VALUE"""),"FRANQUIA_D&amp;G_SP")</f>
        <v>FRANQUIA_D&amp;G_SP</v>
      </c>
      <c r="F1110" s="7" t="str">
        <f>IFERROR(__xludf.DUMMYFUNCTION("""COMPUTED_VALUE"""),"BICYCLE")</f>
        <v>BICYCLE</v>
      </c>
      <c r="G1110" s="7" t="str">
        <f>IFERROR(__xludf.DUMMYFUNCTION("""COMPUTED_VALUE"""),"SAO PAULO")</f>
        <v>SAO PAULO</v>
      </c>
    </row>
    <row r="1111">
      <c r="A1111" s="6">
        <f>IFERROR(__xludf.DUMMYFUNCTION("""COMPUTED_VALUE"""),45705.0)</f>
        <v>45705</v>
      </c>
      <c r="B1111" s="7" t="str">
        <f>IFERROR(__xludf.DUMMYFUNCTION("""COMPUTED_VALUE"""),"4361f2f8-0b41-44cc-8fd2-4fba5b7581b1")</f>
        <v>4361f2f8-0b41-44cc-8fd2-4fba5b7581b1</v>
      </c>
      <c r="C1111" s="7">
        <f>IFERROR(__xludf.DUMMYFUNCTION("""COMPUTED_VALUE"""),4.0)</f>
        <v>4</v>
      </c>
      <c r="D1111" s="6">
        <f>IFERROR(__xludf.DUMMYFUNCTION("""COMPUTED_VALUE"""),45701.0)</f>
        <v>45701</v>
      </c>
      <c r="E1111" s="7" t="str">
        <f>IFERROR(__xludf.DUMMYFUNCTION("""COMPUTED_VALUE"""),"FRANQUIA_D&amp;G_SP")</f>
        <v>FRANQUIA_D&amp;G_SP</v>
      </c>
      <c r="F1111" s="7" t="str">
        <f>IFERROR(__xludf.DUMMYFUNCTION("""COMPUTED_VALUE"""),"BICYCLE")</f>
        <v>BICYCLE</v>
      </c>
      <c r="G1111" s="7" t="str">
        <f>IFERROR(__xludf.DUMMYFUNCTION("""COMPUTED_VALUE"""),"SAO PAULO")</f>
        <v>SAO PAULO</v>
      </c>
    </row>
    <row r="1112">
      <c r="A1112" s="6">
        <f>IFERROR(__xludf.DUMMYFUNCTION("""COMPUTED_VALUE"""),45705.0)</f>
        <v>45705</v>
      </c>
      <c r="B1112" s="7" t="str">
        <f>IFERROR(__xludf.DUMMYFUNCTION("""COMPUTED_VALUE"""),"f1051971-5b8c-4874-a689-4491de4e4b32")</f>
        <v>f1051971-5b8c-4874-a689-4491de4e4b32</v>
      </c>
      <c r="C1112" s="7">
        <f>IFERROR(__xludf.DUMMYFUNCTION("""COMPUTED_VALUE"""),337.0)</f>
        <v>337</v>
      </c>
      <c r="D1112" s="6">
        <f>IFERROR(__xludf.DUMMYFUNCTION("""COMPUTED_VALUE"""),45368.0)</f>
        <v>45368</v>
      </c>
      <c r="E1112" s="7" t="str">
        <f>IFERROR(__xludf.DUMMYFUNCTION("""COMPUTED_VALUE"""),"FRANQUIA_D&amp;G_SP")</f>
        <v>FRANQUIA_D&amp;G_SP</v>
      </c>
      <c r="F1112" s="7" t="str">
        <f>IFERROR(__xludf.DUMMYFUNCTION("""COMPUTED_VALUE"""),"BICYCLE")</f>
        <v>BICYCLE</v>
      </c>
      <c r="G1112" s="7" t="str">
        <f>IFERROR(__xludf.DUMMYFUNCTION("""COMPUTED_VALUE"""),"SAO PAULO")</f>
        <v>SAO PAULO</v>
      </c>
    </row>
    <row r="1113">
      <c r="A1113" s="6">
        <f>IFERROR(__xludf.DUMMYFUNCTION("""COMPUTED_VALUE"""),45705.0)</f>
        <v>45705</v>
      </c>
      <c r="B1113" s="7" t="str">
        <f>IFERROR(__xludf.DUMMYFUNCTION("""COMPUTED_VALUE"""),"72c15171-62f3-4350-89b7-b946bed75fd1")</f>
        <v>72c15171-62f3-4350-89b7-b946bed75fd1</v>
      </c>
      <c r="C1113" s="7">
        <f>IFERROR(__xludf.DUMMYFUNCTION("""COMPUTED_VALUE"""),140.0)</f>
        <v>140</v>
      </c>
      <c r="D1113" s="6">
        <f>IFERROR(__xludf.DUMMYFUNCTION("""COMPUTED_VALUE"""),45565.0)</f>
        <v>45565</v>
      </c>
      <c r="E1113" s="7" t="str">
        <f>IFERROR(__xludf.DUMMYFUNCTION("""COMPUTED_VALUE"""),"FRANQUIA_D&amp;G_SP")</f>
        <v>FRANQUIA_D&amp;G_SP</v>
      </c>
      <c r="F1113" s="7" t="str">
        <f>IFERROR(__xludf.DUMMYFUNCTION("""COMPUTED_VALUE"""),"MOTORCYCLE")</f>
        <v>MOTORCYCLE</v>
      </c>
      <c r="G1113" s="7" t="str">
        <f>IFERROR(__xludf.DUMMYFUNCTION("""COMPUTED_VALUE"""),"SAO PAULO")</f>
        <v>SAO PAULO</v>
      </c>
    </row>
    <row r="1114">
      <c r="A1114" s="6">
        <f>IFERROR(__xludf.DUMMYFUNCTION("""COMPUTED_VALUE"""),45705.0)</f>
        <v>45705</v>
      </c>
      <c r="B1114" s="7" t="str">
        <f>IFERROR(__xludf.DUMMYFUNCTION("""COMPUTED_VALUE"""),"8eb293fe-2cfc-4dda-8777-7948a3d0ad4c")</f>
        <v>8eb293fe-2cfc-4dda-8777-7948a3d0ad4c</v>
      </c>
      <c r="C1114" s="7">
        <f>IFERROR(__xludf.DUMMYFUNCTION("""COMPUTED_VALUE"""),1.0)</f>
        <v>1</v>
      </c>
      <c r="D1114" s="6">
        <f>IFERROR(__xludf.DUMMYFUNCTION("""COMPUTED_VALUE"""),45704.0)</f>
        <v>45704</v>
      </c>
      <c r="E1114" s="7" t="str">
        <f>IFERROR(__xludf.DUMMYFUNCTION("""COMPUTED_VALUE"""),"FRANQUIA_D&amp;G_SP")</f>
        <v>FRANQUIA_D&amp;G_SP</v>
      </c>
      <c r="F1114" s="7" t="str">
        <f>IFERROR(__xludf.DUMMYFUNCTION("""COMPUTED_VALUE"""),"MOTORCYCLE")</f>
        <v>MOTORCYCLE</v>
      </c>
      <c r="G1114" s="7" t="str">
        <f>IFERROR(__xludf.DUMMYFUNCTION("""COMPUTED_VALUE"""),"SAO PAULO")</f>
        <v>SAO PAULO</v>
      </c>
    </row>
    <row r="1115">
      <c r="A1115" s="6">
        <f>IFERROR(__xludf.DUMMYFUNCTION("""COMPUTED_VALUE"""),45705.0)</f>
        <v>45705</v>
      </c>
      <c r="B1115" s="7" t="str">
        <f>IFERROR(__xludf.DUMMYFUNCTION("""COMPUTED_VALUE"""),"6530fb0b-ed47-4fa1-b5a9-fb684935d3bf")</f>
        <v>6530fb0b-ed47-4fa1-b5a9-fb684935d3bf</v>
      </c>
      <c r="C1115" s="7">
        <f>IFERROR(__xludf.DUMMYFUNCTION("""COMPUTED_VALUE"""),3.0)</f>
        <v>3</v>
      </c>
      <c r="D1115" s="6">
        <f>IFERROR(__xludf.DUMMYFUNCTION("""COMPUTED_VALUE"""),45702.0)</f>
        <v>45702</v>
      </c>
      <c r="E1115" s="7" t="str">
        <f>IFERROR(__xludf.DUMMYFUNCTION("""COMPUTED_VALUE"""),"FRANQUIA_D&amp;G_SP")</f>
        <v>FRANQUIA_D&amp;G_SP</v>
      </c>
      <c r="F1115" s="7" t="str">
        <f>IFERROR(__xludf.DUMMYFUNCTION("""COMPUTED_VALUE"""),"MOTORCYCLE")</f>
        <v>MOTORCYCLE</v>
      </c>
      <c r="G1115" s="7" t="str">
        <f>IFERROR(__xludf.DUMMYFUNCTION("""COMPUTED_VALUE"""),"SAO PAULO")</f>
        <v>SAO PAULO</v>
      </c>
    </row>
    <row r="1116">
      <c r="A1116" s="6">
        <f>IFERROR(__xludf.DUMMYFUNCTION("""COMPUTED_VALUE"""),45705.0)</f>
        <v>45705</v>
      </c>
      <c r="B1116" s="7" t="str">
        <f>IFERROR(__xludf.DUMMYFUNCTION("""COMPUTED_VALUE"""),"f1517bf2-e5a6-4554-82d0-8e0e0f9cc617")</f>
        <v>f1517bf2-e5a6-4554-82d0-8e0e0f9cc617</v>
      </c>
      <c r="C1116" s="7">
        <f>IFERROR(__xludf.DUMMYFUNCTION("""COMPUTED_VALUE"""),15.0)</f>
        <v>15</v>
      </c>
      <c r="D1116" s="6">
        <f>IFERROR(__xludf.DUMMYFUNCTION("""COMPUTED_VALUE"""),45690.0)</f>
        <v>45690</v>
      </c>
      <c r="E1116" s="7" t="str">
        <f>IFERROR(__xludf.DUMMYFUNCTION("""COMPUTED_VALUE"""),"FRANQUIA_D&amp;G_SP")</f>
        <v>FRANQUIA_D&amp;G_SP</v>
      </c>
      <c r="F1116" s="7" t="str">
        <f>IFERROR(__xludf.DUMMYFUNCTION("""COMPUTED_VALUE"""),"MOTORCYCLE")</f>
        <v>MOTORCYCLE</v>
      </c>
      <c r="G1116" s="7" t="str">
        <f>IFERROR(__xludf.DUMMYFUNCTION("""COMPUTED_VALUE"""),"SAO PAULO")</f>
        <v>SAO PAULO</v>
      </c>
    </row>
    <row r="1117">
      <c r="A1117" s="6">
        <f>IFERROR(__xludf.DUMMYFUNCTION("""COMPUTED_VALUE"""),45705.0)</f>
        <v>45705</v>
      </c>
      <c r="B1117" s="7" t="str">
        <f>IFERROR(__xludf.DUMMYFUNCTION("""COMPUTED_VALUE"""),"b8374838-7c90-4fd4-94d0-3f61d33b0433")</f>
        <v>b8374838-7c90-4fd4-94d0-3f61d33b0433</v>
      </c>
      <c r="C1117" s="7">
        <f>IFERROR(__xludf.DUMMYFUNCTION("""COMPUTED_VALUE"""),0.0)</f>
        <v>0</v>
      </c>
      <c r="D1117" s="6">
        <f>IFERROR(__xludf.DUMMYFUNCTION("""COMPUTED_VALUE"""),45705.0)</f>
        <v>45705</v>
      </c>
      <c r="E1117" s="7" t="str">
        <f>IFERROR(__xludf.DUMMYFUNCTION("""COMPUTED_VALUE"""),"FRANQUIA_D&amp;G_SP")</f>
        <v>FRANQUIA_D&amp;G_SP</v>
      </c>
      <c r="F1117" s="7" t="str">
        <f>IFERROR(__xludf.DUMMYFUNCTION("""COMPUTED_VALUE"""),"MOTORCYCLE")</f>
        <v>MOTORCYCLE</v>
      </c>
      <c r="G1117" s="7" t="str">
        <f>IFERROR(__xludf.DUMMYFUNCTION("""COMPUTED_VALUE"""),"SAO PAULO")</f>
        <v>SAO PAULO</v>
      </c>
    </row>
    <row r="1118">
      <c r="A1118" s="6">
        <f>IFERROR(__xludf.DUMMYFUNCTION("""COMPUTED_VALUE"""),45705.0)</f>
        <v>45705</v>
      </c>
      <c r="B1118" s="7" t="str">
        <f>IFERROR(__xludf.DUMMYFUNCTION("""COMPUTED_VALUE"""),"191f828e-9807-4ab0-9990-502a1b1f3436")</f>
        <v>191f828e-9807-4ab0-9990-502a1b1f3436</v>
      </c>
      <c r="C1118" s="7">
        <f>IFERROR(__xludf.DUMMYFUNCTION("""COMPUTED_VALUE"""),6.0)</f>
        <v>6</v>
      </c>
      <c r="D1118" s="6">
        <f>IFERROR(__xludf.DUMMYFUNCTION("""COMPUTED_VALUE"""),45699.0)</f>
        <v>45699</v>
      </c>
      <c r="E1118" s="7" t="str">
        <f>IFERROR(__xludf.DUMMYFUNCTION("""COMPUTED_VALUE"""),"FRANQUIA_D&amp;G_SP")</f>
        <v>FRANQUIA_D&amp;G_SP</v>
      </c>
      <c r="F1118" s="7" t="str">
        <f>IFERROR(__xludf.DUMMYFUNCTION("""COMPUTED_VALUE"""),"BICYCLE")</f>
        <v>BICYCLE</v>
      </c>
      <c r="G1118" s="7" t="str">
        <f>IFERROR(__xludf.DUMMYFUNCTION("""COMPUTED_VALUE"""),"SAO PAULO")</f>
        <v>SAO PAULO</v>
      </c>
    </row>
    <row r="1119">
      <c r="A1119" s="6">
        <f>IFERROR(__xludf.DUMMYFUNCTION("""COMPUTED_VALUE"""),45705.0)</f>
        <v>45705</v>
      </c>
      <c r="B1119" s="7" t="str">
        <f>IFERROR(__xludf.DUMMYFUNCTION("""COMPUTED_VALUE"""),"d3427671-147e-4f77-bd59-e90a4262cbad")</f>
        <v>d3427671-147e-4f77-bd59-e90a4262cbad</v>
      </c>
      <c r="C1119" s="7">
        <f>IFERROR(__xludf.DUMMYFUNCTION("""COMPUTED_VALUE"""),258.0)</f>
        <v>258</v>
      </c>
      <c r="D1119" s="6">
        <f>IFERROR(__xludf.DUMMYFUNCTION("""COMPUTED_VALUE"""),45447.0)</f>
        <v>45447</v>
      </c>
      <c r="E1119" s="7" t="str">
        <f>IFERROR(__xludf.DUMMYFUNCTION("""COMPUTED_VALUE"""),"FRANQUIA_D&amp;G_SP")</f>
        <v>FRANQUIA_D&amp;G_SP</v>
      </c>
      <c r="F1119" s="7" t="str">
        <f>IFERROR(__xludf.DUMMYFUNCTION("""COMPUTED_VALUE"""),"BICYCLE")</f>
        <v>BICYCLE</v>
      </c>
      <c r="G1119" s="7" t="str">
        <f>IFERROR(__xludf.DUMMYFUNCTION("""COMPUTED_VALUE"""),"SAO PAULO")</f>
        <v>SAO PAULO</v>
      </c>
    </row>
    <row r="1120">
      <c r="A1120" s="6">
        <f>IFERROR(__xludf.DUMMYFUNCTION("""COMPUTED_VALUE"""),45705.0)</f>
        <v>45705</v>
      </c>
      <c r="B1120" s="7" t="str">
        <f>IFERROR(__xludf.DUMMYFUNCTION("""COMPUTED_VALUE"""),"9db11190-4cc3-455f-bdd0-bc3a3e81b356")</f>
        <v>9db11190-4cc3-455f-bdd0-bc3a3e81b356</v>
      </c>
      <c r="C1120" s="7">
        <f>IFERROR(__xludf.DUMMYFUNCTION("""COMPUTED_VALUE"""),0.0)</f>
        <v>0</v>
      </c>
      <c r="D1120" s="6">
        <f>IFERROR(__xludf.DUMMYFUNCTION("""COMPUTED_VALUE"""),45705.0)</f>
        <v>45705</v>
      </c>
      <c r="E1120" s="7" t="str">
        <f>IFERROR(__xludf.DUMMYFUNCTION("""COMPUTED_VALUE"""),"FRANQUIA_D&amp;G_SP")</f>
        <v>FRANQUIA_D&amp;G_SP</v>
      </c>
      <c r="F1120" s="7" t="str">
        <f>IFERROR(__xludf.DUMMYFUNCTION("""COMPUTED_VALUE"""),"MOTORCYCLE")</f>
        <v>MOTORCYCLE</v>
      </c>
      <c r="G1120" s="7" t="str">
        <f>IFERROR(__xludf.DUMMYFUNCTION("""COMPUTED_VALUE"""),"SAO PAULO")</f>
        <v>SAO PAULO</v>
      </c>
    </row>
    <row r="1121">
      <c r="A1121" s="6">
        <f>IFERROR(__xludf.DUMMYFUNCTION("""COMPUTED_VALUE"""),45705.0)</f>
        <v>45705</v>
      </c>
      <c r="B1121" s="7" t="str">
        <f>IFERROR(__xludf.DUMMYFUNCTION("""COMPUTED_VALUE"""),"6072660a-4eee-4f16-9f4a-1366dcc35d03")</f>
        <v>6072660a-4eee-4f16-9f4a-1366dcc35d03</v>
      </c>
      <c r="C1121" s="7">
        <f>IFERROR(__xludf.DUMMYFUNCTION("""COMPUTED_VALUE"""),149.0)</f>
        <v>149</v>
      </c>
      <c r="D1121" s="6">
        <f>IFERROR(__xludf.DUMMYFUNCTION("""COMPUTED_VALUE"""),45556.0)</f>
        <v>45556</v>
      </c>
      <c r="E1121" s="7" t="str">
        <f>IFERROR(__xludf.DUMMYFUNCTION("""COMPUTED_VALUE"""),"FRANQUIA_D&amp;G_SP")</f>
        <v>FRANQUIA_D&amp;G_SP</v>
      </c>
      <c r="F1121" s="7" t="str">
        <f>IFERROR(__xludf.DUMMYFUNCTION("""COMPUTED_VALUE"""),"BICYCLE")</f>
        <v>BICYCLE</v>
      </c>
      <c r="G1121" s="7" t="str">
        <f>IFERROR(__xludf.DUMMYFUNCTION("""COMPUTED_VALUE"""),"SAO PAULO")</f>
        <v>SAO PAULO</v>
      </c>
    </row>
    <row r="1122">
      <c r="A1122" s="6">
        <f>IFERROR(__xludf.DUMMYFUNCTION("""COMPUTED_VALUE"""),45705.0)</f>
        <v>45705</v>
      </c>
      <c r="B1122" s="7" t="str">
        <f>IFERROR(__xludf.DUMMYFUNCTION("""COMPUTED_VALUE"""),"0f3590bf-4e57-4146-9f36-270da42c9964")</f>
        <v>0f3590bf-4e57-4146-9f36-270da42c9964</v>
      </c>
      <c r="C1122" s="7">
        <f>IFERROR(__xludf.DUMMYFUNCTION("""COMPUTED_VALUE"""),0.0)</f>
        <v>0</v>
      </c>
      <c r="D1122" s="6">
        <f>IFERROR(__xludf.DUMMYFUNCTION("""COMPUTED_VALUE"""),45705.0)</f>
        <v>45705</v>
      </c>
      <c r="E1122" s="7" t="str">
        <f>IFERROR(__xludf.DUMMYFUNCTION("""COMPUTED_VALUE"""),"FRANQUIA_D&amp;G_SP")</f>
        <v>FRANQUIA_D&amp;G_SP</v>
      </c>
      <c r="F1122" s="7" t="str">
        <f>IFERROR(__xludf.DUMMYFUNCTION("""COMPUTED_VALUE"""),"MOTORCYCLE")</f>
        <v>MOTORCYCLE</v>
      </c>
      <c r="G1122" s="7" t="str">
        <f>IFERROR(__xludf.DUMMYFUNCTION("""COMPUTED_VALUE"""),"SAO PAULO")</f>
        <v>SAO PAULO</v>
      </c>
    </row>
    <row r="1123">
      <c r="A1123" s="6">
        <f>IFERROR(__xludf.DUMMYFUNCTION("""COMPUTED_VALUE"""),45705.0)</f>
        <v>45705</v>
      </c>
      <c r="B1123" s="7" t="str">
        <f>IFERROR(__xludf.DUMMYFUNCTION("""COMPUTED_VALUE"""),"5dd98632-dc3a-4e8d-ad2d-0306ff5d8dcb")</f>
        <v>5dd98632-dc3a-4e8d-ad2d-0306ff5d8dcb</v>
      </c>
      <c r="C1123" s="7">
        <f>IFERROR(__xludf.DUMMYFUNCTION("""COMPUTED_VALUE"""),0.0)</f>
        <v>0</v>
      </c>
      <c r="D1123" s="6">
        <f>IFERROR(__xludf.DUMMYFUNCTION("""COMPUTED_VALUE"""),45705.0)</f>
        <v>45705</v>
      </c>
      <c r="E1123" s="7" t="str">
        <f>IFERROR(__xludf.DUMMYFUNCTION("""COMPUTED_VALUE"""),"FRANQUIA_D&amp;G_SP")</f>
        <v>FRANQUIA_D&amp;G_SP</v>
      </c>
      <c r="F1123" s="7" t="str">
        <f>IFERROR(__xludf.DUMMYFUNCTION("""COMPUTED_VALUE"""),"BICYCLE")</f>
        <v>BICYCLE</v>
      </c>
      <c r="G1123" s="7" t="str">
        <f>IFERROR(__xludf.DUMMYFUNCTION("""COMPUTED_VALUE"""),"SAO PAULO")</f>
        <v>SAO PAULO</v>
      </c>
    </row>
    <row r="1124">
      <c r="A1124" s="6">
        <f>IFERROR(__xludf.DUMMYFUNCTION("""COMPUTED_VALUE"""),45705.0)</f>
        <v>45705</v>
      </c>
      <c r="B1124" s="7" t="str">
        <f>IFERROR(__xludf.DUMMYFUNCTION("""COMPUTED_VALUE"""),"e39c9a4c-8d94-46dc-ae31-5d24ab2cf725")</f>
        <v>e39c9a4c-8d94-46dc-ae31-5d24ab2cf725</v>
      </c>
      <c r="C1124" s="7">
        <f>IFERROR(__xludf.DUMMYFUNCTION("""COMPUTED_VALUE"""),4.0)</f>
        <v>4</v>
      </c>
      <c r="D1124" s="6">
        <f>IFERROR(__xludf.DUMMYFUNCTION("""COMPUTED_VALUE"""),45701.0)</f>
        <v>45701</v>
      </c>
      <c r="E1124" s="7" t="str">
        <f>IFERROR(__xludf.DUMMYFUNCTION("""COMPUTED_VALUE"""),"FRANQUIA_D&amp;G_SP")</f>
        <v>FRANQUIA_D&amp;G_SP</v>
      </c>
      <c r="F1124" s="7" t="str">
        <f>IFERROR(__xludf.DUMMYFUNCTION("""COMPUTED_VALUE"""),"MOTORCYCLE")</f>
        <v>MOTORCYCLE</v>
      </c>
      <c r="G1124" s="7" t="str">
        <f>IFERROR(__xludf.DUMMYFUNCTION("""COMPUTED_VALUE"""),"SAO PAULO")</f>
        <v>SAO PAULO</v>
      </c>
    </row>
    <row r="1125">
      <c r="A1125" s="6">
        <f>IFERROR(__xludf.DUMMYFUNCTION("""COMPUTED_VALUE"""),45705.0)</f>
        <v>45705</v>
      </c>
      <c r="B1125" s="7" t="str">
        <f>IFERROR(__xludf.DUMMYFUNCTION("""COMPUTED_VALUE"""),"d974f417-e3f0-407f-94e9-f75604cb9bef")</f>
        <v>d974f417-e3f0-407f-94e9-f75604cb9bef</v>
      </c>
      <c r="C1125" s="7">
        <f>IFERROR(__xludf.DUMMYFUNCTION("""COMPUTED_VALUE"""),36.0)</f>
        <v>36</v>
      </c>
      <c r="D1125" s="6">
        <f>IFERROR(__xludf.DUMMYFUNCTION("""COMPUTED_VALUE"""),45669.0)</f>
        <v>45669</v>
      </c>
      <c r="E1125" s="7" t="str">
        <f>IFERROR(__xludf.DUMMYFUNCTION("""COMPUTED_VALUE"""),"FRANQUIA_D&amp;G_SP")</f>
        <v>FRANQUIA_D&amp;G_SP</v>
      </c>
      <c r="F1125" s="7" t="str">
        <f>IFERROR(__xludf.DUMMYFUNCTION("""COMPUTED_VALUE"""),"BICYCLE")</f>
        <v>BICYCLE</v>
      </c>
      <c r="G1125" s="7" t="str">
        <f>IFERROR(__xludf.DUMMYFUNCTION("""COMPUTED_VALUE"""),"SAO PAULO")</f>
        <v>SAO PAULO</v>
      </c>
    </row>
    <row r="1126">
      <c r="A1126" s="6">
        <f>IFERROR(__xludf.DUMMYFUNCTION("""COMPUTED_VALUE"""),45705.0)</f>
        <v>45705</v>
      </c>
      <c r="B1126" s="7" t="str">
        <f>IFERROR(__xludf.DUMMYFUNCTION("""COMPUTED_VALUE"""),"6dc892d3-728c-430b-843a-036528e1528e")</f>
        <v>6dc892d3-728c-430b-843a-036528e1528e</v>
      </c>
      <c r="C1126" s="7">
        <f>IFERROR(__xludf.DUMMYFUNCTION("""COMPUTED_VALUE"""),0.0)</f>
        <v>0</v>
      </c>
      <c r="D1126" s="6">
        <f>IFERROR(__xludf.DUMMYFUNCTION("""COMPUTED_VALUE"""),0.0)</f>
        <v>0</v>
      </c>
      <c r="E1126" s="7" t="str">
        <f>IFERROR(__xludf.DUMMYFUNCTION("""COMPUTED_VALUE"""),"FRANQUIA_D&amp;G_SP")</f>
        <v>FRANQUIA_D&amp;G_SP</v>
      </c>
      <c r="F1126" s="7" t="str">
        <f>IFERROR(__xludf.DUMMYFUNCTION("""COMPUTED_VALUE"""),"MOTORCYCLE")</f>
        <v>MOTORCYCLE</v>
      </c>
      <c r="G1126" s="7" t="str">
        <f>IFERROR(__xludf.DUMMYFUNCTION("""COMPUTED_VALUE"""),"0")</f>
        <v>0</v>
      </c>
    </row>
    <row r="1127">
      <c r="A1127" s="6">
        <f>IFERROR(__xludf.DUMMYFUNCTION("""COMPUTED_VALUE"""),45705.0)</f>
        <v>45705</v>
      </c>
      <c r="B1127" s="7" t="str">
        <f>IFERROR(__xludf.DUMMYFUNCTION("""COMPUTED_VALUE"""),"59f1a88d-29f0-4284-ad86-57222279e661")</f>
        <v>59f1a88d-29f0-4284-ad86-57222279e661</v>
      </c>
      <c r="C1127" s="7">
        <f>IFERROR(__xludf.DUMMYFUNCTION("""COMPUTED_VALUE"""),2.0)</f>
        <v>2</v>
      </c>
      <c r="D1127" s="6">
        <f>IFERROR(__xludf.DUMMYFUNCTION("""COMPUTED_VALUE"""),45703.0)</f>
        <v>45703</v>
      </c>
      <c r="E1127" s="7" t="str">
        <f>IFERROR(__xludf.DUMMYFUNCTION("""COMPUTED_VALUE"""),"FRANQUIA_D&amp;G_SP")</f>
        <v>FRANQUIA_D&amp;G_SP</v>
      </c>
      <c r="F1127" s="7" t="str">
        <f>IFERROR(__xludf.DUMMYFUNCTION("""COMPUTED_VALUE"""),"MOTORCYCLE")</f>
        <v>MOTORCYCLE</v>
      </c>
      <c r="G1127" s="7" t="str">
        <f>IFERROR(__xludf.DUMMYFUNCTION("""COMPUTED_VALUE"""),"TABOAO DA SERRA")</f>
        <v>TABOAO DA SERRA</v>
      </c>
    </row>
    <row r="1128">
      <c r="A1128" s="6">
        <f>IFERROR(__xludf.DUMMYFUNCTION("""COMPUTED_VALUE"""),45705.0)</f>
        <v>45705</v>
      </c>
      <c r="B1128" s="7" t="str">
        <f>IFERROR(__xludf.DUMMYFUNCTION("""COMPUTED_VALUE"""),"15c80324-780a-405b-b695-4835dda7e3ef")</f>
        <v>15c80324-780a-405b-b695-4835dda7e3ef</v>
      </c>
      <c r="C1128" s="7">
        <f>IFERROR(__xludf.DUMMYFUNCTION("""COMPUTED_VALUE"""),4.0)</f>
        <v>4</v>
      </c>
      <c r="D1128" s="6">
        <f>IFERROR(__xludf.DUMMYFUNCTION("""COMPUTED_VALUE"""),45701.0)</f>
        <v>45701</v>
      </c>
      <c r="E1128" s="7" t="str">
        <f>IFERROR(__xludf.DUMMYFUNCTION("""COMPUTED_VALUE"""),"FRANQUIA_D&amp;G_SP")</f>
        <v>FRANQUIA_D&amp;G_SP</v>
      </c>
      <c r="F1128" s="7" t="str">
        <f>IFERROR(__xludf.DUMMYFUNCTION("""COMPUTED_VALUE"""),"BICYCLE")</f>
        <v>BICYCLE</v>
      </c>
      <c r="G1128" s="7" t="str">
        <f>IFERROR(__xludf.DUMMYFUNCTION("""COMPUTED_VALUE"""),"SAO PAULO")</f>
        <v>SAO PAULO</v>
      </c>
    </row>
    <row r="1129">
      <c r="A1129" s="6">
        <f>IFERROR(__xludf.DUMMYFUNCTION("""COMPUTED_VALUE"""),45705.0)</f>
        <v>45705</v>
      </c>
      <c r="B1129" s="7" t="str">
        <f>IFERROR(__xludf.DUMMYFUNCTION("""COMPUTED_VALUE"""),"4af49780-d29a-4b33-8c38-d0d99695b7c2")</f>
        <v>4af49780-d29a-4b33-8c38-d0d99695b7c2</v>
      </c>
      <c r="C1129" s="7">
        <f>IFERROR(__xludf.DUMMYFUNCTION("""COMPUTED_VALUE"""),367.0)</f>
        <v>367</v>
      </c>
      <c r="D1129" s="6">
        <f>IFERROR(__xludf.DUMMYFUNCTION("""COMPUTED_VALUE"""),45338.0)</f>
        <v>45338</v>
      </c>
      <c r="E1129" s="7" t="str">
        <f>IFERROR(__xludf.DUMMYFUNCTION("""COMPUTED_VALUE"""),"FRANQUIA_D&amp;G_SP")</f>
        <v>FRANQUIA_D&amp;G_SP</v>
      </c>
      <c r="F1129" s="7" t="str">
        <f>IFERROR(__xludf.DUMMYFUNCTION("""COMPUTED_VALUE"""),"MOTORCYCLE")</f>
        <v>MOTORCYCLE</v>
      </c>
      <c r="G1129" s="7" t="str">
        <f>IFERROR(__xludf.DUMMYFUNCTION("""COMPUTED_VALUE"""),"SAO PAULO")</f>
        <v>SAO PAULO</v>
      </c>
    </row>
    <row r="1130">
      <c r="A1130" s="6">
        <f>IFERROR(__xludf.DUMMYFUNCTION("""COMPUTED_VALUE"""),45705.0)</f>
        <v>45705</v>
      </c>
      <c r="B1130" s="7" t="str">
        <f>IFERROR(__xludf.DUMMYFUNCTION("""COMPUTED_VALUE"""),"54da690e-478f-4512-b783-606299689d09")</f>
        <v>54da690e-478f-4512-b783-606299689d09</v>
      </c>
      <c r="C1130" s="7">
        <f>IFERROR(__xludf.DUMMYFUNCTION("""COMPUTED_VALUE"""),37.0)</f>
        <v>37</v>
      </c>
      <c r="D1130" s="6">
        <f>IFERROR(__xludf.DUMMYFUNCTION("""COMPUTED_VALUE"""),45668.0)</f>
        <v>45668</v>
      </c>
      <c r="E1130" s="7" t="str">
        <f>IFERROR(__xludf.DUMMYFUNCTION("""COMPUTED_VALUE"""),"FRANQUIA_D&amp;G_SP")</f>
        <v>FRANQUIA_D&amp;G_SP</v>
      </c>
      <c r="F1130" s="7" t="str">
        <f>IFERROR(__xludf.DUMMYFUNCTION("""COMPUTED_VALUE"""),"BICYCLE")</f>
        <v>BICYCLE</v>
      </c>
      <c r="G1130" s="7" t="str">
        <f>IFERROR(__xludf.DUMMYFUNCTION("""COMPUTED_VALUE"""),"SAO PAULO")</f>
        <v>SAO PAULO</v>
      </c>
    </row>
    <row r="1131">
      <c r="A1131" s="6">
        <f>IFERROR(__xludf.DUMMYFUNCTION("""COMPUTED_VALUE"""),45705.0)</f>
        <v>45705</v>
      </c>
      <c r="B1131" s="7" t="str">
        <f>IFERROR(__xludf.DUMMYFUNCTION("""COMPUTED_VALUE"""),"626cf092-bdeb-4de6-9f5e-3389d8b599ab")</f>
        <v>626cf092-bdeb-4de6-9f5e-3389d8b599ab</v>
      </c>
      <c r="C1131" s="7">
        <f>IFERROR(__xludf.DUMMYFUNCTION("""COMPUTED_VALUE"""),0.0)</f>
        <v>0</v>
      </c>
      <c r="D1131" s="6">
        <f>IFERROR(__xludf.DUMMYFUNCTION("""COMPUTED_VALUE"""),45705.0)</f>
        <v>45705</v>
      </c>
      <c r="E1131" s="7" t="str">
        <f>IFERROR(__xludf.DUMMYFUNCTION("""COMPUTED_VALUE"""),"FRANQUIA_D&amp;G_SP")</f>
        <v>FRANQUIA_D&amp;G_SP</v>
      </c>
      <c r="F1131" s="7" t="str">
        <f>IFERROR(__xludf.DUMMYFUNCTION("""COMPUTED_VALUE"""),"BICYCLE")</f>
        <v>BICYCLE</v>
      </c>
      <c r="G1131" s="7" t="str">
        <f>IFERROR(__xludf.DUMMYFUNCTION("""COMPUTED_VALUE"""),"SAO JOSE DO RIO PRETO")</f>
        <v>SAO JOSE DO RIO PRETO</v>
      </c>
    </row>
    <row r="1132">
      <c r="A1132" s="6">
        <f>IFERROR(__xludf.DUMMYFUNCTION("""COMPUTED_VALUE"""),45705.0)</f>
        <v>45705</v>
      </c>
      <c r="B1132" s="7" t="str">
        <f>IFERROR(__xludf.DUMMYFUNCTION("""COMPUTED_VALUE"""),"782e862c-e677-484c-9296-86cfbb8cda2b")</f>
        <v>782e862c-e677-484c-9296-86cfbb8cda2b</v>
      </c>
      <c r="C1132" s="7">
        <f>IFERROR(__xludf.DUMMYFUNCTION("""COMPUTED_VALUE"""),495.0)</f>
        <v>495</v>
      </c>
      <c r="D1132" s="6">
        <f>IFERROR(__xludf.DUMMYFUNCTION("""COMPUTED_VALUE"""),45210.0)</f>
        <v>45210</v>
      </c>
      <c r="E1132" s="7" t="str">
        <f>IFERROR(__xludf.DUMMYFUNCTION("""COMPUTED_VALUE"""),"FRANQUIA_D&amp;G_SP")</f>
        <v>FRANQUIA_D&amp;G_SP</v>
      </c>
      <c r="F1132" s="7" t="str">
        <f>IFERROR(__xludf.DUMMYFUNCTION("""COMPUTED_VALUE"""),"MOTORCYCLE")</f>
        <v>MOTORCYCLE</v>
      </c>
      <c r="G1132" s="7" t="str">
        <f>IFERROR(__xludf.DUMMYFUNCTION("""COMPUTED_VALUE"""),"ARACAJU")</f>
        <v>ARACAJU</v>
      </c>
    </row>
    <row r="1133">
      <c r="A1133" s="6">
        <f>IFERROR(__xludf.DUMMYFUNCTION("""COMPUTED_VALUE"""),45705.0)</f>
        <v>45705</v>
      </c>
      <c r="B1133" s="7" t="str">
        <f>IFERROR(__xludf.DUMMYFUNCTION("""COMPUTED_VALUE"""),"edafe6ce-e4d8-43ed-8db9-517f1936e2db")</f>
        <v>edafe6ce-e4d8-43ed-8db9-517f1936e2db</v>
      </c>
      <c r="C1133" s="7">
        <f>IFERROR(__xludf.DUMMYFUNCTION("""COMPUTED_VALUE"""),27.0)</f>
        <v>27</v>
      </c>
      <c r="D1133" s="6">
        <f>IFERROR(__xludf.DUMMYFUNCTION("""COMPUTED_VALUE"""),45678.0)</f>
        <v>45678</v>
      </c>
      <c r="E1133" s="7" t="str">
        <f>IFERROR(__xludf.DUMMYFUNCTION("""COMPUTED_VALUE"""),"FRANQUIA_D&amp;G_SP")</f>
        <v>FRANQUIA_D&amp;G_SP</v>
      </c>
      <c r="F1133" s="7" t="str">
        <f>IFERROR(__xludf.DUMMYFUNCTION("""COMPUTED_VALUE"""),"BICYCLE")</f>
        <v>BICYCLE</v>
      </c>
      <c r="G1133" s="7" t="str">
        <f>IFERROR(__xludf.DUMMYFUNCTION("""COMPUTED_VALUE"""),"SAO PAULO")</f>
        <v>SAO PAULO</v>
      </c>
    </row>
    <row r="1134">
      <c r="A1134" s="6">
        <f>IFERROR(__xludf.DUMMYFUNCTION("""COMPUTED_VALUE"""),45705.0)</f>
        <v>45705</v>
      </c>
      <c r="B1134" s="7" t="str">
        <f>IFERROR(__xludf.DUMMYFUNCTION("""COMPUTED_VALUE"""),"f139a73d-1a71-4fa8-8b56-1e06063ccf66")</f>
        <v>f139a73d-1a71-4fa8-8b56-1e06063ccf66</v>
      </c>
      <c r="C1134" s="7">
        <f>IFERROR(__xludf.DUMMYFUNCTION("""COMPUTED_VALUE"""),0.0)</f>
        <v>0</v>
      </c>
      <c r="D1134" s="6">
        <f>IFERROR(__xludf.DUMMYFUNCTION("""COMPUTED_VALUE"""),45705.0)</f>
        <v>45705</v>
      </c>
      <c r="E1134" s="7" t="str">
        <f>IFERROR(__xludf.DUMMYFUNCTION("""COMPUTED_VALUE"""),"FRANQUIA_D&amp;G_SP")</f>
        <v>FRANQUIA_D&amp;G_SP</v>
      </c>
      <c r="F1134" s="7" t="str">
        <f>IFERROR(__xludf.DUMMYFUNCTION("""COMPUTED_VALUE"""),"MOTORCYCLE")</f>
        <v>MOTORCYCLE</v>
      </c>
      <c r="G1134" s="7" t="str">
        <f>IFERROR(__xludf.DUMMYFUNCTION("""COMPUTED_VALUE"""),"SAO PAULO")</f>
        <v>SAO PAULO</v>
      </c>
    </row>
    <row r="1135">
      <c r="A1135" s="6">
        <f>IFERROR(__xludf.DUMMYFUNCTION("""COMPUTED_VALUE"""),45705.0)</f>
        <v>45705</v>
      </c>
      <c r="B1135" s="7" t="str">
        <f>IFERROR(__xludf.DUMMYFUNCTION("""COMPUTED_VALUE"""),"998f2b7f-d3c1-4459-b45f-e76553c8c572")</f>
        <v>998f2b7f-d3c1-4459-b45f-e76553c8c572</v>
      </c>
      <c r="C1135" s="7">
        <f>IFERROR(__xludf.DUMMYFUNCTION("""COMPUTED_VALUE"""),7.0)</f>
        <v>7</v>
      </c>
      <c r="D1135" s="6">
        <f>IFERROR(__xludf.DUMMYFUNCTION("""COMPUTED_VALUE"""),45698.0)</f>
        <v>45698</v>
      </c>
      <c r="E1135" s="7" t="str">
        <f>IFERROR(__xludf.DUMMYFUNCTION("""COMPUTED_VALUE"""),"FRANQUIA_D&amp;G_SP")</f>
        <v>FRANQUIA_D&amp;G_SP</v>
      </c>
      <c r="F1135" s="7" t="str">
        <f>IFERROR(__xludf.DUMMYFUNCTION("""COMPUTED_VALUE"""),"MOTORCYCLE")</f>
        <v>MOTORCYCLE</v>
      </c>
      <c r="G1135" s="7" t="str">
        <f>IFERROR(__xludf.DUMMYFUNCTION("""COMPUTED_VALUE"""),"SAO PAULO")</f>
        <v>SAO PAULO</v>
      </c>
    </row>
    <row r="1136">
      <c r="A1136" s="6">
        <f>IFERROR(__xludf.DUMMYFUNCTION("""COMPUTED_VALUE"""),45705.0)</f>
        <v>45705</v>
      </c>
      <c r="B1136" s="7" t="str">
        <f>IFERROR(__xludf.DUMMYFUNCTION("""COMPUTED_VALUE"""),"e986b5b8-a6dc-4b23-8f8f-00bf2718dff3")</f>
        <v>e986b5b8-a6dc-4b23-8f8f-00bf2718dff3</v>
      </c>
      <c r="C1136" s="7">
        <f>IFERROR(__xludf.DUMMYFUNCTION("""COMPUTED_VALUE"""),9.0)</f>
        <v>9</v>
      </c>
      <c r="D1136" s="6">
        <f>IFERROR(__xludf.DUMMYFUNCTION("""COMPUTED_VALUE"""),45696.0)</f>
        <v>45696</v>
      </c>
      <c r="E1136" s="7" t="str">
        <f>IFERROR(__xludf.DUMMYFUNCTION("""COMPUTED_VALUE"""),"FRANQUIA_D&amp;G_SP")</f>
        <v>FRANQUIA_D&amp;G_SP</v>
      </c>
      <c r="F1136" s="7" t="str">
        <f>IFERROR(__xludf.DUMMYFUNCTION("""COMPUTED_VALUE"""),"BICYCLE")</f>
        <v>BICYCLE</v>
      </c>
      <c r="G1136" s="7" t="str">
        <f>IFERROR(__xludf.DUMMYFUNCTION("""COMPUTED_VALUE"""),"SAO PAULO")</f>
        <v>SAO PAULO</v>
      </c>
    </row>
    <row r="1137">
      <c r="A1137" s="6">
        <f>IFERROR(__xludf.DUMMYFUNCTION("""COMPUTED_VALUE"""),45705.0)</f>
        <v>45705</v>
      </c>
      <c r="B1137" s="7" t="str">
        <f>IFERROR(__xludf.DUMMYFUNCTION("""COMPUTED_VALUE"""),"d1a6abd8-5e9b-44bc-9b53-75b5dec3b5e2")</f>
        <v>d1a6abd8-5e9b-44bc-9b53-75b5dec3b5e2</v>
      </c>
      <c r="C1137" s="7">
        <f>IFERROR(__xludf.DUMMYFUNCTION("""COMPUTED_VALUE"""),0.0)</f>
        <v>0</v>
      </c>
      <c r="D1137" s="6">
        <f>IFERROR(__xludf.DUMMYFUNCTION("""COMPUTED_VALUE"""),45705.0)</f>
        <v>45705</v>
      </c>
      <c r="E1137" s="7" t="str">
        <f>IFERROR(__xludf.DUMMYFUNCTION("""COMPUTED_VALUE"""),"FRANQUIA_D&amp;G_SP")</f>
        <v>FRANQUIA_D&amp;G_SP</v>
      </c>
      <c r="F1137" s="7" t="str">
        <f>IFERROR(__xludf.DUMMYFUNCTION("""COMPUTED_VALUE"""),"BICYCLE")</f>
        <v>BICYCLE</v>
      </c>
      <c r="G1137" s="7" t="str">
        <f>IFERROR(__xludf.DUMMYFUNCTION("""COMPUTED_VALUE"""),"SAO PAULO")</f>
        <v>SAO PAULO</v>
      </c>
    </row>
    <row r="1138">
      <c r="A1138" s="6">
        <f>IFERROR(__xludf.DUMMYFUNCTION("""COMPUTED_VALUE"""),45705.0)</f>
        <v>45705</v>
      </c>
      <c r="B1138" s="7" t="str">
        <f>IFERROR(__xludf.DUMMYFUNCTION("""COMPUTED_VALUE"""),"0b56f139-6094-4740-8117-fad6329e8a95")</f>
        <v>0b56f139-6094-4740-8117-fad6329e8a95</v>
      </c>
      <c r="C1138" s="7">
        <f>IFERROR(__xludf.DUMMYFUNCTION("""COMPUTED_VALUE"""),0.0)</f>
        <v>0</v>
      </c>
      <c r="D1138" s="6">
        <f>IFERROR(__xludf.DUMMYFUNCTION("""COMPUTED_VALUE"""),45705.0)</f>
        <v>45705</v>
      </c>
      <c r="E1138" s="7" t="str">
        <f>IFERROR(__xludf.DUMMYFUNCTION("""COMPUTED_VALUE"""),"FRANQUIA_D&amp;G_SP")</f>
        <v>FRANQUIA_D&amp;G_SP</v>
      </c>
      <c r="F1138" s="7" t="str">
        <f>IFERROR(__xludf.DUMMYFUNCTION("""COMPUTED_VALUE"""),"MOTORCYCLE")</f>
        <v>MOTORCYCLE</v>
      </c>
      <c r="G1138" s="7" t="str">
        <f>IFERROR(__xludf.DUMMYFUNCTION("""COMPUTED_VALUE"""),"SAO PAULO")</f>
        <v>SAO PAULO</v>
      </c>
    </row>
    <row r="1139">
      <c r="A1139" s="6">
        <f>IFERROR(__xludf.DUMMYFUNCTION("""COMPUTED_VALUE"""),45705.0)</f>
        <v>45705</v>
      </c>
      <c r="B1139" s="7" t="str">
        <f>IFERROR(__xludf.DUMMYFUNCTION("""COMPUTED_VALUE"""),"924ab951-1884-4cdc-97d2-b9652b48c2bf")</f>
        <v>924ab951-1884-4cdc-97d2-b9652b48c2bf</v>
      </c>
      <c r="C1139" s="7">
        <f>IFERROR(__xludf.DUMMYFUNCTION("""COMPUTED_VALUE"""),212.0)</f>
        <v>212</v>
      </c>
      <c r="D1139" s="6">
        <f>IFERROR(__xludf.DUMMYFUNCTION("""COMPUTED_VALUE"""),45493.0)</f>
        <v>45493</v>
      </c>
      <c r="E1139" s="7" t="str">
        <f>IFERROR(__xludf.DUMMYFUNCTION("""COMPUTED_VALUE"""),"FRANQUIA_D&amp;G_SP")</f>
        <v>FRANQUIA_D&amp;G_SP</v>
      </c>
      <c r="F1139" s="7" t="str">
        <f>IFERROR(__xludf.DUMMYFUNCTION("""COMPUTED_VALUE"""),"BICYCLE")</f>
        <v>BICYCLE</v>
      </c>
      <c r="G1139" s="7" t="str">
        <f>IFERROR(__xludf.DUMMYFUNCTION("""COMPUTED_VALUE"""),"SAO PAULO")</f>
        <v>SAO PAULO</v>
      </c>
    </row>
    <row r="1140">
      <c r="A1140" s="6">
        <f>IFERROR(__xludf.DUMMYFUNCTION("""COMPUTED_VALUE"""),45705.0)</f>
        <v>45705</v>
      </c>
      <c r="B1140" s="7" t="str">
        <f>IFERROR(__xludf.DUMMYFUNCTION("""COMPUTED_VALUE"""),"dc511a23-118d-42f4-a908-87684a9ac064")</f>
        <v>dc511a23-118d-42f4-a908-87684a9ac064</v>
      </c>
      <c r="C1140" s="7">
        <f>IFERROR(__xludf.DUMMYFUNCTION("""COMPUTED_VALUE"""),0.0)</f>
        <v>0</v>
      </c>
      <c r="D1140" s="6">
        <f>IFERROR(__xludf.DUMMYFUNCTION("""COMPUTED_VALUE"""),45705.0)</f>
        <v>45705</v>
      </c>
      <c r="E1140" s="7" t="str">
        <f>IFERROR(__xludf.DUMMYFUNCTION("""COMPUTED_VALUE"""),"FRANQUIA_D&amp;G_SP")</f>
        <v>FRANQUIA_D&amp;G_SP</v>
      </c>
      <c r="F1140" s="7" t="str">
        <f>IFERROR(__xludf.DUMMYFUNCTION("""COMPUTED_VALUE"""),"MOTORCYCLE")</f>
        <v>MOTORCYCLE</v>
      </c>
      <c r="G1140" s="7" t="str">
        <f>IFERROR(__xludf.DUMMYFUNCTION("""COMPUTED_VALUE"""),"SAO PAULO")</f>
        <v>SAO PAULO</v>
      </c>
    </row>
    <row r="1141">
      <c r="A1141" s="6">
        <f>IFERROR(__xludf.DUMMYFUNCTION("""COMPUTED_VALUE"""),45705.0)</f>
        <v>45705</v>
      </c>
      <c r="B1141" s="7" t="str">
        <f>IFERROR(__xludf.DUMMYFUNCTION("""COMPUTED_VALUE"""),"8b4ed3f2-82f6-4460-8024-4d596ec6044d")</f>
        <v>8b4ed3f2-82f6-4460-8024-4d596ec6044d</v>
      </c>
      <c r="C1141" s="7">
        <f>IFERROR(__xludf.DUMMYFUNCTION("""COMPUTED_VALUE"""),0.0)</f>
        <v>0</v>
      </c>
      <c r="D1141" s="6">
        <f>IFERROR(__xludf.DUMMYFUNCTION("""COMPUTED_VALUE"""),45705.0)</f>
        <v>45705</v>
      </c>
      <c r="E1141" s="7" t="str">
        <f>IFERROR(__xludf.DUMMYFUNCTION("""COMPUTED_VALUE"""),"FRANQUIA_D&amp;G_SP")</f>
        <v>FRANQUIA_D&amp;G_SP</v>
      </c>
      <c r="F1141" s="7" t="str">
        <f>IFERROR(__xludf.DUMMYFUNCTION("""COMPUTED_VALUE"""),"MOTORCYCLE")</f>
        <v>MOTORCYCLE</v>
      </c>
      <c r="G1141" s="7" t="str">
        <f>IFERROR(__xludf.DUMMYFUNCTION("""COMPUTED_VALUE"""),"SAO PAULO")</f>
        <v>SAO PAULO</v>
      </c>
    </row>
    <row r="1142">
      <c r="A1142" s="6">
        <f>IFERROR(__xludf.DUMMYFUNCTION("""COMPUTED_VALUE"""),45705.0)</f>
        <v>45705</v>
      </c>
      <c r="B1142" s="7" t="str">
        <f>IFERROR(__xludf.DUMMYFUNCTION("""COMPUTED_VALUE"""),"8cb76fb9-4aa7-4951-90f4-c5cd6c534438")</f>
        <v>8cb76fb9-4aa7-4951-90f4-c5cd6c534438</v>
      </c>
      <c r="C1142" s="7">
        <f>IFERROR(__xludf.DUMMYFUNCTION("""COMPUTED_VALUE"""),16.0)</f>
        <v>16</v>
      </c>
      <c r="D1142" s="6">
        <f>IFERROR(__xludf.DUMMYFUNCTION("""COMPUTED_VALUE"""),45689.0)</f>
        <v>45689</v>
      </c>
      <c r="E1142" s="7" t="str">
        <f>IFERROR(__xludf.DUMMYFUNCTION("""COMPUTED_VALUE"""),"FRANQUIA_D&amp;G_SP")</f>
        <v>FRANQUIA_D&amp;G_SP</v>
      </c>
      <c r="F1142" s="7" t="str">
        <f>IFERROR(__xludf.DUMMYFUNCTION("""COMPUTED_VALUE"""),"BICYCLE")</f>
        <v>BICYCLE</v>
      </c>
      <c r="G1142" s="7" t="str">
        <f>IFERROR(__xludf.DUMMYFUNCTION("""COMPUTED_VALUE"""),"SAO PAULO")</f>
        <v>SAO PAULO</v>
      </c>
    </row>
    <row r="1143">
      <c r="A1143" s="6">
        <f>IFERROR(__xludf.DUMMYFUNCTION("""COMPUTED_VALUE"""),45705.0)</f>
        <v>45705</v>
      </c>
      <c r="B1143" s="7" t="str">
        <f>IFERROR(__xludf.DUMMYFUNCTION("""COMPUTED_VALUE"""),"242a9fd2-734f-4ef4-a4e5-f28cc1c0c11f")</f>
        <v>242a9fd2-734f-4ef4-a4e5-f28cc1c0c11f</v>
      </c>
      <c r="C1143" s="7">
        <f>IFERROR(__xludf.DUMMYFUNCTION("""COMPUTED_VALUE"""),0.0)</f>
        <v>0</v>
      </c>
      <c r="D1143" s="6">
        <f>IFERROR(__xludf.DUMMYFUNCTION("""COMPUTED_VALUE"""),45705.0)</f>
        <v>45705</v>
      </c>
      <c r="E1143" s="7" t="str">
        <f>IFERROR(__xludf.DUMMYFUNCTION("""COMPUTED_VALUE"""),"FRANQUIA_D&amp;G_SP")</f>
        <v>FRANQUIA_D&amp;G_SP</v>
      </c>
      <c r="F1143" s="7" t="str">
        <f>IFERROR(__xludf.DUMMYFUNCTION("""COMPUTED_VALUE"""),"MOTORCYCLE")</f>
        <v>MOTORCYCLE</v>
      </c>
      <c r="G1143" s="7" t="str">
        <f>IFERROR(__xludf.DUMMYFUNCTION("""COMPUTED_VALUE"""),"SAO PAULO")</f>
        <v>SAO PAULO</v>
      </c>
    </row>
    <row r="1144">
      <c r="A1144" s="6">
        <f>IFERROR(__xludf.DUMMYFUNCTION("""COMPUTED_VALUE"""),45705.0)</f>
        <v>45705</v>
      </c>
      <c r="B1144" s="7" t="str">
        <f>IFERROR(__xludf.DUMMYFUNCTION("""COMPUTED_VALUE"""),"d33c11f7-135e-4b19-814e-2bd8ec7a30a2")</f>
        <v>d33c11f7-135e-4b19-814e-2bd8ec7a30a2</v>
      </c>
      <c r="C1144" s="7">
        <f>IFERROR(__xludf.DUMMYFUNCTION("""COMPUTED_VALUE"""),0.0)</f>
        <v>0</v>
      </c>
      <c r="D1144" s="6">
        <f>IFERROR(__xludf.DUMMYFUNCTION("""COMPUTED_VALUE"""),0.0)</f>
        <v>0</v>
      </c>
      <c r="E1144" s="7" t="str">
        <f>IFERROR(__xludf.DUMMYFUNCTION("""COMPUTED_VALUE"""),"FRANQUIA_D&amp;G_SP")</f>
        <v>FRANQUIA_D&amp;G_SP</v>
      </c>
      <c r="F1144" s="7" t="str">
        <f>IFERROR(__xludf.DUMMYFUNCTION("""COMPUTED_VALUE"""),"MOTORCYCLE")</f>
        <v>MOTORCYCLE</v>
      </c>
      <c r="G1144" s="7" t="str">
        <f>IFERROR(__xludf.DUMMYFUNCTION("""COMPUTED_VALUE"""),"0")</f>
        <v>0</v>
      </c>
    </row>
    <row r="1145">
      <c r="A1145" s="6">
        <f>IFERROR(__xludf.DUMMYFUNCTION("""COMPUTED_VALUE"""),45705.0)</f>
        <v>45705</v>
      </c>
      <c r="B1145" s="7" t="str">
        <f>IFERROR(__xludf.DUMMYFUNCTION("""COMPUTED_VALUE"""),"04723916-6d7d-4ed5-aefe-20451d3c1c29")</f>
        <v>04723916-6d7d-4ed5-aefe-20451d3c1c29</v>
      </c>
      <c r="C1145" s="7">
        <f>IFERROR(__xludf.DUMMYFUNCTION("""COMPUTED_VALUE"""),203.0)</f>
        <v>203</v>
      </c>
      <c r="D1145" s="6">
        <f>IFERROR(__xludf.DUMMYFUNCTION("""COMPUTED_VALUE"""),45502.0)</f>
        <v>45502</v>
      </c>
      <c r="E1145" s="7" t="str">
        <f>IFERROR(__xludf.DUMMYFUNCTION("""COMPUTED_VALUE"""),"FRANQUIA_D&amp;G_SP")</f>
        <v>FRANQUIA_D&amp;G_SP</v>
      </c>
      <c r="F1145" s="7" t="str">
        <f>IFERROR(__xludf.DUMMYFUNCTION("""COMPUTED_VALUE"""),"MOTORCYCLE")</f>
        <v>MOTORCYCLE</v>
      </c>
      <c r="G1145" s="7" t="str">
        <f>IFERROR(__xludf.DUMMYFUNCTION("""COMPUTED_VALUE"""),"SAO PAULO")</f>
        <v>SAO PAULO</v>
      </c>
    </row>
    <row r="1146">
      <c r="A1146" s="6">
        <f>IFERROR(__xludf.DUMMYFUNCTION("""COMPUTED_VALUE"""),45705.0)</f>
        <v>45705</v>
      </c>
      <c r="B1146" s="7" t="str">
        <f>IFERROR(__xludf.DUMMYFUNCTION("""COMPUTED_VALUE"""),"5a6d3347-b011-463c-839f-f3848da3cab6")</f>
        <v>5a6d3347-b011-463c-839f-f3848da3cab6</v>
      </c>
      <c r="C1146" s="7">
        <f>IFERROR(__xludf.DUMMYFUNCTION("""COMPUTED_VALUE"""),6.0)</f>
        <v>6</v>
      </c>
      <c r="D1146" s="6">
        <f>IFERROR(__xludf.DUMMYFUNCTION("""COMPUTED_VALUE"""),45699.0)</f>
        <v>45699</v>
      </c>
      <c r="E1146" s="7" t="str">
        <f>IFERROR(__xludf.DUMMYFUNCTION("""COMPUTED_VALUE"""),"FRANQUIA_D&amp;G_SP")</f>
        <v>FRANQUIA_D&amp;G_SP</v>
      </c>
      <c r="F1146" s="7" t="str">
        <f>IFERROR(__xludf.DUMMYFUNCTION("""COMPUTED_VALUE"""),"MOTORCYCLE")</f>
        <v>MOTORCYCLE</v>
      </c>
      <c r="G1146" s="7" t="str">
        <f>IFERROR(__xludf.DUMMYFUNCTION("""COMPUTED_VALUE"""),"ABC")</f>
        <v>ABC</v>
      </c>
    </row>
    <row r="1147">
      <c r="A1147" s="6">
        <f>IFERROR(__xludf.DUMMYFUNCTION("""COMPUTED_VALUE"""),45705.0)</f>
        <v>45705</v>
      </c>
      <c r="B1147" s="7" t="str">
        <f>IFERROR(__xludf.DUMMYFUNCTION("""COMPUTED_VALUE"""),"bf54be97-f7a1-4a4b-90f1-0a8a7435d076")</f>
        <v>bf54be97-f7a1-4a4b-90f1-0a8a7435d076</v>
      </c>
      <c r="C1147" s="7">
        <f>IFERROR(__xludf.DUMMYFUNCTION("""COMPUTED_VALUE"""),76.0)</f>
        <v>76</v>
      </c>
      <c r="D1147" s="6">
        <f>IFERROR(__xludf.DUMMYFUNCTION("""COMPUTED_VALUE"""),45629.0)</f>
        <v>45629</v>
      </c>
      <c r="E1147" s="7" t="str">
        <f>IFERROR(__xludf.DUMMYFUNCTION("""COMPUTED_VALUE"""),"FRANQUIA_D&amp;G_SP")</f>
        <v>FRANQUIA_D&amp;G_SP</v>
      </c>
      <c r="F1147" s="7" t="str">
        <f>IFERROR(__xludf.DUMMYFUNCTION("""COMPUTED_VALUE"""),"BICYCLE")</f>
        <v>BICYCLE</v>
      </c>
      <c r="G1147" s="7" t="str">
        <f>IFERROR(__xludf.DUMMYFUNCTION("""COMPUTED_VALUE"""),"SAO PAULO")</f>
        <v>SAO PAULO</v>
      </c>
    </row>
    <row r="1148">
      <c r="A1148" s="6">
        <f>IFERROR(__xludf.DUMMYFUNCTION("""COMPUTED_VALUE"""),45705.0)</f>
        <v>45705</v>
      </c>
      <c r="B1148" s="7" t="str">
        <f>IFERROR(__xludf.DUMMYFUNCTION("""COMPUTED_VALUE"""),"71f1dc9b-9780-48de-8abd-fd2cb739c3b1")</f>
        <v>71f1dc9b-9780-48de-8abd-fd2cb739c3b1</v>
      </c>
      <c r="C1148" s="7">
        <f>IFERROR(__xludf.DUMMYFUNCTION("""COMPUTED_VALUE"""),1.0)</f>
        <v>1</v>
      </c>
      <c r="D1148" s="6">
        <f>IFERROR(__xludf.DUMMYFUNCTION("""COMPUTED_VALUE"""),45704.0)</f>
        <v>45704</v>
      </c>
      <c r="E1148" s="7" t="str">
        <f>IFERROR(__xludf.DUMMYFUNCTION("""COMPUTED_VALUE"""),"FRANQUIA_D&amp;G_SP")</f>
        <v>FRANQUIA_D&amp;G_SP</v>
      </c>
      <c r="F1148" s="7" t="str">
        <f>IFERROR(__xludf.DUMMYFUNCTION("""COMPUTED_VALUE"""),"MOTORCYCLE")</f>
        <v>MOTORCYCLE</v>
      </c>
      <c r="G1148" s="7" t="str">
        <f>IFERROR(__xludf.DUMMYFUNCTION("""COMPUTED_VALUE"""),"SAO PAULO")</f>
        <v>SAO PAULO</v>
      </c>
    </row>
    <row r="1149">
      <c r="A1149" s="6">
        <f>IFERROR(__xludf.DUMMYFUNCTION("""COMPUTED_VALUE"""),45705.0)</f>
        <v>45705</v>
      </c>
      <c r="B1149" s="7" t="str">
        <f>IFERROR(__xludf.DUMMYFUNCTION("""COMPUTED_VALUE"""),"9bb03a5c-5a56-4238-b28e-a5f411e08d04")</f>
        <v>9bb03a5c-5a56-4238-b28e-a5f411e08d04</v>
      </c>
      <c r="C1149" s="7">
        <f>IFERROR(__xludf.DUMMYFUNCTION("""COMPUTED_VALUE"""),0.0)</f>
        <v>0</v>
      </c>
      <c r="D1149" s="6">
        <f>IFERROR(__xludf.DUMMYFUNCTION("""COMPUTED_VALUE"""),45705.0)</f>
        <v>45705</v>
      </c>
      <c r="E1149" s="7" t="str">
        <f>IFERROR(__xludf.DUMMYFUNCTION("""COMPUTED_VALUE"""),"FRANQUIA_D&amp;G_SP")</f>
        <v>FRANQUIA_D&amp;G_SP</v>
      </c>
      <c r="F1149" s="7" t="str">
        <f>IFERROR(__xludf.DUMMYFUNCTION("""COMPUTED_VALUE"""),"MOTORCYCLE")</f>
        <v>MOTORCYCLE</v>
      </c>
      <c r="G1149" s="7" t="str">
        <f>IFERROR(__xludf.DUMMYFUNCTION("""COMPUTED_VALUE"""),"SAO PAULO")</f>
        <v>SAO PAULO</v>
      </c>
    </row>
    <row r="1150">
      <c r="A1150" s="6">
        <f>IFERROR(__xludf.DUMMYFUNCTION("""COMPUTED_VALUE"""),45705.0)</f>
        <v>45705</v>
      </c>
      <c r="B1150" s="7" t="str">
        <f>IFERROR(__xludf.DUMMYFUNCTION("""COMPUTED_VALUE"""),"8ac2509a-1d1a-492b-b885-a092bb4ab888")</f>
        <v>8ac2509a-1d1a-492b-b885-a092bb4ab888</v>
      </c>
      <c r="C1150" s="7">
        <f>IFERROR(__xludf.DUMMYFUNCTION("""COMPUTED_VALUE"""),0.0)</f>
        <v>0</v>
      </c>
      <c r="D1150" s="6">
        <f>IFERROR(__xludf.DUMMYFUNCTION("""COMPUTED_VALUE"""),0.0)</f>
        <v>0</v>
      </c>
      <c r="E1150" s="7" t="str">
        <f>IFERROR(__xludf.DUMMYFUNCTION("""COMPUTED_VALUE"""),"FRANQUIA_D&amp;G_SP")</f>
        <v>FRANQUIA_D&amp;G_SP</v>
      </c>
      <c r="F1150" s="7" t="str">
        <f>IFERROR(__xludf.DUMMYFUNCTION("""COMPUTED_VALUE"""),"BICYCLE")</f>
        <v>BICYCLE</v>
      </c>
      <c r="G1150" s="7" t="str">
        <f>IFERROR(__xludf.DUMMYFUNCTION("""COMPUTED_VALUE"""),"0")</f>
        <v>0</v>
      </c>
    </row>
    <row r="1151">
      <c r="A1151" s="6">
        <f>IFERROR(__xludf.DUMMYFUNCTION("""COMPUTED_VALUE"""),45705.0)</f>
        <v>45705</v>
      </c>
      <c r="B1151" s="7" t="str">
        <f>IFERROR(__xludf.DUMMYFUNCTION("""COMPUTED_VALUE"""),"1155d41f-5128-4b83-9b99-a67c95cf847a")</f>
        <v>1155d41f-5128-4b83-9b99-a67c95cf847a</v>
      </c>
      <c r="C1151" s="7">
        <f>IFERROR(__xludf.DUMMYFUNCTION("""COMPUTED_VALUE"""),0.0)</f>
        <v>0</v>
      </c>
      <c r="D1151" s="6">
        <f>IFERROR(__xludf.DUMMYFUNCTION("""COMPUTED_VALUE"""),45705.0)</f>
        <v>45705</v>
      </c>
      <c r="E1151" s="7" t="str">
        <f>IFERROR(__xludf.DUMMYFUNCTION("""COMPUTED_VALUE"""),"FRANQUIA_D&amp;G_SP")</f>
        <v>FRANQUIA_D&amp;G_SP</v>
      </c>
      <c r="F1151" s="7" t="str">
        <f>IFERROR(__xludf.DUMMYFUNCTION("""COMPUTED_VALUE"""),"EBIKE")</f>
        <v>EBIKE</v>
      </c>
      <c r="G1151" s="7" t="str">
        <f>IFERROR(__xludf.DUMMYFUNCTION("""COMPUTED_VALUE"""),"SAO PAULO")</f>
        <v>SAO PAULO</v>
      </c>
    </row>
    <row r="1152">
      <c r="A1152" s="6">
        <f>IFERROR(__xludf.DUMMYFUNCTION("""COMPUTED_VALUE"""),45705.0)</f>
        <v>45705</v>
      </c>
      <c r="B1152" s="7" t="str">
        <f>IFERROR(__xludf.DUMMYFUNCTION("""COMPUTED_VALUE"""),"7b691aed-56b6-42f0-b16a-3a3bd6d1e66d")</f>
        <v>7b691aed-56b6-42f0-b16a-3a3bd6d1e66d</v>
      </c>
      <c r="C1152" s="7">
        <f>IFERROR(__xludf.DUMMYFUNCTION("""COMPUTED_VALUE"""),0.0)</f>
        <v>0</v>
      </c>
      <c r="D1152" s="6">
        <f>IFERROR(__xludf.DUMMYFUNCTION("""COMPUTED_VALUE"""),45705.0)</f>
        <v>45705</v>
      </c>
      <c r="E1152" s="7" t="str">
        <f>IFERROR(__xludf.DUMMYFUNCTION("""COMPUTED_VALUE"""),"FRANQUIA_D&amp;G_SP")</f>
        <v>FRANQUIA_D&amp;G_SP</v>
      </c>
      <c r="F1152" s="7" t="str">
        <f>IFERROR(__xludf.DUMMYFUNCTION("""COMPUTED_VALUE"""),"BICYCLE")</f>
        <v>BICYCLE</v>
      </c>
      <c r="G1152" s="7" t="str">
        <f>IFERROR(__xludf.DUMMYFUNCTION("""COMPUTED_VALUE"""),"SAO PAULO")</f>
        <v>SAO PAULO</v>
      </c>
    </row>
    <row r="1153">
      <c r="A1153" s="6">
        <f>IFERROR(__xludf.DUMMYFUNCTION("""COMPUTED_VALUE"""),45705.0)</f>
        <v>45705</v>
      </c>
      <c r="B1153" s="7" t="str">
        <f>IFERROR(__xludf.DUMMYFUNCTION("""COMPUTED_VALUE"""),"92b8a441-ebd8-43eb-80cb-bf3c21551879")</f>
        <v>92b8a441-ebd8-43eb-80cb-bf3c21551879</v>
      </c>
      <c r="C1153" s="7">
        <f>IFERROR(__xludf.DUMMYFUNCTION("""COMPUTED_VALUE"""),43.0)</f>
        <v>43</v>
      </c>
      <c r="D1153" s="6">
        <f>IFERROR(__xludf.DUMMYFUNCTION("""COMPUTED_VALUE"""),45662.0)</f>
        <v>45662</v>
      </c>
      <c r="E1153" s="7" t="str">
        <f>IFERROR(__xludf.DUMMYFUNCTION("""COMPUTED_VALUE"""),"FRANQUIA_D&amp;G_SP")</f>
        <v>FRANQUIA_D&amp;G_SP</v>
      </c>
      <c r="F1153" s="7" t="str">
        <f>IFERROR(__xludf.DUMMYFUNCTION("""COMPUTED_VALUE"""),"MOTORCYCLE")</f>
        <v>MOTORCYCLE</v>
      </c>
      <c r="G1153" s="7" t="str">
        <f>IFERROR(__xludf.DUMMYFUNCTION("""COMPUTED_VALUE"""),"SAO PAULO")</f>
        <v>SAO PAULO</v>
      </c>
    </row>
    <row r="1154">
      <c r="A1154" s="6">
        <f>IFERROR(__xludf.DUMMYFUNCTION("""COMPUTED_VALUE"""),45705.0)</f>
        <v>45705</v>
      </c>
      <c r="B1154" s="7" t="str">
        <f>IFERROR(__xludf.DUMMYFUNCTION("""COMPUTED_VALUE"""),"40395914-0c66-4639-8339-25c5ea24779c")</f>
        <v>40395914-0c66-4639-8339-25c5ea24779c</v>
      </c>
      <c r="C1154" s="7">
        <f>IFERROR(__xludf.DUMMYFUNCTION("""COMPUTED_VALUE"""),85.0)</f>
        <v>85</v>
      </c>
      <c r="D1154" s="6">
        <f>IFERROR(__xludf.DUMMYFUNCTION("""COMPUTED_VALUE"""),45620.0)</f>
        <v>45620</v>
      </c>
      <c r="E1154" s="7" t="str">
        <f>IFERROR(__xludf.DUMMYFUNCTION("""COMPUTED_VALUE"""),"FRANQUIA_D&amp;G_SP")</f>
        <v>FRANQUIA_D&amp;G_SP</v>
      </c>
      <c r="F1154" s="7" t="str">
        <f>IFERROR(__xludf.DUMMYFUNCTION("""COMPUTED_VALUE"""),"MOTORCYCLE")</f>
        <v>MOTORCYCLE</v>
      </c>
      <c r="G1154" s="7" t="str">
        <f>IFERROR(__xludf.DUMMYFUNCTION("""COMPUTED_VALUE"""),"SAO PAULO")</f>
        <v>SAO PAULO</v>
      </c>
    </row>
    <row r="1155">
      <c r="A1155" s="6">
        <f>IFERROR(__xludf.DUMMYFUNCTION("""COMPUTED_VALUE"""),45705.0)</f>
        <v>45705</v>
      </c>
      <c r="B1155" s="7" t="str">
        <f>IFERROR(__xludf.DUMMYFUNCTION("""COMPUTED_VALUE"""),"7a725621-84a6-4dfe-a70a-959b29f62d7a")</f>
        <v>7a725621-84a6-4dfe-a70a-959b29f62d7a</v>
      </c>
      <c r="C1155" s="7">
        <f>IFERROR(__xludf.DUMMYFUNCTION("""COMPUTED_VALUE"""),210.0)</f>
        <v>210</v>
      </c>
      <c r="D1155" s="6">
        <f>IFERROR(__xludf.DUMMYFUNCTION("""COMPUTED_VALUE"""),45495.0)</f>
        <v>45495</v>
      </c>
      <c r="E1155" s="7" t="str">
        <f>IFERROR(__xludf.DUMMYFUNCTION("""COMPUTED_VALUE"""),"FRANQUIA_D&amp;G_SP")</f>
        <v>FRANQUIA_D&amp;G_SP</v>
      </c>
      <c r="F1155" s="7" t="str">
        <f>IFERROR(__xludf.DUMMYFUNCTION("""COMPUTED_VALUE"""),"BICYCLE")</f>
        <v>BICYCLE</v>
      </c>
      <c r="G1155" s="7" t="str">
        <f>IFERROR(__xludf.DUMMYFUNCTION("""COMPUTED_VALUE"""),"SAO PAULO")</f>
        <v>SAO PAULO</v>
      </c>
    </row>
    <row r="1156">
      <c r="A1156" s="6">
        <f>IFERROR(__xludf.DUMMYFUNCTION("""COMPUTED_VALUE"""),45705.0)</f>
        <v>45705</v>
      </c>
      <c r="B1156" s="7" t="str">
        <f>IFERROR(__xludf.DUMMYFUNCTION("""COMPUTED_VALUE"""),"b2f75ce3-fb90-480f-943e-d2143f468203")</f>
        <v>b2f75ce3-fb90-480f-943e-d2143f468203</v>
      </c>
      <c r="C1156" s="7">
        <f>IFERROR(__xludf.DUMMYFUNCTION("""COMPUTED_VALUE"""),268.0)</f>
        <v>268</v>
      </c>
      <c r="D1156" s="6">
        <f>IFERROR(__xludf.DUMMYFUNCTION("""COMPUTED_VALUE"""),45437.0)</f>
        <v>45437</v>
      </c>
      <c r="E1156" s="7" t="str">
        <f>IFERROR(__xludf.DUMMYFUNCTION("""COMPUTED_VALUE"""),"FRANQUIA_D&amp;G_SP")</f>
        <v>FRANQUIA_D&amp;G_SP</v>
      </c>
      <c r="F1156" s="7" t="str">
        <f>IFERROR(__xludf.DUMMYFUNCTION("""COMPUTED_VALUE"""),"MOTORCYCLE")</f>
        <v>MOTORCYCLE</v>
      </c>
      <c r="G1156" s="7" t="str">
        <f>IFERROR(__xludf.DUMMYFUNCTION("""COMPUTED_VALUE"""),"SAO PAULO")</f>
        <v>SAO PAULO</v>
      </c>
    </row>
    <row r="1157">
      <c r="A1157" s="6">
        <f>IFERROR(__xludf.DUMMYFUNCTION("""COMPUTED_VALUE"""),45705.0)</f>
        <v>45705</v>
      </c>
      <c r="B1157" s="7" t="str">
        <f>IFERROR(__xludf.DUMMYFUNCTION("""COMPUTED_VALUE"""),"351dd4b8-0ca6-49af-baf1-aa9f473e5536")</f>
        <v>351dd4b8-0ca6-49af-baf1-aa9f473e5536</v>
      </c>
      <c r="C1157" s="7">
        <f>IFERROR(__xludf.DUMMYFUNCTION("""COMPUTED_VALUE"""),407.0)</f>
        <v>407</v>
      </c>
      <c r="D1157" s="6">
        <f>IFERROR(__xludf.DUMMYFUNCTION("""COMPUTED_VALUE"""),45298.0)</f>
        <v>45298</v>
      </c>
      <c r="E1157" s="7" t="str">
        <f>IFERROR(__xludf.DUMMYFUNCTION("""COMPUTED_VALUE"""),"FRANQUIA_D&amp;G_SP")</f>
        <v>FRANQUIA_D&amp;G_SP</v>
      </c>
      <c r="F1157" s="7" t="str">
        <f>IFERROR(__xludf.DUMMYFUNCTION("""COMPUTED_VALUE"""),"BICYCLE")</f>
        <v>BICYCLE</v>
      </c>
      <c r="G1157" s="7" t="str">
        <f>IFERROR(__xludf.DUMMYFUNCTION("""COMPUTED_VALUE"""),"SAO PAULO")</f>
        <v>SAO PAULO</v>
      </c>
    </row>
    <row r="1158">
      <c r="A1158" s="6">
        <f>IFERROR(__xludf.DUMMYFUNCTION("""COMPUTED_VALUE"""),45705.0)</f>
        <v>45705</v>
      </c>
      <c r="B1158" s="7" t="str">
        <f>IFERROR(__xludf.DUMMYFUNCTION("""COMPUTED_VALUE"""),"172af9ab-71e1-4c54-aff9-4c970b40b199")</f>
        <v>172af9ab-71e1-4c54-aff9-4c970b40b199</v>
      </c>
      <c r="C1158" s="7">
        <f>IFERROR(__xludf.DUMMYFUNCTION("""COMPUTED_VALUE"""),0.0)</f>
        <v>0</v>
      </c>
      <c r="D1158" s="6">
        <f>IFERROR(__xludf.DUMMYFUNCTION("""COMPUTED_VALUE"""),45705.0)</f>
        <v>45705</v>
      </c>
      <c r="E1158" s="7" t="str">
        <f>IFERROR(__xludf.DUMMYFUNCTION("""COMPUTED_VALUE"""),"FRANQUIA_D&amp;G_SP")</f>
        <v>FRANQUIA_D&amp;G_SP</v>
      </c>
      <c r="F1158" s="7" t="str">
        <f>IFERROR(__xludf.DUMMYFUNCTION("""COMPUTED_VALUE"""),"MOTORCYCLE")</f>
        <v>MOTORCYCLE</v>
      </c>
      <c r="G1158" s="7" t="str">
        <f>IFERROR(__xludf.DUMMYFUNCTION("""COMPUTED_VALUE"""),"SAO PAULO")</f>
        <v>SAO PAULO</v>
      </c>
    </row>
    <row r="1159">
      <c r="A1159" s="6">
        <f>IFERROR(__xludf.DUMMYFUNCTION("""COMPUTED_VALUE"""),45705.0)</f>
        <v>45705</v>
      </c>
      <c r="B1159" s="7" t="str">
        <f>IFERROR(__xludf.DUMMYFUNCTION("""COMPUTED_VALUE"""),"1c6a6c96-6fc0-4e37-aa10-85185786e059")</f>
        <v>1c6a6c96-6fc0-4e37-aa10-85185786e059</v>
      </c>
      <c r="C1159" s="7">
        <f>IFERROR(__xludf.DUMMYFUNCTION("""COMPUTED_VALUE"""),59.0)</f>
        <v>59</v>
      </c>
      <c r="D1159" s="6">
        <f>IFERROR(__xludf.DUMMYFUNCTION("""COMPUTED_VALUE"""),45646.0)</f>
        <v>45646</v>
      </c>
      <c r="E1159" s="7" t="str">
        <f>IFERROR(__xludf.DUMMYFUNCTION("""COMPUTED_VALUE"""),"FRANQUIA_D&amp;G_SP")</f>
        <v>FRANQUIA_D&amp;G_SP</v>
      </c>
      <c r="F1159" s="7" t="str">
        <f>IFERROR(__xludf.DUMMYFUNCTION("""COMPUTED_VALUE"""),"MOTORCYCLE")</f>
        <v>MOTORCYCLE</v>
      </c>
      <c r="G1159" s="7" t="str">
        <f>IFERROR(__xludf.DUMMYFUNCTION("""COMPUTED_VALUE"""),"SANTOS")</f>
        <v>SANTOS</v>
      </c>
    </row>
    <row r="1160">
      <c r="A1160" s="6">
        <f>IFERROR(__xludf.DUMMYFUNCTION("""COMPUTED_VALUE"""),45705.0)</f>
        <v>45705</v>
      </c>
      <c r="B1160" s="7" t="str">
        <f>IFERROR(__xludf.DUMMYFUNCTION("""COMPUTED_VALUE"""),"a07ab623-4511-4945-b04e-51316e5226b5")</f>
        <v>a07ab623-4511-4945-b04e-51316e5226b5</v>
      </c>
      <c r="C1160" s="7">
        <f>IFERROR(__xludf.DUMMYFUNCTION("""COMPUTED_VALUE"""),0.0)</f>
        <v>0</v>
      </c>
      <c r="D1160" s="6">
        <f>IFERROR(__xludf.DUMMYFUNCTION("""COMPUTED_VALUE"""),45705.0)</f>
        <v>45705</v>
      </c>
      <c r="E1160" s="7" t="str">
        <f>IFERROR(__xludf.DUMMYFUNCTION("""COMPUTED_VALUE"""),"FRANQUIA_D&amp;G_SP")</f>
        <v>FRANQUIA_D&amp;G_SP</v>
      </c>
      <c r="F1160" s="7" t="str">
        <f>IFERROR(__xludf.DUMMYFUNCTION("""COMPUTED_VALUE"""),"MOTORCYCLE")</f>
        <v>MOTORCYCLE</v>
      </c>
      <c r="G1160" s="7" t="str">
        <f>IFERROR(__xludf.DUMMYFUNCTION("""COMPUTED_VALUE"""),"SAO PAULO")</f>
        <v>SAO PAULO</v>
      </c>
    </row>
    <row r="1161">
      <c r="A1161" s="6">
        <f>IFERROR(__xludf.DUMMYFUNCTION("""COMPUTED_VALUE"""),45705.0)</f>
        <v>45705</v>
      </c>
      <c r="B1161" s="7" t="str">
        <f>IFERROR(__xludf.DUMMYFUNCTION("""COMPUTED_VALUE"""),"066a4214-7edd-406e-8f27-3769c930d60b")</f>
        <v>066a4214-7edd-406e-8f27-3769c930d60b</v>
      </c>
      <c r="C1161" s="7">
        <f>IFERROR(__xludf.DUMMYFUNCTION("""COMPUTED_VALUE"""),402.0)</f>
        <v>402</v>
      </c>
      <c r="D1161" s="6">
        <f>IFERROR(__xludf.DUMMYFUNCTION("""COMPUTED_VALUE"""),45303.0)</f>
        <v>45303</v>
      </c>
      <c r="E1161" s="7" t="str">
        <f>IFERROR(__xludf.DUMMYFUNCTION("""COMPUTED_VALUE"""),"FRANQUIA_D&amp;G_SP")</f>
        <v>FRANQUIA_D&amp;G_SP</v>
      </c>
      <c r="F1161" s="7" t="str">
        <f>IFERROR(__xludf.DUMMYFUNCTION("""COMPUTED_VALUE"""),"BICYCLE")</f>
        <v>BICYCLE</v>
      </c>
      <c r="G1161" s="7" t="str">
        <f>IFERROR(__xludf.DUMMYFUNCTION("""COMPUTED_VALUE"""),"SAO PAULO")</f>
        <v>SAO PAULO</v>
      </c>
    </row>
    <row r="1162">
      <c r="A1162" s="6">
        <f>IFERROR(__xludf.DUMMYFUNCTION("""COMPUTED_VALUE"""),45705.0)</f>
        <v>45705</v>
      </c>
      <c r="B1162" s="7" t="str">
        <f>IFERROR(__xludf.DUMMYFUNCTION("""COMPUTED_VALUE"""),"912905a6-fe80-49eb-8fb3-ac3def33b171")</f>
        <v>912905a6-fe80-49eb-8fb3-ac3def33b171</v>
      </c>
      <c r="C1162" s="7">
        <f>IFERROR(__xludf.DUMMYFUNCTION("""COMPUTED_VALUE"""),0.0)</f>
        <v>0</v>
      </c>
      <c r="D1162" s="6">
        <f>IFERROR(__xludf.DUMMYFUNCTION("""COMPUTED_VALUE"""),45705.0)</f>
        <v>45705</v>
      </c>
      <c r="E1162" s="7" t="str">
        <f>IFERROR(__xludf.DUMMYFUNCTION("""COMPUTED_VALUE"""),"FRANQUIA_D&amp;G_SP")</f>
        <v>FRANQUIA_D&amp;G_SP</v>
      </c>
      <c r="F1162" s="7" t="str">
        <f>IFERROR(__xludf.DUMMYFUNCTION("""COMPUTED_VALUE"""),"BICYCLE")</f>
        <v>BICYCLE</v>
      </c>
      <c r="G1162" s="7" t="str">
        <f>IFERROR(__xludf.DUMMYFUNCTION("""COMPUTED_VALUE"""),"SAO PAULO")</f>
        <v>SAO PAULO</v>
      </c>
    </row>
    <row r="1163">
      <c r="A1163" s="6">
        <f>IFERROR(__xludf.DUMMYFUNCTION("""COMPUTED_VALUE"""),45705.0)</f>
        <v>45705</v>
      </c>
      <c r="B1163" s="7" t="str">
        <f>IFERROR(__xludf.DUMMYFUNCTION("""COMPUTED_VALUE"""),"9c6e6461-ed8d-4969-8b97-3d9e9b610998")</f>
        <v>9c6e6461-ed8d-4969-8b97-3d9e9b610998</v>
      </c>
      <c r="C1163" s="7">
        <f>IFERROR(__xludf.DUMMYFUNCTION("""COMPUTED_VALUE"""),1.0)</f>
        <v>1</v>
      </c>
      <c r="D1163" s="6">
        <f>IFERROR(__xludf.DUMMYFUNCTION("""COMPUTED_VALUE"""),45704.0)</f>
        <v>45704</v>
      </c>
      <c r="E1163" s="7" t="str">
        <f>IFERROR(__xludf.DUMMYFUNCTION("""COMPUTED_VALUE"""),"FRANQUIA_D&amp;G_SP")</f>
        <v>FRANQUIA_D&amp;G_SP</v>
      </c>
      <c r="F1163" s="7" t="str">
        <f>IFERROR(__xludf.DUMMYFUNCTION("""COMPUTED_VALUE"""),"EMOTORCYCLE")</f>
        <v>EMOTORCYCLE</v>
      </c>
      <c r="G1163" s="7" t="str">
        <f>IFERROR(__xludf.DUMMYFUNCTION("""COMPUTED_VALUE"""),"SAO PAULO")</f>
        <v>SAO PAULO</v>
      </c>
    </row>
    <row r="1164">
      <c r="A1164" s="6">
        <f>IFERROR(__xludf.DUMMYFUNCTION("""COMPUTED_VALUE"""),45705.0)</f>
        <v>45705</v>
      </c>
      <c r="B1164" s="7" t="str">
        <f>IFERROR(__xludf.DUMMYFUNCTION("""COMPUTED_VALUE"""),"95a98cbc-c138-4e08-9cf4-e0afccaad621")</f>
        <v>95a98cbc-c138-4e08-9cf4-e0afccaad621</v>
      </c>
      <c r="C1164" s="7">
        <f>IFERROR(__xludf.DUMMYFUNCTION("""COMPUTED_VALUE"""),5.0)</f>
        <v>5</v>
      </c>
      <c r="D1164" s="6">
        <f>IFERROR(__xludf.DUMMYFUNCTION("""COMPUTED_VALUE"""),45700.0)</f>
        <v>45700</v>
      </c>
      <c r="E1164" s="7" t="str">
        <f>IFERROR(__xludf.DUMMYFUNCTION("""COMPUTED_VALUE"""),"FRANQUIA_D&amp;G_SP")</f>
        <v>FRANQUIA_D&amp;G_SP</v>
      </c>
      <c r="F1164" s="7" t="str">
        <f>IFERROR(__xludf.DUMMYFUNCTION("""COMPUTED_VALUE"""),"BICYCLE")</f>
        <v>BICYCLE</v>
      </c>
      <c r="G1164" s="7" t="str">
        <f>IFERROR(__xludf.DUMMYFUNCTION("""COMPUTED_VALUE"""),"SAO PAULO")</f>
        <v>SAO PAULO</v>
      </c>
    </row>
    <row r="1165">
      <c r="A1165" s="6">
        <f>IFERROR(__xludf.DUMMYFUNCTION("""COMPUTED_VALUE"""),45705.0)</f>
        <v>45705</v>
      </c>
      <c r="B1165" s="7" t="str">
        <f>IFERROR(__xludf.DUMMYFUNCTION("""COMPUTED_VALUE"""),"88dbcf80-f0f4-4b06-a102-01fb8cd9d18f")</f>
        <v>88dbcf80-f0f4-4b06-a102-01fb8cd9d18f</v>
      </c>
      <c r="C1165" s="7">
        <f>IFERROR(__xludf.DUMMYFUNCTION("""COMPUTED_VALUE"""),0.0)</f>
        <v>0</v>
      </c>
      <c r="D1165" s="6">
        <f>IFERROR(__xludf.DUMMYFUNCTION("""COMPUTED_VALUE"""),45705.0)</f>
        <v>45705</v>
      </c>
      <c r="E1165" s="7" t="str">
        <f>IFERROR(__xludf.DUMMYFUNCTION("""COMPUTED_VALUE"""),"FRANQUIA_D&amp;G_SP")</f>
        <v>FRANQUIA_D&amp;G_SP</v>
      </c>
      <c r="F1165" s="7" t="str">
        <f>IFERROR(__xludf.DUMMYFUNCTION("""COMPUTED_VALUE"""),"BICYCLE")</f>
        <v>BICYCLE</v>
      </c>
      <c r="G1165" s="7" t="str">
        <f>IFERROR(__xludf.DUMMYFUNCTION("""COMPUTED_VALUE"""),"SAO PAULO")</f>
        <v>SAO PAULO</v>
      </c>
    </row>
    <row r="1166">
      <c r="A1166" s="6">
        <f>IFERROR(__xludf.DUMMYFUNCTION("""COMPUTED_VALUE"""),45705.0)</f>
        <v>45705</v>
      </c>
      <c r="B1166" s="7" t="str">
        <f>IFERROR(__xludf.DUMMYFUNCTION("""COMPUTED_VALUE"""),"974a87d9-d0ab-4f4b-880f-962d9257dbcb")</f>
        <v>974a87d9-d0ab-4f4b-880f-962d9257dbcb</v>
      </c>
      <c r="C1166" s="7">
        <f>IFERROR(__xludf.DUMMYFUNCTION("""COMPUTED_VALUE"""),38.0)</f>
        <v>38</v>
      </c>
      <c r="D1166" s="6">
        <f>IFERROR(__xludf.DUMMYFUNCTION("""COMPUTED_VALUE"""),45667.0)</f>
        <v>45667</v>
      </c>
      <c r="E1166" s="7" t="str">
        <f>IFERROR(__xludf.DUMMYFUNCTION("""COMPUTED_VALUE"""),"FRANQUIA_D&amp;G_SP")</f>
        <v>FRANQUIA_D&amp;G_SP</v>
      </c>
      <c r="F1166" s="7" t="str">
        <f>IFERROR(__xludf.DUMMYFUNCTION("""COMPUTED_VALUE"""),"MOTORCYCLE")</f>
        <v>MOTORCYCLE</v>
      </c>
      <c r="G1166" s="7" t="str">
        <f>IFERROR(__xludf.DUMMYFUNCTION("""COMPUTED_VALUE"""),"SAO PAULO")</f>
        <v>SAO PAULO</v>
      </c>
    </row>
    <row r="1167">
      <c r="A1167" s="6">
        <f>IFERROR(__xludf.DUMMYFUNCTION("""COMPUTED_VALUE"""),45705.0)</f>
        <v>45705</v>
      </c>
      <c r="B1167" s="7" t="str">
        <f>IFERROR(__xludf.DUMMYFUNCTION("""COMPUTED_VALUE"""),"7be959af-8b31-4ac1-ba92-68b3323086b2")</f>
        <v>7be959af-8b31-4ac1-ba92-68b3323086b2</v>
      </c>
      <c r="C1167" s="7">
        <f>IFERROR(__xludf.DUMMYFUNCTION("""COMPUTED_VALUE"""),1.0)</f>
        <v>1</v>
      </c>
      <c r="D1167" s="6">
        <f>IFERROR(__xludf.DUMMYFUNCTION("""COMPUTED_VALUE"""),45704.0)</f>
        <v>45704</v>
      </c>
      <c r="E1167" s="7" t="str">
        <f>IFERROR(__xludf.DUMMYFUNCTION("""COMPUTED_VALUE"""),"FRANQUIA_D&amp;G_SP")</f>
        <v>FRANQUIA_D&amp;G_SP</v>
      </c>
      <c r="F1167" s="7" t="str">
        <f>IFERROR(__xludf.DUMMYFUNCTION("""COMPUTED_VALUE"""),"MOTORCYCLE")</f>
        <v>MOTORCYCLE</v>
      </c>
      <c r="G1167" s="7" t="str">
        <f>IFERROR(__xludf.DUMMYFUNCTION("""COMPUTED_VALUE"""),"SAO PAULO")</f>
        <v>SAO PAULO</v>
      </c>
    </row>
    <row r="1168">
      <c r="A1168" s="6">
        <f>IFERROR(__xludf.DUMMYFUNCTION("""COMPUTED_VALUE"""),45705.0)</f>
        <v>45705</v>
      </c>
      <c r="B1168" s="7" t="str">
        <f>IFERROR(__xludf.DUMMYFUNCTION("""COMPUTED_VALUE"""),"33e70af6-348a-4f58-b45f-68d0dda5f838")</f>
        <v>33e70af6-348a-4f58-b45f-68d0dda5f838</v>
      </c>
      <c r="C1168" s="7">
        <f>IFERROR(__xludf.DUMMYFUNCTION("""COMPUTED_VALUE"""),162.0)</f>
        <v>162</v>
      </c>
      <c r="D1168" s="6">
        <f>IFERROR(__xludf.DUMMYFUNCTION("""COMPUTED_VALUE"""),45543.0)</f>
        <v>45543</v>
      </c>
      <c r="E1168" s="7" t="str">
        <f>IFERROR(__xludf.DUMMYFUNCTION("""COMPUTED_VALUE"""),"FRANQUIA_D&amp;G_SP")</f>
        <v>FRANQUIA_D&amp;G_SP</v>
      </c>
      <c r="F1168" s="7" t="str">
        <f>IFERROR(__xludf.DUMMYFUNCTION("""COMPUTED_VALUE"""),"BICYCLE")</f>
        <v>BICYCLE</v>
      </c>
      <c r="G1168" s="7" t="str">
        <f>IFERROR(__xludf.DUMMYFUNCTION("""COMPUTED_VALUE"""),"SAO PAULO")</f>
        <v>SAO PAULO</v>
      </c>
    </row>
    <row r="1169">
      <c r="A1169" s="6">
        <f>IFERROR(__xludf.DUMMYFUNCTION("""COMPUTED_VALUE"""),45705.0)</f>
        <v>45705</v>
      </c>
      <c r="B1169" s="7" t="str">
        <f>IFERROR(__xludf.DUMMYFUNCTION("""COMPUTED_VALUE"""),"c622ab95-e59b-4213-ac3e-71211cef89ea")</f>
        <v>c622ab95-e59b-4213-ac3e-71211cef89ea</v>
      </c>
      <c r="C1169" s="7">
        <f>IFERROR(__xludf.DUMMYFUNCTION("""COMPUTED_VALUE"""),363.0)</f>
        <v>363</v>
      </c>
      <c r="D1169" s="6">
        <f>IFERROR(__xludf.DUMMYFUNCTION("""COMPUTED_VALUE"""),45342.0)</f>
        <v>45342</v>
      </c>
      <c r="E1169" s="7" t="str">
        <f>IFERROR(__xludf.DUMMYFUNCTION("""COMPUTED_VALUE"""),"FRANQUIA_D&amp;G_SP")</f>
        <v>FRANQUIA_D&amp;G_SP</v>
      </c>
      <c r="F1169" s="7" t="str">
        <f>IFERROR(__xludf.DUMMYFUNCTION("""COMPUTED_VALUE"""),"MOTORCYCLE")</f>
        <v>MOTORCYCLE</v>
      </c>
      <c r="G1169" s="7" t="str">
        <f>IFERROR(__xludf.DUMMYFUNCTION("""COMPUTED_VALUE"""),"SAO PAULO")</f>
        <v>SAO PAULO</v>
      </c>
    </row>
    <row r="1170">
      <c r="A1170" s="6">
        <f>IFERROR(__xludf.DUMMYFUNCTION("""COMPUTED_VALUE"""),45705.0)</f>
        <v>45705</v>
      </c>
      <c r="B1170" s="7" t="str">
        <f>IFERROR(__xludf.DUMMYFUNCTION("""COMPUTED_VALUE"""),"1543d865-1541-40de-8c0d-bb222ea3a517")</f>
        <v>1543d865-1541-40de-8c0d-bb222ea3a517</v>
      </c>
      <c r="C1170" s="7">
        <f>IFERROR(__xludf.DUMMYFUNCTION("""COMPUTED_VALUE"""),28.0)</f>
        <v>28</v>
      </c>
      <c r="D1170" s="6">
        <f>IFERROR(__xludf.DUMMYFUNCTION("""COMPUTED_VALUE"""),45677.0)</f>
        <v>45677</v>
      </c>
      <c r="E1170" s="7" t="str">
        <f>IFERROR(__xludf.DUMMYFUNCTION("""COMPUTED_VALUE"""),"FRANQUIA_D&amp;G_SP")</f>
        <v>FRANQUIA_D&amp;G_SP</v>
      </c>
      <c r="F1170" s="7" t="str">
        <f>IFERROR(__xludf.DUMMYFUNCTION("""COMPUTED_VALUE"""),"BICYCLE")</f>
        <v>BICYCLE</v>
      </c>
      <c r="G1170" s="7" t="str">
        <f>IFERROR(__xludf.DUMMYFUNCTION("""COMPUTED_VALUE"""),"SAO PAULO")</f>
        <v>SAO PAULO</v>
      </c>
    </row>
    <row r="1171">
      <c r="A1171" s="6">
        <f>IFERROR(__xludf.DUMMYFUNCTION("""COMPUTED_VALUE"""),45705.0)</f>
        <v>45705</v>
      </c>
      <c r="B1171" s="7" t="str">
        <f>IFERROR(__xludf.DUMMYFUNCTION("""COMPUTED_VALUE"""),"0e6a5074-5a04-4b61-8252-04739cb6379b")</f>
        <v>0e6a5074-5a04-4b61-8252-04739cb6379b</v>
      </c>
      <c r="C1171" s="7">
        <f>IFERROR(__xludf.DUMMYFUNCTION("""COMPUTED_VALUE"""),0.0)</f>
        <v>0</v>
      </c>
      <c r="D1171" s="6">
        <f>IFERROR(__xludf.DUMMYFUNCTION("""COMPUTED_VALUE"""),45705.0)</f>
        <v>45705</v>
      </c>
      <c r="E1171" s="7" t="str">
        <f>IFERROR(__xludf.DUMMYFUNCTION("""COMPUTED_VALUE"""),"FRANQUIA_D&amp;G_SP")</f>
        <v>FRANQUIA_D&amp;G_SP</v>
      </c>
      <c r="F1171" s="7" t="str">
        <f>IFERROR(__xludf.DUMMYFUNCTION("""COMPUTED_VALUE"""),"BICYCLE")</f>
        <v>BICYCLE</v>
      </c>
      <c r="G1171" s="7" t="str">
        <f>IFERROR(__xludf.DUMMYFUNCTION("""COMPUTED_VALUE"""),"SAO PAULO")</f>
        <v>SAO PAULO</v>
      </c>
    </row>
    <row r="1172">
      <c r="A1172" s="6">
        <f>IFERROR(__xludf.DUMMYFUNCTION("""COMPUTED_VALUE"""),45705.0)</f>
        <v>45705</v>
      </c>
      <c r="B1172" s="7" t="str">
        <f>IFERROR(__xludf.DUMMYFUNCTION("""COMPUTED_VALUE"""),"81900ab7-1531-47fc-80e4-58673516431f")</f>
        <v>81900ab7-1531-47fc-80e4-58673516431f</v>
      </c>
      <c r="C1172" s="7">
        <f>IFERROR(__xludf.DUMMYFUNCTION("""COMPUTED_VALUE"""),210.0)</f>
        <v>210</v>
      </c>
      <c r="D1172" s="6">
        <f>IFERROR(__xludf.DUMMYFUNCTION("""COMPUTED_VALUE"""),45495.0)</f>
        <v>45495</v>
      </c>
      <c r="E1172" s="7" t="str">
        <f>IFERROR(__xludf.DUMMYFUNCTION("""COMPUTED_VALUE"""),"FRANQUIA_D&amp;G_SP")</f>
        <v>FRANQUIA_D&amp;G_SP</v>
      </c>
      <c r="F1172" s="7" t="str">
        <f>IFERROR(__xludf.DUMMYFUNCTION("""COMPUTED_VALUE"""),"BICYCLE")</f>
        <v>BICYCLE</v>
      </c>
      <c r="G1172" s="7" t="str">
        <f>IFERROR(__xludf.DUMMYFUNCTION("""COMPUTED_VALUE"""),"SAO PAULO")</f>
        <v>SAO PAULO</v>
      </c>
    </row>
    <row r="1173">
      <c r="A1173" s="6">
        <f>IFERROR(__xludf.DUMMYFUNCTION("""COMPUTED_VALUE"""),45705.0)</f>
        <v>45705</v>
      </c>
      <c r="B1173" s="7" t="str">
        <f>IFERROR(__xludf.DUMMYFUNCTION("""COMPUTED_VALUE"""),"51bbf3f5-6361-432a-9f33-d80dc15724fe")</f>
        <v>51bbf3f5-6361-432a-9f33-d80dc15724fe</v>
      </c>
      <c r="C1173" s="7">
        <f>IFERROR(__xludf.DUMMYFUNCTION("""COMPUTED_VALUE"""),161.0)</f>
        <v>161</v>
      </c>
      <c r="D1173" s="6">
        <f>IFERROR(__xludf.DUMMYFUNCTION("""COMPUTED_VALUE"""),45544.0)</f>
        <v>45544</v>
      </c>
      <c r="E1173" s="7" t="str">
        <f>IFERROR(__xludf.DUMMYFUNCTION("""COMPUTED_VALUE"""),"FRANQUIA_D&amp;G_SP")</f>
        <v>FRANQUIA_D&amp;G_SP</v>
      </c>
      <c r="F1173" s="7" t="str">
        <f>IFERROR(__xludf.DUMMYFUNCTION("""COMPUTED_VALUE"""),"BICYCLE")</f>
        <v>BICYCLE</v>
      </c>
      <c r="G1173" s="7" t="str">
        <f>IFERROR(__xludf.DUMMYFUNCTION("""COMPUTED_VALUE"""),"SAO PAULO")</f>
        <v>SAO PAULO</v>
      </c>
    </row>
    <row r="1174">
      <c r="A1174" s="6">
        <f>IFERROR(__xludf.DUMMYFUNCTION("""COMPUTED_VALUE"""),45705.0)</f>
        <v>45705</v>
      </c>
      <c r="B1174" s="7" t="str">
        <f>IFERROR(__xludf.DUMMYFUNCTION("""COMPUTED_VALUE"""),"8554afdf-83aa-43d0-b2e5-6ae3528c717d")</f>
        <v>8554afdf-83aa-43d0-b2e5-6ae3528c717d</v>
      </c>
      <c r="C1174" s="7">
        <f>IFERROR(__xludf.DUMMYFUNCTION("""COMPUTED_VALUE"""),304.0)</f>
        <v>304</v>
      </c>
      <c r="D1174" s="6">
        <f>IFERROR(__xludf.DUMMYFUNCTION("""COMPUTED_VALUE"""),45401.0)</f>
        <v>45401</v>
      </c>
      <c r="E1174" s="7" t="str">
        <f>IFERROR(__xludf.DUMMYFUNCTION("""COMPUTED_VALUE"""),"FRANQUIA_D&amp;G_SP")</f>
        <v>FRANQUIA_D&amp;G_SP</v>
      </c>
      <c r="F1174" s="7" t="str">
        <f>IFERROR(__xludf.DUMMYFUNCTION("""COMPUTED_VALUE"""),"MOTORCYCLE")</f>
        <v>MOTORCYCLE</v>
      </c>
      <c r="G1174" s="7" t="str">
        <f>IFERROR(__xludf.DUMMYFUNCTION("""COMPUTED_VALUE"""),"TABOAO DA SERRA")</f>
        <v>TABOAO DA SERRA</v>
      </c>
    </row>
    <row r="1175">
      <c r="A1175" s="6">
        <f>IFERROR(__xludf.DUMMYFUNCTION("""COMPUTED_VALUE"""),45705.0)</f>
        <v>45705</v>
      </c>
      <c r="B1175" s="7" t="str">
        <f>IFERROR(__xludf.DUMMYFUNCTION("""COMPUTED_VALUE"""),"1fcc0a38-858b-404f-b178-b398b4af3345")</f>
        <v>1fcc0a38-858b-404f-b178-b398b4af3345</v>
      </c>
      <c r="C1175" s="7">
        <f>IFERROR(__xludf.DUMMYFUNCTION("""COMPUTED_VALUE"""),107.0)</f>
        <v>107</v>
      </c>
      <c r="D1175" s="6">
        <f>IFERROR(__xludf.DUMMYFUNCTION("""COMPUTED_VALUE"""),45598.0)</f>
        <v>45598</v>
      </c>
      <c r="E1175" s="7" t="str">
        <f>IFERROR(__xludf.DUMMYFUNCTION("""COMPUTED_VALUE"""),"FRANQUIA_D&amp;G_SP")</f>
        <v>FRANQUIA_D&amp;G_SP</v>
      </c>
      <c r="F1175" s="7" t="str">
        <f>IFERROR(__xludf.DUMMYFUNCTION("""COMPUTED_VALUE"""),"BICYCLE")</f>
        <v>BICYCLE</v>
      </c>
      <c r="G1175" s="7" t="str">
        <f>IFERROR(__xludf.DUMMYFUNCTION("""COMPUTED_VALUE"""),"TABOAO DA SERRA")</f>
        <v>TABOAO DA SERRA</v>
      </c>
    </row>
    <row r="1176">
      <c r="A1176" s="6">
        <f>IFERROR(__xludf.DUMMYFUNCTION("""COMPUTED_VALUE"""),45705.0)</f>
        <v>45705</v>
      </c>
      <c r="B1176" s="7" t="str">
        <f>IFERROR(__xludf.DUMMYFUNCTION("""COMPUTED_VALUE"""),"62b69b97-d4c4-4ba4-894d-a56b56b66cd2")</f>
        <v>62b69b97-d4c4-4ba4-894d-a56b56b66cd2</v>
      </c>
      <c r="C1176" s="7">
        <f>IFERROR(__xludf.DUMMYFUNCTION("""COMPUTED_VALUE"""),281.0)</f>
        <v>281</v>
      </c>
      <c r="D1176" s="6">
        <f>IFERROR(__xludf.DUMMYFUNCTION("""COMPUTED_VALUE"""),45424.0)</f>
        <v>45424</v>
      </c>
      <c r="E1176" s="7" t="str">
        <f>IFERROR(__xludf.DUMMYFUNCTION("""COMPUTED_VALUE"""),"FRANQUIA_D&amp;G_SP")</f>
        <v>FRANQUIA_D&amp;G_SP</v>
      </c>
      <c r="F1176" s="7" t="str">
        <f>IFERROR(__xludf.DUMMYFUNCTION("""COMPUTED_VALUE"""),"MOTORCYCLE")</f>
        <v>MOTORCYCLE</v>
      </c>
      <c r="G1176" s="7" t="str">
        <f>IFERROR(__xludf.DUMMYFUNCTION("""COMPUTED_VALUE"""),"SAO PAULO")</f>
        <v>SAO PAULO</v>
      </c>
    </row>
    <row r="1177">
      <c r="A1177" s="6">
        <f>IFERROR(__xludf.DUMMYFUNCTION("""COMPUTED_VALUE"""),45705.0)</f>
        <v>45705</v>
      </c>
      <c r="B1177" s="7" t="str">
        <f>IFERROR(__xludf.DUMMYFUNCTION("""COMPUTED_VALUE"""),"27d4ce50-dc06-4479-893c-5ee79ebbc3ab")</f>
        <v>27d4ce50-dc06-4479-893c-5ee79ebbc3ab</v>
      </c>
      <c r="C1177" s="7">
        <f>IFERROR(__xludf.DUMMYFUNCTION("""COMPUTED_VALUE"""),51.0)</f>
        <v>51</v>
      </c>
      <c r="D1177" s="6">
        <f>IFERROR(__xludf.DUMMYFUNCTION("""COMPUTED_VALUE"""),45654.0)</f>
        <v>45654</v>
      </c>
      <c r="E1177" s="7" t="str">
        <f>IFERROR(__xludf.DUMMYFUNCTION("""COMPUTED_VALUE"""),"FRANQUIA_D&amp;G_SP")</f>
        <v>FRANQUIA_D&amp;G_SP</v>
      </c>
      <c r="F1177" s="7" t="str">
        <f>IFERROR(__xludf.DUMMYFUNCTION("""COMPUTED_VALUE"""),"MOTORCYCLE")</f>
        <v>MOTORCYCLE</v>
      </c>
      <c r="G1177" s="7" t="str">
        <f>IFERROR(__xludf.DUMMYFUNCTION("""COMPUTED_VALUE"""),"SAO PAULO")</f>
        <v>SAO PAULO</v>
      </c>
    </row>
    <row r="1178">
      <c r="A1178" s="6">
        <f>IFERROR(__xludf.DUMMYFUNCTION("""COMPUTED_VALUE"""),45705.0)</f>
        <v>45705</v>
      </c>
      <c r="B1178" s="7" t="str">
        <f>IFERROR(__xludf.DUMMYFUNCTION("""COMPUTED_VALUE"""),"42d48b4e-65a4-43c7-a039-2ad0059b2726")</f>
        <v>42d48b4e-65a4-43c7-a039-2ad0059b2726</v>
      </c>
      <c r="C1178" s="7">
        <f>IFERROR(__xludf.DUMMYFUNCTION("""COMPUTED_VALUE"""),3.0)</f>
        <v>3</v>
      </c>
      <c r="D1178" s="6">
        <f>IFERROR(__xludf.DUMMYFUNCTION("""COMPUTED_VALUE"""),45702.0)</f>
        <v>45702</v>
      </c>
      <c r="E1178" s="7" t="str">
        <f>IFERROR(__xludf.DUMMYFUNCTION("""COMPUTED_VALUE"""),"FRANQUIA_D&amp;G_SP")</f>
        <v>FRANQUIA_D&amp;G_SP</v>
      </c>
      <c r="F1178" s="7" t="str">
        <f>IFERROR(__xludf.DUMMYFUNCTION("""COMPUTED_VALUE"""),"BICYCLE")</f>
        <v>BICYCLE</v>
      </c>
      <c r="G1178" s="7" t="str">
        <f>IFERROR(__xludf.DUMMYFUNCTION("""COMPUTED_VALUE"""),"SAO PAULO")</f>
        <v>SAO PAULO</v>
      </c>
    </row>
    <row r="1179">
      <c r="A1179" s="6">
        <f>IFERROR(__xludf.DUMMYFUNCTION("""COMPUTED_VALUE"""),45705.0)</f>
        <v>45705</v>
      </c>
      <c r="B1179" s="7" t="str">
        <f>IFERROR(__xludf.DUMMYFUNCTION("""COMPUTED_VALUE"""),"9a5ab134-939c-4e4d-9b70-59b360c88eed")</f>
        <v>9a5ab134-939c-4e4d-9b70-59b360c88eed</v>
      </c>
      <c r="C1179" s="7">
        <f>IFERROR(__xludf.DUMMYFUNCTION("""COMPUTED_VALUE"""),0.0)</f>
        <v>0</v>
      </c>
      <c r="D1179" s="6">
        <f>IFERROR(__xludf.DUMMYFUNCTION("""COMPUTED_VALUE"""),45705.0)</f>
        <v>45705</v>
      </c>
      <c r="E1179" s="7" t="str">
        <f>IFERROR(__xludf.DUMMYFUNCTION("""COMPUTED_VALUE"""),"FRANQUIA_D&amp;G_SP")</f>
        <v>FRANQUIA_D&amp;G_SP</v>
      </c>
      <c r="F1179" s="7" t="str">
        <f>IFERROR(__xludf.DUMMYFUNCTION("""COMPUTED_VALUE"""),"MOTORCYCLE")</f>
        <v>MOTORCYCLE</v>
      </c>
      <c r="G1179" s="7" t="str">
        <f>IFERROR(__xludf.DUMMYFUNCTION("""COMPUTED_VALUE"""),"SAO PAULO")</f>
        <v>SAO PAULO</v>
      </c>
    </row>
    <row r="1180">
      <c r="A1180" s="6">
        <f>IFERROR(__xludf.DUMMYFUNCTION("""COMPUTED_VALUE"""),45705.0)</f>
        <v>45705</v>
      </c>
      <c r="B1180" s="7" t="str">
        <f>IFERROR(__xludf.DUMMYFUNCTION("""COMPUTED_VALUE"""),"be97fbad-f14e-4db5-a4c2-7626c8e83e08")</f>
        <v>be97fbad-f14e-4db5-a4c2-7626c8e83e08</v>
      </c>
      <c r="C1180" s="7">
        <f>IFERROR(__xludf.DUMMYFUNCTION("""COMPUTED_VALUE"""),7.0)</f>
        <v>7</v>
      </c>
      <c r="D1180" s="6">
        <f>IFERROR(__xludf.DUMMYFUNCTION("""COMPUTED_VALUE"""),45698.0)</f>
        <v>45698</v>
      </c>
      <c r="E1180" s="7" t="str">
        <f>IFERROR(__xludf.DUMMYFUNCTION("""COMPUTED_VALUE"""),"FRANQUIA_D&amp;G_SP")</f>
        <v>FRANQUIA_D&amp;G_SP</v>
      </c>
      <c r="F1180" s="7" t="str">
        <f>IFERROR(__xludf.DUMMYFUNCTION("""COMPUTED_VALUE"""),"MOTORCYCLE")</f>
        <v>MOTORCYCLE</v>
      </c>
      <c r="G1180" s="7" t="str">
        <f>IFERROR(__xludf.DUMMYFUNCTION("""COMPUTED_VALUE"""),"SAO PAULO")</f>
        <v>SAO PAULO</v>
      </c>
    </row>
    <row r="1181">
      <c r="A1181" s="6">
        <f>IFERROR(__xludf.DUMMYFUNCTION("""COMPUTED_VALUE"""),45705.0)</f>
        <v>45705</v>
      </c>
      <c r="B1181" s="7" t="str">
        <f>IFERROR(__xludf.DUMMYFUNCTION("""COMPUTED_VALUE"""),"fa3e2768-2509-4ec8-bc1d-f3fb670997ce")</f>
        <v>fa3e2768-2509-4ec8-bc1d-f3fb670997ce</v>
      </c>
      <c r="C1181" s="7">
        <f>IFERROR(__xludf.DUMMYFUNCTION("""COMPUTED_VALUE"""),583.0)</f>
        <v>583</v>
      </c>
      <c r="D1181" s="6">
        <f>IFERROR(__xludf.DUMMYFUNCTION("""COMPUTED_VALUE"""),45122.0)</f>
        <v>45122</v>
      </c>
      <c r="E1181" s="7" t="str">
        <f>IFERROR(__xludf.DUMMYFUNCTION("""COMPUTED_VALUE"""),"FRANQUIA_D&amp;G_SP")</f>
        <v>FRANQUIA_D&amp;G_SP</v>
      </c>
      <c r="F1181" s="7" t="str">
        <f>IFERROR(__xludf.DUMMYFUNCTION("""COMPUTED_VALUE"""),"BICYCLE")</f>
        <v>BICYCLE</v>
      </c>
      <c r="G1181" s="7" t="str">
        <f>IFERROR(__xludf.DUMMYFUNCTION("""COMPUTED_VALUE"""),"SAO PAULO")</f>
        <v>SAO PAULO</v>
      </c>
    </row>
    <row r="1182">
      <c r="A1182" s="6">
        <f>IFERROR(__xludf.DUMMYFUNCTION("""COMPUTED_VALUE"""),45705.0)</f>
        <v>45705</v>
      </c>
      <c r="B1182" s="7" t="str">
        <f>IFERROR(__xludf.DUMMYFUNCTION("""COMPUTED_VALUE"""),"13602244-a70e-40ae-89e9-a770a04beec9")</f>
        <v>13602244-a70e-40ae-89e9-a770a04beec9</v>
      </c>
      <c r="C1182" s="7">
        <f>IFERROR(__xludf.DUMMYFUNCTION("""COMPUTED_VALUE"""),0.0)</f>
        <v>0</v>
      </c>
      <c r="D1182" s="6">
        <f>IFERROR(__xludf.DUMMYFUNCTION("""COMPUTED_VALUE"""),45705.0)</f>
        <v>45705</v>
      </c>
      <c r="E1182" s="7" t="str">
        <f>IFERROR(__xludf.DUMMYFUNCTION("""COMPUTED_VALUE"""),"FRANQUIA_D&amp;G_SP")</f>
        <v>FRANQUIA_D&amp;G_SP</v>
      </c>
      <c r="F1182" s="7" t="str">
        <f>IFERROR(__xludf.DUMMYFUNCTION("""COMPUTED_VALUE"""),"BICYCLE")</f>
        <v>BICYCLE</v>
      </c>
      <c r="G1182" s="7" t="str">
        <f>IFERROR(__xludf.DUMMYFUNCTION("""COMPUTED_VALUE"""),"SAO PAULO")</f>
        <v>SAO PAULO</v>
      </c>
    </row>
    <row r="1183">
      <c r="A1183" s="6">
        <f>IFERROR(__xludf.DUMMYFUNCTION("""COMPUTED_VALUE"""),45705.0)</f>
        <v>45705</v>
      </c>
      <c r="B1183" s="7" t="str">
        <f>IFERROR(__xludf.DUMMYFUNCTION("""COMPUTED_VALUE"""),"4eaecf22-4d78-436b-9e2a-d0052e5ae44a")</f>
        <v>4eaecf22-4d78-436b-9e2a-d0052e5ae44a</v>
      </c>
      <c r="C1183" s="7">
        <f>IFERROR(__xludf.DUMMYFUNCTION("""COMPUTED_VALUE"""),0.0)</f>
        <v>0</v>
      </c>
      <c r="D1183" s="6">
        <f>IFERROR(__xludf.DUMMYFUNCTION("""COMPUTED_VALUE"""),45705.0)</f>
        <v>45705</v>
      </c>
      <c r="E1183" s="7" t="str">
        <f>IFERROR(__xludf.DUMMYFUNCTION("""COMPUTED_VALUE"""),"FRANQUIA_D&amp;G_SP")</f>
        <v>FRANQUIA_D&amp;G_SP</v>
      </c>
      <c r="F1183" s="7" t="str">
        <f>IFERROR(__xludf.DUMMYFUNCTION("""COMPUTED_VALUE"""),"MOTORCYCLE")</f>
        <v>MOTORCYCLE</v>
      </c>
      <c r="G1183" s="7" t="str">
        <f>IFERROR(__xludf.DUMMYFUNCTION("""COMPUTED_VALUE"""),"SAO PAULO")</f>
        <v>SAO PAULO</v>
      </c>
    </row>
    <row r="1184">
      <c r="A1184" s="6">
        <f>IFERROR(__xludf.DUMMYFUNCTION("""COMPUTED_VALUE"""),45705.0)</f>
        <v>45705</v>
      </c>
      <c r="B1184" s="7" t="str">
        <f>IFERROR(__xludf.DUMMYFUNCTION("""COMPUTED_VALUE"""),"7f0aa3c2-6136-4e5f-8447-f92a12ac1b3a")</f>
        <v>7f0aa3c2-6136-4e5f-8447-f92a12ac1b3a</v>
      </c>
      <c r="C1184" s="7">
        <f>IFERROR(__xludf.DUMMYFUNCTION("""COMPUTED_VALUE"""),0.0)</f>
        <v>0</v>
      </c>
      <c r="D1184" s="6">
        <f>IFERROR(__xludf.DUMMYFUNCTION("""COMPUTED_VALUE"""),45705.0)</f>
        <v>45705</v>
      </c>
      <c r="E1184" s="7" t="str">
        <f>IFERROR(__xludf.DUMMYFUNCTION("""COMPUTED_VALUE"""),"FRANQUIA_D&amp;G_SP")</f>
        <v>FRANQUIA_D&amp;G_SP</v>
      </c>
      <c r="F1184" s="7" t="str">
        <f>IFERROR(__xludf.DUMMYFUNCTION("""COMPUTED_VALUE"""),"MOTORCYCLE")</f>
        <v>MOTORCYCLE</v>
      </c>
      <c r="G1184" s="7" t="str">
        <f>IFERROR(__xludf.DUMMYFUNCTION("""COMPUTED_VALUE"""),"SAO PAULO")</f>
        <v>SAO PAULO</v>
      </c>
    </row>
    <row r="1185">
      <c r="A1185" s="6">
        <f>IFERROR(__xludf.DUMMYFUNCTION("""COMPUTED_VALUE"""),45705.0)</f>
        <v>45705</v>
      </c>
      <c r="B1185" s="7" t="str">
        <f>IFERROR(__xludf.DUMMYFUNCTION("""COMPUTED_VALUE"""),"e37040e6-97d4-41f6-beec-ca93b724f057")</f>
        <v>e37040e6-97d4-41f6-beec-ca93b724f057</v>
      </c>
      <c r="C1185" s="7">
        <f>IFERROR(__xludf.DUMMYFUNCTION("""COMPUTED_VALUE"""),379.0)</f>
        <v>379</v>
      </c>
      <c r="D1185" s="6">
        <f>IFERROR(__xludf.DUMMYFUNCTION("""COMPUTED_VALUE"""),45326.0)</f>
        <v>45326</v>
      </c>
      <c r="E1185" s="7" t="str">
        <f>IFERROR(__xludf.DUMMYFUNCTION("""COMPUTED_VALUE"""),"FRANQUIA_D&amp;G_SP")</f>
        <v>FRANQUIA_D&amp;G_SP</v>
      </c>
      <c r="F1185" s="7" t="str">
        <f>IFERROR(__xludf.DUMMYFUNCTION("""COMPUTED_VALUE"""),"BICYCLE")</f>
        <v>BICYCLE</v>
      </c>
      <c r="G1185" s="7" t="str">
        <f>IFERROR(__xludf.DUMMYFUNCTION("""COMPUTED_VALUE"""),"SAO PAULO")</f>
        <v>SAO PAULO</v>
      </c>
    </row>
    <row r="1186">
      <c r="A1186" s="6">
        <f>IFERROR(__xludf.DUMMYFUNCTION("""COMPUTED_VALUE"""),45705.0)</f>
        <v>45705</v>
      </c>
      <c r="B1186" s="7" t="str">
        <f>IFERROR(__xludf.DUMMYFUNCTION("""COMPUTED_VALUE"""),"c64f43c3-9c0c-4349-8393-8d53adec303d")</f>
        <v>c64f43c3-9c0c-4349-8393-8d53adec303d</v>
      </c>
      <c r="C1186" s="7">
        <f>IFERROR(__xludf.DUMMYFUNCTION("""COMPUTED_VALUE"""),1.0)</f>
        <v>1</v>
      </c>
      <c r="D1186" s="6">
        <f>IFERROR(__xludf.DUMMYFUNCTION("""COMPUTED_VALUE"""),45704.0)</f>
        <v>45704</v>
      </c>
      <c r="E1186" s="7" t="str">
        <f>IFERROR(__xludf.DUMMYFUNCTION("""COMPUTED_VALUE"""),"FRANQUIA_D&amp;G_SP")</f>
        <v>FRANQUIA_D&amp;G_SP</v>
      </c>
      <c r="F1186" s="7" t="str">
        <f>IFERROR(__xludf.DUMMYFUNCTION("""COMPUTED_VALUE"""),"BICYCLE")</f>
        <v>BICYCLE</v>
      </c>
      <c r="G1186" s="7" t="str">
        <f>IFERROR(__xludf.DUMMYFUNCTION("""COMPUTED_VALUE"""),"SAO PAULO")</f>
        <v>SAO PAULO</v>
      </c>
    </row>
    <row r="1187">
      <c r="A1187" s="6">
        <f>IFERROR(__xludf.DUMMYFUNCTION("""COMPUTED_VALUE"""),45705.0)</f>
        <v>45705</v>
      </c>
      <c r="B1187" s="7" t="str">
        <f>IFERROR(__xludf.DUMMYFUNCTION("""COMPUTED_VALUE"""),"2dbcdc39-6d0e-473f-b7cb-dda42d9888a3")</f>
        <v>2dbcdc39-6d0e-473f-b7cb-dda42d9888a3</v>
      </c>
      <c r="C1187" s="7">
        <f>IFERROR(__xludf.DUMMYFUNCTION("""COMPUTED_VALUE"""),4.0)</f>
        <v>4</v>
      </c>
      <c r="D1187" s="6">
        <f>IFERROR(__xludf.DUMMYFUNCTION("""COMPUTED_VALUE"""),45701.0)</f>
        <v>45701</v>
      </c>
      <c r="E1187" s="7" t="str">
        <f>IFERROR(__xludf.DUMMYFUNCTION("""COMPUTED_VALUE"""),"FRANQUIA_D&amp;G_SP")</f>
        <v>FRANQUIA_D&amp;G_SP</v>
      </c>
      <c r="F1187" s="7" t="str">
        <f>IFERROR(__xludf.DUMMYFUNCTION("""COMPUTED_VALUE"""),"MOTORCYCLE")</f>
        <v>MOTORCYCLE</v>
      </c>
      <c r="G1187" s="7" t="str">
        <f>IFERROR(__xludf.DUMMYFUNCTION("""COMPUTED_VALUE"""),"SAO PAULO")</f>
        <v>SAO PAULO</v>
      </c>
    </row>
    <row r="1188">
      <c r="A1188" s="6">
        <f>IFERROR(__xludf.DUMMYFUNCTION("""COMPUTED_VALUE"""),45705.0)</f>
        <v>45705</v>
      </c>
      <c r="B1188" s="7" t="str">
        <f>IFERROR(__xludf.DUMMYFUNCTION("""COMPUTED_VALUE"""),"34307008-ade6-4563-be54-f31ea9672b58")</f>
        <v>34307008-ade6-4563-be54-f31ea9672b58</v>
      </c>
      <c r="C1188" s="7">
        <f>IFERROR(__xludf.DUMMYFUNCTION("""COMPUTED_VALUE"""),0.0)</f>
        <v>0</v>
      </c>
      <c r="D1188" s="6">
        <f>IFERROR(__xludf.DUMMYFUNCTION("""COMPUTED_VALUE"""),0.0)</f>
        <v>0</v>
      </c>
      <c r="E1188" s="7" t="str">
        <f>IFERROR(__xludf.DUMMYFUNCTION("""COMPUTED_VALUE"""),"FRANQUIA_D&amp;G_SP")</f>
        <v>FRANQUIA_D&amp;G_SP</v>
      </c>
      <c r="F1188" s="7" t="str">
        <f>IFERROR(__xludf.DUMMYFUNCTION("""COMPUTED_VALUE"""),"BICYCLE")</f>
        <v>BICYCLE</v>
      </c>
      <c r="G1188" s="7" t="str">
        <f>IFERROR(__xludf.DUMMYFUNCTION("""COMPUTED_VALUE"""),"0")</f>
        <v>0</v>
      </c>
    </row>
    <row r="1189">
      <c r="A1189" s="6">
        <f>IFERROR(__xludf.DUMMYFUNCTION("""COMPUTED_VALUE"""),45705.0)</f>
        <v>45705</v>
      </c>
      <c r="B1189" s="7" t="str">
        <f>IFERROR(__xludf.DUMMYFUNCTION("""COMPUTED_VALUE"""),"7f628ace-ae06-4c1b-98f3-053c5eddf26e")</f>
        <v>7f628ace-ae06-4c1b-98f3-053c5eddf26e</v>
      </c>
      <c r="C1189" s="7">
        <f>IFERROR(__xludf.DUMMYFUNCTION("""COMPUTED_VALUE"""),0.0)</f>
        <v>0</v>
      </c>
      <c r="D1189" s="6">
        <f>IFERROR(__xludf.DUMMYFUNCTION("""COMPUTED_VALUE"""),45705.0)</f>
        <v>45705</v>
      </c>
      <c r="E1189" s="7" t="str">
        <f>IFERROR(__xludf.DUMMYFUNCTION("""COMPUTED_VALUE"""),"FRANQUIA_D&amp;G_SP")</f>
        <v>FRANQUIA_D&amp;G_SP</v>
      </c>
      <c r="F1189" s="7" t="str">
        <f>IFERROR(__xludf.DUMMYFUNCTION("""COMPUTED_VALUE"""),"MOTORCYCLE")</f>
        <v>MOTORCYCLE</v>
      </c>
      <c r="G1189" s="7" t="str">
        <f>IFERROR(__xludf.DUMMYFUNCTION("""COMPUTED_VALUE"""),"SAO PAULO")</f>
        <v>SAO PAULO</v>
      </c>
    </row>
    <row r="1190">
      <c r="A1190" s="6">
        <f>IFERROR(__xludf.DUMMYFUNCTION("""COMPUTED_VALUE"""),45705.0)</f>
        <v>45705</v>
      </c>
      <c r="B1190" s="7" t="str">
        <f>IFERROR(__xludf.DUMMYFUNCTION("""COMPUTED_VALUE"""),"1dc8d06b-6d8d-4858-994a-4b6ea21d1313")</f>
        <v>1dc8d06b-6d8d-4858-994a-4b6ea21d1313</v>
      </c>
      <c r="C1190" s="7">
        <f>IFERROR(__xludf.DUMMYFUNCTION("""COMPUTED_VALUE"""),160.0)</f>
        <v>160</v>
      </c>
      <c r="D1190" s="6">
        <f>IFERROR(__xludf.DUMMYFUNCTION("""COMPUTED_VALUE"""),45545.0)</f>
        <v>45545</v>
      </c>
      <c r="E1190" s="7" t="str">
        <f>IFERROR(__xludf.DUMMYFUNCTION("""COMPUTED_VALUE"""),"FRANQUIA_D&amp;G_SP")</f>
        <v>FRANQUIA_D&amp;G_SP</v>
      </c>
      <c r="F1190" s="7" t="str">
        <f>IFERROR(__xludf.DUMMYFUNCTION("""COMPUTED_VALUE"""),"BICYCLE")</f>
        <v>BICYCLE</v>
      </c>
      <c r="G1190" s="7" t="str">
        <f>IFERROR(__xludf.DUMMYFUNCTION("""COMPUTED_VALUE"""),"SAO PAULO")</f>
        <v>SAO PAULO</v>
      </c>
    </row>
    <row r="1191">
      <c r="A1191" s="6">
        <f>IFERROR(__xludf.DUMMYFUNCTION("""COMPUTED_VALUE"""),45705.0)</f>
        <v>45705</v>
      </c>
      <c r="B1191" s="7" t="str">
        <f>IFERROR(__xludf.DUMMYFUNCTION("""COMPUTED_VALUE"""),"13bfbb20-4bb4-4fcc-bd01-9bf0fc9f1eb9")</f>
        <v>13bfbb20-4bb4-4fcc-bd01-9bf0fc9f1eb9</v>
      </c>
      <c r="C1191" s="7">
        <f>IFERROR(__xludf.DUMMYFUNCTION("""COMPUTED_VALUE"""),124.0)</f>
        <v>124</v>
      </c>
      <c r="D1191" s="6">
        <f>IFERROR(__xludf.DUMMYFUNCTION("""COMPUTED_VALUE"""),45581.0)</f>
        <v>45581</v>
      </c>
      <c r="E1191" s="7" t="str">
        <f>IFERROR(__xludf.DUMMYFUNCTION("""COMPUTED_VALUE"""),"FRANQUIA_D&amp;G_SP")</f>
        <v>FRANQUIA_D&amp;G_SP</v>
      </c>
      <c r="F1191" s="7" t="str">
        <f>IFERROR(__xludf.DUMMYFUNCTION("""COMPUTED_VALUE"""),"BICYCLE")</f>
        <v>BICYCLE</v>
      </c>
      <c r="G1191" s="7" t="str">
        <f>IFERROR(__xludf.DUMMYFUNCTION("""COMPUTED_VALUE"""),"SAO PAULO")</f>
        <v>SAO PAULO</v>
      </c>
    </row>
    <row r="1192">
      <c r="A1192" s="6">
        <f>IFERROR(__xludf.DUMMYFUNCTION("""COMPUTED_VALUE"""),45705.0)</f>
        <v>45705</v>
      </c>
      <c r="B1192" s="7" t="str">
        <f>IFERROR(__xludf.DUMMYFUNCTION("""COMPUTED_VALUE"""),"b31112a3-2221-49d7-a30f-565bec86b832")</f>
        <v>b31112a3-2221-49d7-a30f-565bec86b832</v>
      </c>
      <c r="C1192" s="7">
        <f>IFERROR(__xludf.DUMMYFUNCTION("""COMPUTED_VALUE"""),13.0)</f>
        <v>13</v>
      </c>
      <c r="D1192" s="6">
        <f>IFERROR(__xludf.DUMMYFUNCTION("""COMPUTED_VALUE"""),45692.0)</f>
        <v>45692</v>
      </c>
      <c r="E1192" s="7" t="str">
        <f>IFERROR(__xludf.DUMMYFUNCTION("""COMPUTED_VALUE"""),"FRANQUIA_D&amp;G_SP")</f>
        <v>FRANQUIA_D&amp;G_SP</v>
      </c>
      <c r="F1192" s="7" t="str">
        <f>IFERROR(__xludf.DUMMYFUNCTION("""COMPUTED_VALUE"""),"MOTORCYCLE")</f>
        <v>MOTORCYCLE</v>
      </c>
      <c r="G1192" s="7" t="str">
        <f>IFERROR(__xludf.DUMMYFUNCTION("""COMPUTED_VALUE"""),"SAO PAULO")</f>
        <v>SAO PAULO</v>
      </c>
    </row>
    <row r="1193">
      <c r="A1193" s="6">
        <f>IFERROR(__xludf.DUMMYFUNCTION("""COMPUTED_VALUE"""),45705.0)</f>
        <v>45705</v>
      </c>
      <c r="B1193" s="7" t="str">
        <f>IFERROR(__xludf.DUMMYFUNCTION("""COMPUTED_VALUE"""),"fabeebd3-ef33-4264-83f7-6cc7ed275956")</f>
        <v>fabeebd3-ef33-4264-83f7-6cc7ed275956</v>
      </c>
      <c r="C1193" s="7">
        <f>IFERROR(__xludf.DUMMYFUNCTION("""COMPUTED_VALUE"""),0.0)</f>
        <v>0</v>
      </c>
      <c r="D1193" s="6">
        <f>IFERROR(__xludf.DUMMYFUNCTION("""COMPUTED_VALUE"""),0.0)</f>
        <v>0</v>
      </c>
      <c r="E1193" s="7" t="str">
        <f>IFERROR(__xludf.DUMMYFUNCTION("""COMPUTED_VALUE"""),"FRANQUIA_D&amp;G_SP")</f>
        <v>FRANQUIA_D&amp;G_SP</v>
      </c>
      <c r="F1193" s="7" t="str">
        <f>IFERROR(__xludf.DUMMYFUNCTION("""COMPUTED_VALUE"""),"MOTORCYCLE")</f>
        <v>MOTORCYCLE</v>
      </c>
      <c r="G1193" s="7" t="str">
        <f>IFERROR(__xludf.DUMMYFUNCTION("""COMPUTED_VALUE"""),"0")</f>
        <v>0</v>
      </c>
    </row>
    <row r="1194">
      <c r="A1194" s="6">
        <f>IFERROR(__xludf.DUMMYFUNCTION("""COMPUTED_VALUE"""),45705.0)</f>
        <v>45705</v>
      </c>
      <c r="B1194" s="7" t="str">
        <f>IFERROR(__xludf.DUMMYFUNCTION("""COMPUTED_VALUE"""),"5da3cc51-b184-4982-8044-e94df1c289d3")</f>
        <v>5da3cc51-b184-4982-8044-e94df1c289d3</v>
      </c>
      <c r="C1194" s="7">
        <f>IFERROR(__xludf.DUMMYFUNCTION("""COMPUTED_VALUE"""),0.0)</f>
        <v>0</v>
      </c>
      <c r="D1194" s="6">
        <f>IFERROR(__xludf.DUMMYFUNCTION("""COMPUTED_VALUE"""),45705.0)</f>
        <v>45705</v>
      </c>
      <c r="E1194" s="7" t="str">
        <f>IFERROR(__xludf.DUMMYFUNCTION("""COMPUTED_VALUE"""),"FRANQUIA_D&amp;G_SP")</f>
        <v>FRANQUIA_D&amp;G_SP</v>
      </c>
      <c r="F1194" s="7" t="str">
        <f>IFERROR(__xludf.DUMMYFUNCTION("""COMPUTED_VALUE"""),"BICYCLE")</f>
        <v>BICYCLE</v>
      </c>
      <c r="G1194" s="7" t="str">
        <f>IFERROR(__xludf.DUMMYFUNCTION("""COMPUTED_VALUE"""),"SAO PAULO")</f>
        <v>SAO PAULO</v>
      </c>
    </row>
    <row r="1195">
      <c r="A1195" s="6">
        <f>IFERROR(__xludf.DUMMYFUNCTION("""COMPUTED_VALUE"""),45705.0)</f>
        <v>45705</v>
      </c>
      <c r="B1195" s="7" t="str">
        <f>IFERROR(__xludf.DUMMYFUNCTION("""COMPUTED_VALUE"""),"dcab43aa-bab8-4280-89f8-25904d8f9b65")</f>
        <v>dcab43aa-bab8-4280-89f8-25904d8f9b65</v>
      </c>
      <c r="C1195" s="7">
        <f>IFERROR(__xludf.DUMMYFUNCTION("""COMPUTED_VALUE"""),551.0)</f>
        <v>551</v>
      </c>
      <c r="D1195" s="6">
        <f>IFERROR(__xludf.DUMMYFUNCTION("""COMPUTED_VALUE"""),45154.0)</f>
        <v>45154</v>
      </c>
      <c r="E1195" s="7" t="str">
        <f>IFERROR(__xludf.DUMMYFUNCTION("""COMPUTED_VALUE"""),"FRANQUIA_D&amp;G_SP")</f>
        <v>FRANQUIA_D&amp;G_SP</v>
      </c>
      <c r="F1195" s="7" t="str">
        <f>IFERROR(__xludf.DUMMYFUNCTION("""COMPUTED_VALUE"""),"MOTORCYCLE")</f>
        <v>MOTORCYCLE</v>
      </c>
      <c r="G1195" s="7" t="str">
        <f>IFERROR(__xludf.DUMMYFUNCTION("""COMPUTED_VALUE"""),"SAO PAULO")</f>
        <v>SAO PAULO</v>
      </c>
    </row>
    <row r="1196">
      <c r="A1196" s="6">
        <f>IFERROR(__xludf.DUMMYFUNCTION("""COMPUTED_VALUE"""),45705.0)</f>
        <v>45705</v>
      </c>
      <c r="B1196" s="7" t="str">
        <f>IFERROR(__xludf.DUMMYFUNCTION("""COMPUTED_VALUE"""),"7b446c5d-8404-4bd3-a0fe-1db377107db1")</f>
        <v>7b446c5d-8404-4bd3-a0fe-1db377107db1</v>
      </c>
      <c r="C1196" s="7">
        <f>IFERROR(__xludf.DUMMYFUNCTION("""COMPUTED_VALUE"""),0.0)</f>
        <v>0</v>
      </c>
      <c r="D1196" s="6">
        <f>IFERROR(__xludf.DUMMYFUNCTION("""COMPUTED_VALUE"""),45705.0)</f>
        <v>45705</v>
      </c>
      <c r="E1196" s="7" t="str">
        <f>IFERROR(__xludf.DUMMYFUNCTION("""COMPUTED_VALUE"""),"FRANQUIA_D&amp;G_SP")</f>
        <v>FRANQUIA_D&amp;G_SP</v>
      </c>
      <c r="F1196" s="7" t="str">
        <f>IFERROR(__xludf.DUMMYFUNCTION("""COMPUTED_VALUE"""),"BICYCLE")</f>
        <v>BICYCLE</v>
      </c>
      <c r="G1196" s="7" t="str">
        <f>IFERROR(__xludf.DUMMYFUNCTION("""COMPUTED_VALUE"""),"SAO PAULO")</f>
        <v>SAO PAULO</v>
      </c>
    </row>
    <row r="1197">
      <c r="A1197" s="6">
        <f>IFERROR(__xludf.DUMMYFUNCTION("""COMPUTED_VALUE"""),45705.0)</f>
        <v>45705</v>
      </c>
      <c r="B1197" s="7" t="str">
        <f>IFERROR(__xludf.DUMMYFUNCTION("""COMPUTED_VALUE"""),"63057ad9-e9c8-4105-9ffb-ea18fbd839c6")</f>
        <v>63057ad9-e9c8-4105-9ffb-ea18fbd839c6</v>
      </c>
      <c r="C1197" s="7">
        <f>IFERROR(__xludf.DUMMYFUNCTION("""COMPUTED_VALUE"""),0.0)</f>
        <v>0</v>
      </c>
      <c r="D1197" s="6">
        <f>IFERROR(__xludf.DUMMYFUNCTION("""COMPUTED_VALUE"""),45705.0)</f>
        <v>45705</v>
      </c>
      <c r="E1197" s="7" t="str">
        <f>IFERROR(__xludf.DUMMYFUNCTION("""COMPUTED_VALUE"""),"FRANQUIA_D&amp;G_SP")</f>
        <v>FRANQUIA_D&amp;G_SP</v>
      </c>
      <c r="F1197" s="7" t="str">
        <f>IFERROR(__xludf.DUMMYFUNCTION("""COMPUTED_VALUE"""),"MOTORCYCLE")</f>
        <v>MOTORCYCLE</v>
      </c>
      <c r="G1197" s="7" t="str">
        <f>IFERROR(__xludf.DUMMYFUNCTION("""COMPUTED_VALUE"""),"SAO PAULO")</f>
        <v>SAO PAULO</v>
      </c>
    </row>
    <row r="1198">
      <c r="A1198" s="6">
        <f>IFERROR(__xludf.DUMMYFUNCTION("""COMPUTED_VALUE"""),45705.0)</f>
        <v>45705</v>
      </c>
      <c r="B1198" s="7" t="str">
        <f>IFERROR(__xludf.DUMMYFUNCTION("""COMPUTED_VALUE"""),"716f8731-775e-473c-9706-6fc0d488abf8")</f>
        <v>716f8731-775e-473c-9706-6fc0d488abf8</v>
      </c>
      <c r="C1198" s="7">
        <f>IFERROR(__xludf.DUMMYFUNCTION("""COMPUTED_VALUE"""),2.0)</f>
        <v>2</v>
      </c>
      <c r="D1198" s="6">
        <f>IFERROR(__xludf.DUMMYFUNCTION("""COMPUTED_VALUE"""),45703.0)</f>
        <v>45703</v>
      </c>
      <c r="E1198" s="7" t="str">
        <f>IFERROR(__xludf.DUMMYFUNCTION("""COMPUTED_VALUE"""),"FRANQUIA_D&amp;G_SP")</f>
        <v>FRANQUIA_D&amp;G_SP</v>
      </c>
      <c r="F1198" s="7" t="str">
        <f>IFERROR(__xludf.DUMMYFUNCTION("""COMPUTED_VALUE"""),"BICYCLE")</f>
        <v>BICYCLE</v>
      </c>
      <c r="G1198" s="7" t="str">
        <f>IFERROR(__xludf.DUMMYFUNCTION("""COMPUTED_VALUE"""),"SAO PAULO")</f>
        <v>SAO PAULO</v>
      </c>
    </row>
    <row r="1199">
      <c r="A1199" s="6">
        <f>IFERROR(__xludf.DUMMYFUNCTION("""COMPUTED_VALUE"""),45705.0)</f>
        <v>45705</v>
      </c>
      <c r="B1199" s="7" t="str">
        <f>IFERROR(__xludf.DUMMYFUNCTION("""COMPUTED_VALUE"""),"0cc36f19-89ce-4b89-91ce-f1aeb4cb1834")</f>
        <v>0cc36f19-89ce-4b89-91ce-f1aeb4cb1834</v>
      </c>
      <c r="C1199" s="7">
        <f>IFERROR(__xludf.DUMMYFUNCTION("""COMPUTED_VALUE"""),33.0)</f>
        <v>33</v>
      </c>
      <c r="D1199" s="6">
        <f>IFERROR(__xludf.DUMMYFUNCTION("""COMPUTED_VALUE"""),45672.0)</f>
        <v>45672</v>
      </c>
      <c r="E1199" s="7" t="str">
        <f>IFERROR(__xludf.DUMMYFUNCTION("""COMPUTED_VALUE"""),"FRANQUIA_D&amp;G_SP")</f>
        <v>FRANQUIA_D&amp;G_SP</v>
      </c>
      <c r="F1199" s="7" t="str">
        <f>IFERROR(__xludf.DUMMYFUNCTION("""COMPUTED_VALUE"""),"BICYCLE")</f>
        <v>BICYCLE</v>
      </c>
      <c r="G1199" s="7" t="str">
        <f>IFERROR(__xludf.DUMMYFUNCTION("""COMPUTED_VALUE"""),"SAO PAULO")</f>
        <v>SAO PAULO</v>
      </c>
    </row>
    <row r="1200">
      <c r="A1200" s="6">
        <f>IFERROR(__xludf.DUMMYFUNCTION("""COMPUTED_VALUE"""),45705.0)</f>
        <v>45705</v>
      </c>
      <c r="B1200" s="7" t="str">
        <f>IFERROR(__xludf.DUMMYFUNCTION("""COMPUTED_VALUE"""),"f3bb6c37-0885-4bca-bcaa-8c5ef0f42ecb")</f>
        <v>f3bb6c37-0885-4bca-bcaa-8c5ef0f42ecb</v>
      </c>
      <c r="C1200" s="7">
        <f>IFERROR(__xludf.DUMMYFUNCTION("""COMPUTED_VALUE"""),46.0)</f>
        <v>46</v>
      </c>
      <c r="D1200" s="6">
        <f>IFERROR(__xludf.DUMMYFUNCTION("""COMPUTED_VALUE"""),45659.0)</f>
        <v>45659</v>
      </c>
      <c r="E1200" s="7" t="str">
        <f>IFERROR(__xludf.DUMMYFUNCTION("""COMPUTED_VALUE"""),"FRANQUIA_D&amp;G_SP")</f>
        <v>FRANQUIA_D&amp;G_SP</v>
      </c>
      <c r="F1200" s="7" t="str">
        <f>IFERROR(__xludf.DUMMYFUNCTION("""COMPUTED_VALUE"""),"MOTORCYCLE")</f>
        <v>MOTORCYCLE</v>
      </c>
      <c r="G1200" s="7" t="str">
        <f>IFERROR(__xludf.DUMMYFUNCTION("""COMPUTED_VALUE"""),"SAO PAULO")</f>
        <v>SAO PAULO</v>
      </c>
    </row>
    <row r="1201">
      <c r="A1201" s="6">
        <f>IFERROR(__xludf.DUMMYFUNCTION("""COMPUTED_VALUE"""),45705.0)</f>
        <v>45705</v>
      </c>
      <c r="B1201" s="7" t="str">
        <f>IFERROR(__xludf.DUMMYFUNCTION("""COMPUTED_VALUE"""),"66ba3f04-07c5-4bc2-b50f-cee4bebf7eb1")</f>
        <v>66ba3f04-07c5-4bc2-b50f-cee4bebf7eb1</v>
      </c>
      <c r="C1201" s="7">
        <f>IFERROR(__xludf.DUMMYFUNCTION("""COMPUTED_VALUE"""),52.0)</f>
        <v>52</v>
      </c>
      <c r="D1201" s="6">
        <f>IFERROR(__xludf.DUMMYFUNCTION("""COMPUTED_VALUE"""),45653.0)</f>
        <v>45653</v>
      </c>
      <c r="E1201" s="7" t="str">
        <f>IFERROR(__xludf.DUMMYFUNCTION("""COMPUTED_VALUE"""),"FRANQUIA_D&amp;G_SP")</f>
        <v>FRANQUIA_D&amp;G_SP</v>
      </c>
      <c r="F1201" s="7" t="str">
        <f>IFERROR(__xludf.DUMMYFUNCTION("""COMPUTED_VALUE"""),"BICYCLE")</f>
        <v>BICYCLE</v>
      </c>
      <c r="G1201" s="7" t="str">
        <f>IFERROR(__xludf.DUMMYFUNCTION("""COMPUTED_VALUE"""),"SAO PAULO")</f>
        <v>SAO PAULO</v>
      </c>
    </row>
    <row r="1202">
      <c r="A1202" s="6">
        <f>IFERROR(__xludf.DUMMYFUNCTION("""COMPUTED_VALUE"""),45705.0)</f>
        <v>45705</v>
      </c>
      <c r="B1202" s="7" t="str">
        <f>IFERROR(__xludf.DUMMYFUNCTION("""COMPUTED_VALUE"""),"bbf3dfbc-7217-4e03-b3da-707d72e4ee7e")</f>
        <v>bbf3dfbc-7217-4e03-b3da-707d72e4ee7e</v>
      </c>
      <c r="C1202" s="7">
        <f>IFERROR(__xludf.DUMMYFUNCTION("""COMPUTED_VALUE"""),1.0)</f>
        <v>1</v>
      </c>
      <c r="D1202" s="6">
        <f>IFERROR(__xludf.DUMMYFUNCTION("""COMPUTED_VALUE"""),45704.0)</f>
        <v>45704</v>
      </c>
      <c r="E1202" s="7" t="str">
        <f>IFERROR(__xludf.DUMMYFUNCTION("""COMPUTED_VALUE"""),"FRANQUIA_D&amp;G_SP")</f>
        <v>FRANQUIA_D&amp;G_SP</v>
      </c>
      <c r="F1202" s="7" t="str">
        <f>IFERROR(__xludf.DUMMYFUNCTION("""COMPUTED_VALUE"""),"MOTORCYCLE")</f>
        <v>MOTORCYCLE</v>
      </c>
      <c r="G1202" s="7" t="str">
        <f>IFERROR(__xludf.DUMMYFUNCTION("""COMPUTED_VALUE"""),"SAO PAULO")</f>
        <v>SAO PAULO</v>
      </c>
    </row>
    <row r="1203">
      <c r="A1203" s="6">
        <f>IFERROR(__xludf.DUMMYFUNCTION("""COMPUTED_VALUE"""),45705.0)</f>
        <v>45705</v>
      </c>
      <c r="B1203" s="7" t="str">
        <f>IFERROR(__xludf.DUMMYFUNCTION("""COMPUTED_VALUE"""),"8ed8829a-061d-444a-a490-1674a46b1c99")</f>
        <v>8ed8829a-061d-444a-a490-1674a46b1c99</v>
      </c>
      <c r="C1203" s="7">
        <f>IFERROR(__xludf.DUMMYFUNCTION("""COMPUTED_VALUE"""),2.0)</f>
        <v>2</v>
      </c>
      <c r="D1203" s="6">
        <f>IFERROR(__xludf.DUMMYFUNCTION("""COMPUTED_VALUE"""),45703.0)</f>
        <v>45703</v>
      </c>
      <c r="E1203" s="7" t="str">
        <f>IFERROR(__xludf.DUMMYFUNCTION("""COMPUTED_VALUE"""),"FRANQUIA_D&amp;G_SP")</f>
        <v>FRANQUIA_D&amp;G_SP</v>
      </c>
      <c r="F1203" s="7" t="str">
        <f>IFERROR(__xludf.DUMMYFUNCTION("""COMPUTED_VALUE"""),"EMOTORCYCLE")</f>
        <v>EMOTORCYCLE</v>
      </c>
      <c r="G1203" s="7" t="str">
        <f>IFERROR(__xludf.DUMMYFUNCTION("""COMPUTED_VALUE"""),"SAO PAULO")</f>
        <v>SAO PAULO</v>
      </c>
    </row>
    <row r="1204">
      <c r="A1204" s="6">
        <f>IFERROR(__xludf.DUMMYFUNCTION("""COMPUTED_VALUE"""),45705.0)</f>
        <v>45705</v>
      </c>
      <c r="B1204" s="7" t="str">
        <f>IFERROR(__xludf.DUMMYFUNCTION("""COMPUTED_VALUE"""),"d30884dd-1ba9-49aa-9e80-9322e06bb5b5")</f>
        <v>d30884dd-1ba9-49aa-9e80-9322e06bb5b5</v>
      </c>
      <c r="C1204" s="7">
        <f>IFERROR(__xludf.DUMMYFUNCTION("""COMPUTED_VALUE"""),294.0)</f>
        <v>294</v>
      </c>
      <c r="D1204" s="6">
        <f>IFERROR(__xludf.DUMMYFUNCTION("""COMPUTED_VALUE"""),45411.0)</f>
        <v>45411</v>
      </c>
      <c r="E1204" s="7" t="str">
        <f>IFERROR(__xludf.DUMMYFUNCTION("""COMPUTED_VALUE"""),"FRANQUIA_D&amp;G_SP")</f>
        <v>FRANQUIA_D&amp;G_SP</v>
      </c>
      <c r="F1204" s="7" t="str">
        <f>IFERROR(__xludf.DUMMYFUNCTION("""COMPUTED_VALUE"""),"BICYCLE")</f>
        <v>BICYCLE</v>
      </c>
      <c r="G1204" s="7" t="str">
        <f>IFERROR(__xludf.DUMMYFUNCTION("""COMPUTED_VALUE"""),"SAO PAULO")</f>
        <v>SAO PAULO</v>
      </c>
    </row>
    <row r="1205">
      <c r="A1205" s="6">
        <f>IFERROR(__xludf.DUMMYFUNCTION("""COMPUTED_VALUE"""),45705.0)</f>
        <v>45705</v>
      </c>
      <c r="B1205" s="7" t="str">
        <f>IFERROR(__xludf.DUMMYFUNCTION("""COMPUTED_VALUE"""),"986bad93-ea12-479b-a11a-fd465014dff0")</f>
        <v>986bad93-ea12-479b-a11a-fd465014dff0</v>
      </c>
      <c r="C1205" s="7">
        <f>IFERROR(__xludf.DUMMYFUNCTION("""COMPUTED_VALUE"""),4.0)</f>
        <v>4</v>
      </c>
      <c r="D1205" s="6">
        <f>IFERROR(__xludf.DUMMYFUNCTION("""COMPUTED_VALUE"""),45701.0)</f>
        <v>45701</v>
      </c>
      <c r="E1205" s="7" t="str">
        <f>IFERROR(__xludf.DUMMYFUNCTION("""COMPUTED_VALUE"""),"FRANQUIA_D&amp;G_SP")</f>
        <v>FRANQUIA_D&amp;G_SP</v>
      </c>
      <c r="F1205" s="7" t="str">
        <f>IFERROR(__xludf.DUMMYFUNCTION("""COMPUTED_VALUE"""),"MOTORCYCLE")</f>
        <v>MOTORCYCLE</v>
      </c>
      <c r="G1205" s="7" t="str">
        <f>IFERROR(__xludf.DUMMYFUNCTION("""COMPUTED_VALUE"""),"SAO PAULO")</f>
        <v>SAO PAULO</v>
      </c>
    </row>
    <row r="1206">
      <c r="A1206" s="6">
        <f>IFERROR(__xludf.DUMMYFUNCTION("""COMPUTED_VALUE"""),45705.0)</f>
        <v>45705</v>
      </c>
      <c r="B1206" s="7" t="str">
        <f>IFERROR(__xludf.DUMMYFUNCTION("""COMPUTED_VALUE"""),"68e9a039-bc4b-4b13-bfb2-86fdb3622bbb")</f>
        <v>68e9a039-bc4b-4b13-bfb2-86fdb3622bbb</v>
      </c>
      <c r="C1206" s="7">
        <f>IFERROR(__xludf.DUMMYFUNCTION("""COMPUTED_VALUE"""),0.0)</f>
        <v>0</v>
      </c>
      <c r="D1206" s="6">
        <f>IFERROR(__xludf.DUMMYFUNCTION("""COMPUTED_VALUE"""),45705.0)</f>
        <v>45705</v>
      </c>
      <c r="E1206" s="7" t="str">
        <f>IFERROR(__xludf.DUMMYFUNCTION("""COMPUTED_VALUE"""),"FRANQUIA_D&amp;G_SP")</f>
        <v>FRANQUIA_D&amp;G_SP</v>
      </c>
      <c r="F1206" s="7" t="str">
        <f>IFERROR(__xludf.DUMMYFUNCTION("""COMPUTED_VALUE"""),"MOTORCYCLE")</f>
        <v>MOTORCYCLE</v>
      </c>
      <c r="G1206" s="7" t="str">
        <f>IFERROR(__xludf.DUMMYFUNCTION("""COMPUTED_VALUE"""),"SAO PAULO")</f>
        <v>SAO PAULO</v>
      </c>
    </row>
    <row r="1207">
      <c r="A1207" s="6">
        <f>IFERROR(__xludf.DUMMYFUNCTION("""COMPUTED_VALUE"""),45705.0)</f>
        <v>45705</v>
      </c>
      <c r="B1207" s="7" t="str">
        <f>IFERROR(__xludf.DUMMYFUNCTION("""COMPUTED_VALUE"""),"575bf81a-021f-4643-9c06-ce38670aa9e5")</f>
        <v>575bf81a-021f-4643-9c06-ce38670aa9e5</v>
      </c>
      <c r="C1207" s="7">
        <f>IFERROR(__xludf.DUMMYFUNCTION("""COMPUTED_VALUE"""),34.0)</f>
        <v>34</v>
      </c>
      <c r="D1207" s="6">
        <f>IFERROR(__xludf.DUMMYFUNCTION("""COMPUTED_VALUE"""),45671.0)</f>
        <v>45671</v>
      </c>
      <c r="E1207" s="7" t="str">
        <f>IFERROR(__xludf.DUMMYFUNCTION("""COMPUTED_VALUE"""),"FRANQUIA_D&amp;G_SP")</f>
        <v>FRANQUIA_D&amp;G_SP</v>
      </c>
      <c r="F1207" s="7" t="str">
        <f>IFERROR(__xludf.DUMMYFUNCTION("""COMPUTED_VALUE"""),"BICYCLE")</f>
        <v>BICYCLE</v>
      </c>
      <c r="G1207" s="7" t="str">
        <f>IFERROR(__xludf.DUMMYFUNCTION("""COMPUTED_VALUE"""),"SAO PAULO")</f>
        <v>SAO PAULO</v>
      </c>
    </row>
    <row r="1208">
      <c r="A1208" s="6">
        <f>IFERROR(__xludf.DUMMYFUNCTION("""COMPUTED_VALUE"""),45705.0)</f>
        <v>45705</v>
      </c>
      <c r="B1208" s="7" t="str">
        <f>IFERROR(__xludf.DUMMYFUNCTION("""COMPUTED_VALUE"""),"bcfb4d90-2e23-4d9b-aab1-d8a8b667d435")</f>
        <v>bcfb4d90-2e23-4d9b-aab1-d8a8b667d435</v>
      </c>
      <c r="C1208" s="7">
        <f>IFERROR(__xludf.DUMMYFUNCTION("""COMPUTED_VALUE"""),0.0)</f>
        <v>0</v>
      </c>
      <c r="D1208" s="6">
        <f>IFERROR(__xludf.DUMMYFUNCTION("""COMPUTED_VALUE"""),45705.0)</f>
        <v>45705</v>
      </c>
      <c r="E1208" s="7" t="str">
        <f>IFERROR(__xludf.DUMMYFUNCTION("""COMPUTED_VALUE"""),"FRANQUIA_D&amp;G_SP")</f>
        <v>FRANQUIA_D&amp;G_SP</v>
      </c>
      <c r="F1208" s="7" t="str">
        <f>IFERROR(__xludf.DUMMYFUNCTION("""COMPUTED_VALUE"""),"MOTORCYCLE")</f>
        <v>MOTORCYCLE</v>
      </c>
      <c r="G1208" s="7" t="str">
        <f>IFERROR(__xludf.DUMMYFUNCTION("""COMPUTED_VALUE"""),"SAO PAULO")</f>
        <v>SAO PAULO</v>
      </c>
    </row>
    <row r="1209">
      <c r="A1209" s="6">
        <f>IFERROR(__xludf.DUMMYFUNCTION("""COMPUTED_VALUE"""),45705.0)</f>
        <v>45705</v>
      </c>
      <c r="B1209" s="7" t="str">
        <f>IFERROR(__xludf.DUMMYFUNCTION("""COMPUTED_VALUE"""),"8e58e217-9ab6-4504-bfe2-01b9377af3fc")</f>
        <v>8e58e217-9ab6-4504-bfe2-01b9377af3fc</v>
      </c>
      <c r="C1209" s="7">
        <f>IFERROR(__xludf.DUMMYFUNCTION("""COMPUTED_VALUE"""),0.0)</f>
        <v>0</v>
      </c>
      <c r="D1209" s="6">
        <f>IFERROR(__xludf.DUMMYFUNCTION("""COMPUTED_VALUE"""),45705.0)</f>
        <v>45705</v>
      </c>
      <c r="E1209" s="7" t="str">
        <f>IFERROR(__xludf.DUMMYFUNCTION("""COMPUTED_VALUE"""),"FRANQUIA_D&amp;G_SP")</f>
        <v>FRANQUIA_D&amp;G_SP</v>
      </c>
      <c r="F1209" s="7" t="str">
        <f>IFERROR(__xludf.DUMMYFUNCTION("""COMPUTED_VALUE"""),"MOTORCYCLE")</f>
        <v>MOTORCYCLE</v>
      </c>
      <c r="G1209" s="7" t="str">
        <f>IFERROR(__xludf.DUMMYFUNCTION("""COMPUTED_VALUE"""),"SAO PAULO")</f>
        <v>SAO PAULO</v>
      </c>
    </row>
    <row r="1210">
      <c r="A1210" s="6">
        <f>IFERROR(__xludf.DUMMYFUNCTION("""COMPUTED_VALUE"""),45705.0)</f>
        <v>45705</v>
      </c>
      <c r="B1210" s="7" t="str">
        <f>IFERROR(__xludf.DUMMYFUNCTION("""COMPUTED_VALUE"""),"3496faa5-26d4-4411-bd32-f69861331d09")</f>
        <v>3496faa5-26d4-4411-bd32-f69861331d09</v>
      </c>
      <c r="C1210" s="7">
        <f>IFERROR(__xludf.DUMMYFUNCTION("""COMPUTED_VALUE"""),49.0)</f>
        <v>49</v>
      </c>
      <c r="D1210" s="6">
        <f>IFERROR(__xludf.DUMMYFUNCTION("""COMPUTED_VALUE"""),45656.0)</f>
        <v>45656</v>
      </c>
      <c r="E1210" s="7" t="str">
        <f>IFERROR(__xludf.DUMMYFUNCTION("""COMPUTED_VALUE"""),"FRANQUIA_D&amp;G_SP")</f>
        <v>FRANQUIA_D&amp;G_SP</v>
      </c>
      <c r="F1210" s="7" t="str">
        <f>IFERROR(__xludf.DUMMYFUNCTION("""COMPUTED_VALUE"""),"MOTORCYCLE")</f>
        <v>MOTORCYCLE</v>
      </c>
      <c r="G1210" s="7" t="str">
        <f>IFERROR(__xludf.DUMMYFUNCTION("""COMPUTED_VALUE"""),"SAO PAULO")</f>
        <v>SAO PAULO</v>
      </c>
    </row>
    <row r="1211">
      <c r="A1211" s="6">
        <f>IFERROR(__xludf.DUMMYFUNCTION("""COMPUTED_VALUE"""),45705.0)</f>
        <v>45705</v>
      </c>
      <c r="B1211" s="7" t="str">
        <f>IFERROR(__xludf.DUMMYFUNCTION("""COMPUTED_VALUE"""),"a58deeda-c966-4bfd-841f-63a7b16cff36")</f>
        <v>a58deeda-c966-4bfd-841f-63a7b16cff36</v>
      </c>
      <c r="C1211" s="7">
        <f>IFERROR(__xludf.DUMMYFUNCTION("""COMPUTED_VALUE"""),0.0)</f>
        <v>0</v>
      </c>
      <c r="D1211" s="6">
        <f>IFERROR(__xludf.DUMMYFUNCTION("""COMPUTED_VALUE"""),45705.0)</f>
        <v>45705</v>
      </c>
      <c r="E1211" s="7" t="str">
        <f>IFERROR(__xludf.DUMMYFUNCTION("""COMPUTED_VALUE"""),"FRANQUIA_D&amp;G_SP")</f>
        <v>FRANQUIA_D&amp;G_SP</v>
      </c>
      <c r="F1211" s="7" t="str">
        <f>IFERROR(__xludf.DUMMYFUNCTION("""COMPUTED_VALUE"""),"MOTORCYCLE")</f>
        <v>MOTORCYCLE</v>
      </c>
      <c r="G1211" s="7" t="str">
        <f>IFERROR(__xludf.DUMMYFUNCTION("""COMPUTED_VALUE"""),"SAO PAULO")</f>
        <v>SAO PAULO</v>
      </c>
    </row>
    <row r="1212">
      <c r="A1212" s="6">
        <f>IFERROR(__xludf.DUMMYFUNCTION("""COMPUTED_VALUE"""),45705.0)</f>
        <v>45705</v>
      </c>
      <c r="B1212" s="7" t="str">
        <f>IFERROR(__xludf.DUMMYFUNCTION("""COMPUTED_VALUE"""),"424924eb-a0a4-4393-9aa4-f9e3bbd3f754")</f>
        <v>424924eb-a0a4-4393-9aa4-f9e3bbd3f754</v>
      </c>
      <c r="C1212" s="7">
        <f>IFERROR(__xludf.DUMMYFUNCTION("""COMPUTED_VALUE"""),27.0)</f>
        <v>27</v>
      </c>
      <c r="D1212" s="6">
        <f>IFERROR(__xludf.DUMMYFUNCTION("""COMPUTED_VALUE"""),45678.0)</f>
        <v>45678</v>
      </c>
      <c r="E1212" s="7" t="str">
        <f>IFERROR(__xludf.DUMMYFUNCTION("""COMPUTED_VALUE"""),"FRANQUIA_D&amp;G_SP")</f>
        <v>FRANQUIA_D&amp;G_SP</v>
      </c>
      <c r="F1212" s="7" t="str">
        <f>IFERROR(__xludf.DUMMYFUNCTION("""COMPUTED_VALUE"""),"MOTORCYCLE")</f>
        <v>MOTORCYCLE</v>
      </c>
      <c r="G1212" s="7" t="str">
        <f>IFERROR(__xludf.DUMMYFUNCTION("""COMPUTED_VALUE"""),"SAO PAULO")</f>
        <v>SAO PAULO</v>
      </c>
    </row>
    <row r="1213">
      <c r="A1213" s="6">
        <f>IFERROR(__xludf.DUMMYFUNCTION("""COMPUTED_VALUE"""),45705.0)</f>
        <v>45705</v>
      </c>
      <c r="B1213" s="7" t="str">
        <f>IFERROR(__xludf.DUMMYFUNCTION("""COMPUTED_VALUE"""),"52524e58-535b-40dd-85dd-8f8add29e6ef")</f>
        <v>52524e58-535b-40dd-85dd-8f8add29e6ef</v>
      </c>
      <c r="C1213" s="7">
        <f>IFERROR(__xludf.DUMMYFUNCTION("""COMPUTED_VALUE"""),114.0)</f>
        <v>114</v>
      </c>
      <c r="D1213" s="6">
        <f>IFERROR(__xludf.DUMMYFUNCTION("""COMPUTED_VALUE"""),45591.0)</f>
        <v>45591</v>
      </c>
      <c r="E1213" s="7" t="str">
        <f>IFERROR(__xludf.DUMMYFUNCTION("""COMPUTED_VALUE"""),"FRANQUIA_D&amp;G_SP")</f>
        <v>FRANQUIA_D&amp;G_SP</v>
      </c>
      <c r="F1213" s="7" t="str">
        <f>IFERROR(__xludf.DUMMYFUNCTION("""COMPUTED_VALUE"""),"BICYCLE")</f>
        <v>BICYCLE</v>
      </c>
      <c r="G1213" s="7" t="str">
        <f>IFERROR(__xludf.DUMMYFUNCTION("""COMPUTED_VALUE"""),"SAO PAULO")</f>
        <v>SAO PAULO</v>
      </c>
    </row>
    <row r="1214">
      <c r="A1214" s="6">
        <f>IFERROR(__xludf.DUMMYFUNCTION("""COMPUTED_VALUE"""),45705.0)</f>
        <v>45705</v>
      </c>
      <c r="B1214" s="7" t="str">
        <f>IFERROR(__xludf.DUMMYFUNCTION("""COMPUTED_VALUE"""),"61f43e88-3e72-4198-9ced-5bd818142493")</f>
        <v>61f43e88-3e72-4198-9ced-5bd818142493</v>
      </c>
      <c r="C1214" s="7">
        <f>IFERROR(__xludf.DUMMYFUNCTION("""COMPUTED_VALUE"""),1.0)</f>
        <v>1</v>
      </c>
      <c r="D1214" s="6">
        <f>IFERROR(__xludf.DUMMYFUNCTION("""COMPUTED_VALUE"""),45704.0)</f>
        <v>45704</v>
      </c>
      <c r="E1214" s="7" t="str">
        <f>IFERROR(__xludf.DUMMYFUNCTION("""COMPUTED_VALUE"""),"FRANQUIA_D&amp;G_SP")</f>
        <v>FRANQUIA_D&amp;G_SP</v>
      </c>
      <c r="F1214" s="7" t="str">
        <f>IFERROR(__xludf.DUMMYFUNCTION("""COMPUTED_VALUE"""),"BICYCLE")</f>
        <v>BICYCLE</v>
      </c>
      <c r="G1214" s="7" t="str">
        <f>IFERROR(__xludf.DUMMYFUNCTION("""COMPUTED_VALUE"""),"SAO PAULO")</f>
        <v>SAO PAULO</v>
      </c>
    </row>
    <row r="1215">
      <c r="A1215" s="6">
        <f>IFERROR(__xludf.DUMMYFUNCTION("""COMPUTED_VALUE"""),45705.0)</f>
        <v>45705</v>
      </c>
      <c r="B1215" s="7" t="str">
        <f>IFERROR(__xludf.DUMMYFUNCTION("""COMPUTED_VALUE"""),"0fda3aab-abb7-4bd7-b832-dd6aa6f79131")</f>
        <v>0fda3aab-abb7-4bd7-b832-dd6aa6f79131</v>
      </c>
      <c r="C1215" s="7">
        <f>IFERROR(__xludf.DUMMYFUNCTION("""COMPUTED_VALUE"""),0.0)</f>
        <v>0</v>
      </c>
      <c r="D1215" s="6">
        <f>IFERROR(__xludf.DUMMYFUNCTION("""COMPUTED_VALUE"""),45705.0)</f>
        <v>45705</v>
      </c>
      <c r="E1215" s="7" t="str">
        <f>IFERROR(__xludf.DUMMYFUNCTION("""COMPUTED_VALUE"""),"FRANQUIA_D&amp;G_SP")</f>
        <v>FRANQUIA_D&amp;G_SP</v>
      </c>
      <c r="F1215" s="7" t="str">
        <f>IFERROR(__xludf.DUMMYFUNCTION("""COMPUTED_VALUE"""),"MOTORCYCLE")</f>
        <v>MOTORCYCLE</v>
      </c>
      <c r="G1215" s="7" t="str">
        <f>IFERROR(__xludf.DUMMYFUNCTION("""COMPUTED_VALUE"""),"SAO PAULO")</f>
        <v>SAO PAULO</v>
      </c>
    </row>
    <row r="1216">
      <c r="A1216" s="6">
        <f>IFERROR(__xludf.DUMMYFUNCTION("""COMPUTED_VALUE"""),45705.0)</f>
        <v>45705</v>
      </c>
      <c r="B1216" s="7" t="str">
        <f>IFERROR(__xludf.DUMMYFUNCTION("""COMPUTED_VALUE"""),"5f8089a1-43de-42e0-8554-59c6d9455331")</f>
        <v>5f8089a1-43de-42e0-8554-59c6d9455331</v>
      </c>
      <c r="C1216" s="7">
        <f>IFERROR(__xludf.DUMMYFUNCTION("""COMPUTED_VALUE"""),0.0)</f>
        <v>0</v>
      </c>
      <c r="D1216" s="6">
        <f>IFERROR(__xludf.DUMMYFUNCTION("""COMPUTED_VALUE"""),45705.0)</f>
        <v>45705</v>
      </c>
      <c r="E1216" s="7" t="str">
        <f>IFERROR(__xludf.DUMMYFUNCTION("""COMPUTED_VALUE"""),"FRANQUIA_D&amp;G_SP")</f>
        <v>FRANQUIA_D&amp;G_SP</v>
      </c>
      <c r="F1216" s="7" t="str">
        <f>IFERROR(__xludf.DUMMYFUNCTION("""COMPUTED_VALUE"""),"BICYCLE")</f>
        <v>BICYCLE</v>
      </c>
      <c r="G1216" s="7" t="str">
        <f>IFERROR(__xludf.DUMMYFUNCTION("""COMPUTED_VALUE"""),"SAO PAULO")</f>
        <v>SAO PAULO</v>
      </c>
    </row>
    <row r="1217">
      <c r="A1217" s="6">
        <f>IFERROR(__xludf.DUMMYFUNCTION("""COMPUTED_VALUE"""),45705.0)</f>
        <v>45705</v>
      </c>
      <c r="B1217" s="7" t="str">
        <f>IFERROR(__xludf.DUMMYFUNCTION("""COMPUTED_VALUE"""),"7b77130e-4c92-4817-b143-245f18a4abbd")</f>
        <v>7b77130e-4c92-4817-b143-245f18a4abbd</v>
      </c>
      <c r="C1217" s="7">
        <f>IFERROR(__xludf.DUMMYFUNCTION("""COMPUTED_VALUE"""),2.0)</f>
        <v>2</v>
      </c>
      <c r="D1217" s="6">
        <f>IFERROR(__xludf.DUMMYFUNCTION("""COMPUTED_VALUE"""),45703.0)</f>
        <v>45703</v>
      </c>
      <c r="E1217" s="7" t="str">
        <f>IFERROR(__xludf.DUMMYFUNCTION("""COMPUTED_VALUE"""),"FRANQUIA_D&amp;G_SP")</f>
        <v>FRANQUIA_D&amp;G_SP</v>
      </c>
      <c r="F1217" s="7" t="str">
        <f>IFERROR(__xludf.DUMMYFUNCTION("""COMPUTED_VALUE"""),"BICYCLE")</f>
        <v>BICYCLE</v>
      </c>
      <c r="G1217" s="7" t="str">
        <f>IFERROR(__xludf.DUMMYFUNCTION("""COMPUTED_VALUE"""),"SAO PAULO")</f>
        <v>SAO PAULO</v>
      </c>
    </row>
    <row r="1218">
      <c r="A1218" s="6">
        <f>IFERROR(__xludf.DUMMYFUNCTION("""COMPUTED_VALUE"""),45705.0)</f>
        <v>45705</v>
      </c>
      <c r="B1218" s="7" t="str">
        <f>IFERROR(__xludf.DUMMYFUNCTION("""COMPUTED_VALUE"""),"440d834d-9d48-441b-9c77-6cd2f4e72ab2")</f>
        <v>440d834d-9d48-441b-9c77-6cd2f4e72ab2</v>
      </c>
      <c r="C1218" s="7">
        <f>IFERROR(__xludf.DUMMYFUNCTION("""COMPUTED_VALUE"""),12.0)</f>
        <v>12</v>
      </c>
      <c r="D1218" s="6">
        <f>IFERROR(__xludf.DUMMYFUNCTION("""COMPUTED_VALUE"""),45693.0)</f>
        <v>45693</v>
      </c>
      <c r="E1218" s="7" t="str">
        <f>IFERROR(__xludf.DUMMYFUNCTION("""COMPUTED_VALUE"""),"FRANQUIA_D&amp;G_SP")</f>
        <v>FRANQUIA_D&amp;G_SP</v>
      </c>
      <c r="F1218" s="7" t="str">
        <f>IFERROR(__xludf.DUMMYFUNCTION("""COMPUTED_VALUE"""),"MOTORCYCLE")</f>
        <v>MOTORCYCLE</v>
      </c>
      <c r="G1218" s="7" t="str">
        <f>IFERROR(__xludf.DUMMYFUNCTION("""COMPUTED_VALUE"""),"ABC")</f>
        <v>ABC</v>
      </c>
    </row>
    <row r="1219">
      <c r="A1219" s="6">
        <f>IFERROR(__xludf.DUMMYFUNCTION("""COMPUTED_VALUE"""),45705.0)</f>
        <v>45705</v>
      </c>
      <c r="B1219" s="7" t="str">
        <f>IFERROR(__xludf.DUMMYFUNCTION("""COMPUTED_VALUE"""),"2ceaddc0-ec31-4629-8afa-f321d67d4991")</f>
        <v>2ceaddc0-ec31-4629-8afa-f321d67d4991</v>
      </c>
      <c r="C1219" s="7">
        <f>IFERROR(__xludf.DUMMYFUNCTION("""COMPUTED_VALUE"""),1.0)</f>
        <v>1</v>
      </c>
      <c r="D1219" s="6">
        <f>IFERROR(__xludf.DUMMYFUNCTION("""COMPUTED_VALUE"""),45704.0)</f>
        <v>45704</v>
      </c>
      <c r="E1219" s="7" t="str">
        <f>IFERROR(__xludf.DUMMYFUNCTION("""COMPUTED_VALUE"""),"FRANQUIA_D&amp;G_SP")</f>
        <v>FRANQUIA_D&amp;G_SP</v>
      </c>
      <c r="F1219" s="7" t="str">
        <f>IFERROR(__xludf.DUMMYFUNCTION("""COMPUTED_VALUE"""),"MOTORCYCLE")</f>
        <v>MOTORCYCLE</v>
      </c>
      <c r="G1219" s="7" t="str">
        <f>IFERROR(__xludf.DUMMYFUNCTION("""COMPUTED_VALUE"""),"SAO PAULO")</f>
        <v>SAO PAULO</v>
      </c>
    </row>
    <row r="1220">
      <c r="A1220" s="6">
        <f>IFERROR(__xludf.DUMMYFUNCTION("""COMPUTED_VALUE"""),45705.0)</f>
        <v>45705</v>
      </c>
      <c r="B1220" s="7" t="str">
        <f>IFERROR(__xludf.DUMMYFUNCTION("""COMPUTED_VALUE"""),"ffb02d4f-3cf6-4f52-85aa-eb83d44d7e34")</f>
        <v>ffb02d4f-3cf6-4f52-85aa-eb83d44d7e34</v>
      </c>
      <c r="C1220" s="7">
        <f>IFERROR(__xludf.DUMMYFUNCTION("""COMPUTED_VALUE"""),2.0)</f>
        <v>2</v>
      </c>
      <c r="D1220" s="6">
        <f>IFERROR(__xludf.DUMMYFUNCTION("""COMPUTED_VALUE"""),45703.0)</f>
        <v>45703</v>
      </c>
      <c r="E1220" s="7" t="str">
        <f>IFERROR(__xludf.DUMMYFUNCTION("""COMPUTED_VALUE"""),"FRANQUIA_D&amp;G_SP")</f>
        <v>FRANQUIA_D&amp;G_SP</v>
      </c>
      <c r="F1220" s="7" t="str">
        <f>IFERROR(__xludf.DUMMYFUNCTION("""COMPUTED_VALUE"""),"BICYCLE")</f>
        <v>BICYCLE</v>
      </c>
      <c r="G1220" s="7" t="str">
        <f>IFERROR(__xludf.DUMMYFUNCTION("""COMPUTED_VALUE"""),"SAO PAULO")</f>
        <v>SAO PAULO</v>
      </c>
    </row>
    <row r="1221">
      <c r="A1221" s="6">
        <f>IFERROR(__xludf.DUMMYFUNCTION("""COMPUTED_VALUE"""),45705.0)</f>
        <v>45705</v>
      </c>
      <c r="B1221" s="7" t="str">
        <f>IFERROR(__xludf.DUMMYFUNCTION("""COMPUTED_VALUE"""),"b951228b-82c0-46b0-9a48-b65a89fa3e4e")</f>
        <v>b951228b-82c0-46b0-9a48-b65a89fa3e4e</v>
      </c>
      <c r="C1221" s="7">
        <f>IFERROR(__xludf.DUMMYFUNCTION("""COMPUTED_VALUE"""),1.0)</f>
        <v>1</v>
      </c>
      <c r="D1221" s="6">
        <f>IFERROR(__xludf.DUMMYFUNCTION("""COMPUTED_VALUE"""),45704.0)</f>
        <v>45704</v>
      </c>
      <c r="E1221" s="7" t="str">
        <f>IFERROR(__xludf.DUMMYFUNCTION("""COMPUTED_VALUE"""),"FRANQUIA_D&amp;G_SP")</f>
        <v>FRANQUIA_D&amp;G_SP</v>
      </c>
      <c r="F1221" s="7" t="str">
        <f>IFERROR(__xludf.DUMMYFUNCTION("""COMPUTED_VALUE"""),"MOTORCYCLE")</f>
        <v>MOTORCYCLE</v>
      </c>
      <c r="G1221" s="7" t="str">
        <f>IFERROR(__xludf.DUMMYFUNCTION("""COMPUTED_VALUE"""),"SAO PAULO")</f>
        <v>SAO PAULO</v>
      </c>
    </row>
    <row r="1222">
      <c r="A1222" s="6">
        <f>IFERROR(__xludf.DUMMYFUNCTION("""COMPUTED_VALUE"""),45705.0)</f>
        <v>45705</v>
      </c>
      <c r="B1222" s="7" t="str">
        <f>IFERROR(__xludf.DUMMYFUNCTION("""COMPUTED_VALUE"""),"aac0d75e-26a5-41f8-ac21-aad7563713b2")</f>
        <v>aac0d75e-26a5-41f8-ac21-aad7563713b2</v>
      </c>
      <c r="C1222" s="7">
        <f>IFERROR(__xludf.DUMMYFUNCTION("""COMPUTED_VALUE"""),49.0)</f>
        <v>49</v>
      </c>
      <c r="D1222" s="6">
        <f>IFERROR(__xludf.DUMMYFUNCTION("""COMPUTED_VALUE"""),45656.0)</f>
        <v>45656</v>
      </c>
      <c r="E1222" s="7" t="str">
        <f>IFERROR(__xludf.DUMMYFUNCTION("""COMPUTED_VALUE"""),"FRANQUIA_D&amp;G_SP")</f>
        <v>FRANQUIA_D&amp;G_SP</v>
      </c>
      <c r="F1222" s="7" t="str">
        <f>IFERROR(__xludf.DUMMYFUNCTION("""COMPUTED_VALUE"""),"BICYCLE")</f>
        <v>BICYCLE</v>
      </c>
      <c r="G1222" s="7" t="str">
        <f>IFERROR(__xludf.DUMMYFUNCTION("""COMPUTED_VALUE"""),"SAO PAULO")</f>
        <v>SAO PAULO</v>
      </c>
    </row>
    <row r="1223">
      <c r="A1223" s="6">
        <f>IFERROR(__xludf.DUMMYFUNCTION("""COMPUTED_VALUE"""),45705.0)</f>
        <v>45705</v>
      </c>
      <c r="B1223" s="7" t="str">
        <f>IFERROR(__xludf.DUMMYFUNCTION("""COMPUTED_VALUE"""),"6f2abbd4-3eb4-4490-b334-ca007b006c38")</f>
        <v>6f2abbd4-3eb4-4490-b334-ca007b006c38</v>
      </c>
      <c r="C1223" s="7">
        <f>IFERROR(__xludf.DUMMYFUNCTION("""COMPUTED_VALUE"""),509.0)</f>
        <v>509</v>
      </c>
      <c r="D1223" s="6">
        <f>IFERROR(__xludf.DUMMYFUNCTION("""COMPUTED_VALUE"""),45196.0)</f>
        <v>45196</v>
      </c>
      <c r="E1223" s="7" t="str">
        <f>IFERROR(__xludf.DUMMYFUNCTION("""COMPUTED_VALUE"""),"FRANQUIA_D&amp;G_SP")</f>
        <v>FRANQUIA_D&amp;G_SP</v>
      </c>
      <c r="F1223" s="7" t="str">
        <f>IFERROR(__xludf.DUMMYFUNCTION("""COMPUTED_VALUE"""),"MOTORCYCLE")</f>
        <v>MOTORCYCLE</v>
      </c>
      <c r="G1223" s="7" t="str">
        <f>IFERROR(__xludf.DUMMYFUNCTION("""COMPUTED_VALUE"""),"SAO PAULO")</f>
        <v>SAO PAULO</v>
      </c>
    </row>
    <row r="1224">
      <c r="A1224" s="6">
        <f>IFERROR(__xludf.DUMMYFUNCTION("""COMPUTED_VALUE"""),45705.0)</f>
        <v>45705</v>
      </c>
      <c r="B1224" s="7" t="str">
        <f>IFERROR(__xludf.DUMMYFUNCTION("""COMPUTED_VALUE"""),"473259ad-ec67-4e84-b535-4acf25cd14f3")</f>
        <v>473259ad-ec67-4e84-b535-4acf25cd14f3</v>
      </c>
      <c r="C1224" s="7">
        <f>IFERROR(__xludf.DUMMYFUNCTION("""COMPUTED_VALUE"""),0.0)</f>
        <v>0</v>
      </c>
      <c r="D1224" s="6">
        <f>IFERROR(__xludf.DUMMYFUNCTION("""COMPUTED_VALUE"""),45705.0)</f>
        <v>45705</v>
      </c>
      <c r="E1224" s="7" t="str">
        <f>IFERROR(__xludf.DUMMYFUNCTION("""COMPUTED_VALUE"""),"FRANQUIA_D&amp;G_SP")</f>
        <v>FRANQUIA_D&amp;G_SP</v>
      </c>
      <c r="F1224" s="7" t="str">
        <f>IFERROR(__xludf.DUMMYFUNCTION("""COMPUTED_VALUE"""),"EMOTORCYCLE")</f>
        <v>EMOTORCYCLE</v>
      </c>
      <c r="G1224" s="7" t="str">
        <f>IFERROR(__xludf.DUMMYFUNCTION("""COMPUTED_VALUE"""),"SAO PAULO")</f>
        <v>SAO PAULO</v>
      </c>
    </row>
    <row r="1225">
      <c r="A1225" s="6">
        <f>IFERROR(__xludf.DUMMYFUNCTION("""COMPUTED_VALUE"""),45705.0)</f>
        <v>45705</v>
      </c>
      <c r="B1225" s="7" t="str">
        <f>IFERROR(__xludf.DUMMYFUNCTION("""COMPUTED_VALUE"""),"4b733082-347a-44a0-aa0d-ffb23e8c9e35")</f>
        <v>4b733082-347a-44a0-aa0d-ffb23e8c9e35</v>
      </c>
      <c r="C1225" s="7">
        <f>IFERROR(__xludf.DUMMYFUNCTION("""COMPUTED_VALUE"""),1.0)</f>
        <v>1</v>
      </c>
      <c r="D1225" s="6">
        <f>IFERROR(__xludf.DUMMYFUNCTION("""COMPUTED_VALUE"""),45704.0)</f>
        <v>45704</v>
      </c>
      <c r="E1225" s="7" t="str">
        <f>IFERROR(__xludf.DUMMYFUNCTION("""COMPUTED_VALUE"""),"FRANQUIA_D&amp;G_SP")</f>
        <v>FRANQUIA_D&amp;G_SP</v>
      </c>
      <c r="F1225" s="7" t="str">
        <f>IFERROR(__xludf.DUMMYFUNCTION("""COMPUTED_VALUE"""),"MOTORCYCLE")</f>
        <v>MOTORCYCLE</v>
      </c>
      <c r="G1225" s="7" t="str">
        <f>IFERROR(__xludf.DUMMYFUNCTION("""COMPUTED_VALUE"""),"RECIFE")</f>
        <v>RECIFE</v>
      </c>
    </row>
    <row r="1226">
      <c r="A1226" s="6">
        <f>IFERROR(__xludf.DUMMYFUNCTION("""COMPUTED_VALUE"""),45705.0)</f>
        <v>45705</v>
      </c>
      <c r="B1226" s="7" t="str">
        <f>IFERROR(__xludf.DUMMYFUNCTION("""COMPUTED_VALUE"""),"5f7eaac5-d58c-4c51-b3fb-eb90f3ba8445")</f>
        <v>5f7eaac5-d58c-4c51-b3fb-eb90f3ba8445</v>
      </c>
      <c r="C1226" s="7">
        <f>IFERROR(__xludf.DUMMYFUNCTION("""COMPUTED_VALUE"""),0.0)</f>
        <v>0</v>
      </c>
      <c r="D1226" s="6">
        <f>IFERROR(__xludf.DUMMYFUNCTION("""COMPUTED_VALUE"""),45705.0)</f>
        <v>45705</v>
      </c>
      <c r="E1226" s="7" t="str">
        <f>IFERROR(__xludf.DUMMYFUNCTION("""COMPUTED_VALUE"""),"FRANQUIA_D&amp;G_SP")</f>
        <v>FRANQUIA_D&amp;G_SP</v>
      </c>
      <c r="F1226" s="7" t="str">
        <f>IFERROR(__xludf.DUMMYFUNCTION("""COMPUTED_VALUE"""),"MOTORCYCLE")</f>
        <v>MOTORCYCLE</v>
      </c>
      <c r="G1226" s="7" t="str">
        <f>IFERROR(__xludf.DUMMYFUNCTION("""COMPUTED_VALUE"""),"SAO PAULO")</f>
        <v>SAO PAULO</v>
      </c>
    </row>
    <row r="1227">
      <c r="A1227" s="6">
        <f>IFERROR(__xludf.DUMMYFUNCTION("""COMPUTED_VALUE"""),45705.0)</f>
        <v>45705</v>
      </c>
      <c r="B1227" s="7" t="str">
        <f>IFERROR(__xludf.DUMMYFUNCTION("""COMPUTED_VALUE"""),"9e2999ed-f266-4541-a4d3-a9f158d2c262")</f>
        <v>9e2999ed-f266-4541-a4d3-a9f158d2c262</v>
      </c>
      <c r="C1227" s="7">
        <f>IFERROR(__xludf.DUMMYFUNCTION("""COMPUTED_VALUE"""),176.0)</f>
        <v>176</v>
      </c>
      <c r="D1227" s="6">
        <f>IFERROR(__xludf.DUMMYFUNCTION("""COMPUTED_VALUE"""),45529.0)</f>
        <v>45529</v>
      </c>
      <c r="E1227" s="7" t="str">
        <f>IFERROR(__xludf.DUMMYFUNCTION("""COMPUTED_VALUE"""),"FRANQUIA_D&amp;G_SP")</f>
        <v>FRANQUIA_D&amp;G_SP</v>
      </c>
      <c r="F1227" s="7" t="str">
        <f>IFERROR(__xludf.DUMMYFUNCTION("""COMPUTED_VALUE"""),"BICYCLE")</f>
        <v>BICYCLE</v>
      </c>
      <c r="G1227" s="7" t="str">
        <f>IFERROR(__xludf.DUMMYFUNCTION("""COMPUTED_VALUE"""),"SAO PAULO")</f>
        <v>SAO PAULO</v>
      </c>
    </row>
    <row r="1228">
      <c r="A1228" s="6">
        <f>IFERROR(__xludf.DUMMYFUNCTION("""COMPUTED_VALUE"""),45705.0)</f>
        <v>45705</v>
      </c>
      <c r="B1228" s="7" t="str">
        <f>IFERROR(__xludf.DUMMYFUNCTION("""COMPUTED_VALUE"""),"f00e96fa-92e7-4285-9513-79243dfc2a9a")</f>
        <v>f00e96fa-92e7-4285-9513-79243dfc2a9a</v>
      </c>
      <c r="C1228" s="7">
        <f>IFERROR(__xludf.DUMMYFUNCTION("""COMPUTED_VALUE"""),0.0)</f>
        <v>0</v>
      </c>
      <c r="D1228" s="6">
        <f>IFERROR(__xludf.DUMMYFUNCTION("""COMPUTED_VALUE"""),45705.0)</f>
        <v>45705</v>
      </c>
      <c r="E1228" s="7" t="str">
        <f>IFERROR(__xludf.DUMMYFUNCTION("""COMPUTED_VALUE"""),"FRANQUIA_D&amp;G_SP")</f>
        <v>FRANQUIA_D&amp;G_SP</v>
      </c>
      <c r="F1228" s="7" t="str">
        <f>IFERROR(__xludf.DUMMYFUNCTION("""COMPUTED_VALUE"""),"MOTORCYCLE")</f>
        <v>MOTORCYCLE</v>
      </c>
      <c r="G1228" s="7" t="str">
        <f>IFERROR(__xludf.DUMMYFUNCTION("""COMPUTED_VALUE"""),"RECIFE")</f>
        <v>RECIFE</v>
      </c>
    </row>
    <row r="1229">
      <c r="A1229" s="6">
        <f>IFERROR(__xludf.DUMMYFUNCTION("""COMPUTED_VALUE"""),45705.0)</f>
        <v>45705</v>
      </c>
      <c r="B1229" s="7" t="str">
        <f>IFERROR(__xludf.DUMMYFUNCTION("""COMPUTED_VALUE"""),"92dabce9-d44f-4d8b-b917-5bfca0db928e")</f>
        <v>92dabce9-d44f-4d8b-b917-5bfca0db928e</v>
      </c>
      <c r="C1229" s="7">
        <f>IFERROR(__xludf.DUMMYFUNCTION("""COMPUTED_VALUE"""),0.0)</f>
        <v>0</v>
      </c>
      <c r="D1229" s="6">
        <f>IFERROR(__xludf.DUMMYFUNCTION("""COMPUTED_VALUE"""),45705.0)</f>
        <v>45705</v>
      </c>
      <c r="E1229" s="7" t="str">
        <f>IFERROR(__xludf.DUMMYFUNCTION("""COMPUTED_VALUE"""),"FRANQUIA_D&amp;G_SP")</f>
        <v>FRANQUIA_D&amp;G_SP</v>
      </c>
      <c r="F1229" s="7" t="str">
        <f>IFERROR(__xludf.DUMMYFUNCTION("""COMPUTED_VALUE"""),"MOTORCYCLE")</f>
        <v>MOTORCYCLE</v>
      </c>
      <c r="G1229" s="7" t="str">
        <f>IFERROR(__xludf.DUMMYFUNCTION("""COMPUTED_VALUE"""),"SAO PAULO")</f>
        <v>SAO PAULO</v>
      </c>
    </row>
    <row r="1230">
      <c r="A1230" s="6">
        <f>IFERROR(__xludf.DUMMYFUNCTION("""COMPUTED_VALUE"""),45705.0)</f>
        <v>45705</v>
      </c>
      <c r="B1230" s="7" t="str">
        <f>IFERROR(__xludf.DUMMYFUNCTION("""COMPUTED_VALUE"""),"6642331d-11ee-4909-8cde-65ae814e466d")</f>
        <v>6642331d-11ee-4909-8cde-65ae814e466d</v>
      </c>
      <c r="C1230" s="7">
        <f>IFERROR(__xludf.DUMMYFUNCTION("""COMPUTED_VALUE"""),82.0)</f>
        <v>82</v>
      </c>
      <c r="D1230" s="6">
        <f>IFERROR(__xludf.DUMMYFUNCTION("""COMPUTED_VALUE"""),45623.0)</f>
        <v>45623</v>
      </c>
      <c r="E1230" s="7" t="str">
        <f>IFERROR(__xludf.DUMMYFUNCTION("""COMPUTED_VALUE"""),"FRANQUIA_D&amp;G_SP")</f>
        <v>FRANQUIA_D&amp;G_SP</v>
      </c>
      <c r="F1230" s="7" t="str">
        <f>IFERROR(__xludf.DUMMYFUNCTION("""COMPUTED_VALUE"""),"MOTORCYCLE")</f>
        <v>MOTORCYCLE</v>
      </c>
      <c r="G1230" s="7" t="str">
        <f>IFERROR(__xludf.DUMMYFUNCTION("""COMPUTED_VALUE"""),"MOGI DAS CRUZES")</f>
        <v>MOGI DAS CRUZES</v>
      </c>
    </row>
    <row r="1231">
      <c r="A1231" s="6">
        <f>IFERROR(__xludf.DUMMYFUNCTION("""COMPUTED_VALUE"""),45705.0)</f>
        <v>45705</v>
      </c>
      <c r="B1231" s="7" t="str">
        <f>IFERROR(__xludf.DUMMYFUNCTION("""COMPUTED_VALUE"""),"b28d704d-cf13-4577-af40-529f7970c4ec")</f>
        <v>b28d704d-cf13-4577-af40-529f7970c4ec</v>
      </c>
      <c r="C1231" s="7">
        <f>IFERROR(__xludf.DUMMYFUNCTION("""COMPUTED_VALUE"""),366.0)</f>
        <v>366</v>
      </c>
      <c r="D1231" s="6">
        <f>IFERROR(__xludf.DUMMYFUNCTION("""COMPUTED_VALUE"""),45339.0)</f>
        <v>45339</v>
      </c>
      <c r="E1231" s="7" t="str">
        <f>IFERROR(__xludf.DUMMYFUNCTION("""COMPUTED_VALUE"""),"FRANQUIA_D&amp;G_SP")</f>
        <v>FRANQUIA_D&amp;G_SP</v>
      </c>
      <c r="F1231" s="7" t="str">
        <f>IFERROR(__xludf.DUMMYFUNCTION("""COMPUTED_VALUE"""),"MOTORCYCLE")</f>
        <v>MOTORCYCLE</v>
      </c>
      <c r="G1231" s="7" t="str">
        <f>IFERROR(__xludf.DUMMYFUNCTION("""COMPUTED_VALUE"""),"SAO PAULO")</f>
        <v>SAO PAULO</v>
      </c>
    </row>
    <row r="1232">
      <c r="A1232" s="6">
        <f>IFERROR(__xludf.DUMMYFUNCTION("""COMPUTED_VALUE"""),45705.0)</f>
        <v>45705</v>
      </c>
      <c r="B1232" s="7" t="str">
        <f>IFERROR(__xludf.DUMMYFUNCTION("""COMPUTED_VALUE"""),"032f58ea-f8b9-4043-bc50-4e5bae8ae68a")</f>
        <v>032f58ea-f8b9-4043-bc50-4e5bae8ae68a</v>
      </c>
      <c r="C1232" s="7">
        <f>IFERROR(__xludf.DUMMYFUNCTION("""COMPUTED_VALUE"""),13.0)</f>
        <v>13</v>
      </c>
      <c r="D1232" s="6">
        <f>IFERROR(__xludf.DUMMYFUNCTION("""COMPUTED_VALUE"""),45692.0)</f>
        <v>45692</v>
      </c>
      <c r="E1232" s="7" t="str">
        <f>IFERROR(__xludf.DUMMYFUNCTION("""COMPUTED_VALUE"""),"FRANQUIA_D&amp;G_SP")</f>
        <v>FRANQUIA_D&amp;G_SP</v>
      </c>
      <c r="F1232" s="7" t="str">
        <f>IFERROR(__xludf.DUMMYFUNCTION("""COMPUTED_VALUE"""),"MOTORCYCLE")</f>
        <v>MOTORCYCLE</v>
      </c>
      <c r="G1232" s="7" t="str">
        <f>IFERROR(__xludf.DUMMYFUNCTION("""COMPUTED_VALUE"""),"SAO PAULO")</f>
        <v>SAO PAULO</v>
      </c>
    </row>
    <row r="1233">
      <c r="A1233" s="6">
        <f>IFERROR(__xludf.DUMMYFUNCTION("""COMPUTED_VALUE"""),45705.0)</f>
        <v>45705</v>
      </c>
      <c r="B1233" s="7" t="str">
        <f>IFERROR(__xludf.DUMMYFUNCTION("""COMPUTED_VALUE"""),"ebbfd053-5bfd-441a-bb8a-b703fc4b2e9d")</f>
        <v>ebbfd053-5bfd-441a-bb8a-b703fc4b2e9d</v>
      </c>
      <c r="C1233" s="7">
        <f>IFERROR(__xludf.DUMMYFUNCTION("""COMPUTED_VALUE"""),104.0)</f>
        <v>104</v>
      </c>
      <c r="D1233" s="6">
        <f>IFERROR(__xludf.DUMMYFUNCTION("""COMPUTED_VALUE"""),45601.0)</f>
        <v>45601</v>
      </c>
      <c r="E1233" s="7" t="str">
        <f>IFERROR(__xludf.DUMMYFUNCTION("""COMPUTED_VALUE"""),"FRANQUIA_D&amp;G_SP")</f>
        <v>FRANQUIA_D&amp;G_SP</v>
      </c>
      <c r="F1233" s="7" t="str">
        <f>IFERROR(__xludf.DUMMYFUNCTION("""COMPUTED_VALUE"""),"BICYCLE")</f>
        <v>BICYCLE</v>
      </c>
      <c r="G1233" s="7" t="str">
        <f>IFERROR(__xludf.DUMMYFUNCTION("""COMPUTED_VALUE"""),"SAO PAULO")</f>
        <v>SAO PAULO</v>
      </c>
    </row>
    <row r="1234">
      <c r="A1234" s="6">
        <f>IFERROR(__xludf.DUMMYFUNCTION("""COMPUTED_VALUE"""),45705.0)</f>
        <v>45705</v>
      </c>
      <c r="B1234" s="7" t="str">
        <f>IFERROR(__xludf.DUMMYFUNCTION("""COMPUTED_VALUE"""),"f9fc0036-1640-428c-b57a-137536f57468")</f>
        <v>f9fc0036-1640-428c-b57a-137536f57468</v>
      </c>
      <c r="C1234" s="7">
        <f>IFERROR(__xludf.DUMMYFUNCTION("""COMPUTED_VALUE"""),0.0)</f>
        <v>0</v>
      </c>
      <c r="D1234" s="6">
        <f>IFERROR(__xludf.DUMMYFUNCTION("""COMPUTED_VALUE"""),45705.0)</f>
        <v>45705</v>
      </c>
      <c r="E1234" s="7" t="str">
        <f>IFERROR(__xludf.DUMMYFUNCTION("""COMPUTED_VALUE"""),"FRANQUIA_D&amp;G_SP")</f>
        <v>FRANQUIA_D&amp;G_SP</v>
      </c>
      <c r="F1234" s="7" t="str">
        <f>IFERROR(__xludf.DUMMYFUNCTION("""COMPUTED_VALUE"""),"MOTORCYCLE")</f>
        <v>MOTORCYCLE</v>
      </c>
      <c r="G1234" s="7" t="str">
        <f>IFERROR(__xludf.DUMMYFUNCTION("""COMPUTED_VALUE"""),"SAO PAULO")</f>
        <v>SAO PAULO</v>
      </c>
    </row>
    <row r="1235">
      <c r="A1235" s="6">
        <f>IFERROR(__xludf.DUMMYFUNCTION("""COMPUTED_VALUE"""),45705.0)</f>
        <v>45705</v>
      </c>
      <c r="B1235" s="7" t="str">
        <f>IFERROR(__xludf.DUMMYFUNCTION("""COMPUTED_VALUE"""),"42c26fc0-15b8-4d79-9356-52239247f6e3")</f>
        <v>42c26fc0-15b8-4d79-9356-52239247f6e3</v>
      </c>
      <c r="C1235" s="7">
        <f>IFERROR(__xludf.DUMMYFUNCTION("""COMPUTED_VALUE"""),0.0)</f>
        <v>0</v>
      </c>
      <c r="D1235" s="6">
        <f>IFERROR(__xludf.DUMMYFUNCTION("""COMPUTED_VALUE"""),45705.0)</f>
        <v>45705</v>
      </c>
      <c r="E1235" s="7" t="str">
        <f>IFERROR(__xludf.DUMMYFUNCTION("""COMPUTED_VALUE"""),"FRANQUIA_D&amp;G_SP")</f>
        <v>FRANQUIA_D&amp;G_SP</v>
      </c>
      <c r="F1235" s="7" t="str">
        <f>IFERROR(__xludf.DUMMYFUNCTION("""COMPUTED_VALUE"""),"BICYCLE")</f>
        <v>BICYCLE</v>
      </c>
      <c r="G1235" s="7" t="str">
        <f>IFERROR(__xludf.DUMMYFUNCTION("""COMPUTED_VALUE"""),"SAO PAULO")</f>
        <v>SAO PAULO</v>
      </c>
    </row>
    <row r="1236">
      <c r="A1236" s="6">
        <f>IFERROR(__xludf.DUMMYFUNCTION("""COMPUTED_VALUE"""),45705.0)</f>
        <v>45705</v>
      </c>
      <c r="B1236" s="7" t="str">
        <f>IFERROR(__xludf.DUMMYFUNCTION("""COMPUTED_VALUE"""),"c00e260b-0f3e-4814-a4af-2917bb218f58")</f>
        <v>c00e260b-0f3e-4814-a4af-2917bb218f58</v>
      </c>
      <c r="C1236" s="7">
        <f>IFERROR(__xludf.DUMMYFUNCTION("""COMPUTED_VALUE"""),1097.0)</f>
        <v>1097</v>
      </c>
      <c r="D1236" s="6">
        <f>IFERROR(__xludf.DUMMYFUNCTION("""COMPUTED_VALUE"""),44608.0)</f>
        <v>44608</v>
      </c>
      <c r="E1236" s="7" t="str">
        <f>IFERROR(__xludf.DUMMYFUNCTION("""COMPUTED_VALUE"""),"FRANQUIA_D&amp;G_SP")</f>
        <v>FRANQUIA_D&amp;G_SP</v>
      </c>
      <c r="F1236" s="7" t="str">
        <f>IFERROR(__xludf.DUMMYFUNCTION("""COMPUTED_VALUE"""),"MOTORCYCLE")</f>
        <v>MOTORCYCLE</v>
      </c>
      <c r="G1236" s="7" t="str">
        <f>IFERROR(__xludf.DUMMYFUNCTION("""COMPUTED_VALUE"""),"SAO PAULO")</f>
        <v>SAO PAULO</v>
      </c>
    </row>
    <row r="1237">
      <c r="A1237" s="6">
        <f>IFERROR(__xludf.DUMMYFUNCTION("""COMPUTED_VALUE"""),45705.0)</f>
        <v>45705</v>
      </c>
      <c r="B1237" s="7" t="str">
        <f>IFERROR(__xludf.DUMMYFUNCTION("""COMPUTED_VALUE"""),"5ffb1984-0808-42d5-8f6b-db4fd7ed1ee6")</f>
        <v>5ffb1984-0808-42d5-8f6b-db4fd7ed1ee6</v>
      </c>
      <c r="C1237" s="7">
        <f>IFERROR(__xludf.DUMMYFUNCTION("""COMPUTED_VALUE"""),0.0)</f>
        <v>0</v>
      </c>
      <c r="D1237" s="6">
        <f>IFERROR(__xludf.DUMMYFUNCTION("""COMPUTED_VALUE"""),45705.0)</f>
        <v>45705</v>
      </c>
      <c r="E1237" s="7" t="str">
        <f>IFERROR(__xludf.DUMMYFUNCTION("""COMPUTED_VALUE"""),"FRANQUIA_D&amp;G_SP")</f>
        <v>FRANQUIA_D&amp;G_SP</v>
      </c>
      <c r="F1237" s="7" t="str">
        <f>IFERROR(__xludf.DUMMYFUNCTION("""COMPUTED_VALUE"""),"EMOTORCYCLE")</f>
        <v>EMOTORCYCLE</v>
      </c>
      <c r="G1237" s="7" t="str">
        <f>IFERROR(__xludf.DUMMYFUNCTION("""COMPUTED_VALUE"""),"SAO PAULO")</f>
        <v>SAO PAULO</v>
      </c>
    </row>
    <row r="1238">
      <c r="A1238" s="6">
        <f>IFERROR(__xludf.DUMMYFUNCTION("""COMPUTED_VALUE"""),45705.0)</f>
        <v>45705</v>
      </c>
      <c r="B1238" s="7" t="str">
        <f>IFERROR(__xludf.DUMMYFUNCTION("""COMPUTED_VALUE"""),"a62d8555-3eba-4fe1-bbba-d016c51130bb")</f>
        <v>a62d8555-3eba-4fe1-bbba-d016c51130bb</v>
      </c>
      <c r="C1238" s="7">
        <f>IFERROR(__xludf.DUMMYFUNCTION("""COMPUTED_VALUE"""),263.0)</f>
        <v>263</v>
      </c>
      <c r="D1238" s="6">
        <f>IFERROR(__xludf.DUMMYFUNCTION("""COMPUTED_VALUE"""),45442.0)</f>
        <v>45442</v>
      </c>
      <c r="E1238" s="7" t="str">
        <f>IFERROR(__xludf.DUMMYFUNCTION("""COMPUTED_VALUE"""),"FRANQUIA_D&amp;G_SP")</f>
        <v>FRANQUIA_D&amp;G_SP</v>
      </c>
      <c r="F1238" s="7" t="str">
        <f>IFERROR(__xludf.DUMMYFUNCTION("""COMPUTED_VALUE"""),"BICYCLE")</f>
        <v>BICYCLE</v>
      </c>
      <c r="G1238" s="7" t="str">
        <f>IFERROR(__xludf.DUMMYFUNCTION("""COMPUTED_VALUE"""),"SAO PAULO")</f>
        <v>SAO PAULO</v>
      </c>
    </row>
    <row r="1239">
      <c r="A1239" s="6">
        <f>IFERROR(__xludf.DUMMYFUNCTION("""COMPUTED_VALUE"""),45705.0)</f>
        <v>45705</v>
      </c>
      <c r="B1239" s="7" t="str">
        <f>IFERROR(__xludf.DUMMYFUNCTION("""COMPUTED_VALUE"""),"d557f865-19fa-4886-8816-458f45a57bf3")</f>
        <v>d557f865-19fa-4886-8816-458f45a57bf3</v>
      </c>
      <c r="C1239" s="7">
        <f>IFERROR(__xludf.DUMMYFUNCTION("""COMPUTED_VALUE"""),5.0)</f>
        <v>5</v>
      </c>
      <c r="D1239" s="6">
        <f>IFERROR(__xludf.DUMMYFUNCTION("""COMPUTED_VALUE"""),45700.0)</f>
        <v>45700</v>
      </c>
      <c r="E1239" s="7" t="str">
        <f>IFERROR(__xludf.DUMMYFUNCTION("""COMPUTED_VALUE"""),"FRANQUIA_D&amp;G_SP")</f>
        <v>FRANQUIA_D&amp;G_SP</v>
      </c>
      <c r="F1239" s="7" t="str">
        <f>IFERROR(__xludf.DUMMYFUNCTION("""COMPUTED_VALUE"""),"EMOTORCYCLE")</f>
        <v>EMOTORCYCLE</v>
      </c>
      <c r="G1239" s="7" t="str">
        <f>IFERROR(__xludf.DUMMYFUNCTION("""COMPUTED_VALUE"""),"SAO PAULO")</f>
        <v>SAO PAULO</v>
      </c>
    </row>
    <row r="1240">
      <c r="A1240" s="6">
        <f>IFERROR(__xludf.DUMMYFUNCTION("""COMPUTED_VALUE"""),45705.0)</f>
        <v>45705</v>
      </c>
      <c r="B1240" s="7" t="str">
        <f>IFERROR(__xludf.DUMMYFUNCTION("""COMPUTED_VALUE"""),"68f2e94d-afdc-4a4a-86c9-a46689b932c8")</f>
        <v>68f2e94d-afdc-4a4a-86c9-a46689b932c8</v>
      </c>
      <c r="C1240" s="7">
        <f>IFERROR(__xludf.DUMMYFUNCTION("""COMPUTED_VALUE"""),38.0)</f>
        <v>38</v>
      </c>
      <c r="D1240" s="6">
        <f>IFERROR(__xludf.DUMMYFUNCTION("""COMPUTED_VALUE"""),45667.0)</f>
        <v>45667</v>
      </c>
      <c r="E1240" s="7" t="str">
        <f>IFERROR(__xludf.DUMMYFUNCTION("""COMPUTED_VALUE"""),"FRANQUIA_D&amp;G_SP")</f>
        <v>FRANQUIA_D&amp;G_SP</v>
      </c>
      <c r="F1240" s="7" t="str">
        <f>IFERROR(__xludf.DUMMYFUNCTION("""COMPUTED_VALUE"""),"BICYCLE")</f>
        <v>BICYCLE</v>
      </c>
      <c r="G1240" s="7" t="str">
        <f>IFERROR(__xludf.DUMMYFUNCTION("""COMPUTED_VALUE"""),"SAO PAULO")</f>
        <v>SAO PAULO</v>
      </c>
    </row>
    <row r="1241">
      <c r="A1241" s="6">
        <f>IFERROR(__xludf.DUMMYFUNCTION("""COMPUTED_VALUE"""),45705.0)</f>
        <v>45705</v>
      </c>
      <c r="B1241" s="7" t="str">
        <f>IFERROR(__xludf.DUMMYFUNCTION("""COMPUTED_VALUE"""),"bf2ebe96-b9da-4b41-b176-bcfbc6bff483")</f>
        <v>bf2ebe96-b9da-4b41-b176-bcfbc6bff483</v>
      </c>
      <c r="C1241" s="7">
        <f>IFERROR(__xludf.DUMMYFUNCTION("""COMPUTED_VALUE"""),0.0)</f>
        <v>0</v>
      </c>
      <c r="D1241" s="6">
        <f>IFERROR(__xludf.DUMMYFUNCTION("""COMPUTED_VALUE"""),45705.0)</f>
        <v>45705</v>
      </c>
      <c r="E1241" s="7" t="str">
        <f>IFERROR(__xludf.DUMMYFUNCTION("""COMPUTED_VALUE"""),"FRANQUIA_D&amp;G_SP")</f>
        <v>FRANQUIA_D&amp;G_SP</v>
      </c>
      <c r="F1241" s="7" t="str">
        <f>IFERROR(__xludf.DUMMYFUNCTION("""COMPUTED_VALUE"""),"MOTORCYCLE")</f>
        <v>MOTORCYCLE</v>
      </c>
      <c r="G1241" s="7" t="str">
        <f>IFERROR(__xludf.DUMMYFUNCTION("""COMPUTED_VALUE"""),"SAO PAULO")</f>
        <v>SAO PAULO</v>
      </c>
    </row>
    <row r="1242">
      <c r="A1242" s="6">
        <f>IFERROR(__xludf.DUMMYFUNCTION("""COMPUTED_VALUE"""),45705.0)</f>
        <v>45705</v>
      </c>
      <c r="B1242" s="7" t="str">
        <f>IFERROR(__xludf.DUMMYFUNCTION("""COMPUTED_VALUE"""),"2cb83cbc-a596-4083-a59d-1b68ce3232c3")</f>
        <v>2cb83cbc-a596-4083-a59d-1b68ce3232c3</v>
      </c>
      <c r="C1242" s="7">
        <f>IFERROR(__xludf.DUMMYFUNCTION("""COMPUTED_VALUE"""),17.0)</f>
        <v>17</v>
      </c>
      <c r="D1242" s="6">
        <f>IFERROR(__xludf.DUMMYFUNCTION("""COMPUTED_VALUE"""),45688.0)</f>
        <v>45688</v>
      </c>
      <c r="E1242" s="7" t="str">
        <f>IFERROR(__xludf.DUMMYFUNCTION("""COMPUTED_VALUE"""),"FRANQUIA_D&amp;G_SP")</f>
        <v>FRANQUIA_D&amp;G_SP</v>
      </c>
      <c r="F1242" s="7" t="str">
        <f>IFERROR(__xludf.DUMMYFUNCTION("""COMPUTED_VALUE"""),"MOTORCYCLE")</f>
        <v>MOTORCYCLE</v>
      </c>
      <c r="G1242" s="7" t="str">
        <f>IFERROR(__xludf.DUMMYFUNCTION("""COMPUTED_VALUE"""),"SAO PAULO")</f>
        <v>SAO PAULO</v>
      </c>
    </row>
    <row r="1243">
      <c r="A1243" s="6">
        <f>IFERROR(__xludf.DUMMYFUNCTION("""COMPUTED_VALUE"""),45705.0)</f>
        <v>45705</v>
      </c>
      <c r="B1243" s="7" t="str">
        <f>IFERROR(__xludf.DUMMYFUNCTION("""COMPUTED_VALUE"""),"eca6d648-61c5-459a-a4b4-58e0f0107cb9")</f>
        <v>eca6d648-61c5-459a-a4b4-58e0f0107cb9</v>
      </c>
      <c r="C1243" s="7">
        <f>IFERROR(__xludf.DUMMYFUNCTION("""COMPUTED_VALUE"""),0.0)</f>
        <v>0</v>
      </c>
      <c r="D1243" s="6">
        <f>IFERROR(__xludf.DUMMYFUNCTION("""COMPUTED_VALUE"""),45705.0)</f>
        <v>45705</v>
      </c>
      <c r="E1243" s="7" t="str">
        <f>IFERROR(__xludf.DUMMYFUNCTION("""COMPUTED_VALUE"""),"FRANQUIA_D&amp;G_SP")</f>
        <v>FRANQUIA_D&amp;G_SP</v>
      </c>
      <c r="F1243" s="7" t="str">
        <f>IFERROR(__xludf.DUMMYFUNCTION("""COMPUTED_VALUE"""),"MOTORCYCLE")</f>
        <v>MOTORCYCLE</v>
      </c>
      <c r="G1243" s="7" t="str">
        <f>IFERROR(__xludf.DUMMYFUNCTION("""COMPUTED_VALUE"""),"SAO PAULO")</f>
        <v>SAO PAULO</v>
      </c>
    </row>
    <row r="1244">
      <c r="A1244" s="6">
        <f>IFERROR(__xludf.DUMMYFUNCTION("""COMPUTED_VALUE"""),45705.0)</f>
        <v>45705</v>
      </c>
      <c r="B1244" s="7" t="str">
        <f>IFERROR(__xludf.DUMMYFUNCTION("""COMPUTED_VALUE"""),"8d9ed856-890b-4714-a998-347fdd33abed")</f>
        <v>8d9ed856-890b-4714-a998-347fdd33abed</v>
      </c>
      <c r="C1244" s="7">
        <f>IFERROR(__xludf.DUMMYFUNCTION("""COMPUTED_VALUE"""),0.0)</f>
        <v>0</v>
      </c>
      <c r="D1244" s="6">
        <f>IFERROR(__xludf.DUMMYFUNCTION("""COMPUTED_VALUE"""),45705.0)</f>
        <v>45705</v>
      </c>
      <c r="E1244" s="7" t="str">
        <f>IFERROR(__xludf.DUMMYFUNCTION("""COMPUTED_VALUE"""),"FRANQUIA_D&amp;G_SP")</f>
        <v>FRANQUIA_D&amp;G_SP</v>
      </c>
      <c r="F1244" s="7" t="str">
        <f>IFERROR(__xludf.DUMMYFUNCTION("""COMPUTED_VALUE"""),"MOTORCYCLE")</f>
        <v>MOTORCYCLE</v>
      </c>
      <c r="G1244" s="7" t="str">
        <f>IFERROR(__xludf.DUMMYFUNCTION("""COMPUTED_VALUE"""),"SAO PAULO")</f>
        <v>SAO PAULO</v>
      </c>
    </row>
    <row r="1245">
      <c r="A1245" s="6">
        <f>IFERROR(__xludf.DUMMYFUNCTION("""COMPUTED_VALUE"""),45705.0)</f>
        <v>45705</v>
      </c>
      <c r="B1245" s="7" t="str">
        <f>IFERROR(__xludf.DUMMYFUNCTION("""COMPUTED_VALUE"""),"4d8496fe-7225-4c91-955d-50d00b7cf3c6")</f>
        <v>4d8496fe-7225-4c91-955d-50d00b7cf3c6</v>
      </c>
      <c r="C1245" s="7">
        <f>IFERROR(__xludf.DUMMYFUNCTION("""COMPUTED_VALUE"""),0.0)</f>
        <v>0</v>
      </c>
      <c r="D1245" s="6">
        <f>IFERROR(__xludf.DUMMYFUNCTION("""COMPUTED_VALUE"""),45705.0)</f>
        <v>45705</v>
      </c>
      <c r="E1245" s="7" t="str">
        <f>IFERROR(__xludf.DUMMYFUNCTION("""COMPUTED_VALUE"""),"FRANQUIA_D&amp;G_SP")</f>
        <v>FRANQUIA_D&amp;G_SP</v>
      </c>
      <c r="F1245" s="7" t="str">
        <f>IFERROR(__xludf.DUMMYFUNCTION("""COMPUTED_VALUE"""),"MOTORCYCLE")</f>
        <v>MOTORCYCLE</v>
      </c>
      <c r="G1245" s="7" t="str">
        <f>IFERROR(__xludf.DUMMYFUNCTION("""COMPUTED_VALUE"""),"SAO PAULO")</f>
        <v>SAO PAULO</v>
      </c>
    </row>
    <row r="1246">
      <c r="A1246" s="6">
        <f>IFERROR(__xludf.DUMMYFUNCTION("""COMPUTED_VALUE"""),45705.0)</f>
        <v>45705</v>
      </c>
      <c r="B1246" s="7" t="str">
        <f>IFERROR(__xludf.DUMMYFUNCTION("""COMPUTED_VALUE"""),"32d5eed0-c9cc-42f4-84cf-7e7f896bb1fb")</f>
        <v>32d5eed0-c9cc-42f4-84cf-7e7f896bb1fb</v>
      </c>
      <c r="C1246" s="7">
        <f>IFERROR(__xludf.DUMMYFUNCTION("""COMPUTED_VALUE"""),145.0)</f>
        <v>145</v>
      </c>
      <c r="D1246" s="6">
        <f>IFERROR(__xludf.DUMMYFUNCTION("""COMPUTED_VALUE"""),45560.0)</f>
        <v>45560</v>
      </c>
      <c r="E1246" s="7" t="str">
        <f>IFERROR(__xludf.DUMMYFUNCTION("""COMPUTED_VALUE"""),"FRANQUIA_D&amp;G_SP")</f>
        <v>FRANQUIA_D&amp;G_SP</v>
      </c>
      <c r="F1246" s="7" t="str">
        <f>IFERROR(__xludf.DUMMYFUNCTION("""COMPUTED_VALUE"""),"BICYCLE")</f>
        <v>BICYCLE</v>
      </c>
      <c r="G1246" s="7" t="str">
        <f>IFERROR(__xludf.DUMMYFUNCTION("""COMPUTED_VALUE"""),"SAO PAULO")</f>
        <v>SAO PAULO</v>
      </c>
    </row>
    <row r="1247">
      <c r="A1247" s="6">
        <f>IFERROR(__xludf.DUMMYFUNCTION("""COMPUTED_VALUE"""),45705.0)</f>
        <v>45705</v>
      </c>
      <c r="B1247" s="7" t="str">
        <f>IFERROR(__xludf.DUMMYFUNCTION("""COMPUTED_VALUE"""),"3d372033-389d-438d-a97c-85a8f4f5e127")</f>
        <v>3d372033-389d-438d-a97c-85a8f4f5e127</v>
      </c>
      <c r="C1247" s="7">
        <f>IFERROR(__xludf.DUMMYFUNCTION("""COMPUTED_VALUE"""),23.0)</f>
        <v>23</v>
      </c>
      <c r="D1247" s="6">
        <f>IFERROR(__xludf.DUMMYFUNCTION("""COMPUTED_VALUE"""),45682.0)</f>
        <v>45682</v>
      </c>
      <c r="E1247" s="7" t="str">
        <f>IFERROR(__xludf.DUMMYFUNCTION("""COMPUTED_VALUE"""),"FRANQUIA_D&amp;G_SP")</f>
        <v>FRANQUIA_D&amp;G_SP</v>
      </c>
      <c r="F1247" s="7" t="str">
        <f>IFERROR(__xludf.DUMMYFUNCTION("""COMPUTED_VALUE"""),"MOTORCYCLE")</f>
        <v>MOTORCYCLE</v>
      </c>
      <c r="G1247" s="7" t="str">
        <f>IFERROR(__xludf.DUMMYFUNCTION("""COMPUTED_VALUE"""),"SAO PAULO")</f>
        <v>SAO PAULO</v>
      </c>
    </row>
    <row r="1248">
      <c r="A1248" s="6">
        <f>IFERROR(__xludf.DUMMYFUNCTION("""COMPUTED_VALUE"""),45705.0)</f>
        <v>45705</v>
      </c>
      <c r="B1248" s="7" t="str">
        <f>IFERROR(__xludf.DUMMYFUNCTION("""COMPUTED_VALUE"""),"2f39ea0d-ef4f-43b9-ab60-51dcf6297549")</f>
        <v>2f39ea0d-ef4f-43b9-ab60-51dcf6297549</v>
      </c>
      <c r="C1248" s="7">
        <f>IFERROR(__xludf.DUMMYFUNCTION("""COMPUTED_VALUE"""),1069.0)</f>
        <v>1069</v>
      </c>
      <c r="D1248" s="6">
        <f>IFERROR(__xludf.DUMMYFUNCTION("""COMPUTED_VALUE"""),44636.0)</f>
        <v>44636</v>
      </c>
      <c r="E1248" s="7" t="str">
        <f>IFERROR(__xludf.DUMMYFUNCTION("""COMPUTED_VALUE"""),"FRANQUIA_D&amp;G_SP")</f>
        <v>FRANQUIA_D&amp;G_SP</v>
      </c>
      <c r="F1248" s="7" t="str">
        <f>IFERROR(__xludf.DUMMYFUNCTION("""COMPUTED_VALUE"""),"MOTORCYCLE")</f>
        <v>MOTORCYCLE</v>
      </c>
      <c r="G1248" s="7" t="str">
        <f>IFERROR(__xludf.DUMMYFUNCTION("""COMPUTED_VALUE"""),"SAO PAULO")</f>
        <v>SAO PAULO</v>
      </c>
    </row>
    <row r="1249">
      <c r="A1249" s="6">
        <f>IFERROR(__xludf.DUMMYFUNCTION("""COMPUTED_VALUE"""),45705.0)</f>
        <v>45705</v>
      </c>
      <c r="B1249" s="7" t="str">
        <f>IFERROR(__xludf.DUMMYFUNCTION("""COMPUTED_VALUE"""),"7be38873-e5a9-49cb-9f93-d1831700cad5")</f>
        <v>7be38873-e5a9-49cb-9f93-d1831700cad5</v>
      </c>
      <c r="C1249" s="7">
        <f>IFERROR(__xludf.DUMMYFUNCTION("""COMPUTED_VALUE"""),3.0)</f>
        <v>3</v>
      </c>
      <c r="D1249" s="6">
        <f>IFERROR(__xludf.DUMMYFUNCTION("""COMPUTED_VALUE"""),45702.0)</f>
        <v>45702</v>
      </c>
      <c r="E1249" s="7" t="str">
        <f>IFERROR(__xludf.DUMMYFUNCTION("""COMPUTED_VALUE"""),"FRANQUIA_D&amp;G_SP")</f>
        <v>FRANQUIA_D&amp;G_SP</v>
      </c>
      <c r="F1249" s="7" t="str">
        <f>IFERROR(__xludf.DUMMYFUNCTION("""COMPUTED_VALUE"""),"BICYCLE")</f>
        <v>BICYCLE</v>
      </c>
      <c r="G1249" s="7" t="str">
        <f>IFERROR(__xludf.DUMMYFUNCTION("""COMPUTED_VALUE"""),"SAO PAULO")</f>
        <v>SAO PAULO</v>
      </c>
    </row>
    <row r="1250">
      <c r="A1250" s="6">
        <f>IFERROR(__xludf.DUMMYFUNCTION("""COMPUTED_VALUE"""),45705.0)</f>
        <v>45705</v>
      </c>
      <c r="B1250" s="7" t="str">
        <f>IFERROR(__xludf.DUMMYFUNCTION("""COMPUTED_VALUE"""),"ea0d0d2d-525f-4ebd-a5b6-f6f3ae7506b0")</f>
        <v>ea0d0d2d-525f-4ebd-a5b6-f6f3ae7506b0</v>
      </c>
      <c r="C1250" s="7">
        <f>IFERROR(__xludf.DUMMYFUNCTION("""COMPUTED_VALUE"""),23.0)</f>
        <v>23</v>
      </c>
      <c r="D1250" s="6">
        <f>IFERROR(__xludf.DUMMYFUNCTION("""COMPUTED_VALUE"""),45682.0)</f>
        <v>45682</v>
      </c>
      <c r="E1250" s="7" t="str">
        <f>IFERROR(__xludf.DUMMYFUNCTION("""COMPUTED_VALUE"""),"FRANQUIA_D&amp;G_SP")</f>
        <v>FRANQUIA_D&amp;G_SP</v>
      </c>
      <c r="F1250" s="7" t="str">
        <f>IFERROR(__xludf.DUMMYFUNCTION("""COMPUTED_VALUE"""),"MOTORCYCLE")</f>
        <v>MOTORCYCLE</v>
      </c>
      <c r="G1250" s="7" t="str">
        <f>IFERROR(__xludf.DUMMYFUNCTION("""COMPUTED_VALUE"""),"SAO PAULO")</f>
        <v>SAO PAULO</v>
      </c>
    </row>
    <row r="1251">
      <c r="A1251" s="6">
        <f>IFERROR(__xludf.DUMMYFUNCTION("""COMPUTED_VALUE"""),45705.0)</f>
        <v>45705</v>
      </c>
      <c r="B1251" s="7" t="str">
        <f>IFERROR(__xludf.DUMMYFUNCTION("""COMPUTED_VALUE"""),"a2de71d2-ff92-48c8-b1a3-4631fdab0e2e")</f>
        <v>a2de71d2-ff92-48c8-b1a3-4631fdab0e2e</v>
      </c>
      <c r="C1251" s="7">
        <f>IFERROR(__xludf.DUMMYFUNCTION("""COMPUTED_VALUE"""),128.0)</f>
        <v>128</v>
      </c>
      <c r="D1251" s="6">
        <f>IFERROR(__xludf.DUMMYFUNCTION("""COMPUTED_VALUE"""),45577.0)</f>
        <v>45577</v>
      </c>
      <c r="E1251" s="7" t="str">
        <f>IFERROR(__xludf.DUMMYFUNCTION("""COMPUTED_VALUE"""),"FRANQUIA_D&amp;G_SP")</f>
        <v>FRANQUIA_D&amp;G_SP</v>
      </c>
      <c r="F1251" s="7" t="str">
        <f>IFERROR(__xludf.DUMMYFUNCTION("""COMPUTED_VALUE"""),"MOTORCYCLE")</f>
        <v>MOTORCYCLE</v>
      </c>
      <c r="G1251" s="7" t="str">
        <f>IFERROR(__xludf.DUMMYFUNCTION("""COMPUTED_VALUE"""),"SAO PAULO")</f>
        <v>SAO PAULO</v>
      </c>
    </row>
    <row r="1252">
      <c r="A1252" s="6">
        <f>IFERROR(__xludf.DUMMYFUNCTION("""COMPUTED_VALUE"""),45705.0)</f>
        <v>45705</v>
      </c>
      <c r="B1252" s="7" t="str">
        <f>IFERROR(__xludf.DUMMYFUNCTION("""COMPUTED_VALUE"""),"32c14fad-6e3e-418b-87eb-ebf0e81345fc")</f>
        <v>32c14fad-6e3e-418b-87eb-ebf0e81345fc</v>
      </c>
      <c r="C1252" s="7">
        <f>IFERROR(__xludf.DUMMYFUNCTION("""COMPUTED_VALUE"""),189.0)</f>
        <v>189</v>
      </c>
      <c r="D1252" s="6">
        <f>IFERROR(__xludf.DUMMYFUNCTION("""COMPUTED_VALUE"""),45516.0)</f>
        <v>45516</v>
      </c>
      <c r="E1252" s="7" t="str">
        <f>IFERROR(__xludf.DUMMYFUNCTION("""COMPUTED_VALUE"""),"FRANQUIA_D&amp;G_SP")</f>
        <v>FRANQUIA_D&amp;G_SP</v>
      </c>
      <c r="F1252" s="7" t="str">
        <f>IFERROR(__xludf.DUMMYFUNCTION("""COMPUTED_VALUE"""),"MOTORCYCLE")</f>
        <v>MOTORCYCLE</v>
      </c>
      <c r="G1252" s="7" t="str">
        <f>IFERROR(__xludf.DUMMYFUNCTION("""COMPUTED_VALUE"""),"SAO PAULO")</f>
        <v>SAO PAULO</v>
      </c>
    </row>
    <row r="1253">
      <c r="A1253" s="6">
        <f>IFERROR(__xludf.DUMMYFUNCTION("""COMPUTED_VALUE"""),45705.0)</f>
        <v>45705</v>
      </c>
      <c r="B1253" s="7" t="str">
        <f>IFERROR(__xludf.DUMMYFUNCTION("""COMPUTED_VALUE"""),"0ba37d8e-0083-4bbc-8d22-39483d0fbad1")</f>
        <v>0ba37d8e-0083-4bbc-8d22-39483d0fbad1</v>
      </c>
      <c r="C1253" s="7">
        <f>IFERROR(__xludf.DUMMYFUNCTION("""COMPUTED_VALUE"""),0.0)</f>
        <v>0</v>
      </c>
      <c r="D1253" s="6">
        <f>IFERROR(__xludf.DUMMYFUNCTION("""COMPUTED_VALUE"""),45705.0)</f>
        <v>45705</v>
      </c>
      <c r="E1253" s="7" t="str">
        <f>IFERROR(__xludf.DUMMYFUNCTION("""COMPUTED_VALUE"""),"FRANQUIA_D&amp;G_SP")</f>
        <v>FRANQUIA_D&amp;G_SP</v>
      </c>
      <c r="F1253" s="7" t="str">
        <f>IFERROR(__xludf.DUMMYFUNCTION("""COMPUTED_VALUE"""),"BICYCLE")</f>
        <v>BICYCLE</v>
      </c>
      <c r="G1253" s="7" t="str">
        <f>IFERROR(__xludf.DUMMYFUNCTION("""COMPUTED_VALUE"""),"SAO PAULO")</f>
        <v>SAO PAULO</v>
      </c>
    </row>
    <row r="1254">
      <c r="A1254" s="6">
        <f>IFERROR(__xludf.DUMMYFUNCTION("""COMPUTED_VALUE"""),45705.0)</f>
        <v>45705</v>
      </c>
      <c r="B1254" s="7" t="str">
        <f>IFERROR(__xludf.DUMMYFUNCTION("""COMPUTED_VALUE"""),"5a8de182-5d89-4884-bd47-0fe420617fd7")</f>
        <v>5a8de182-5d89-4884-bd47-0fe420617fd7</v>
      </c>
      <c r="C1254" s="7">
        <f>IFERROR(__xludf.DUMMYFUNCTION("""COMPUTED_VALUE"""),0.0)</f>
        <v>0</v>
      </c>
      <c r="D1254" s="6">
        <f>IFERROR(__xludf.DUMMYFUNCTION("""COMPUTED_VALUE"""),45705.0)</f>
        <v>45705</v>
      </c>
      <c r="E1254" s="7" t="str">
        <f>IFERROR(__xludf.DUMMYFUNCTION("""COMPUTED_VALUE"""),"FRANQUIA_D&amp;G_SP")</f>
        <v>FRANQUIA_D&amp;G_SP</v>
      </c>
      <c r="F1254" s="7" t="str">
        <f>IFERROR(__xludf.DUMMYFUNCTION("""COMPUTED_VALUE"""),"BICYCLE")</f>
        <v>BICYCLE</v>
      </c>
      <c r="G1254" s="7" t="str">
        <f>IFERROR(__xludf.DUMMYFUNCTION("""COMPUTED_VALUE"""),"SAO PAULO")</f>
        <v>SAO PAULO</v>
      </c>
    </row>
    <row r="1255">
      <c r="A1255" s="6">
        <f>IFERROR(__xludf.DUMMYFUNCTION("""COMPUTED_VALUE"""),45705.0)</f>
        <v>45705</v>
      </c>
      <c r="B1255" s="7" t="str">
        <f>IFERROR(__xludf.DUMMYFUNCTION("""COMPUTED_VALUE"""),"aea7987d-fcd7-4e1c-9e3d-23ed5a81c909")</f>
        <v>aea7987d-fcd7-4e1c-9e3d-23ed5a81c909</v>
      </c>
      <c r="C1255" s="7">
        <f>IFERROR(__xludf.DUMMYFUNCTION("""COMPUTED_VALUE"""),0.0)</f>
        <v>0</v>
      </c>
      <c r="D1255" s="6">
        <f>IFERROR(__xludf.DUMMYFUNCTION("""COMPUTED_VALUE"""),45705.0)</f>
        <v>45705</v>
      </c>
      <c r="E1255" s="7" t="str">
        <f>IFERROR(__xludf.DUMMYFUNCTION("""COMPUTED_VALUE"""),"FRANQUIA_D&amp;G_SP")</f>
        <v>FRANQUIA_D&amp;G_SP</v>
      </c>
      <c r="F1255" s="7" t="str">
        <f>IFERROR(__xludf.DUMMYFUNCTION("""COMPUTED_VALUE"""),"MOTORCYCLE")</f>
        <v>MOTORCYCLE</v>
      </c>
      <c r="G1255" s="7" t="str">
        <f>IFERROR(__xludf.DUMMYFUNCTION("""COMPUTED_VALUE"""),"SAO PAULO")</f>
        <v>SAO PAULO</v>
      </c>
    </row>
    <row r="1256">
      <c r="A1256" s="6">
        <f>IFERROR(__xludf.DUMMYFUNCTION("""COMPUTED_VALUE"""),45705.0)</f>
        <v>45705</v>
      </c>
      <c r="B1256" s="7" t="str">
        <f>IFERROR(__xludf.DUMMYFUNCTION("""COMPUTED_VALUE"""),"15469116-2a33-480d-97d8-31215f60e087")</f>
        <v>15469116-2a33-480d-97d8-31215f60e087</v>
      </c>
      <c r="C1256" s="7">
        <f>IFERROR(__xludf.DUMMYFUNCTION("""COMPUTED_VALUE"""),0.0)</f>
        <v>0</v>
      </c>
      <c r="D1256" s="6">
        <f>IFERROR(__xludf.DUMMYFUNCTION("""COMPUTED_VALUE"""),45705.0)</f>
        <v>45705</v>
      </c>
      <c r="E1256" s="7" t="str">
        <f>IFERROR(__xludf.DUMMYFUNCTION("""COMPUTED_VALUE"""),"FRANQUIA_D&amp;G_SP")</f>
        <v>FRANQUIA_D&amp;G_SP</v>
      </c>
      <c r="F1256" s="7" t="str">
        <f>IFERROR(__xludf.DUMMYFUNCTION("""COMPUTED_VALUE"""),"BICYCLE")</f>
        <v>BICYCLE</v>
      </c>
      <c r="G1256" s="7" t="str">
        <f>IFERROR(__xludf.DUMMYFUNCTION("""COMPUTED_VALUE"""),"SAO PAULO")</f>
        <v>SAO PAULO</v>
      </c>
    </row>
    <row r="1257">
      <c r="A1257" s="6">
        <f>IFERROR(__xludf.DUMMYFUNCTION("""COMPUTED_VALUE"""),45705.0)</f>
        <v>45705</v>
      </c>
      <c r="B1257" s="7" t="str">
        <f>IFERROR(__xludf.DUMMYFUNCTION("""COMPUTED_VALUE"""),"0a6cbb6f-827a-48f0-80c4-b4cc5a04a6f3")</f>
        <v>0a6cbb6f-827a-48f0-80c4-b4cc5a04a6f3</v>
      </c>
      <c r="C1257" s="7">
        <f>IFERROR(__xludf.DUMMYFUNCTION("""COMPUTED_VALUE"""),0.0)</f>
        <v>0</v>
      </c>
      <c r="D1257" s="6">
        <f>IFERROR(__xludf.DUMMYFUNCTION("""COMPUTED_VALUE"""),45705.0)</f>
        <v>45705</v>
      </c>
      <c r="E1257" s="7" t="str">
        <f>IFERROR(__xludf.DUMMYFUNCTION("""COMPUTED_VALUE"""),"FRANQUIA_D&amp;G_SP")</f>
        <v>FRANQUIA_D&amp;G_SP</v>
      </c>
      <c r="F1257" s="7" t="str">
        <f>IFERROR(__xludf.DUMMYFUNCTION("""COMPUTED_VALUE"""),"EMOTORCYCLE")</f>
        <v>EMOTORCYCLE</v>
      </c>
      <c r="G1257" s="7" t="str">
        <f>IFERROR(__xludf.DUMMYFUNCTION("""COMPUTED_VALUE"""),"SAO PAULO")</f>
        <v>SAO PAULO</v>
      </c>
    </row>
    <row r="1258">
      <c r="A1258" s="6">
        <f>IFERROR(__xludf.DUMMYFUNCTION("""COMPUTED_VALUE"""),45705.0)</f>
        <v>45705</v>
      </c>
      <c r="B1258" s="7" t="str">
        <f>IFERROR(__xludf.DUMMYFUNCTION("""COMPUTED_VALUE"""),"d3f59e90-13a9-45dd-ae50-9ee614cfc8c3")</f>
        <v>d3f59e90-13a9-45dd-ae50-9ee614cfc8c3</v>
      </c>
      <c r="C1258" s="7">
        <f>IFERROR(__xludf.DUMMYFUNCTION("""COMPUTED_VALUE"""),0.0)</f>
        <v>0</v>
      </c>
      <c r="D1258" s="6">
        <f>IFERROR(__xludf.DUMMYFUNCTION("""COMPUTED_VALUE"""),45705.0)</f>
        <v>45705</v>
      </c>
      <c r="E1258" s="7" t="str">
        <f>IFERROR(__xludf.DUMMYFUNCTION("""COMPUTED_VALUE"""),"FRANQUIA_D&amp;G_SP")</f>
        <v>FRANQUIA_D&amp;G_SP</v>
      </c>
      <c r="F1258" s="7" t="str">
        <f>IFERROR(__xludf.DUMMYFUNCTION("""COMPUTED_VALUE"""),"MOTORCYCLE")</f>
        <v>MOTORCYCLE</v>
      </c>
      <c r="G1258" s="7" t="str">
        <f>IFERROR(__xludf.DUMMYFUNCTION("""COMPUTED_VALUE"""),"SAO PAULO")</f>
        <v>SAO PAULO</v>
      </c>
    </row>
    <row r="1259">
      <c r="A1259" s="6">
        <f>IFERROR(__xludf.DUMMYFUNCTION("""COMPUTED_VALUE"""),45705.0)</f>
        <v>45705</v>
      </c>
      <c r="B1259" s="7" t="str">
        <f>IFERROR(__xludf.DUMMYFUNCTION("""COMPUTED_VALUE"""),"2eacf599-4e72-4067-805d-b3d3a684a503")</f>
        <v>2eacf599-4e72-4067-805d-b3d3a684a503</v>
      </c>
      <c r="C1259" s="7">
        <f>IFERROR(__xludf.DUMMYFUNCTION("""COMPUTED_VALUE"""),1.0)</f>
        <v>1</v>
      </c>
      <c r="D1259" s="6">
        <f>IFERROR(__xludf.DUMMYFUNCTION("""COMPUTED_VALUE"""),45704.0)</f>
        <v>45704</v>
      </c>
      <c r="E1259" s="7" t="str">
        <f>IFERROR(__xludf.DUMMYFUNCTION("""COMPUTED_VALUE"""),"FRANQUIA_D&amp;G_SP")</f>
        <v>FRANQUIA_D&amp;G_SP</v>
      </c>
      <c r="F1259" s="7" t="str">
        <f>IFERROR(__xludf.DUMMYFUNCTION("""COMPUTED_VALUE"""),"BICYCLE")</f>
        <v>BICYCLE</v>
      </c>
      <c r="G1259" s="7" t="str">
        <f>IFERROR(__xludf.DUMMYFUNCTION("""COMPUTED_VALUE"""),"SAO PAULO")</f>
        <v>SAO PAULO</v>
      </c>
    </row>
    <row r="1260">
      <c r="A1260" s="6">
        <f>IFERROR(__xludf.DUMMYFUNCTION("""COMPUTED_VALUE"""),45705.0)</f>
        <v>45705</v>
      </c>
      <c r="B1260" s="7" t="str">
        <f>IFERROR(__xludf.DUMMYFUNCTION("""COMPUTED_VALUE"""),"c62cb1fb-c46c-4b14-adbc-18c88bfd85b3")</f>
        <v>c62cb1fb-c46c-4b14-adbc-18c88bfd85b3</v>
      </c>
      <c r="C1260" s="7">
        <f>IFERROR(__xludf.DUMMYFUNCTION("""COMPUTED_VALUE"""),2.0)</f>
        <v>2</v>
      </c>
      <c r="D1260" s="6">
        <f>IFERROR(__xludf.DUMMYFUNCTION("""COMPUTED_VALUE"""),45703.0)</f>
        <v>45703</v>
      </c>
      <c r="E1260" s="7" t="str">
        <f>IFERROR(__xludf.DUMMYFUNCTION("""COMPUTED_VALUE"""),"FRANQUIA_D&amp;G_SP")</f>
        <v>FRANQUIA_D&amp;G_SP</v>
      </c>
      <c r="F1260" s="7" t="str">
        <f>IFERROR(__xludf.DUMMYFUNCTION("""COMPUTED_VALUE"""),"MOTORCYCLE")</f>
        <v>MOTORCYCLE</v>
      </c>
      <c r="G1260" s="7" t="str">
        <f>IFERROR(__xludf.DUMMYFUNCTION("""COMPUTED_VALUE"""),"SAO PAULO")</f>
        <v>SAO PAULO</v>
      </c>
    </row>
    <row r="1261">
      <c r="A1261" s="6">
        <f>IFERROR(__xludf.DUMMYFUNCTION("""COMPUTED_VALUE"""),45705.0)</f>
        <v>45705</v>
      </c>
      <c r="B1261" s="7" t="str">
        <f>IFERROR(__xludf.DUMMYFUNCTION("""COMPUTED_VALUE"""),"e417b8f0-9511-4e89-90ec-2e63ad76f2e6")</f>
        <v>e417b8f0-9511-4e89-90ec-2e63ad76f2e6</v>
      </c>
      <c r="C1261" s="7">
        <f>IFERROR(__xludf.DUMMYFUNCTION("""COMPUTED_VALUE"""),1.0)</f>
        <v>1</v>
      </c>
      <c r="D1261" s="6">
        <f>IFERROR(__xludf.DUMMYFUNCTION("""COMPUTED_VALUE"""),45704.0)</f>
        <v>45704</v>
      </c>
      <c r="E1261" s="7" t="str">
        <f>IFERROR(__xludf.DUMMYFUNCTION("""COMPUTED_VALUE"""),"FRANQUIA_D&amp;G_SP")</f>
        <v>FRANQUIA_D&amp;G_SP</v>
      </c>
      <c r="F1261" s="7" t="str">
        <f>IFERROR(__xludf.DUMMYFUNCTION("""COMPUTED_VALUE"""),"EMOTORCYCLE")</f>
        <v>EMOTORCYCLE</v>
      </c>
      <c r="G1261" s="7" t="str">
        <f>IFERROR(__xludf.DUMMYFUNCTION("""COMPUTED_VALUE"""),"SAO PAULO")</f>
        <v>SAO PAULO</v>
      </c>
    </row>
    <row r="1262">
      <c r="A1262" s="6">
        <f>IFERROR(__xludf.DUMMYFUNCTION("""COMPUTED_VALUE"""),45705.0)</f>
        <v>45705</v>
      </c>
      <c r="B1262" s="7" t="str">
        <f>IFERROR(__xludf.DUMMYFUNCTION("""COMPUTED_VALUE"""),"0340dbd3-c090-41ba-9656-190ba6482b5b")</f>
        <v>0340dbd3-c090-41ba-9656-190ba6482b5b</v>
      </c>
      <c r="C1262" s="7">
        <f>IFERROR(__xludf.DUMMYFUNCTION("""COMPUTED_VALUE"""),1.0)</f>
        <v>1</v>
      </c>
      <c r="D1262" s="6">
        <f>IFERROR(__xludf.DUMMYFUNCTION("""COMPUTED_VALUE"""),45704.0)</f>
        <v>45704</v>
      </c>
      <c r="E1262" s="7" t="str">
        <f>IFERROR(__xludf.DUMMYFUNCTION("""COMPUTED_VALUE"""),"FRANQUIA_D&amp;G_SP")</f>
        <v>FRANQUIA_D&amp;G_SP</v>
      </c>
      <c r="F1262" s="7" t="str">
        <f>IFERROR(__xludf.DUMMYFUNCTION("""COMPUTED_VALUE"""),"EMOTORCYCLE")</f>
        <v>EMOTORCYCLE</v>
      </c>
      <c r="G1262" s="7" t="str">
        <f>IFERROR(__xludf.DUMMYFUNCTION("""COMPUTED_VALUE"""),"SAO PAULO")</f>
        <v>SAO PAULO</v>
      </c>
    </row>
    <row r="1263">
      <c r="A1263" s="6">
        <f>IFERROR(__xludf.DUMMYFUNCTION("""COMPUTED_VALUE"""),45705.0)</f>
        <v>45705</v>
      </c>
      <c r="B1263" s="7" t="str">
        <f>IFERROR(__xludf.DUMMYFUNCTION("""COMPUTED_VALUE"""),"8fd70ea1-9178-41b6-9c0e-a242dbc1569f")</f>
        <v>8fd70ea1-9178-41b6-9c0e-a242dbc1569f</v>
      </c>
      <c r="C1263" s="7">
        <f>IFERROR(__xludf.DUMMYFUNCTION("""COMPUTED_VALUE"""),0.0)</f>
        <v>0</v>
      </c>
      <c r="D1263" s="6">
        <f>IFERROR(__xludf.DUMMYFUNCTION("""COMPUTED_VALUE"""),45705.0)</f>
        <v>45705</v>
      </c>
      <c r="E1263" s="7" t="str">
        <f>IFERROR(__xludf.DUMMYFUNCTION("""COMPUTED_VALUE"""),"FRANQUIA_D&amp;G_SP")</f>
        <v>FRANQUIA_D&amp;G_SP</v>
      </c>
      <c r="F1263" s="7" t="str">
        <f>IFERROR(__xludf.DUMMYFUNCTION("""COMPUTED_VALUE"""),"BICYCLE")</f>
        <v>BICYCLE</v>
      </c>
      <c r="G1263" s="7" t="str">
        <f>IFERROR(__xludf.DUMMYFUNCTION("""COMPUTED_VALUE"""),"SAO PAULO")</f>
        <v>SAO PAULO</v>
      </c>
    </row>
    <row r="1264">
      <c r="A1264" s="6">
        <f>IFERROR(__xludf.DUMMYFUNCTION("""COMPUTED_VALUE"""),45705.0)</f>
        <v>45705</v>
      </c>
      <c r="B1264" s="7" t="str">
        <f>IFERROR(__xludf.DUMMYFUNCTION("""COMPUTED_VALUE"""),"f539c403-716d-48b8-b6ab-5702511bd550")</f>
        <v>f539c403-716d-48b8-b6ab-5702511bd550</v>
      </c>
      <c r="C1264" s="7">
        <f>IFERROR(__xludf.DUMMYFUNCTION("""COMPUTED_VALUE"""),0.0)</f>
        <v>0</v>
      </c>
      <c r="D1264" s="6">
        <f>IFERROR(__xludf.DUMMYFUNCTION("""COMPUTED_VALUE"""),45705.0)</f>
        <v>45705</v>
      </c>
      <c r="E1264" s="7" t="str">
        <f>IFERROR(__xludf.DUMMYFUNCTION("""COMPUTED_VALUE"""),"FRANQUIA_D&amp;G_SP")</f>
        <v>FRANQUIA_D&amp;G_SP</v>
      </c>
      <c r="F1264" s="7" t="str">
        <f>IFERROR(__xludf.DUMMYFUNCTION("""COMPUTED_VALUE"""),"BICYCLE")</f>
        <v>BICYCLE</v>
      </c>
      <c r="G1264" s="7" t="str">
        <f>IFERROR(__xludf.DUMMYFUNCTION("""COMPUTED_VALUE"""),"SUZANO")</f>
        <v>SUZANO</v>
      </c>
    </row>
    <row r="1265">
      <c r="A1265" s="6">
        <f>IFERROR(__xludf.DUMMYFUNCTION("""COMPUTED_VALUE"""),45705.0)</f>
        <v>45705</v>
      </c>
      <c r="B1265" s="7" t="str">
        <f>IFERROR(__xludf.DUMMYFUNCTION("""COMPUTED_VALUE"""),"5861a54c-aa81-43c3-a3bb-7392582a3573")</f>
        <v>5861a54c-aa81-43c3-a3bb-7392582a3573</v>
      </c>
      <c r="C1265" s="7">
        <f>IFERROR(__xludf.DUMMYFUNCTION("""COMPUTED_VALUE"""),0.0)</f>
        <v>0</v>
      </c>
      <c r="D1265" s="6">
        <f>IFERROR(__xludf.DUMMYFUNCTION("""COMPUTED_VALUE"""),45705.0)</f>
        <v>45705</v>
      </c>
      <c r="E1265" s="7" t="str">
        <f>IFERROR(__xludf.DUMMYFUNCTION("""COMPUTED_VALUE"""),"FRANQUIA_D&amp;G_SP")</f>
        <v>FRANQUIA_D&amp;G_SP</v>
      </c>
      <c r="F1265" s="7" t="str">
        <f>IFERROR(__xludf.DUMMYFUNCTION("""COMPUTED_VALUE"""),"MOTORCYCLE")</f>
        <v>MOTORCYCLE</v>
      </c>
      <c r="G1265" s="7" t="str">
        <f>IFERROR(__xludf.DUMMYFUNCTION("""COMPUTED_VALUE"""),"SAO PAULO")</f>
        <v>SAO PAULO</v>
      </c>
    </row>
    <row r="1266">
      <c r="A1266" s="6">
        <f>IFERROR(__xludf.DUMMYFUNCTION("""COMPUTED_VALUE"""),45705.0)</f>
        <v>45705</v>
      </c>
      <c r="B1266" s="7" t="str">
        <f>IFERROR(__xludf.DUMMYFUNCTION("""COMPUTED_VALUE"""),"149229d0-970c-4903-894c-72b3ce875c29")</f>
        <v>149229d0-970c-4903-894c-72b3ce875c29</v>
      </c>
      <c r="C1266" s="7">
        <f>IFERROR(__xludf.DUMMYFUNCTION("""COMPUTED_VALUE"""),2.0)</f>
        <v>2</v>
      </c>
      <c r="D1266" s="6">
        <f>IFERROR(__xludf.DUMMYFUNCTION("""COMPUTED_VALUE"""),45703.0)</f>
        <v>45703</v>
      </c>
      <c r="E1266" s="7" t="str">
        <f>IFERROR(__xludf.DUMMYFUNCTION("""COMPUTED_VALUE"""),"FRANQUIA_D&amp;G_SP")</f>
        <v>FRANQUIA_D&amp;G_SP</v>
      </c>
      <c r="F1266" s="7" t="str">
        <f>IFERROR(__xludf.DUMMYFUNCTION("""COMPUTED_VALUE"""),"BICYCLE")</f>
        <v>BICYCLE</v>
      </c>
      <c r="G1266" s="7" t="str">
        <f>IFERROR(__xludf.DUMMYFUNCTION("""COMPUTED_VALUE"""),"SAO PAULO")</f>
        <v>SAO PAULO</v>
      </c>
    </row>
    <row r="1267">
      <c r="A1267" s="6">
        <f>IFERROR(__xludf.DUMMYFUNCTION("""COMPUTED_VALUE"""),45705.0)</f>
        <v>45705</v>
      </c>
      <c r="B1267" s="7" t="str">
        <f>IFERROR(__xludf.DUMMYFUNCTION("""COMPUTED_VALUE"""),"b4eb0888-46d2-45c7-a822-5a41b4996a02")</f>
        <v>b4eb0888-46d2-45c7-a822-5a41b4996a02</v>
      </c>
      <c r="C1267" s="7">
        <f>IFERROR(__xludf.DUMMYFUNCTION("""COMPUTED_VALUE"""),0.0)</f>
        <v>0</v>
      </c>
      <c r="D1267" s="6">
        <f>IFERROR(__xludf.DUMMYFUNCTION("""COMPUTED_VALUE"""),0.0)</f>
        <v>0</v>
      </c>
      <c r="E1267" s="7" t="str">
        <f>IFERROR(__xludf.DUMMYFUNCTION("""COMPUTED_VALUE"""),"FRANQUIA_D&amp;G_SP")</f>
        <v>FRANQUIA_D&amp;G_SP</v>
      </c>
      <c r="F1267" s="7" t="str">
        <f>IFERROR(__xludf.DUMMYFUNCTION("""COMPUTED_VALUE"""),"BICYCLE")</f>
        <v>BICYCLE</v>
      </c>
      <c r="G1267" s="7" t="str">
        <f>IFERROR(__xludf.DUMMYFUNCTION("""COMPUTED_VALUE"""),"0")</f>
        <v>0</v>
      </c>
    </row>
    <row r="1268">
      <c r="A1268" s="6">
        <f>IFERROR(__xludf.DUMMYFUNCTION("""COMPUTED_VALUE"""),45705.0)</f>
        <v>45705</v>
      </c>
      <c r="B1268" s="7" t="str">
        <f>IFERROR(__xludf.DUMMYFUNCTION("""COMPUTED_VALUE"""),"a28acd99-ea9a-4dbf-aaf1-4540a743b280")</f>
        <v>a28acd99-ea9a-4dbf-aaf1-4540a743b280</v>
      </c>
      <c r="C1268" s="7">
        <f>IFERROR(__xludf.DUMMYFUNCTION("""COMPUTED_VALUE"""),1.0)</f>
        <v>1</v>
      </c>
      <c r="D1268" s="6">
        <f>IFERROR(__xludf.DUMMYFUNCTION("""COMPUTED_VALUE"""),45704.0)</f>
        <v>45704</v>
      </c>
      <c r="E1268" s="7" t="str">
        <f>IFERROR(__xludf.DUMMYFUNCTION("""COMPUTED_VALUE"""),"FRANQUIA_D&amp;G_SP")</f>
        <v>FRANQUIA_D&amp;G_SP</v>
      </c>
      <c r="F1268" s="7" t="str">
        <f>IFERROR(__xludf.DUMMYFUNCTION("""COMPUTED_VALUE"""),"MOTORCYCLE")</f>
        <v>MOTORCYCLE</v>
      </c>
      <c r="G1268" s="7" t="str">
        <f>IFERROR(__xludf.DUMMYFUNCTION("""COMPUTED_VALUE"""),"SAO PAULO")</f>
        <v>SAO PAULO</v>
      </c>
    </row>
    <row r="1269">
      <c r="A1269" s="6">
        <f>IFERROR(__xludf.DUMMYFUNCTION("""COMPUTED_VALUE"""),45705.0)</f>
        <v>45705</v>
      </c>
      <c r="B1269" s="7" t="str">
        <f>IFERROR(__xludf.DUMMYFUNCTION("""COMPUTED_VALUE"""),"4a47554c-9755-446a-bc2d-4b80bc4cea4e")</f>
        <v>4a47554c-9755-446a-bc2d-4b80bc4cea4e</v>
      </c>
      <c r="C1269" s="7">
        <f>IFERROR(__xludf.DUMMYFUNCTION("""COMPUTED_VALUE"""),0.0)</f>
        <v>0</v>
      </c>
      <c r="D1269" s="6">
        <f>IFERROR(__xludf.DUMMYFUNCTION("""COMPUTED_VALUE"""),45705.0)</f>
        <v>45705</v>
      </c>
      <c r="E1269" s="7" t="str">
        <f>IFERROR(__xludf.DUMMYFUNCTION("""COMPUTED_VALUE"""),"FRANQUIA_D&amp;G_SP")</f>
        <v>FRANQUIA_D&amp;G_SP</v>
      </c>
      <c r="F1269" s="7" t="str">
        <f>IFERROR(__xludf.DUMMYFUNCTION("""COMPUTED_VALUE"""),"BICYCLE")</f>
        <v>BICYCLE</v>
      </c>
      <c r="G1269" s="7" t="str">
        <f>IFERROR(__xludf.DUMMYFUNCTION("""COMPUTED_VALUE"""),"SAO PAULO")</f>
        <v>SAO PAULO</v>
      </c>
    </row>
    <row r="1270">
      <c r="A1270" s="6">
        <f>IFERROR(__xludf.DUMMYFUNCTION("""COMPUTED_VALUE"""),45705.0)</f>
        <v>45705</v>
      </c>
      <c r="B1270" s="7" t="str">
        <f>IFERROR(__xludf.DUMMYFUNCTION("""COMPUTED_VALUE"""),"ff5fd8ed-83d0-4468-b4cc-d0e61109992c")</f>
        <v>ff5fd8ed-83d0-4468-b4cc-d0e61109992c</v>
      </c>
      <c r="C1270" s="7">
        <f>IFERROR(__xludf.DUMMYFUNCTION("""COMPUTED_VALUE"""),0.0)</f>
        <v>0</v>
      </c>
      <c r="D1270" s="6">
        <f>IFERROR(__xludf.DUMMYFUNCTION("""COMPUTED_VALUE"""),45705.0)</f>
        <v>45705</v>
      </c>
      <c r="E1270" s="7" t="str">
        <f>IFERROR(__xludf.DUMMYFUNCTION("""COMPUTED_VALUE"""),"FRANQUIA_D&amp;G_SP")</f>
        <v>FRANQUIA_D&amp;G_SP</v>
      </c>
      <c r="F1270" s="7" t="str">
        <f>IFERROR(__xludf.DUMMYFUNCTION("""COMPUTED_VALUE"""),"BICYCLE")</f>
        <v>BICYCLE</v>
      </c>
      <c r="G1270" s="7" t="str">
        <f>IFERROR(__xludf.DUMMYFUNCTION("""COMPUTED_VALUE"""),"SAO PAULO")</f>
        <v>SAO PAULO</v>
      </c>
    </row>
    <row r="1271">
      <c r="A1271" s="6">
        <f>IFERROR(__xludf.DUMMYFUNCTION("""COMPUTED_VALUE"""),45705.0)</f>
        <v>45705</v>
      </c>
      <c r="B1271" s="7" t="str">
        <f>IFERROR(__xludf.DUMMYFUNCTION("""COMPUTED_VALUE"""),"eb7c571d-1219-4447-87cd-e5d7094514aa")</f>
        <v>eb7c571d-1219-4447-87cd-e5d7094514aa</v>
      </c>
      <c r="C1271" s="7">
        <f>IFERROR(__xludf.DUMMYFUNCTION("""COMPUTED_VALUE"""),6.0)</f>
        <v>6</v>
      </c>
      <c r="D1271" s="6">
        <f>IFERROR(__xludf.DUMMYFUNCTION("""COMPUTED_VALUE"""),45699.0)</f>
        <v>45699</v>
      </c>
      <c r="E1271" s="7" t="str">
        <f>IFERROR(__xludf.DUMMYFUNCTION("""COMPUTED_VALUE"""),"FRANQUIA_D&amp;G_SP")</f>
        <v>FRANQUIA_D&amp;G_SP</v>
      </c>
      <c r="F1271" s="7" t="str">
        <f>IFERROR(__xludf.DUMMYFUNCTION("""COMPUTED_VALUE"""),"MOTORCYCLE")</f>
        <v>MOTORCYCLE</v>
      </c>
      <c r="G1271" s="7" t="str">
        <f>IFERROR(__xludf.DUMMYFUNCTION("""COMPUTED_VALUE"""),"SAO PAULO")</f>
        <v>SAO PAULO</v>
      </c>
    </row>
    <row r="1272">
      <c r="A1272" s="6">
        <f>IFERROR(__xludf.DUMMYFUNCTION("""COMPUTED_VALUE"""),45705.0)</f>
        <v>45705</v>
      </c>
      <c r="B1272" s="7" t="str">
        <f>IFERROR(__xludf.DUMMYFUNCTION("""COMPUTED_VALUE"""),"df3298e7-4249-4fd2-a881-37114afb00b7")</f>
        <v>df3298e7-4249-4fd2-a881-37114afb00b7</v>
      </c>
      <c r="C1272" s="7">
        <f>IFERROR(__xludf.DUMMYFUNCTION("""COMPUTED_VALUE"""),1.0)</f>
        <v>1</v>
      </c>
      <c r="D1272" s="6">
        <f>IFERROR(__xludf.DUMMYFUNCTION("""COMPUTED_VALUE"""),45704.0)</f>
        <v>45704</v>
      </c>
      <c r="E1272" s="7" t="str">
        <f>IFERROR(__xludf.DUMMYFUNCTION("""COMPUTED_VALUE"""),"FRANQUIA_D&amp;G_SP")</f>
        <v>FRANQUIA_D&amp;G_SP</v>
      </c>
      <c r="F1272" s="7" t="str">
        <f>IFERROR(__xludf.DUMMYFUNCTION("""COMPUTED_VALUE"""),"MOTORCYCLE")</f>
        <v>MOTORCYCLE</v>
      </c>
      <c r="G1272" s="7" t="str">
        <f>IFERROR(__xludf.DUMMYFUNCTION("""COMPUTED_VALUE"""),"SAO PAULO")</f>
        <v>SAO PAULO</v>
      </c>
    </row>
    <row r="1273">
      <c r="A1273" s="6">
        <f>IFERROR(__xludf.DUMMYFUNCTION("""COMPUTED_VALUE"""),45705.0)</f>
        <v>45705</v>
      </c>
      <c r="B1273" s="7" t="str">
        <f>IFERROR(__xludf.DUMMYFUNCTION("""COMPUTED_VALUE"""),"1b0807d8-f9ec-4352-94ab-90b8441b4d0c")</f>
        <v>1b0807d8-f9ec-4352-94ab-90b8441b4d0c</v>
      </c>
      <c r="C1273" s="7">
        <f>IFERROR(__xludf.DUMMYFUNCTION("""COMPUTED_VALUE"""),0.0)</f>
        <v>0</v>
      </c>
      <c r="D1273" s="6">
        <f>IFERROR(__xludf.DUMMYFUNCTION("""COMPUTED_VALUE"""),45705.0)</f>
        <v>45705</v>
      </c>
      <c r="E1273" s="7" t="str">
        <f>IFERROR(__xludf.DUMMYFUNCTION("""COMPUTED_VALUE"""),"FRANQUIA_D&amp;G_SP")</f>
        <v>FRANQUIA_D&amp;G_SP</v>
      </c>
      <c r="F1273" s="7" t="str">
        <f>IFERROR(__xludf.DUMMYFUNCTION("""COMPUTED_VALUE"""),"MOTORCYCLE")</f>
        <v>MOTORCYCLE</v>
      </c>
      <c r="G1273" s="7" t="str">
        <f>IFERROR(__xludf.DUMMYFUNCTION("""COMPUTED_VALUE"""),"SUZANO")</f>
        <v>SUZANO</v>
      </c>
    </row>
    <row r="1274">
      <c r="A1274" s="6">
        <f>IFERROR(__xludf.DUMMYFUNCTION("""COMPUTED_VALUE"""),45705.0)</f>
        <v>45705</v>
      </c>
      <c r="B1274" s="7" t="str">
        <f>IFERROR(__xludf.DUMMYFUNCTION("""COMPUTED_VALUE"""),"7812bc92-5318-49cb-b24d-fa5b5d29501b")</f>
        <v>7812bc92-5318-49cb-b24d-fa5b5d29501b</v>
      </c>
      <c r="C1274" s="7">
        <f>IFERROR(__xludf.DUMMYFUNCTION("""COMPUTED_VALUE"""),0.0)</f>
        <v>0</v>
      </c>
      <c r="D1274" s="6">
        <f>IFERROR(__xludf.DUMMYFUNCTION("""COMPUTED_VALUE"""),45705.0)</f>
        <v>45705</v>
      </c>
      <c r="E1274" s="7" t="str">
        <f>IFERROR(__xludf.DUMMYFUNCTION("""COMPUTED_VALUE"""),"FRANQUIA_D&amp;G_SP")</f>
        <v>FRANQUIA_D&amp;G_SP</v>
      </c>
      <c r="F1274" s="7" t="str">
        <f>IFERROR(__xludf.DUMMYFUNCTION("""COMPUTED_VALUE"""),"MOTORCYCLE")</f>
        <v>MOTORCYCLE</v>
      </c>
      <c r="G1274" s="7" t="str">
        <f>IFERROR(__xludf.DUMMYFUNCTION("""COMPUTED_VALUE"""),"SAO PAULO")</f>
        <v>SAO PAULO</v>
      </c>
    </row>
    <row r="1275">
      <c r="A1275" s="6">
        <f>IFERROR(__xludf.DUMMYFUNCTION("""COMPUTED_VALUE"""),45705.0)</f>
        <v>45705</v>
      </c>
      <c r="B1275" s="7" t="str">
        <f>IFERROR(__xludf.DUMMYFUNCTION("""COMPUTED_VALUE"""),"e37e3139-618b-4479-8d08-b3db79afb44d")</f>
        <v>e37e3139-618b-4479-8d08-b3db79afb44d</v>
      </c>
      <c r="C1275" s="7">
        <f>IFERROR(__xludf.DUMMYFUNCTION("""COMPUTED_VALUE"""),0.0)</f>
        <v>0</v>
      </c>
      <c r="D1275" s="6">
        <f>IFERROR(__xludf.DUMMYFUNCTION("""COMPUTED_VALUE"""),45705.0)</f>
        <v>45705</v>
      </c>
      <c r="E1275" s="7" t="str">
        <f>IFERROR(__xludf.DUMMYFUNCTION("""COMPUTED_VALUE"""),"FRANQUIA_D&amp;G_SP")</f>
        <v>FRANQUIA_D&amp;G_SP</v>
      </c>
      <c r="F1275" s="7" t="str">
        <f>IFERROR(__xludf.DUMMYFUNCTION("""COMPUTED_VALUE"""),"MOTORCYCLE")</f>
        <v>MOTORCYCLE</v>
      </c>
      <c r="G1275" s="7" t="str">
        <f>IFERROR(__xludf.DUMMYFUNCTION("""COMPUTED_VALUE"""),"SUZANO")</f>
        <v>SUZANO</v>
      </c>
    </row>
    <row r="1276">
      <c r="A1276" s="6">
        <f>IFERROR(__xludf.DUMMYFUNCTION("""COMPUTED_VALUE"""),45705.0)</f>
        <v>45705</v>
      </c>
      <c r="B1276" s="7" t="str">
        <f>IFERROR(__xludf.DUMMYFUNCTION("""COMPUTED_VALUE"""),"941d200e-6c95-42bf-917e-615cffb289d0")</f>
        <v>941d200e-6c95-42bf-917e-615cffb289d0</v>
      </c>
      <c r="C1276" s="7">
        <f>IFERROR(__xludf.DUMMYFUNCTION("""COMPUTED_VALUE"""),219.0)</f>
        <v>219</v>
      </c>
      <c r="D1276" s="6">
        <f>IFERROR(__xludf.DUMMYFUNCTION("""COMPUTED_VALUE"""),45486.0)</f>
        <v>45486</v>
      </c>
      <c r="E1276" s="7" t="str">
        <f>IFERROR(__xludf.DUMMYFUNCTION("""COMPUTED_VALUE"""),"FRANQUIA_D&amp;G_SP")</f>
        <v>FRANQUIA_D&amp;G_SP</v>
      </c>
      <c r="F1276" s="7" t="str">
        <f>IFERROR(__xludf.DUMMYFUNCTION("""COMPUTED_VALUE"""),"BICYCLE")</f>
        <v>BICYCLE</v>
      </c>
      <c r="G1276" s="7" t="str">
        <f>IFERROR(__xludf.DUMMYFUNCTION("""COMPUTED_VALUE"""),"SAO PAULO")</f>
        <v>SAO PAULO</v>
      </c>
    </row>
    <row r="1277">
      <c r="A1277" s="6">
        <f>IFERROR(__xludf.DUMMYFUNCTION("""COMPUTED_VALUE"""),45705.0)</f>
        <v>45705</v>
      </c>
      <c r="B1277" s="7" t="str">
        <f>IFERROR(__xludf.DUMMYFUNCTION("""COMPUTED_VALUE"""),"0d137844-67f8-4f72-b747-047718aaa213")</f>
        <v>0d137844-67f8-4f72-b747-047718aaa213</v>
      </c>
      <c r="C1277" s="7">
        <f>IFERROR(__xludf.DUMMYFUNCTION("""COMPUTED_VALUE"""),24.0)</f>
        <v>24</v>
      </c>
      <c r="D1277" s="6">
        <f>IFERROR(__xludf.DUMMYFUNCTION("""COMPUTED_VALUE"""),45681.0)</f>
        <v>45681</v>
      </c>
      <c r="E1277" s="7" t="str">
        <f>IFERROR(__xludf.DUMMYFUNCTION("""COMPUTED_VALUE"""),"FRANQUIA_D&amp;G_SP")</f>
        <v>FRANQUIA_D&amp;G_SP</v>
      </c>
      <c r="F1277" s="7" t="str">
        <f>IFERROR(__xludf.DUMMYFUNCTION("""COMPUTED_VALUE"""),"MOTORCYCLE")</f>
        <v>MOTORCYCLE</v>
      </c>
      <c r="G1277" s="7" t="str">
        <f>IFERROR(__xludf.DUMMYFUNCTION("""COMPUTED_VALUE"""),"SAO PAULO")</f>
        <v>SAO PAULO</v>
      </c>
    </row>
    <row r="1278">
      <c r="A1278" s="6">
        <f>IFERROR(__xludf.DUMMYFUNCTION("""COMPUTED_VALUE"""),45705.0)</f>
        <v>45705</v>
      </c>
      <c r="B1278" s="7" t="str">
        <f>IFERROR(__xludf.DUMMYFUNCTION("""COMPUTED_VALUE"""),"293908d9-6bd2-4456-904a-80a7d4020338")</f>
        <v>293908d9-6bd2-4456-904a-80a7d4020338</v>
      </c>
      <c r="C1278" s="7">
        <f>IFERROR(__xludf.DUMMYFUNCTION("""COMPUTED_VALUE"""),0.0)</f>
        <v>0</v>
      </c>
      <c r="D1278" s="6">
        <f>IFERROR(__xludf.DUMMYFUNCTION("""COMPUTED_VALUE"""),45705.0)</f>
        <v>45705</v>
      </c>
      <c r="E1278" s="7" t="str">
        <f>IFERROR(__xludf.DUMMYFUNCTION("""COMPUTED_VALUE"""),"FRANQUIA_D&amp;G_SP")</f>
        <v>FRANQUIA_D&amp;G_SP</v>
      </c>
      <c r="F1278" s="7" t="str">
        <f>IFERROR(__xludf.DUMMYFUNCTION("""COMPUTED_VALUE"""),"BICYCLE")</f>
        <v>BICYCLE</v>
      </c>
      <c r="G1278" s="7" t="str">
        <f>IFERROR(__xludf.DUMMYFUNCTION("""COMPUTED_VALUE"""),"SAO PAULO")</f>
        <v>SAO PAULO</v>
      </c>
    </row>
    <row r="1279">
      <c r="A1279" s="6">
        <f>IFERROR(__xludf.DUMMYFUNCTION("""COMPUTED_VALUE"""),45705.0)</f>
        <v>45705</v>
      </c>
      <c r="B1279" s="7" t="str">
        <f>IFERROR(__xludf.DUMMYFUNCTION("""COMPUTED_VALUE"""),"03c8be82-23f1-4363-bd4f-beacb9fecf2f")</f>
        <v>03c8be82-23f1-4363-bd4f-beacb9fecf2f</v>
      </c>
      <c r="C1279" s="7">
        <f>IFERROR(__xludf.DUMMYFUNCTION("""COMPUTED_VALUE"""),127.0)</f>
        <v>127</v>
      </c>
      <c r="D1279" s="6">
        <f>IFERROR(__xludf.DUMMYFUNCTION("""COMPUTED_VALUE"""),45578.0)</f>
        <v>45578</v>
      </c>
      <c r="E1279" s="7" t="str">
        <f>IFERROR(__xludf.DUMMYFUNCTION("""COMPUTED_VALUE"""),"FRANQUIA_D&amp;G_SP")</f>
        <v>FRANQUIA_D&amp;G_SP</v>
      </c>
      <c r="F1279" s="7" t="str">
        <f>IFERROR(__xludf.DUMMYFUNCTION("""COMPUTED_VALUE"""),"MOTORCYCLE")</f>
        <v>MOTORCYCLE</v>
      </c>
      <c r="G1279" s="7" t="str">
        <f>IFERROR(__xludf.DUMMYFUNCTION("""COMPUTED_VALUE"""),"SAO PAULO")</f>
        <v>SAO PAULO</v>
      </c>
    </row>
    <row r="1280">
      <c r="A1280" s="6">
        <f>IFERROR(__xludf.DUMMYFUNCTION("""COMPUTED_VALUE"""),45705.0)</f>
        <v>45705</v>
      </c>
      <c r="B1280" s="7" t="str">
        <f>IFERROR(__xludf.DUMMYFUNCTION("""COMPUTED_VALUE"""),"714fc8a3-c3e3-43ad-8716-060cb3e0b798")</f>
        <v>714fc8a3-c3e3-43ad-8716-060cb3e0b798</v>
      </c>
      <c r="C1280" s="7">
        <f>IFERROR(__xludf.DUMMYFUNCTION("""COMPUTED_VALUE"""),5.0)</f>
        <v>5</v>
      </c>
      <c r="D1280" s="6">
        <f>IFERROR(__xludf.DUMMYFUNCTION("""COMPUTED_VALUE"""),45700.0)</f>
        <v>45700</v>
      </c>
      <c r="E1280" s="7" t="str">
        <f>IFERROR(__xludf.DUMMYFUNCTION("""COMPUTED_VALUE"""),"FRANQUIA_D&amp;G_SP")</f>
        <v>FRANQUIA_D&amp;G_SP</v>
      </c>
      <c r="F1280" s="7" t="str">
        <f>IFERROR(__xludf.DUMMYFUNCTION("""COMPUTED_VALUE"""),"BICYCLE")</f>
        <v>BICYCLE</v>
      </c>
      <c r="G1280" s="7" t="str">
        <f>IFERROR(__xludf.DUMMYFUNCTION("""COMPUTED_VALUE"""),"SAO PAULO")</f>
        <v>SAO PAULO</v>
      </c>
    </row>
    <row r="1281">
      <c r="A1281" s="6">
        <f>IFERROR(__xludf.DUMMYFUNCTION("""COMPUTED_VALUE"""),45705.0)</f>
        <v>45705</v>
      </c>
      <c r="B1281" s="7" t="str">
        <f>IFERROR(__xludf.DUMMYFUNCTION("""COMPUTED_VALUE"""),"a51ae6d9-6f61-457d-ae59-e3ce20237176")</f>
        <v>a51ae6d9-6f61-457d-ae59-e3ce20237176</v>
      </c>
      <c r="C1281" s="7">
        <f>IFERROR(__xludf.DUMMYFUNCTION("""COMPUTED_VALUE"""),0.0)</f>
        <v>0</v>
      </c>
      <c r="D1281" s="6">
        <f>IFERROR(__xludf.DUMMYFUNCTION("""COMPUTED_VALUE"""),45705.0)</f>
        <v>45705</v>
      </c>
      <c r="E1281" s="7" t="str">
        <f>IFERROR(__xludf.DUMMYFUNCTION("""COMPUTED_VALUE"""),"FRANQUIA_D&amp;G_SP")</f>
        <v>FRANQUIA_D&amp;G_SP</v>
      </c>
      <c r="F1281" s="7" t="str">
        <f>IFERROR(__xludf.DUMMYFUNCTION("""COMPUTED_VALUE"""),"MOTORCYCLE")</f>
        <v>MOTORCYCLE</v>
      </c>
      <c r="G1281" s="7" t="str">
        <f>IFERROR(__xludf.DUMMYFUNCTION("""COMPUTED_VALUE"""),"SAO PAULO")</f>
        <v>SAO PAULO</v>
      </c>
    </row>
    <row r="1282">
      <c r="A1282" s="6">
        <f>IFERROR(__xludf.DUMMYFUNCTION("""COMPUTED_VALUE"""),45705.0)</f>
        <v>45705</v>
      </c>
      <c r="B1282" s="7" t="str">
        <f>IFERROR(__xludf.DUMMYFUNCTION("""COMPUTED_VALUE"""),"d9004bf3-f86b-4971-80dd-3772c4136745")</f>
        <v>d9004bf3-f86b-4971-80dd-3772c4136745</v>
      </c>
      <c r="C1282" s="7">
        <f>IFERROR(__xludf.DUMMYFUNCTION("""COMPUTED_VALUE"""),96.0)</f>
        <v>96</v>
      </c>
      <c r="D1282" s="6">
        <f>IFERROR(__xludf.DUMMYFUNCTION("""COMPUTED_VALUE"""),45609.0)</f>
        <v>45609</v>
      </c>
      <c r="E1282" s="7" t="str">
        <f>IFERROR(__xludf.DUMMYFUNCTION("""COMPUTED_VALUE"""),"FRANQUIA_D&amp;G_SP")</f>
        <v>FRANQUIA_D&amp;G_SP</v>
      </c>
      <c r="F1282" s="7" t="str">
        <f>IFERROR(__xludf.DUMMYFUNCTION("""COMPUTED_VALUE"""),"MOTORCYCLE")</f>
        <v>MOTORCYCLE</v>
      </c>
      <c r="G1282" s="7" t="str">
        <f>IFERROR(__xludf.DUMMYFUNCTION("""COMPUTED_VALUE"""),"ABC")</f>
        <v>ABC</v>
      </c>
    </row>
    <row r="1283">
      <c r="A1283" s="6">
        <f>IFERROR(__xludf.DUMMYFUNCTION("""COMPUTED_VALUE"""),45705.0)</f>
        <v>45705</v>
      </c>
      <c r="B1283" s="7" t="str">
        <f>IFERROR(__xludf.DUMMYFUNCTION("""COMPUTED_VALUE"""),"e952ca2b-0dd4-4b0d-accb-99c8e2544da2")</f>
        <v>e952ca2b-0dd4-4b0d-accb-99c8e2544da2</v>
      </c>
      <c r="C1283" s="7">
        <f>IFERROR(__xludf.DUMMYFUNCTION("""COMPUTED_VALUE"""),0.0)</f>
        <v>0</v>
      </c>
      <c r="D1283" s="6">
        <f>IFERROR(__xludf.DUMMYFUNCTION("""COMPUTED_VALUE"""),45705.0)</f>
        <v>45705</v>
      </c>
      <c r="E1283" s="7" t="str">
        <f>IFERROR(__xludf.DUMMYFUNCTION("""COMPUTED_VALUE"""),"FRANQUIA_D&amp;G_SP")</f>
        <v>FRANQUIA_D&amp;G_SP</v>
      </c>
      <c r="F1283" s="7" t="str">
        <f>IFERROR(__xludf.DUMMYFUNCTION("""COMPUTED_VALUE"""),"MOTORCYCLE")</f>
        <v>MOTORCYCLE</v>
      </c>
      <c r="G1283" s="7" t="str">
        <f>IFERROR(__xludf.DUMMYFUNCTION("""COMPUTED_VALUE"""),"SAO PAULO")</f>
        <v>SAO PAULO</v>
      </c>
    </row>
    <row r="1284">
      <c r="A1284" s="6">
        <f>IFERROR(__xludf.DUMMYFUNCTION("""COMPUTED_VALUE"""),45705.0)</f>
        <v>45705</v>
      </c>
      <c r="B1284" s="7" t="str">
        <f>IFERROR(__xludf.DUMMYFUNCTION("""COMPUTED_VALUE"""),"34eba042-dd98-4118-8a97-467b4ff079bb")</f>
        <v>34eba042-dd98-4118-8a97-467b4ff079bb</v>
      </c>
      <c r="C1284" s="7">
        <f>IFERROR(__xludf.DUMMYFUNCTION("""COMPUTED_VALUE"""),0.0)</f>
        <v>0</v>
      </c>
      <c r="D1284" s="6">
        <f>IFERROR(__xludf.DUMMYFUNCTION("""COMPUTED_VALUE"""),45705.0)</f>
        <v>45705</v>
      </c>
      <c r="E1284" s="7" t="str">
        <f>IFERROR(__xludf.DUMMYFUNCTION("""COMPUTED_VALUE"""),"FRANQUIA_D&amp;G_SP")</f>
        <v>FRANQUIA_D&amp;G_SP</v>
      </c>
      <c r="F1284" s="7" t="str">
        <f>IFERROR(__xludf.DUMMYFUNCTION("""COMPUTED_VALUE"""),"MOTORCYCLE")</f>
        <v>MOTORCYCLE</v>
      </c>
      <c r="G1284" s="7" t="str">
        <f>IFERROR(__xludf.DUMMYFUNCTION("""COMPUTED_VALUE"""),"SAO PAULO")</f>
        <v>SAO PAULO</v>
      </c>
    </row>
    <row r="1285">
      <c r="A1285" s="6">
        <f>IFERROR(__xludf.DUMMYFUNCTION("""COMPUTED_VALUE"""),45705.0)</f>
        <v>45705</v>
      </c>
      <c r="B1285" s="7" t="str">
        <f>IFERROR(__xludf.DUMMYFUNCTION("""COMPUTED_VALUE"""),"e98aeb95-e4ee-44f3-be61-b9b54ce98b12")</f>
        <v>e98aeb95-e4ee-44f3-be61-b9b54ce98b12</v>
      </c>
      <c r="C1285" s="7">
        <f>IFERROR(__xludf.DUMMYFUNCTION("""COMPUTED_VALUE"""),0.0)</f>
        <v>0</v>
      </c>
      <c r="D1285" s="6">
        <f>IFERROR(__xludf.DUMMYFUNCTION("""COMPUTED_VALUE"""),45705.0)</f>
        <v>45705</v>
      </c>
      <c r="E1285" s="7" t="str">
        <f>IFERROR(__xludf.DUMMYFUNCTION("""COMPUTED_VALUE"""),"FRANQUIA_D&amp;G_SP")</f>
        <v>FRANQUIA_D&amp;G_SP</v>
      </c>
      <c r="F1285" s="7" t="str">
        <f>IFERROR(__xludf.DUMMYFUNCTION("""COMPUTED_VALUE"""),"MOTORCYCLE")</f>
        <v>MOTORCYCLE</v>
      </c>
      <c r="G1285" s="7" t="str">
        <f>IFERROR(__xludf.DUMMYFUNCTION("""COMPUTED_VALUE"""),"SAO PAULO")</f>
        <v>SAO PAULO</v>
      </c>
    </row>
    <row r="1286">
      <c r="A1286" s="6">
        <f>IFERROR(__xludf.DUMMYFUNCTION("""COMPUTED_VALUE"""),45705.0)</f>
        <v>45705</v>
      </c>
      <c r="B1286" s="7" t="str">
        <f>IFERROR(__xludf.DUMMYFUNCTION("""COMPUTED_VALUE"""),"8ac8e409-84fe-4ca1-a2f0-a3738fe6a8e9")</f>
        <v>8ac8e409-84fe-4ca1-a2f0-a3738fe6a8e9</v>
      </c>
      <c r="C1286" s="7">
        <f>IFERROR(__xludf.DUMMYFUNCTION("""COMPUTED_VALUE"""),68.0)</f>
        <v>68</v>
      </c>
      <c r="D1286" s="6">
        <f>IFERROR(__xludf.DUMMYFUNCTION("""COMPUTED_VALUE"""),45637.0)</f>
        <v>45637</v>
      </c>
      <c r="E1286" s="7" t="str">
        <f>IFERROR(__xludf.DUMMYFUNCTION("""COMPUTED_VALUE"""),"FRANQUIA_D&amp;G_SP")</f>
        <v>FRANQUIA_D&amp;G_SP</v>
      </c>
      <c r="F1286" s="7" t="str">
        <f>IFERROR(__xludf.DUMMYFUNCTION("""COMPUTED_VALUE"""),"MOTORCYCLE")</f>
        <v>MOTORCYCLE</v>
      </c>
      <c r="G1286" s="7" t="str">
        <f>IFERROR(__xludf.DUMMYFUNCTION("""COMPUTED_VALUE"""),"SAO PAULO")</f>
        <v>SAO PAULO</v>
      </c>
    </row>
    <row r="1287">
      <c r="A1287" s="6">
        <f>IFERROR(__xludf.DUMMYFUNCTION("""COMPUTED_VALUE"""),45705.0)</f>
        <v>45705</v>
      </c>
      <c r="B1287" s="7" t="str">
        <f>IFERROR(__xludf.DUMMYFUNCTION("""COMPUTED_VALUE"""),"a2329f00-876a-4b97-8a16-5e118ba8384b")</f>
        <v>a2329f00-876a-4b97-8a16-5e118ba8384b</v>
      </c>
      <c r="C1287" s="7">
        <f>IFERROR(__xludf.DUMMYFUNCTION("""COMPUTED_VALUE"""),0.0)</f>
        <v>0</v>
      </c>
      <c r="D1287" s="6">
        <f>IFERROR(__xludf.DUMMYFUNCTION("""COMPUTED_VALUE"""),45705.0)</f>
        <v>45705</v>
      </c>
      <c r="E1287" s="7" t="str">
        <f>IFERROR(__xludf.DUMMYFUNCTION("""COMPUTED_VALUE"""),"FRANQUIA_D&amp;G_SP")</f>
        <v>FRANQUIA_D&amp;G_SP</v>
      </c>
      <c r="F1287" s="7" t="str">
        <f>IFERROR(__xludf.DUMMYFUNCTION("""COMPUTED_VALUE"""),"BICYCLE")</f>
        <v>BICYCLE</v>
      </c>
      <c r="G1287" s="7" t="str">
        <f>IFERROR(__xludf.DUMMYFUNCTION("""COMPUTED_VALUE"""),"SAO PAULO")</f>
        <v>SAO PAULO</v>
      </c>
    </row>
    <row r="1288">
      <c r="A1288" s="6">
        <f>IFERROR(__xludf.DUMMYFUNCTION("""COMPUTED_VALUE"""),45705.0)</f>
        <v>45705</v>
      </c>
      <c r="B1288" s="7" t="str">
        <f>IFERROR(__xludf.DUMMYFUNCTION("""COMPUTED_VALUE"""),"aa71fbd8-9a90-4abc-8448-23a82932a6fe")</f>
        <v>aa71fbd8-9a90-4abc-8448-23a82932a6fe</v>
      </c>
      <c r="C1288" s="7">
        <f>IFERROR(__xludf.DUMMYFUNCTION("""COMPUTED_VALUE"""),4.0)</f>
        <v>4</v>
      </c>
      <c r="D1288" s="6">
        <f>IFERROR(__xludf.DUMMYFUNCTION("""COMPUTED_VALUE"""),45701.0)</f>
        <v>45701</v>
      </c>
      <c r="E1288" s="7" t="str">
        <f>IFERROR(__xludf.DUMMYFUNCTION("""COMPUTED_VALUE"""),"FRANQUIA_D&amp;G_SP")</f>
        <v>FRANQUIA_D&amp;G_SP</v>
      </c>
      <c r="F1288" s="7" t="str">
        <f>IFERROR(__xludf.DUMMYFUNCTION("""COMPUTED_VALUE"""),"MOTORCYCLE")</f>
        <v>MOTORCYCLE</v>
      </c>
      <c r="G1288" s="7" t="str">
        <f>IFERROR(__xludf.DUMMYFUNCTION("""COMPUTED_VALUE"""),"SAO PAULO")</f>
        <v>SAO PAULO</v>
      </c>
    </row>
    <row r="1289">
      <c r="A1289" s="6">
        <f>IFERROR(__xludf.DUMMYFUNCTION("""COMPUTED_VALUE"""),45705.0)</f>
        <v>45705</v>
      </c>
      <c r="B1289" s="7" t="str">
        <f>IFERROR(__xludf.DUMMYFUNCTION("""COMPUTED_VALUE"""),"a64e1697-1980-46e2-b1b5-79176c4e4cae")</f>
        <v>a64e1697-1980-46e2-b1b5-79176c4e4cae</v>
      </c>
      <c r="C1289" s="7">
        <f>IFERROR(__xludf.DUMMYFUNCTION("""COMPUTED_VALUE"""),0.0)</f>
        <v>0</v>
      </c>
      <c r="D1289" s="6">
        <f>IFERROR(__xludf.DUMMYFUNCTION("""COMPUTED_VALUE"""),45705.0)</f>
        <v>45705</v>
      </c>
      <c r="E1289" s="7" t="str">
        <f>IFERROR(__xludf.DUMMYFUNCTION("""COMPUTED_VALUE"""),"FRANQUIA_D&amp;G_SP")</f>
        <v>FRANQUIA_D&amp;G_SP</v>
      </c>
      <c r="F1289" s="7" t="str">
        <f>IFERROR(__xludf.DUMMYFUNCTION("""COMPUTED_VALUE"""),"BICYCLE")</f>
        <v>BICYCLE</v>
      </c>
      <c r="G1289" s="7" t="str">
        <f>IFERROR(__xludf.DUMMYFUNCTION("""COMPUTED_VALUE"""),"SAO PAULO")</f>
        <v>SAO PAULO</v>
      </c>
    </row>
    <row r="1290">
      <c r="A1290" s="6">
        <f>IFERROR(__xludf.DUMMYFUNCTION("""COMPUTED_VALUE"""),45705.0)</f>
        <v>45705</v>
      </c>
      <c r="B1290" s="7" t="str">
        <f>IFERROR(__xludf.DUMMYFUNCTION("""COMPUTED_VALUE"""),"b5b221b2-3b19-4b54-bc87-1f69eb104037")</f>
        <v>b5b221b2-3b19-4b54-bc87-1f69eb104037</v>
      </c>
      <c r="C1290" s="7">
        <f>IFERROR(__xludf.DUMMYFUNCTION("""COMPUTED_VALUE"""),30.0)</f>
        <v>30</v>
      </c>
      <c r="D1290" s="6">
        <f>IFERROR(__xludf.DUMMYFUNCTION("""COMPUTED_VALUE"""),45675.0)</f>
        <v>45675</v>
      </c>
      <c r="E1290" s="7" t="str">
        <f>IFERROR(__xludf.DUMMYFUNCTION("""COMPUTED_VALUE"""),"FRANQUIA_D&amp;G_SP")</f>
        <v>FRANQUIA_D&amp;G_SP</v>
      </c>
      <c r="F1290" s="7" t="str">
        <f>IFERROR(__xludf.DUMMYFUNCTION("""COMPUTED_VALUE"""),"BICYCLE")</f>
        <v>BICYCLE</v>
      </c>
      <c r="G1290" s="7" t="str">
        <f>IFERROR(__xludf.DUMMYFUNCTION("""COMPUTED_VALUE"""),"SAO PAULO")</f>
        <v>SAO PAULO</v>
      </c>
    </row>
    <row r="1291">
      <c r="A1291" s="6">
        <f>IFERROR(__xludf.DUMMYFUNCTION("""COMPUTED_VALUE"""),45705.0)</f>
        <v>45705</v>
      </c>
      <c r="B1291" s="7" t="str">
        <f>IFERROR(__xludf.DUMMYFUNCTION("""COMPUTED_VALUE"""),"55a6f8aa-d6e8-49a3-9f11-379ce33e5883")</f>
        <v>55a6f8aa-d6e8-49a3-9f11-379ce33e5883</v>
      </c>
      <c r="C1291" s="7">
        <f>IFERROR(__xludf.DUMMYFUNCTION("""COMPUTED_VALUE"""),0.0)</f>
        <v>0</v>
      </c>
      <c r="D1291" s="6">
        <f>IFERROR(__xludf.DUMMYFUNCTION("""COMPUTED_VALUE"""),45705.0)</f>
        <v>45705</v>
      </c>
      <c r="E1291" s="7" t="str">
        <f>IFERROR(__xludf.DUMMYFUNCTION("""COMPUTED_VALUE"""),"FRANQUIA_D&amp;G_SP")</f>
        <v>FRANQUIA_D&amp;G_SP</v>
      </c>
      <c r="F1291" s="7" t="str">
        <f>IFERROR(__xludf.DUMMYFUNCTION("""COMPUTED_VALUE"""),"MOTORCYCLE")</f>
        <v>MOTORCYCLE</v>
      </c>
      <c r="G1291" s="7" t="str">
        <f>IFERROR(__xludf.DUMMYFUNCTION("""COMPUTED_VALUE"""),"SAO PAULO")</f>
        <v>SAO PAULO</v>
      </c>
    </row>
    <row r="1292">
      <c r="A1292" s="6">
        <f>IFERROR(__xludf.DUMMYFUNCTION("""COMPUTED_VALUE"""),45705.0)</f>
        <v>45705</v>
      </c>
      <c r="B1292" s="7" t="str">
        <f>IFERROR(__xludf.DUMMYFUNCTION("""COMPUTED_VALUE"""),"bbc48627-4c89-4e1a-ade4-dcb9a1768e30")</f>
        <v>bbc48627-4c89-4e1a-ade4-dcb9a1768e30</v>
      </c>
      <c r="C1292" s="7">
        <f>IFERROR(__xludf.DUMMYFUNCTION("""COMPUTED_VALUE"""),0.0)</f>
        <v>0</v>
      </c>
      <c r="D1292" s="6">
        <f>IFERROR(__xludf.DUMMYFUNCTION("""COMPUTED_VALUE"""),45705.0)</f>
        <v>45705</v>
      </c>
      <c r="E1292" s="7" t="str">
        <f>IFERROR(__xludf.DUMMYFUNCTION("""COMPUTED_VALUE"""),"FRANQUIA_D&amp;G_SP")</f>
        <v>FRANQUIA_D&amp;G_SP</v>
      </c>
      <c r="F1292" s="7" t="str">
        <f>IFERROR(__xludf.DUMMYFUNCTION("""COMPUTED_VALUE"""),"MOTORCYCLE")</f>
        <v>MOTORCYCLE</v>
      </c>
      <c r="G1292" s="7" t="str">
        <f>IFERROR(__xludf.DUMMYFUNCTION("""COMPUTED_VALUE"""),"SAO PAULO")</f>
        <v>SAO PAULO</v>
      </c>
    </row>
    <row r="1293">
      <c r="A1293" s="6">
        <f>IFERROR(__xludf.DUMMYFUNCTION("""COMPUTED_VALUE"""),45705.0)</f>
        <v>45705</v>
      </c>
      <c r="B1293" s="7" t="str">
        <f>IFERROR(__xludf.DUMMYFUNCTION("""COMPUTED_VALUE"""),"2bcef459-459e-4798-9eb1-043b9eb372bf")</f>
        <v>2bcef459-459e-4798-9eb1-043b9eb372bf</v>
      </c>
      <c r="C1293" s="7">
        <f>IFERROR(__xludf.DUMMYFUNCTION("""COMPUTED_VALUE"""),0.0)</f>
        <v>0</v>
      </c>
      <c r="D1293" s="6">
        <f>IFERROR(__xludf.DUMMYFUNCTION("""COMPUTED_VALUE"""),45705.0)</f>
        <v>45705</v>
      </c>
      <c r="E1293" s="7" t="str">
        <f>IFERROR(__xludf.DUMMYFUNCTION("""COMPUTED_VALUE"""),"FRANQUIA_D&amp;G_SP")</f>
        <v>FRANQUIA_D&amp;G_SP</v>
      </c>
      <c r="F1293" s="7" t="str">
        <f>IFERROR(__xludf.DUMMYFUNCTION("""COMPUTED_VALUE"""),"MOTORCYCLE")</f>
        <v>MOTORCYCLE</v>
      </c>
      <c r="G1293" s="7" t="str">
        <f>IFERROR(__xludf.DUMMYFUNCTION("""COMPUTED_VALUE"""),"SAO PAULO")</f>
        <v>SAO PAULO</v>
      </c>
    </row>
    <row r="1294">
      <c r="A1294" s="6">
        <f>IFERROR(__xludf.DUMMYFUNCTION("""COMPUTED_VALUE"""),45705.0)</f>
        <v>45705</v>
      </c>
      <c r="B1294" s="7" t="str">
        <f>IFERROR(__xludf.DUMMYFUNCTION("""COMPUTED_VALUE"""),"c9ce8f56-c781-472a-a881-1508c48bec65")</f>
        <v>c9ce8f56-c781-472a-a881-1508c48bec65</v>
      </c>
      <c r="C1294" s="7">
        <f>IFERROR(__xludf.DUMMYFUNCTION("""COMPUTED_VALUE"""),0.0)</f>
        <v>0</v>
      </c>
      <c r="D1294" s="6">
        <f>IFERROR(__xludf.DUMMYFUNCTION("""COMPUTED_VALUE"""),45705.0)</f>
        <v>45705</v>
      </c>
      <c r="E1294" s="7" t="str">
        <f>IFERROR(__xludf.DUMMYFUNCTION("""COMPUTED_VALUE"""),"FRANQUIA_D&amp;G_SP")</f>
        <v>FRANQUIA_D&amp;G_SP</v>
      </c>
      <c r="F1294" s="7" t="str">
        <f>IFERROR(__xludf.DUMMYFUNCTION("""COMPUTED_VALUE"""),"BICYCLE")</f>
        <v>BICYCLE</v>
      </c>
      <c r="G1294" s="7" t="str">
        <f>IFERROR(__xludf.DUMMYFUNCTION("""COMPUTED_VALUE"""),"SAO PAULO")</f>
        <v>SAO PAULO</v>
      </c>
    </row>
    <row r="1295">
      <c r="A1295" s="6">
        <f>IFERROR(__xludf.DUMMYFUNCTION("""COMPUTED_VALUE"""),45705.0)</f>
        <v>45705</v>
      </c>
      <c r="B1295" s="7" t="str">
        <f>IFERROR(__xludf.DUMMYFUNCTION("""COMPUTED_VALUE"""),"4d839064-29c9-4896-a878-fb0ddefeeeeb")</f>
        <v>4d839064-29c9-4896-a878-fb0ddefeeeeb</v>
      </c>
      <c r="C1295" s="7">
        <f>IFERROR(__xludf.DUMMYFUNCTION("""COMPUTED_VALUE"""),0.0)</f>
        <v>0</v>
      </c>
      <c r="D1295" s="6">
        <f>IFERROR(__xludf.DUMMYFUNCTION("""COMPUTED_VALUE"""),45705.0)</f>
        <v>45705</v>
      </c>
      <c r="E1295" s="7" t="str">
        <f>IFERROR(__xludf.DUMMYFUNCTION("""COMPUTED_VALUE"""),"FRANQUIA_D&amp;G_SP")</f>
        <v>FRANQUIA_D&amp;G_SP</v>
      </c>
      <c r="F1295" s="7" t="str">
        <f>IFERROR(__xludf.DUMMYFUNCTION("""COMPUTED_VALUE"""),"MOTORCYCLE")</f>
        <v>MOTORCYCLE</v>
      </c>
      <c r="G1295" s="7" t="str">
        <f>IFERROR(__xludf.DUMMYFUNCTION("""COMPUTED_VALUE"""),"SAO PAULO")</f>
        <v>SAO PAULO</v>
      </c>
    </row>
    <row r="1296">
      <c r="A1296" s="6">
        <f>IFERROR(__xludf.DUMMYFUNCTION("""COMPUTED_VALUE"""),45705.0)</f>
        <v>45705</v>
      </c>
      <c r="B1296" s="7" t="str">
        <f>IFERROR(__xludf.DUMMYFUNCTION("""COMPUTED_VALUE"""),"7760a34e-a777-4bee-bf75-9d651fc0fcc1")</f>
        <v>7760a34e-a777-4bee-bf75-9d651fc0fcc1</v>
      </c>
      <c r="C1296" s="7">
        <f>IFERROR(__xludf.DUMMYFUNCTION("""COMPUTED_VALUE"""),0.0)</f>
        <v>0</v>
      </c>
      <c r="D1296" s="6">
        <f>IFERROR(__xludf.DUMMYFUNCTION("""COMPUTED_VALUE"""),45705.0)</f>
        <v>45705</v>
      </c>
      <c r="E1296" s="7" t="str">
        <f>IFERROR(__xludf.DUMMYFUNCTION("""COMPUTED_VALUE"""),"FRANQUIA_D&amp;G_SP")</f>
        <v>FRANQUIA_D&amp;G_SP</v>
      </c>
      <c r="F1296" s="7" t="str">
        <f>IFERROR(__xludf.DUMMYFUNCTION("""COMPUTED_VALUE"""),"MOTORCYCLE")</f>
        <v>MOTORCYCLE</v>
      </c>
      <c r="G1296" s="7" t="str">
        <f>IFERROR(__xludf.DUMMYFUNCTION("""COMPUTED_VALUE"""),"SAO PAULO")</f>
        <v>SAO PAULO</v>
      </c>
    </row>
    <row r="1297">
      <c r="A1297" s="6">
        <f>IFERROR(__xludf.DUMMYFUNCTION("""COMPUTED_VALUE"""),45705.0)</f>
        <v>45705</v>
      </c>
      <c r="B1297" s="7" t="str">
        <f>IFERROR(__xludf.DUMMYFUNCTION("""COMPUTED_VALUE"""),"6f26ecb4-26f0-4fb6-a0ca-0dcd9cd6a777")</f>
        <v>6f26ecb4-26f0-4fb6-a0ca-0dcd9cd6a777</v>
      </c>
      <c r="C1297" s="7">
        <f>IFERROR(__xludf.DUMMYFUNCTION("""COMPUTED_VALUE"""),7.0)</f>
        <v>7</v>
      </c>
      <c r="D1297" s="6">
        <f>IFERROR(__xludf.DUMMYFUNCTION("""COMPUTED_VALUE"""),45698.0)</f>
        <v>45698</v>
      </c>
      <c r="E1297" s="7" t="str">
        <f>IFERROR(__xludf.DUMMYFUNCTION("""COMPUTED_VALUE"""),"FRANQUIA_D&amp;G_SP")</f>
        <v>FRANQUIA_D&amp;G_SP</v>
      </c>
      <c r="F1297" s="7" t="str">
        <f>IFERROR(__xludf.DUMMYFUNCTION("""COMPUTED_VALUE"""),"MOTORCYCLE")</f>
        <v>MOTORCYCLE</v>
      </c>
      <c r="G1297" s="7" t="str">
        <f>IFERROR(__xludf.DUMMYFUNCTION("""COMPUTED_VALUE"""),"SAO PAULO")</f>
        <v>SAO PAULO</v>
      </c>
    </row>
    <row r="1298">
      <c r="A1298" s="6">
        <f>IFERROR(__xludf.DUMMYFUNCTION("""COMPUTED_VALUE"""),45705.0)</f>
        <v>45705</v>
      </c>
      <c r="B1298" s="7" t="str">
        <f>IFERROR(__xludf.DUMMYFUNCTION("""COMPUTED_VALUE"""),"97ad7ab8-1c33-4a43-aec7-dde3e957b214")</f>
        <v>97ad7ab8-1c33-4a43-aec7-dde3e957b214</v>
      </c>
      <c r="C1298" s="7">
        <f>IFERROR(__xludf.DUMMYFUNCTION("""COMPUTED_VALUE"""),7.0)</f>
        <v>7</v>
      </c>
      <c r="D1298" s="6">
        <f>IFERROR(__xludf.DUMMYFUNCTION("""COMPUTED_VALUE"""),45698.0)</f>
        <v>45698</v>
      </c>
      <c r="E1298" s="7" t="str">
        <f>IFERROR(__xludf.DUMMYFUNCTION("""COMPUTED_VALUE"""),"FRANQUIA_D&amp;G_SP")</f>
        <v>FRANQUIA_D&amp;G_SP</v>
      </c>
      <c r="F1298" s="7" t="str">
        <f>IFERROR(__xludf.DUMMYFUNCTION("""COMPUTED_VALUE"""),"BICYCLE")</f>
        <v>BICYCLE</v>
      </c>
      <c r="G1298" s="7" t="str">
        <f>IFERROR(__xludf.DUMMYFUNCTION("""COMPUTED_VALUE"""),"SAO PAULO")</f>
        <v>SAO PAULO</v>
      </c>
    </row>
    <row r="1299">
      <c r="A1299" s="6">
        <f>IFERROR(__xludf.DUMMYFUNCTION("""COMPUTED_VALUE"""),45705.0)</f>
        <v>45705</v>
      </c>
      <c r="B1299" s="7" t="str">
        <f>IFERROR(__xludf.DUMMYFUNCTION("""COMPUTED_VALUE"""),"ccd46eba-b7cb-4443-a915-0f5954e9bcfa")</f>
        <v>ccd46eba-b7cb-4443-a915-0f5954e9bcfa</v>
      </c>
      <c r="C1299" s="7">
        <f>IFERROR(__xludf.DUMMYFUNCTION("""COMPUTED_VALUE"""),36.0)</f>
        <v>36</v>
      </c>
      <c r="D1299" s="6">
        <f>IFERROR(__xludf.DUMMYFUNCTION("""COMPUTED_VALUE"""),45669.0)</f>
        <v>45669</v>
      </c>
      <c r="E1299" s="7" t="str">
        <f>IFERROR(__xludf.DUMMYFUNCTION("""COMPUTED_VALUE"""),"FRANQUIA_D&amp;G_SP")</f>
        <v>FRANQUIA_D&amp;G_SP</v>
      </c>
      <c r="F1299" s="7" t="str">
        <f>IFERROR(__xludf.DUMMYFUNCTION("""COMPUTED_VALUE"""),"EMOTORCYCLE")</f>
        <v>EMOTORCYCLE</v>
      </c>
      <c r="G1299" s="7" t="str">
        <f>IFERROR(__xludf.DUMMYFUNCTION("""COMPUTED_VALUE"""),"SAO PAULO")</f>
        <v>SAO PAULO</v>
      </c>
    </row>
    <row r="1300">
      <c r="A1300" s="6">
        <f>IFERROR(__xludf.DUMMYFUNCTION("""COMPUTED_VALUE"""),45705.0)</f>
        <v>45705</v>
      </c>
      <c r="B1300" s="7" t="str">
        <f>IFERROR(__xludf.DUMMYFUNCTION("""COMPUTED_VALUE"""),"710d473b-da0a-49de-b42c-02b30aa40f53")</f>
        <v>710d473b-da0a-49de-b42c-02b30aa40f53</v>
      </c>
      <c r="C1300" s="7">
        <f>IFERROR(__xludf.DUMMYFUNCTION("""COMPUTED_VALUE"""),0.0)</f>
        <v>0</v>
      </c>
      <c r="D1300" s="6">
        <f>IFERROR(__xludf.DUMMYFUNCTION("""COMPUTED_VALUE"""),45705.0)</f>
        <v>45705</v>
      </c>
      <c r="E1300" s="7" t="str">
        <f>IFERROR(__xludf.DUMMYFUNCTION("""COMPUTED_VALUE"""),"FRANQUIA_D&amp;G_SP")</f>
        <v>FRANQUIA_D&amp;G_SP</v>
      </c>
      <c r="F1300" s="7" t="str">
        <f>IFERROR(__xludf.DUMMYFUNCTION("""COMPUTED_VALUE"""),"MOTORCYCLE")</f>
        <v>MOTORCYCLE</v>
      </c>
      <c r="G1300" s="7" t="str">
        <f>IFERROR(__xludf.DUMMYFUNCTION("""COMPUTED_VALUE"""),"SAO PAULO")</f>
        <v>SAO PAULO</v>
      </c>
    </row>
    <row r="1301">
      <c r="A1301" s="6">
        <f>IFERROR(__xludf.DUMMYFUNCTION("""COMPUTED_VALUE"""),45705.0)</f>
        <v>45705</v>
      </c>
      <c r="B1301" s="7" t="str">
        <f>IFERROR(__xludf.DUMMYFUNCTION("""COMPUTED_VALUE"""),"edbb6d3a-047c-47ad-bd6c-7d8d90da613f")</f>
        <v>edbb6d3a-047c-47ad-bd6c-7d8d90da613f</v>
      </c>
      <c r="C1301" s="7">
        <f>IFERROR(__xludf.DUMMYFUNCTION("""COMPUTED_VALUE"""),104.0)</f>
        <v>104</v>
      </c>
      <c r="D1301" s="6">
        <f>IFERROR(__xludf.DUMMYFUNCTION("""COMPUTED_VALUE"""),45601.0)</f>
        <v>45601</v>
      </c>
      <c r="E1301" s="7" t="str">
        <f>IFERROR(__xludf.DUMMYFUNCTION("""COMPUTED_VALUE"""),"FRANQUIA_D&amp;G_SP")</f>
        <v>FRANQUIA_D&amp;G_SP</v>
      </c>
      <c r="F1301" s="7" t="str">
        <f>IFERROR(__xludf.DUMMYFUNCTION("""COMPUTED_VALUE"""),"BICYCLE")</f>
        <v>BICYCLE</v>
      </c>
      <c r="G1301" s="7" t="str">
        <f>IFERROR(__xludf.DUMMYFUNCTION("""COMPUTED_VALUE"""),"SAO PAULO")</f>
        <v>SAO PAULO</v>
      </c>
    </row>
    <row r="1302">
      <c r="A1302" s="6">
        <f>IFERROR(__xludf.DUMMYFUNCTION("""COMPUTED_VALUE"""),45705.0)</f>
        <v>45705</v>
      </c>
      <c r="B1302" s="7" t="str">
        <f>IFERROR(__xludf.DUMMYFUNCTION("""COMPUTED_VALUE"""),"d5022e30-ee08-4d8e-9bef-cf803187f9d5")</f>
        <v>d5022e30-ee08-4d8e-9bef-cf803187f9d5</v>
      </c>
      <c r="C1302" s="7">
        <f>IFERROR(__xludf.DUMMYFUNCTION("""COMPUTED_VALUE"""),243.0)</f>
        <v>243</v>
      </c>
      <c r="D1302" s="6">
        <f>IFERROR(__xludf.DUMMYFUNCTION("""COMPUTED_VALUE"""),45462.0)</f>
        <v>45462</v>
      </c>
      <c r="E1302" s="7" t="str">
        <f>IFERROR(__xludf.DUMMYFUNCTION("""COMPUTED_VALUE"""),"FRANQUIA_D&amp;G_SP")</f>
        <v>FRANQUIA_D&amp;G_SP</v>
      </c>
      <c r="F1302" s="7" t="str">
        <f>IFERROR(__xludf.DUMMYFUNCTION("""COMPUTED_VALUE"""),"BICYCLE")</f>
        <v>BICYCLE</v>
      </c>
      <c r="G1302" s="7" t="str">
        <f>IFERROR(__xludf.DUMMYFUNCTION("""COMPUTED_VALUE"""),"SAO PAULO")</f>
        <v>SAO PAULO</v>
      </c>
    </row>
    <row r="1303">
      <c r="A1303" s="6">
        <f>IFERROR(__xludf.DUMMYFUNCTION("""COMPUTED_VALUE"""),45705.0)</f>
        <v>45705</v>
      </c>
      <c r="B1303" s="7" t="str">
        <f>IFERROR(__xludf.DUMMYFUNCTION("""COMPUTED_VALUE"""),"10689ef6-851b-4ac9-8639-14de71130394")</f>
        <v>10689ef6-851b-4ac9-8639-14de71130394</v>
      </c>
      <c r="C1303" s="7">
        <f>IFERROR(__xludf.DUMMYFUNCTION("""COMPUTED_VALUE"""),0.0)</f>
        <v>0</v>
      </c>
      <c r="D1303" s="6">
        <f>IFERROR(__xludf.DUMMYFUNCTION("""COMPUTED_VALUE"""),45705.0)</f>
        <v>45705</v>
      </c>
      <c r="E1303" s="7" t="str">
        <f>IFERROR(__xludf.DUMMYFUNCTION("""COMPUTED_VALUE"""),"FRANQUIA_D&amp;G_SP")</f>
        <v>FRANQUIA_D&amp;G_SP</v>
      </c>
      <c r="F1303" s="7" t="str">
        <f>IFERROR(__xludf.DUMMYFUNCTION("""COMPUTED_VALUE"""),"EMOTORCYCLE")</f>
        <v>EMOTORCYCLE</v>
      </c>
      <c r="G1303" s="7" t="str">
        <f>IFERROR(__xludf.DUMMYFUNCTION("""COMPUTED_VALUE"""),"SAO PAULO")</f>
        <v>SAO PAULO</v>
      </c>
    </row>
    <row r="1304">
      <c r="A1304" s="6">
        <f>IFERROR(__xludf.DUMMYFUNCTION("""COMPUTED_VALUE"""),45705.0)</f>
        <v>45705</v>
      </c>
      <c r="B1304" s="7" t="str">
        <f>IFERROR(__xludf.DUMMYFUNCTION("""COMPUTED_VALUE"""),"0477cd1d-7f5c-48c5-be9b-ca964f70c0a9")</f>
        <v>0477cd1d-7f5c-48c5-be9b-ca964f70c0a9</v>
      </c>
      <c r="C1304" s="7">
        <f>IFERROR(__xludf.DUMMYFUNCTION("""COMPUTED_VALUE"""),26.0)</f>
        <v>26</v>
      </c>
      <c r="D1304" s="6">
        <f>IFERROR(__xludf.DUMMYFUNCTION("""COMPUTED_VALUE"""),45679.0)</f>
        <v>45679</v>
      </c>
      <c r="E1304" s="7" t="str">
        <f>IFERROR(__xludf.DUMMYFUNCTION("""COMPUTED_VALUE"""),"FRANQUIA_D&amp;G_SP")</f>
        <v>FRANQUIA_D&amp;G_SP</v>
      </c>
      <c r="F1304" s="7" t="str">
        <f>IFERROR(__xludf.DUMMYFUNCTION("""COMPUTED_VALUE"""),"EMOTORCYCLE")</f>
        <v>EMOTORCYCLE</v>
      </c>
      <c r="G1304" s="7" t="str">
        <f>IFERROR(__xludf.DUMMYFUNCTION("""COMPUTED_VALUE"""),"SAO PAULO")</f>
        <v>SAO PAULO</v>
      </c>
    </row>
    <row r="1305">
      <c r="A1305" s="6">
        <f>IFERROR(__xludf.DUMMYFUNCTION("""COMPUTED_VALUE"""),45705.0)</f>
        <v>45705</v>
      </c>
      <c r="B1305" s="7" t="str">
        <f>IFERROR(__xludf.DUMMYFUNCTION("""COMPUTED_VALUE"""),"54cd953c-22fc-4175-bcf0-1b08dff8925e")</f>
        <v>54cd953c-22fc-4175-bcf0-1b08dff8925e</v>
      </c>
      <c r="C1305" s="7">
        <f>IFERROR(__xludf.DUMMYFUNCTION("""COMPUTED_VALUE"""),68.0)</f>
        <v>68</v>
      </c>
      <c r="D1305" s="6">
        <f>IFERROR(__xludf.DUMMYFUNCTION("""COMPUTED_VALUE"""),45637.0)</f>
        <v>45637</v>
      </c>
      <c r="E1305" s="7" t="str">
        <f>IFERROR(__xludf.DUMMYFUNCTION("""COMPUTED_VALUE"""),"FRANQUIA_D&amp;G_SP")</f>
        <v>FRANQUIA_D&amp;G_SP</v>
      </c>
      <c r="F1305" s="7" t="str">
        <f>IFERROR(__xludf.DUMMYFUNCTION("""COMPUTED_VALUE"""),"MOTORCYCLE")</f>
        <v>MOTORCYCLE</v>
      </c>
      <c r="G1305" s="7" t="str">
        <f>IFERROR(__xludf.DUMMYFUNCTION("""COMPUTED_VALUE"""),"SAO PAULO")</f>
        <v>SAO PAULO</v>
      </c>
    </row>
    <row r="1306">
      <c r="A1306" s="6">
        <f>IFERROR(__xludf.DUMMYFUNCTION("""COMPUTED_VALUE"""),45705.0)</f>
        <v>45705</v>
      </c>
      <c r="B1306" s="7" t="str">
        <f>IFERROR(__xludf.DUMMYFUNCTION("""COMPUTED_VALUE"""),"f866464f-e60e-4b2c-8d5a-8890dfb3ba4c")</f>
        <v>f866464f-e60e-4b2c-8d5a-8890dfb3ba4c</v>
      </c>
      <c r="C1306" s="7">
        <f>IFERROR(__xludf.DUMMYFUNCTION("""COMPUTED_VALUE"""),65.0)</f>
        <v>65</v>
      </c>
      <c r="D1306" s="6">
        <f>IFERROR(__xludf.DUMMYFUNCTION("""COMPUTED_VALUE"""),45640.0)</f>
        <v>45640</v>
      </c>
      <c r="E1306" s="7" t="str">
        <f>IFERROR(__xludf.DUMMYFUNCTION("""COMPUTED_VALUE"""),"FRANQUIA_D&amp;G_SP")</f>
        <v>FRANQUIA_D&amp;G_SP</v>
      </c>
      <c r="F1306" s="7" t="str">
        <f>IFERROR(__xludf.DUMMYFUNCTION("""COMPUTED_VALUE"""),"BICYCLE")</f>
        <v>BICYCLE</v>
      </c>
      <c r="G1306" s="7" t="str">
        <f>IFERROR(__xludf.DUMMYFUNCTION("""COMPUTED_VALUE"""),"SAO PAULO")</f>
        <v>SAO PAULO</v>
      </c>
    </row>
    <row r="1307">
      <c r="A1307" s="6">
        <f>IFERROR(__xludf.DUMMYFUNCTION("""COMPUTED_VALUE"""),45705.0)</f>
        <v>45705</v>
      </c>
      <c r="B1307" s="7" t="str">
        <f>IFERROR(__xludf.DUMMYFUNCTION("""COMPUTED_VALUE"""),"40cc5cd2-2e92-4c81-a43c-c4f05f6567c4")</f>
        <v>40cc5cd2-2e92-4c81-a43c-c4f05f6567c4</v>
      </c>
      <c r="C1307" s="7">
        <f>IFERROR(__xludf.DUMMYFUNCTION("""COMPUTED_VALUE"""),0.0)</f>
        <v>0</v>
      </c>
      <c r="D1307" s="6">
        <f>IFERROR(__xludf.DUMMYFUNCTION("""COMPUTED_VALUE"""),45705.0)</f>
        <v>45705</v>
      </c>
      <c r="E1307" s="7" t="str">
        <f>IFERROR(__xludf.DUMMYFUNCTION("""COMPUTED_VALUE"""),"FRANQUIA_D&amp;G_SP")</f>
        <v>FRANQUIA_D&amp;G_SP</v>
      </c>
      <c r="F1307" s="7" t="str">
        <f>IFERROR(__xludf.DUMMYFUNCTION("""COMPUTED_VALUE"""),"BICYCLE")</f>
        <v>BICYCLE</v>
      </c>
      <c r="G1307" s="7" t="str">
        <f>IFERROR(__xludf.DUMMYFUNCTION("""COMPUTED_VALUE"""),"SAO PAULO")</f>
        <v>SAO PAULO</v>
      </c>
    </row>
    <row r="1308">
      <c r="A1308" s="6">
        <f>IFERROR(__xludf.DUMMYFUNCTION("""COMPUTED_VALUE"""),45705.0)</f>
        <v>45705</v>
      </c>
      <c r="B1308" s="7" t="str">
        <f>IFERROR(__xludf.DUMMYFUNCTION("""COMPUTED_VALUE"""),"d0530af8-abfa-46f8-8d63-cc77dbfde578")</f>
        <v>d0530af8-abfa-46f8-8d63-cc77dbfde578</v>
      </c>
      <c r="C1308" s="7">
        <f>IFERROR(__xludf.DUMMYFUNCTION("""COMPUTED_VALUE"""),5.0)</f>
        <v>5</v>
      </c>
      <c r="D1308" s="6">
        <f>IFERROR(__xludf.DUMMYFUNCTION("""COMPUTED_VALUE"""),45700.0)</f>
        <v>45700</v>
      </c>
      <c r="E1308" s="7" t="str">
        <f>IFERROR(__xludf.DUMMYFUNCTION("""COMPUTED_VALUE"""),"FRANQUIA_D&amp;G_SP")</f>
        <v>FRANQUIA_D&amp;G_SP</v>
      </c>
      <c r="F1308" s="7" t="str">
        <f>IFERROR(__xludf.DUMMYFUNCTION("""COMPUTED_VALUE"""),"MOTORCYCLE")</f>
        <v>MOTORCYCLE</v>
      </c>
      <c r="G1308" s="7" t="str">
        <f>IFERROR(__xludf.DUMMYFUNCTION("""COMPUTED_VALUE"""),"SAO PAULO")</f>
        <v>SAO PAULO</v>
      </c>
    </row>
    <row r="1309">
      <c r="A1309" s="6">
        <f>IFERROR(__xludf.DUMMYFUNCTION("""COMPUTED_VALUE"""),45705.0)</f>
        <v>45705</v>
      </c>
      <c r="B1309" s="7" t="str">
        <f>IFERROR(__xludf.DUMMYFUNCTION("""COMPUTED_VALUE"""),"70e8b2f0-5e0d-4b30-ac57-9a05a3815bdb")</f>
        <v>70e8b2f0-5e0d-4b30-ac57-9a05a3815bdb</v>
      </c>
      <c r="C1309" s="7">
        <f>IFERROR(__xludf.DUMMYFUNCTION("""COMPUTED_VALUE"""),7.0)</f>
        <v>7</v>
      </c>
      <c r="D1309" s="6">
        <f>IFERROR(__xludf.DUMMYFUNCTION("""COMPUTED_VALUE"""),45698.0)</f>
        <v>45698</v>
      </c>
      <c r="E1309" s="7" t="str">
        <f>IFERROR(__xludf.DUMMYFUNCTION("""COMPUTED_VALUE"""),"FRANQUIA_D&amp;G_SP")</f>
        <v>FRANQUIA_D&amp;G_SP</v>
      </c>
      <c r="F1309" s="7" t="str">
        <f>IFERROR(__xludf.DUMMYFUNCTION("""COMPUTED_VALUE"""),"MOTORCYCLE")</f>
        <v>MOTORCYCLE</v>
      </c>
      <c r="G1309" s="7" t="str">
        <f>IFERROR(__xludf.DUMMYFUNCTION("""COMPUTED_VALUE"""),"SAO PAULO")</f>
        <v>SAO PAULO</v>
      </c>
    </row>
    <row r="1310">
      <c r="A1310" s="6">
        <f>IFERROR(__xludf.DUMMYFUNCTION("""COMPUTED_VALUE"""),45705.0)</f>
        <v>45705</v>
      </c>
      <c r="B1310" s="7" t="str">
        <f>IFERROR(__xludf.DUMMYFUNCTION("""COMPUTED_VALUE"""),"359a3ca8-789a-4664-bbfc-f7634b9b86ac")</f>
        <v>359a3ca8-789a-4664-bbfc-f7634b9b86ac</v>
      </c>
      <c r="C1310" s="7">
        <f>IFERROR(__xludf.DUMMYFUNCTION("""COMPUTED_VALUE"""),6.0)</f>
        <v>6</v>
      </c>
      <c r="D1310" s="6">
        <f>IFERROR(__xludf.DUMMYFUNCTION("""COMPUTED_VALUE"""),45699.0)</f>
        <v>45699</v>
      </c>
      <c r="E1310" s="7" t="str">
        <f>IFERROR(__xludf.DUMMYFUNCTION("""COMPUTED_VALUE"""),"FRANQUIA_D&amp;G_SP")</f>
        <v>FRANQUIA_D&amp;G_SP</v>
      </c>
      <c r="F1310" s="7" t="str">
        <f>IFERROR(__xludf.DUMMYFUNCTION("""COMPUTED_VALUE"""),"MOTORCYCLE")</f>
        <v>MOTORCYCLE</v>
      </c>
      <c r="G1310" s="7" t="str">
        <f>IFERROR(__xludf.DUMMYFUNCTION("""COMPUTED_VALUE"""),"SAO PAULO")</f>
        <v>SAO PAULO</v>
      </c>
    </row>
    <row r="1311">
      <c r="A1311" s="6">
        <f>IFERROR(__xludf.DUMMYFUNCTION("""COMPUTED_VALUE"""),45705.0)</f>
        <v>45705</v>
      </c>
      <c r="B1311" s="7" t="str">
        <f>IFERROR(__xludf.DUMMYFUNCTION("""COMPUTED_VALUE"""),"74bf73bb-834c-4c82-ab8f-aca798d56c30")</f>
        <v>74bf73bb-834c-4c82-ab8f-aca798d56c30</v>
      </c>
      <c r="C1311" s="7">
        <f>IFERROR(__xludf.DUMMYFUNCTION("""COMPUTED_VALUE"""),2.0)</f>
        <v>2</v>
      </c>
      <c r="D1311" s="6">
        <f>IFERROR(__xludf.DUMMYFUNCTION("""COMPUTED_VALUE"""),45703.0)</f>
        <v>45703</v>
      </c>
      <c r="E1311" s="7" t="str">
        <f>IFERROR(__xludf.DUMMYFUNCTION("""COMPUTED_VALUE"""),"FRANQUIA_D&amp;G_SP")</f>
        <v>FRANQUIA_D&amp;G_SP</v>
      </c>
      <c r="F1311" s="7" t="str">
        <f>IFERROR(__xludf.DUMMYFUNCTION("""COMPUTED_VALUE"""),"BICYCLE")</f>
        <v>BICYCLE</v>
      </c>
      <c r="G1311" s="7" t="str">
        <f>IFERROR(__xludf.DUMMYFUNCTION("""COMPUTED_VALUE"""),"SAO PAULO")</f>
        <v>SAO PAULO</v>
      </c>
    </row>
    <row r="1312">
      <c r="A1312" s="6">
        <f>IFERROR(__xludf.DUMMYFUNCTION("""COMPUTED_VALUE"""),45705.0)</f>
        <v>45705</v>
      </c>
      <c r="B1312" s="7" t="str">
        <f>IFERROR(__xludf.DUMMYFUNCTION("""COMPUTED_VALUE"""),"2ad1db1e-7fc9-4458-9465-3774a5e594bf")</f>
        <v>2ad1db1e-7fc9-4458-9465-3774a5e594bf</v>
      </c>
      <c r="C1312" s="7">
        <f>IFERROR(__xludf.DUMMYFUNCTION("""COMPUTED_VALUE"""),3.0)</f>
        <v>3</v>
      </c>
      <c r="D1312" s="6">
        <f>IFERROR(__xludf.DUMMYFUNCTION("""COMPUTED_VALUE"""),45702.0)</f>
        <v>45702</v>
      </c>
      <c r="E1312" s="7" t="str">
        <f>IFERROR(__xludf.DUMMYFUNCTION("""COMPUTED_VALUE"""),"FRANQUIA_D&amp;G_SP")</f>
        <v>FRANQUIA_D&amp;G_SP</v>
      </c>
      <c r="F1312" s="7" t="str">
        <f>IFERROR(__xludf.DUMMYFUNCTION("""COMPUTED_VALUE"""),"MOTORCYCLE")</f>
        <v>MOTORCYCLE</v>
      </c>
      <c r="G1312" s="7" t="str">
        <f>IFERROR(__xludf.DUMMYFUNCTION("""COMPUTED_VALUE"""),"SAO PAULO")</f>
        <v>SAO PAULO</v>
      </c>
    </row>
    <row r="1313">
      <c r="A1313" s="6">
        <f>IFERROR(__xludf.DUMMYFUNCTION("""COMPUTED_VALUE"""),45705.0)</f>
        <v>45705</v>
      </c>
      <c r="B1313" s="7" t="str">
        <f>IFERROR(__xludf.DUMMYFUNCTION("""COMPUTED_VALUE"""),"bab023c3-393a-4ee6-b30b-7724d680d34f")</f>
        <v>bab023c3-393a-4ee6-b30b-7724d680d34f</v>
      </c>
      <c r="C1313" s="7">
        <f>IFERROR(__xludf.DUMMYFUNCTION("""COMPUTED_VALUE"""),0.0)</f>
        <v>0</v>
      </c>
      <c r="D1313" s="6">
        <f>IFERROR(__xludf.DUMMYFUNCTION("""COMPUTED_VALUE"""),45705.0)</f>
        <v>45705</v>
      </c>
      <c r="E1313" s="7" t="str">
        <f>IFERROR(__xludf.DUMMYFUNCTION("""COMPUTED_VALUE"""),"FRANQUIA_D&amp;G_SP")</f>
        <v>FRANQUIA_D&amp;G_SP</v>
      </c>
      <c r="F1313" s="7" t="str">
        <f>IFERROR(__xludf.DUMMYFUNCTION("""COMPUTED_VALUE"""),"MOTORCYCLE")</f>
        <v>MOTORCYCLE</v>
      </c>
      <c r="G1313" s="7" t="str">
        <f>IFERROR(__xludf.DUMMYFUNCTION("""COMPUTED_VALUE"""),"SAO PAULO")</f>
        <v>SAO PAULO</v>
      </c>
    </row>
    <row r="1314">
      <c r="A1314" s="6">
        <f>IFERROR(__xludf.DUMMYFUNCTION("""COMPUTED_VALUE"""),45705.0)</f>
        <v>45705</v>
      </c>
      <c r="B1314" s="7" t="str">
        <f>IFERROR(__xludf.DUMMYFUNCTION("""COMPUTED_VALUE"""),"9018670c-bc05-4783-8bb2-f8df4f70f92a")</f>
        <v>9018670c-bc05-4783-8bb2-f8df4f70f92a</v>
      </c>
      <c r="C1314" s="7">
        <f>IFERROR(__xludf.DUMMYFUNCTION("""COMPUTED_VALUE"""),0.0)</f>
        <v>0</v>
      </c>
      <c r="D1314" s="6">
        <f>IFERROR(__xludf.DUMMYFUNCTION("""COMPUTED_VALUE"""),45705.0)</f>
        <v>45705</v>
      </c>
      <c r="E1314" s="7" t="str">
        <f>IFERROR(__xludf.DUMMYFUNCTION("""COMPUTED_VALUE"""),"FRANQUIA_D&amp;G_SP")</f>
        <v>FRANQUIA_D&amp;G_SP</v>
      </c>
      <c r="F1314" s="7" t="str">
        <f>IFERROR(__xludf.DUMMYFUNCTION("""COMPUTED_VALUE"""),"BICYCLE")</f>
        <v>BICYCLE</v>
      </c>
      <c r="G1314" s="7" t="str">
        <f>IFERROR(__xludf.DUMMYFUNCTION("""COMPUTED_VALUE"""),"SAO PAULO")</f>
        <v>SAO PAULO</v>
      </c>
    </row>
    <row r="1315">
      <c r="A1315" s="6">
        <f>IFERROR(__xludf.DUMMYFUNCTION("""COMPUTED_VALUE"""),45705.0)</f>
        <v>45705</v>
      </c>
      <c r="B1315" s="7" t="str">
        <f>IFERROR(__xludf.DUMMYFUNCTION("""COMPUTED_VALUE"""),"54aefea7-70af-4a14-aede-199635f1d893")</f>
        <v>54aefea7-70af-4a14-aede-199635f1d893</v>
      </c>
      <c r="C1315" s="7">
        <f>IFERROR(__xludf.DUMMYFUNCTION("""COMPUTED_VALUE"""),421.0)</f>
        <v>421</v>
      </c>
      <c r="D1315" s="6">
        <f>IFERROR(__xludf.DUMMYFUNCTION("""COMPUTED_VALUE"""),45284.0)</f>
        <v>45284</v>
      </c>
      <c r="E1315" s="7" t="str">
        <f>IFERROR(__xludf.DUMMYFUNCTION("""COMPUTED_VALUE"""),"FRANQUIA_D&amp;G_SP")</f>
        <v>FRANQUIA_D&amp;G_SP</v>
      </c>
      <c r="F1315" s="7" t="str">
        <f>IFERROR(__xludf.DUMMYFUNCTION("""COMPUTED_VALUE"""),"MOTORCYCLE")</f>
        <v>MOTORCYCLE</v>
      </c>
      <c r="G1315" s="7" t="str">
        <f>IFERROR(__xludf.DUMMYFUNCTION("""COMPUTED_VALUE"""),"SAO PAULO")</f>
        <v>SAO PAULO</v>
      </c>
    </row>
    <row r="1316">
      <c r="A1316" s="6">
        <f>IFERROR(__xludf.DUMMYFUNCTION("""COMPUTED_VALUE"""),45705.0)</f>
        <v>45705</v>
      </c>
      <c r="B1316" s="7" t="str">
        <f>IFERROR(__xludf.DUMMYFUNCTION("""COMPUTED_VALUE"""),"6f1c36b2-5d34-4f37-9acc-7672ce9b311c")</f>
        <v>6f1c36b2-5d34-4f37-9acc-7672ce9b311c</v>
      </c>
      <c r="C1316" s="7">
        <f>IFERROR(__xludf.DUMMYFUNCTION("""COMPUTED_VALUE"""),23.0)</f>
        <v>23</v>
      </c>
      <c r="D1316" s="6">
        <f>IFERROR(__xludf.DUMMYFUNCTION("""COMPUTED_VALUE"""),45682.0)</f>
        <v>45682</v>
      </c>
      <c r="E1316" s="7" t="str">
        <f>IFERROR(__xludf.DUMMYFUNCTION("""COMPUTED_VALUE"""),"FRANQUIA_D&amp;G_SP")</f>
        <v>FRANQUIA_D&amp;G_SP</v>
      </c>
      <c r="F1316" s="7" t="str">
        <f>IFERROR(__xludf.DUMMYFUNCTION("""COMPUTED_VALUE"""),"EMOTORCYCLE")</f>
        <v>EMOTORCYCLE</v>
      </c>
      <c r="G1316" s="7" t="str">
        <f>IFERROR(__xludf.DUMMYFUNCTION("""COMPUTED_VALUE"""),"SAO PAULO")</f>
        <v>SAO PAULO</v>
      </c>
    </row>
    <row r="1317">
      <c r="A1317" s="6">
        <f>IFERROR(__xludf.DUMMYFUNCTION("""COMPUTED_VALUE"""),45705.0)</f>
        <v>45705</v>
      </c>
      <c r="B1317" s="7" t="str">
        <f>IFERROR(__xludf.DUMMYFUNCTION("""COMPUTED_VALUE"""),"0470c2dd-1037-4c1a-b258-c763f51920b7")</f>
        <v>0470c2dd-1037-4c1a-b258-c763f51920b7</v>
      </c>
      <c r="C1317" s="7">
        <f>IFERROR(__xludf.DUMMYFUNCTION("""COMPUTED_VALUE"""),0.0)</f>
        <v>0</v>
      </c>
      <c r="D1317" s="6">
        <f>IFERROR(__xludf.DUMMYFUNCTION("""COMPUTED_VALUE"""),45705.0)</f>
        <v>45705</v>
      </c>
      <c r="E1317" s="7" t="str">
        <f>IFERROR(__xludf.DUMMYFUNCTION("""COMPUTED_VALUE"""),"FRANQUIA_D&amp;G_SP")</f>
        <v>FRANQUIA_D&amp;G_SP</v>
      </c>
      <c r="F1317" s="7" t="str">
        <f>IFERROR(__xludf.DUMMYFUNCTION("""COMPUTED_VALUE"""),"MOTORCYCLE")</f>
        <v>MOTORCYCLE</v>
      </c>
      <c r="G1317" s="7" t="str">
        <f>IFERROR(__xludf.DUMMYFUNCTION("""COMPUTED_VALUE"""),"SAO PAULO")</f>
        <v>SAO PAULO</v>
      </c>
    </row>
    <row r="1318">
      <c r="A1318" s="6">
        <f>IFERROR(__xludf.DUMMYFUNCTION("""COMPUTED_VALUE"""),45705.0)</f>
        <v>45705</v>
      </c>
      <c r="B1318" s="7" t="str">
        <f>IFERROR(__xludf.DUMMYFUNCTION("""COMPUTED_VALUE"""),"8ac2f40c-1ed7-4ce4-9b27-e00f98336e5d")</f>
        <v>8ac2f40c-1ed7-4ce4-9b27-e00f98336e5d</v>
      </c>
      <c r="C1318" s="7">
        <f>IFERROR(__xludf.DUMMYFUNCTION("""COMPUTED_VALUE"""),0.0)</f>
        <v>0</v>
      </c>
      <c r="D1318" s="6">
        <f>IFERROR(__xludf.DUMMYFUNCTION("""COMPUTED_VALUE"""),45705.0)</f>
        <v>45705</v>
      </c>
      <c r="E1318" s="7" t="str">
        <f>IFERROR(__xludf.DUMMYFUNCTION("""COMPUTED_VALUE"""),"FRANQUIA_D&amp;G_SP")</f>
        <v>FRANQUIA_D&amp;G_SP</v>
      </c>
      <c r="F1318" s="7" t="str">
        <f>IFERROR(__xludf.DUMMYFUNCTION("""COMPUTED_VALUE"""),"MOTORCYCLE")</f>
        <v>MOTORCYCLE</v>
      </c>
      <c r="G1318" s="7" t="str">
        <f>IFERROR(__xludf.DUMMYFUNCTION("""COMPUTED_VALUE"""),"SAO PAULO")</f>
        <v>SAO PAULO</v>
      </c>
    </row>
    <row r="1319">
      <c r="A1319" s="6">
        <f>IFERROR(__xludf.DUMMYFUNCTION("""COMPUTED_VALUE"""),45705.0)</f>
        <v>45705</v>
      </c>
      <c r="B1319" s="7" t="str">
        <f>IFERROR(__xludf.DUMMYFUNCTION("""COMPUTED_VALUE"""),"8821a351-8ab1-4d50-a669-2ca462b8412b")</f>
        <v>8821a351-8ab1-4d50-a669-2ca462b8412b</v>
      </c>
      <c r="C1319" s="7">
        <f>IFERROR(__xludf.DUMMYFUNCTION("""COMPUTED_VALUE"""),0.0)</f>
        <v>0</v>
      </c>
      <c r="D1319" s="6">
        <f>IFERROR(__xludf.DUMMYFUNCTION("""COMPUTED_VALUE"""),45705.0)</f>
        <v>45705</v>
      </c>
      <c r="E1319" s="7" t="str">
        <f>IFERROR(__xludf.DUMMYFUNCTION("""COMPUTED_VALUE"""),"FRANQUIA_D&amp;G_SP")</f>
        <v>FRANQUIA_D&amp;G_SP</v>
      </c>
      <c r="F1319" s="7" t="str">
        <f>IFERROR(__xludf.DUMMYFUNCTION("""COMPUTED_VALUE"""),"MOTORCYCLE")</f>
        <v>MOTORCYCLE</v>
      </c>
      <c r="G1319" s="7" t="str">
        <f>IFERROR(__xludf.DUMMYFUNCTION("""COMPUTED_VALUE"""),"SAO PAULO")</f>
        <v>SAO PAULO</v>
      </c>
    </row>
    <row r="1320">
      <c r="A1320" s="6">
        <f>IFERROR(__xludf.DUMMYFUNCTION("""COMPUTED_VALUE"""),45705.0)</f>
        <v>45705</v>
      </c>
      <c r="B1320" s="7" t="str">
        <f>IFERROR(__xludf.DUMMYFUNCTION("""COMPUTED_VALUE"""),"de212240-e522-4ed5-bb14-423618585231")</f>
        <v>de212240-e522-4ed5-bb14-423618585231</v>
      </c>
      <c r="C1320" s="7">
        <f>IFERROR(__xludf.DUMMYFUNCTION("""COMPUTED_VALUE"""),0.0)</f>
        <v>0</v>
      </c>
      <c r="D1320" s="6">
        <f>IFERROR(__xludf.DUMMYFUNCTION("""COMPUTED_VALUE"""),45705.0)</f>
        <v>45705</v>
      </c>
      <c r="E1320" s="7" t="str">
        <f>IFERROR(__xludf.DUMMYFUNCTION("""COMPUTED_VALUE"""),"FRANQUIA_D&amp;G_SP")</f>
        <v>FRANQUIA_D&amp;G_SP</v>
      </c>
      <c r="F1320" s="7" t="str">
        <f>IFERROR(__xludf.DUMMYFUNCTION("""COMPUTED_VALUE"""),"MOTORCYCLE")</f>
        <v>MOTORCYCLE</v>
      </c>
      <c r="G1320" s="7" t="str">
        <f>IFERROR(__xludf.DUMMYFUNCTION("""COMPUTED_VALUE"""),"SAO PAULO")</f>
        <v>SAO PAULO</v>
      </c>
    </row>
    <row r="1321">
      <c r="A1321" s="6">
        <f>IFERROR(__xludf.DUMMYFUNCTION("""COMPUTED_VALUE"""),45705.0)</f>
        <v>45705</v>
      </c>
      <c r="B1321" s="7" t="str">
        <f>IFERROR(__xludf.DUMMYFUNCTION("""COMPUTED_VALUE"""),"b4d56df6-2f52-4c38-b8e3-a94ed5c38924")</f>
        <v>b4d56df6-2f52-4c38-b8e3-a94ed5c38924</v>
      </c>
      <c r="C1321" s="7">
        <f>IFERROR(__xludf.DUMMYFUNCTION("""COMPUTED_VALUE"""),3.0)</f>
        <v>3</v>
      </c>
      <c r="D1321" s="6">
        <f>IFERROR(__xludf.DUMMYFUNCTION("""COMPUTED_VALUE"""),45702.0)</f>
        <v>45702</v>
      </c>
      <c r="E1321" s="7" t="str">
        <f>IFERROR(__xludf.DUMMYFUNCTION("""COMPUTED_VALUE"""),"FRANQUIA_D&amp;G_SP")</f>
        <v>FRANQUIA_D&amp;G_SP</v>
      </c>
      <c r="F1321" s="7" t="str">
        <f>IFERROR(__xludf.DUMMYFUNCTION("""COMPUTED_VALUE"""),"EBIKE")</f>
        <v>EBIKE</v>
      </c>
      <c r="G1321" s="7" t="str">
        <f>IFERROR(__xludf.DUMMYFUNCTION("""COMPUTED_VALUE"""),"SAO PAULO")</f>
        <v>SAO PAULO</v>
      </c>
    </row>
    <row r="1322">
      <c r="A1322" s="6">
        <f>IFERROR(__xludf.DUMMYFUNCTION("""COMPUTED_VALUE"""),45705.0)</f>
        <v>45705</v>
      </c>
      <c r="B1322" s="7" t="str">
        <f>IFERROR(__xludf.DUMMYFUNCTION("""COMPUTED_VALUE"""),"2f2b20f9-3110-4c76-a66f-6d555148f588")</f>
        <v>2f2b20f9-3110-4c76-a66f-6d555148f588</v>
      </c>
      <c r="C1322" s="7">
        <f>IFERROR(__xludf.DUMMYFUNCTION("""COMPUTED_VALUE"""),258.0)</f>
        <v>258</v>
      </c>
      <c r="D1322" s="6">
        <f>IFERROR(__xludf.DUMMYFUNCTION("""COMPUTED_VALUE"""),45447.0)</f>
        <v>45447</v>
      </c>
      <c r="E1322" s="7" t="str">
        <f>IFERROR(__xludf.DUMMYFUNCTION("""COMPUTED_VALUE"""),"FRANQUIA_D&amp;G_SP")</f>
        <v>FRANQUIA_D&amp;G_SP</v>
      </c>
      <c r="F1322" s="7" t="str">
        <f>IFERROR(__xludf.DUMMYFUNCTION("""COMPUTED_VALUE"""),"BICYCLE")</f>
        <v>BICYCLE</v>
      </c>
      <c r="G1322" s="7" t="str">
        <f>IFERROR(__xludf.DUMMYFUNCTION("""COMPUTED_VALUE"""),"SAO PAULO")</f>
        <v>SAO PAULO</v>
      </c>
    </row>
    <row r="1323">
      <c r="A1323" s="6">
        <f>IFERROR(__xludf.DUMMYFUNCTION("""COMPUTED_VALUE"""),45705.0)</f>
        <v>45705</v>
      </c>
      <c r="B1323" s="7" t="str">
        <f>IFERROR(__xludf.DUMMYFUNCTION("""COMPUTED_VALUE"""),"4802a2ab-6f30-4e7b-a8d4-dfc4f49a569f")</f>
        <v>4802a2ab-6f30-4e7b-a8d4-dfc4f49a569f</v>
      </c>
      <c r="C1323" s="7">
        <f>IFERROR(__xludf.DUMMYFUNCTION("""COMPUTED_VALUE"""),1.0)</f>
        <v>1</v>
      </c>
      <c r="D1323" s="6">
        <f>IFERROR(__xludf.DUMMYFUNCTION("""COMPUTED_VALUE"""),45704.0)</f>
        <v>45704</v>
      </c>
      <c r="E1323" s="7" t="str">
        <f>IFERROR(__xludf.DUMMYFUNCTION("""COMPUTED_VALUE"""),"FRANQUIA_D&amp;G_SP")</f>
        <v>FRANQUIA_D&amp;G_SP</v>
      </c>
      <c r="F1323" s="7" t="str">
        <f>IFERROR(__xludf.DUMMYFUNCTION("""COMPUTED_VALUE"""),"MOTORCYCLE")</f>
        <v>MOTORCYCLE</v>
      </c>
      <c r="G1323" s="7" t="str">
        <f>IFERROR(__xludf.DUMMYFUNCTION("""COMPUTED_VALUE"""),"MAUA")</f>
        <v>MAUA</v>
      </c>
    </row>
    <row r="1324">
      <c r="A1324" s="6">
        <f>IFERROR(__xludf.DUMMYFUNCTION("""COMPUTED_VALUE"""),45705.0)</f>
        <v>45705</v>
      </c>
      <c r="B1324" s="7" t="str">
        <f>IFERROR(__xludf.DUMMYFUNCTION("""COMPUTED_VALUE"""),"405c1fdd-bace-4b08-80ac-9ac623c0f403")</f>
        <v>405c1fdd-bace-4b08-80ac-9ac623c0f403</v>
      </c>
      <c r="C1324" s="7">
        <f>IFERROR(__xludf.DUMMYFUNCTION("""COMPUTED_VALUE"""),4.0)</f>
        <v>4</v>
      </c>
      <c r="D1324" s="6">
        <f>IFERROR(__xludf.DUMMYFUNCTION("""COMPUTED_VALUE"""),45701.0)</f>
        <v>45701</v>
      </c>
      <c r="E1324" s="7" t="str">
        <f>IFERROR(__xludf.DUMMYFUNCTION("""COMPUTED_VALUE"""),"FRANQUIA_D&amp;G_SP")</f>
        <v>FRANQUIA_D&amp;G_SP</v>
      </c>
      <c r="F1324" s="7" t="str">
        <f>IFERROR(__xludf.DUMMYFUNCTION("""COMPUTED_VALUE"""),"MOTORCYCLE")</f>
        <v>MOTORCYCLE</v>
      </c>
      <c r="G1324" s="7" t="str">
        <f>IFERROR(__xludf.DUMMYFUNCTION("""COMPUTED_VALUE"""),"SAO PAULO")</f>
        <v>SAO PAULO</v>
      </c>
    </row>
    <row r="1325">
      <c r="A1325" s="6">
        <f>IFERROR(__xludf.DUMMYFUNCTION("""COMPUTED_VALUE"""),45705.0)</f>
        <v>45705</v>
      </c>
      <c r="B1325" s="7" t="str">
        <f>IFERROR(__xludf.DUMMYFUNCTION("""COMPUTED_VALUE"""),"6db0465a-50c1-4e78-8443-4cb448546f79")</f>
        <v>6db0465a-50c1-4e78-8443-4cb448546f79</v>
      </c>
      <c r="C1325" s="7">
        <f>IFERROR(__xludf.DUMMYFUNCTION("""COMPUTED_VALUE"""),0.0)</f>
        <v>0</v>
      </c>
      <c r="D1325" s="6">
        <f>IFERROR(__xludf.DUMMYFUNCTION("""COMPUTED_VALUE"""),45705.0)</f>
        <v>45705</v>
      </c>
      <c r="E1325" s="7" t="str">
        <f>IFERROR(__xludf.DUMMYFUNCTION("""COMPUTED_VALUE"""),"FRANQUIA_D&amp;G_SP")</f>
        <v>FRANQUIA_D&amp;G_SP</v>
      </c>
      <c r="F1325" s="7" t="str">
        <f>IFERROR(__xludf.DUMMYFUNCTION("""COMPUTED_VALUE"""),"MOTORCYCLE")</f>
        <v>MOTORCYCLE</v>
      </c>
      <c r="G1325" s="7" t="str">
        <f>IFERROR(__xludf.DUMMYFUNCTION("""COMPUTED_VALUE"""),"SAO PAULO")</f>
        <v>SAO PAULO</v>
      </c>
    </row>
    <row r="1326">
      <c r="A1326" s="6">
        <f>IFERROR(__xludf.DUMMYFUNCTION("""COMPUTED_VALUE"""),45705.0)</f>
        <v>45705</v>
      </c>
      <c r="B1326" s="7" t="str">
        <f>IFERROR(__xludf.DUMMYFUNCTION("""COMPUTED_VALUE"""),"993939e9-caad-46ee-9461-010a60135a5e")</f>
        <v>993939e9-caad-46ee-9461-010a60135a5e</v>
      </c>
      <c r="C1326" s="7">
        <f>IFERROR(__xludf.DUMMYFUNCTION("""COMPUTED_VALUE"""),17.0)</f>
        <v>17</v>
      </c>
      <c r="D1326" s="6">
        <f>IFERROR(__xludf.DUMMYFUNCTION("""COMPUTED_VALUE"""),45688.0)</f>
        <v>45688</v>
      </c>
      <c r="E1326" s="7" t="str">
        <f>IFERROR(__xludf.DUMMYFUNCTION("""COMPUTED_VALUE"""),"FRANQUIA_D&amp;G_SP")</f>
        <v>FRANQUIA_D&amp;G_SP</v>
      </c>
      <c r="F1326" s="7" t="str">
        <f>IFERROR(__xludf.DUMMYFUNCTION("""COMPUTED_VALUE"""),"MOTORCYCLE")</f>
        <v>MOTORCYCLE</v>
      </c>
      <c r="G1326" s="7" t="str">
        <f>IFERROR(__xludf.DUMMYFUNCTION("""COMPUTED_VALUE"""),"SAO PAULO")</f>
        <v>SAO PAULO</v>
      </c>
    </row>
    <row r="1327">
      <c r="A1327" s="6">
        <f>IFERROR(__xludf.DUMMYFUNCTION("""COMPUTED_VALUE"""),45705.0)</f>
        <v>45705</v>
      </c>
      <c r="B1327" s="7" t="str">
        <f>IFERROR(__xludf.DUMMYFUNCTION("""COMPUTED_VALUE"""),"ee32ac77-11d6-4c51-9d93-c3d8d16d9df7")</f>
        <v>ee32ac77-11d6-4c51-9d93-c3d8d16d9df7</v>
      </c>
      <c r="C1327" s="7">
        <f>IFERROR(__xludf.DUMMYFUNCTION("""COMPUTED_VALUE"""),199.0)</f>
        <v>199</v>
      </c>
      <c r="D1327" s="6">
        <f>IFERROR(__xludf.DUMMYFUNCTION("""COMPUTED_VALUE"""),45506.0)</f>
        <v>45506</v>
      </c>
      <c r="E1327" s="7" t="str">
        <f>IFERROR(__xludf.DUMMYFUNCTION("""COMPUTED_VALUE"""),"FRANQUIA_D&amp;G_SP")</f>
        <v>FRANQUIA_D&amp;G_SP</v>
      </c>
      <c r="F1327" s="7" t="str">
        <f>IFERROR(__xludf.DUMMYFUNCTION("""COMPUTED_VALUE"""),"MOTORCYCLE")</f>
        <v>MOTORCYCLE</v>
      </c>
      <c r="G1327" s="7" t="str">
        <f>IFERROR(__xludf.DUMMYFUNCTION("""COMPUTED_VALUE"""),"SUZANO")</f>
        <v>SUZANO</v>
      </c>
    </row>
    <row r="1328">
      <c r="A1328" s="6">
        <f>IFERROR(__xludf.DUMMYFUNCTION("""COMPUTED_VALUE"""),45705.0)</f>
        <v>45705</v>
      </c>
      <c r="B1328" s="7" t="str">
        <f>IFERROR(__xludf.DUMMYFUNCTION("""COMPUTED_VALUE"""),"802f0b18-5c6d-4a17-9342-c560662e597e")</f>
        <v>802f0b18-5c6d-4a17-9342-c560662e597e</v>
      </c>
      <c r="C1328" s="7">
        <f>IFERROR(__xludf.DUMMYFUNCTION("""COMPUTED_VALUE"""),0.0)</f>
        <v>0</v>
      </c>
      <c r="D1328" s="6">
        <f>IFERROR(__xludf.DUMMYFUNCTION("""COMPUTED_VALUE"""),45705.0)</f>
        <v>45705</v>
      </c>
      <c r="E1328" s="7" t="str">
        <f>IFERROR(__xludf.DUMMYFUNCTION("""COMPUTED_VALUE"""),"FRANQUIA_D&amp;G_SP")</f>
        <v>FRANQUIA_D&amp;G_SP</v>
      </c>
      <c r="F1328" s="7" t="str">
        <f>IFERROR(__xludf.DUMMYFUNCTION("""COMPUTED_VALUE"""),"MOTORCYCLE")</f>
        <v>MOTORCYCLE</v>
      </c>
      <c r="G1328" s="7" t="str">
        <f>IFERROR(__xludf.DUMMYFUNCTION("""COMPUTED_VALUE"""),"SAO PAULO")</f>
        <v>SAO PAULO</v>
      </c>
    </row>
    <row r="1329">
      <c r="A1329" s="6">
        <f>IFERROR(__xludf.DUMMYFUNCTION("""COMPUTED_VALUE"""),45705.0)</f>
        <v>45705</v>
      </c>
      <c r="B1329" s="7" t="str">
        <f>IFERROR(__xludf.DUMMYFUNCTION("""COMPUTED_VALUE"""),"37c1056a-758e-4ea9-afbc-cb3e03e2192d")</f>
        <v>37c1056a-758e-4ea9-afbc-cb3e03e2192d</v>
      </c>
      <c r="C1329" s="7">
        <f>IFERROR(__xludf.DUMMYFUNCTION("""COMPUTED_VALUE"""),0.0)</f>
        <v>0</v>
      </c>
      <c r="D1329" s="6">
        <f>IFERROR(__xludf.DUMMYFUNCTION("""COMPUTED_VALUE"""),45705.0)</f>
        <v>45705</v>
      </c>
      <c r="E1329" s="7" t="str">
        <f>IFERROR(__xludf.DUMMYFUNCTION("""COMPUTED_VALUE"""),"FRANQUIA_D&amp;G_SP")</f>
        <v>FRANQUIA_D&amp;G_SP</v>
      </c>
      <c r="F1329" s="7" t="str">
        <f>IFERROR(__xludf.DUMMYFUNCTION("""COMPUTED_VALUE"""),"MOTORCYCLE")</f>
        <v>MOTORCYCLE</v>
      </c>
      <c r="G1329" s="7" t="str">
        <f>IFERROR(__xludf.DUMMYFUNCTION("""COMPUTED_VALUE"""),"SAO PAULO")</f>
        <v>SAO PAULO</v>
      </c>
    </row>
    <row r="1330">
      <c r="A1330" s="6">
        <f>IFERROR(__xludf.DUMMYFUNCTION("""COMPUTED_VALUE"""),45705.0)</f>
        <v>45705</v>
      </c>
      <c r="B1330" s="7" t="str">
        <f>IFERROR(__xludf.DUMMYFUNCTION("""COMPUTED_VALUE"""),"6d0a5fd2-37e5-4c19-8efd-34992024d902")</f>
        <v>6d0a5fd2-37e5-4c19-8efd-34992024d902</v>
      </c>
      <c r="C1330" s="7">
        <f>IFERROR(__xludf.DUMMYFUNCTION("""COMPUTED_VALUE"""),0.0)</f>
        <v>0</v>
      </c>
      <c r="D1330" s="6">
        <f>IFERROR(__xludf.DUMMYFUNCTION("""COMPUTED_VALUE"""),45705.0)</f>
        <v>45705</v>
      </c>
      <c r="E1330" s="7" t="str">
        <f>IFERROR(__xludf.DUMMYFUNCTION("""COMPUTED_VALUE"""),"FRANQUIA_D&amp;G_SP")</f>
        <v>FRANQUIA_D&amp;G_SP</v>
      </c>
      <c r="F1330" s="7" t="str">
        <f>IFERROR(__xludf.DUMMYFUNCTION("""COMPUTED_VALUE"""),"MOTORCYCLE")</f>
        <v>MOTORCYCLE</v>
      </c>
      <c r="G1330" s="7" t="str">
        <f>IFERROR(__xludf.DUMMYFUNCTION("""COMPUTED_VALUE"""),"SAO PAULO")</f>
        <v>SAO PAULO</v>
      </c>
    </row>
    <row r="1331">
      <c r="A1331" s="6">
        <f>IFERROR(__xludf.DUMMYFUNCTION("""COMPUTED_VALUE"""),45705.0)</f>
        <v>45705</v>
      </c>
      <c r="B1331" s="7" t="str">
        <f>IFERROR(__xludf.DUMMYFUNCTION("""COMPUTED_VALUE"""),"3850822e-cede-4bc1-9e46-8b7496a41f50")</f>
        <v>3850822e-cede-4bc1-9e46-8b7496a41f50</v>
      </c>
      <c r="C1331" s="7">
        <f>IFERROR(__xludf.DUMMYFUNCTION("""COMPUTED_VALUE"""),126.0)</f>
        <v>126</v>
      </c>
      <c r="D1331" s="6">
        <f>IFERROR(__xludf.DUMMYFUNCTION("""COMPUTED_VALUE"""),45579.0)</f>
        <v>45579</v>
      </c>
      <c r="E1331" s="7" t="str">
        <f>IFERROR(__xludf.DUMMYFUNCTION("""COMPUTED_VALUE"""),"FRANQUIA_D&amp;G_SP")</f>
        <v>FRANQUIA_D&amp;G_SP</v>
      </c>
      <c r="F1331" s="7" t="str">
        <f>IFERROR(__xludf.DUMMYFUNCTION("""COMPUTED_VALUE"""),"MOTORCYCLE")</f>
        <v>MOTORCYCLE</v>
      </c>
      <c r="G1331" s="7" t="str">
        <f>IFERROR(__xludf.DUMMYFUNCTION("""COMPUTED_VALUE"""),"SAO PAULO")</f>
        <v>SAO PAULO</v>
      </c>
    </row>
    <row r="1332">
      <c r="A1332" s="6">
        <f>IFERROR(__xludf.DUMMYFUNCTION("""COMPUTED_VALUE"""),45705.0)</f>
        <v>45705</v>
      </c>
      <c r="B1332" s="7" t="str">
        <f>IFERROR(__xludf.DUMMYFUNCTION("""COMPUTED_VALUE"""),"75c7736f-1cc8-4e84-8c6a-2bba44d25545")</f>
        <v>75c7736f-1cc8-4e84-8c6a-2bba44d25545</v>
      </c>
      <c r="C1332" s="7">
        <f>IFERROR(__xludf.DUMMYFUNCTION("""COMPUTED_VALUE"""),0.0)</f>
        <v>0</v>
      </c>
      <c r="D1332" s="6">
        <f>IFERROR(__xludf.DUMMYFUNCTION("""COMPUTED_VALUE"""),45705.0)</f>
        <v>45705</v>
      </c>
      <c r="E1332" s="7" t="str">
        <f>IFERROR(__xludf.DUMMYFUNCTION("""COMPUTED_VALUE"""),"FRANQUIA_D&amp;G_SP")</f>
        <v>FRANQUIA_D&amp;G_SP</v>
      </c>
      <c r="F1332" s="7" t="str">
        <f>IFERROR(__xludf.DUMMYFUNCTION("""COMPUTED_VALUE"""),"MOTORCYCLE")</f>
        <v>MOTORCYCLE</v>
      </c>
      <c r="G1332" s="7" t="str">
        <f>IFERROR(__xludf.DUMMYFUNCTION("""COMPUTED_VALUE"""),"SAO PAULO")</f>
        <v>SAO PAULO</v>
      </c>
    </row>
    <row r="1333">
      <c r="A1333" s="6">
        <f>IFERROR(__xludf.DUMMYFUNCTION("""COMPUTED_VALUE"""),45705.0)</f>
        <v>45705</v>
      </c>
      <c r="B1333" s="7" t="str">
        <f>IFERROR(__xludf.DUMMYFUNCTION("""COMPUTED_VALUE"""),"3276311a-d416-4649-87d3-1423788a023d")</f>
        <v>3276311a-d416-4649-87d3-1423788a023d</v>
      </c>
      <c r="C1333" s="7">
        <f>IFERROR(__xludf.DUMMYFUNCTION("""COMPUTED_VALUE"""),0.0)</f>
        <v>0</v>
      </c>
      <c r="D1333" s="6">
        <f>IFERROR(__xludf.DUMMYFUNCTION("""COMPUTED_VALUE"""),45705.0)</f>
        <v>45705</v>
      </c>
      <c r="E1333" s="7" t="str">
        <f>IFERROR(__xludf.DUMMYFUNCTION("""COMPUTED_VALUE"""),"FRANQUIA_D&amp;G_SP")</f>
        <v>FRANQUIA_D&amp;G_SP</v>
      </c>
      <c r="F1333" s="7" t="str">
        <f>IFERROR(__xludf.DUMMYFUNCTION("""COMPUTED_VALUE"""),"MOTORCYCLE")</f>
        <v>MOTORCYCLE</v>
      </c>
      <c r="G1333" s="7" t="str">
        <f>IFERROR(__xludf.DUMMYFUNCTION("""COMPUTED_VALUE"""),"SAO PAULO")</f>
        <v>SAO PAULO</v>
      </c>
    </row>
    <row r="1334">
      <c r="A1334" s="6">
        <f>IFERROR(__xludf.DUMMYFUNCTION("""COMPUTED_VALUE"""),45705.0)</f>
        <v>45705</v>
      </c>
      <c r="B1334" s="7" t="str">
        <f>IFERROR(__xludf.DUMMYFUNCTION("""COMPUTED_VALUE"""),"6db62cbd-1c90-4fcd-8a40-adff49f60c06")</f>
        <v>6db62cbd-1c90-4fcd-8a40-adff49f60c06</v>
      </c>
      <c r="C1334" s="7">
        <f>IFERROR(__xludf.DUMMYFUNCTION("""COMPUTED_VALUE"""),0.0)</f>
        <v>0</v>
      </c>
      <c r="D1334" s="6">
        <f>IFERROR(__xludf.DUMMYFUNCTION("""COMPUTED_VALUE"""),45705.0)</f>
        <v>45705</v>
      </c>
      <c r="E1334" s="7" t="str">
        <f>IFERROR(__xludf.DUMMYFUNCTION("""COMPUTED_VALUE"""),"FRANQUIA_D&amp;G_SP")</f>
        <v>FRANQUIA_D&amp;G_SP</v>
      </c>
      <c r="F1334" s="7" t="str">
        <f>IFERROR(__xludf.DUMMYFUNCTION("""COMPUTED_VALUE"""),"EMOTORCYCLE")</f>
        <v>EMOTORCYCLE</v>
      </c>
      <c r="G1334" s="7" t="str">
        <f>IFERROR(__xludf.DUMMYFUNCTION("""COMPUTED_VALUE"""),"SAO PAULO")</f>
        <v>SAO PAULO</v>
      </c>
    </row>
    <row r="1335">
      <c r="A1335" s="6">
        <f>IFERROR(__xludf.DUMMYFUNCTION("""COMPUTED_VALUE"""),45705.0)</f>
        <v>45705</v>
      </c>
      <c r="B1335" s="7" t="str">
        <f>IFERROR(__xludf.DUMMYFUNCTION("""COMPUTED_VALUE"""),"a7c21024-79dc-4814-88e9-eb32db2182cb")</f>
        <v>a7c21024-79dc-4814-88e9-eb32db2182cb</v>
      </c>
      <c r="C1335" s="7">
        <f>IFERROR(__xludf.DUMMYFUNCTION("""COMPUTED_VALUE"""),1.0)</f>
        <v>1</v>
      </c>
      <c r="D1335" s="6">
        <f>IFERROR(__xludf.DUMMYFUNCTION("""COMPUTED_VALUE"""),45704.0)</f>
        <v>45704</v>
      </c>
      <c r="E1335" s="7" t="str">
        <f>IFERROR(__xludf.DUMMYFUNCTION("""COMPUTED_VALUE"""),"FRANQUIA_D&amp;G_SP")</f>
        <v>FRANQUIA_D&amp;G_SP</v>
      </c>
      <c r="F1335" s="7" t="str">
        <f>IFERROR(__xludf.DUMMYFUNCTION("""COMPUTED_VALUE"""),"EMOTORCYCLE")</f>
        <v>EMOTORCYCLE</v>
      </c>
      <c r="G1335" s="7" t="str">
        <f>IFERROR(__xludf.DUMMYFUNCTION("""COMPUTED_VALUE"""),"SAO PAULO")</f>
        <v>SAO PAULO</v>
      </c>
    </row>
    <row r="1336">
      <c r="A1336" s="6">
        <f>IFERROR(__xludf.DUMMYFUNCTION("""COMPUTED_VALUE"""),45705.0)</f>
        <v>45705</v>
      </c>
      <c r="B1336" s="7" t="str">
        <f>IFERROR(__xludf.DUMMYFUNCTION("""COMPUTED_VALUE"""),"5f672548-e6ba-4438-a77c-f0e65cdfa982")</f>
        <v>5f672548-e6ba-4438-a77c-f0e65cdfa982</v>
      </c>
      <c r="C1336" s="7">
        <f>IFERROR(__xludf.DUMMYFUNCTION("""COMPUTED_VALUE"""),0.0)</f>
        <v>0</v>
      </c>
      <c r="D1336" s="6">
        <f>IFERROR(__xludf.DUMMYFUNCTION("""COMPUTED_VALUE"""),45705.0)</f>
        <v>45705</v>
      </c>
      <c r="E1336" s="7" t="str">
        <f>IFERROR(__xludf.DUMMYFUNCTION("""COMPUTED_VALUE"""),"FRANQUIA_D&amp;G_SP")</f>
        <v>FRANQUIA_D&amp;G_SP</v>
      </c>
      <c r="F1336" s="7" t="str">
        <f>IFERROR(__xludf.DUMMYFUNCTION("""COMPUTED_VALUE"""),"MOTORCYCLE")</f>
        <v>MOTORCYCLE</v>
      </c>
      <c r="G1336" s="7" t="str">
        <f>IFERROR(__xludf.DUMMYFUNCTION("""COMPUTED_VALUE"""),"SAO PAULO")</f>
        <v>SAO PAULO</v>
      </c>
    </row>
    <row r="1337">
      <c r="A1337" s="6">
        <f>IFERROR(__xludf.DUMMYFUNCTION("""COMPUTED_VALUE"""),45705.0)</f>
        <v>45705</v>
      </c>
      <c r="B1337" s="7" t="str">
        <f>IFERROR(__xludf.DUMMYFUNCTION("""COMPUTED_VALUE"""),"fc6cb95e-170e-46b9-b04d-9799bbe15fa4")</f>
        <v>fc6cb95e-170e-46b9-b04d-9799bbe15fa4</v>
      </c>
      <c r="C1337" s="7">
        <f>IFERROR(__xludf.DUMMYFUNCTION("""COMPUTED_VALUE"""),81.0)</f>
        <v>81</v>
      </c>
      <c r="D1337" s="6">
        <f>IFERROR(__xludf.DUMMYFUNCTION("""COMPUTED_VALUE"""),45624.0)</f>
        <v>45624</v>
      </c>
      <c r="E1337" s="7" t="str">
        <f>IFERROR(__xludf.DUMMYFUNCTION("""COMPUTED_VALUE"""),"FRANQUIA_D&amp;G_SP")</f>
        <v>FRANQUIA_D&amp;G_SP</v>
      </c>
      <c r="F1337" s="7" t="str">
        <f>IFERROR(__xludf.DUMMYFUNCTION("""COMPUTED_VALUE"""),"BICYCLE")</f>
        <v>BICYCLE</v>
      </c>
      <c r="G1337" s="7" t="str">
        <f>IFERROR(__xludf.DUMMYFUNCTION("""COMPUTED_VALUE"""),"SAO PAULO")</f>
        <v>SAO PAULO</v>
      </c>
    </row>
    <row r="1338">
      <c r="A1338" s="6">
        <f>IFERROR(__xludf.DUMMYFUNCTION("""COMPUTED_VALUE"""),45705.0)</f>
        <v>45705</v>
      </c>
      <c r="B1338" s="7" t="str">
        <f>IFERROR(__xludf.DUMMYFUNCTION("""COMPUTED_VALUE"""),"fbff47ee-13d7-416f-a9db-e3dba7c13814")</f>
        <v>fbff47ee-13d7-416f-a9db-e3dba7c13814</v>
      </c>
      <c r="C1338" s="7">
        <f>IFERROR(__xludf.DUMMYFUNCTION("""COMPUTED_VALUE"""),0.0)</f>
        <v>0</v>
      </c>
      <c r="D1338" s="6">
        <f>IFERROR(__xludf.DUMMYFUNCTION("""COMPUTED_VALUE"""),45705.0)</f>
        <v>45705</v>
      </c>
      <c r="E1338" s="7" t="str">
        <f>IFERROR(__xludf.DUMMYFUNCTION("""COMPUTED_VALUE"""),"FRANQUIA_D&amp;G_SP")</f>
        <v>FRANQUIA_D&amp;G_SP</v>
      </c>
      <c r="F1338" s="7" t="str">
        <f>IFERROR(__xludf.DUMMYFUNCTION("""COMPUTED_VALUE"""),"MOTORCYCLE")</f>
        <v>MOTORCYCLE</v>
      </c>
      <c r="G1338" s="7" t="str">
        <f>IFERROR(__xludf.DUMMYFUNCTION("""COMPUTED_VALUE"""),"SAO PAULO")</f>
        <v>SAO PAULO</v>
      </c>
    </row>
    <row r="1339">
      <c r="A1339" s="6">
        <f>IFERROR(__xludf.DUMMYFUNCTION("""COMPUTED_VALUE"""),45705.0)</f>
        <v>45705</v>
      </c>
      <c r="B1339" s="7" t="str">
        <f>IFERROR(__xludf.DUMMYFUNCTION("""COMPUTED_VALUE"""),"fc75fabd-4d5d-4ab4-b242-ba066b2354e5")</f>
        <v>fc75fabd-4d5d-4ab4-b242-ba066b2354e5</v>
      </c>
      <c r="C1339" s="7">
        <f>IFERROR(__xludf.DUMMYFUNCTION("""COMPUTED_VALUE"""),77.0)</f>
        <v>77</v>
      </c>
      <c r="D1339" s="6">
        <f>IFERROR(__xludf.DUMMYFUNCTION("""COMPUTED_VALUE"""),45628.0)</f>
        <v>45628</v>
      </c>
      <c r="E1339" s="7" t="str">
        <f>IFERROR(__xludf.DUMMYFUNCTION("""COMPUTED_VALUE"""),"FRANQUIA_D&amp;G_SP")</f>
        <v>FRANQUIA_D&amp;G_SP</v>
      </c>
      <c r="F1339" s="7" t="str">
        <f>IFERROR(__xludf.DUMMYFUNCTION("""COMPUTED_VALUE"""),"BICYCLE")</f>
        <v>BICYCLE</v>
      </c>
      <c r="G1339" s="7" t="str">
        <f>IFERROR(__xludf.DUMMYFUNCTION("""COMPUTED_VALUE"""),"SAO PAULO")</f>
        <v>SAO PAULO</v>
      </c>
    </row>
    <row r="1340">
      <c r="A1340" s="6">
        <f>IFERROR(__xludf.DUMMYFUNCTION("""COMPUTED_VALUE"""),45705.0)</f>
        <v>45705</v>
      </c>
      <c r="B1340" s="7" t="str">
        <f>IFERROR(__xludf.DUMMYFUNCTION("""COMPUTED_VALUE"""),"cb9b6269-5381-4282-acb9-77b4d465fda0")</f>
        <v>cb9b6269-5381-4282-acb9-77b4d465fda0</v>
      </c>
      <c r="C1340" s="7">
        <f>IFERROR(__xludf.DUMMYFUNCTION("""COMPUTED_VALUE"""),0.0)</f>
        <v>0</v>
      </c>
      <c r="D1340" s="6">
        <f>IFERROR(__xludf.DUMMYFUNCTION("""COMPUTED_VALUE"""),45705.0)</f>
        <v>45705</v>
      </c>
      <c r="E1340" s="7" t="str">
        <f>IFERROR(__xludf.DUMMYFUNCTION("""COMPUTED_VALUE"""),"FRANQUIA_D&amp;G_SP")</f>
        <v>FRANQUIA_D&amp;G_SP</v>
      </c>
      <c r="F1340" s="7" t="str">
        <f>IFERROR(__xludf.DUMMYFUNCTION("""COMPUTED_VALUE"""),"MOTORCYCLE")</f>
        <v>MOTORCYCLE</v>
      </c>
      <c r="G1340" s="7" t="str">
        <f>IFERROR(__xludf.DUMMYFUNCTION("""COMPUTED_VALUE"""),"SAO PAULO")</f>
        <v>SAO PAULO</v>
      </c>
    </row>
    <row r="1341">
      <c r="A1341" s="6">
        <f>IFERROR(__xludf.DUMMYFUNCTION("""COMPUTED_VALUE"""),45705.0)</f>
        <v>45705</v>
      </c>
      <c r="B1341" s="7" t="str">
        <f>IFERROR(__xludf.DUMMYFUNCTION("""COMPUTED_VALUE"""),"81e92b98-079e-4f5f-b81d-a00d87523c6e")</f>
        <v>81e92b98-079e-4f5f-b81d-a00d87523c6e</v>
      </c>
      <c r="C1341" s="7">
        <f>IFERROR(__xludf.DUMMYFUNCTION("""COMPUTED_VALUE"""),0.0)</f>
        <v>0</v>
      </c>
      <c r="D1341" s="6">
        <f>IFERROR(__xludf.DUMMYFUNCTION("""COMPUTED_VALUE"""),45705.0)</f>
        <v>45705</v>
      </c>
      <c r="E1341" s="7" t="str">
        <f>IFERROR(__xludf.DUMMYFUNCTION("""COMPUTED_VALUE"""),"FRANQUIA_D&amp;G_SP")</f>
        <v>FRANQUIA_D&amp;G_SP</v>
      </c>
      <c r="F1341" s="7" t="str">
        <f>IFERROR(__xludf.DUMMYFUNCTION("""COMPUTED_VALUE"""),"MOTORCYCLE")</f>
        <v>MOTORCYCLE</v>
      </c>
      <c r="G1341" s="7" t="str">
        <f>IFERROR(__xludf.DUMMYFUNCTION("""COMPUTED_VALUE"""),"SAO PAULO")</f>
        <v>SAO PAULO</v>
      </c>
    </row>
    <row r="1342">
      <c r="A1342" s="6">
        <f>IFERROR(__xludf.DUMMYFUNCTION("""COMPUTED_VALUE"""),45705.0)</f>
        <v>45705</v>
      </c>
      <c r="B1342" s="7" t="str">
        <f>IFERROR(__xludf.DUMMYFUNCTION("""COMPUTED_VALUE"""),"095645f1-a0f7-4c8f-acc1-5e2a6826b492")</f>
        <v>095645f1-a0f7-4c8f-acc1-5e2a6826b492</v>
      </c>
      <c r="C1342" s="7">
        <f>IFERROR(__xludf.DUMMYFUNCTION("""COMPUTED_VALUE"""),137.0)</f>
        <v>137</v>
      </c>
      <c r="D1342" s="6">
        <f>IFERROR(__xludf.DUMMYFUNCTION("""COMPUTED_VALUE"""),45568.0)</f>
        <v>45568</v>
      </c>
      <c r="E1342" s="7" t="str">
        <f>IFERROR(__xludf.DUMMYFUNCTION("""COMPUTED_VALUE"""),"FRANQUIA_D&amp;G_SP")</f>
        <v>FRANQUIA_D&amp;G_SP</v>
      </c>
      <c r="F1342" s="7" t="str">
        <f>IFERROR(__xludf.DUMMYFUNCTION("""COMPUTED_VALUE"""),"BICYCLE")</f>
        <v>BICYCLE</v>
      </c>
      <c r="G1342" s="7" t="str">
        <f>IFERROR(__xludf.DUMMYFUNCTION("""COMPUTED_VALUE"""),"SAO PAULO")</f>
        <v>SAO PAULO</v>
      </c>
    </row>
    <row r="1343">
      <c r="A1343" s="6">
        <f>IFERROR(__xludf.DUMMYFUNCTION("""COMPUTED_VALUE"""),45705.0)</f>
        <v>45705</v>
      </c>
      <c r="B1343" s="7" t="str">
        <f>IFERROR(__xludf.DUMMYFUNCTION("""COMPUTED_VALUE"""),"124c1172-bf85-4b43-8fa4-6fd518d4a46a")</f>
        <v>124c1172-bf85-4b43-8fa4-6fd518d4a46a</v>
      </c>
      <c r="C1343" s="7">
        <f>IFERROR(__xludf.DUMMYFUNCTION("""COMPUTED_VALUE"""),122.0)</f>
        <v>122</v>
      </c>
      <c r="D1343" s="6">
        <f>IFERROR(__xludf.DUMMYFUNCTION("""COMPUTED_VALUE"""),45583.0)</f>
        <v>45583</v>
      </c>
      <c r="E1343" s="7" t="str">
        <f>IFERROR(__xludf.DUMMYFUNCTION("""COMPUTED_VALUE"""),"FRANQUIA_D&amp;G_SP")</f>
        <v>FRANQUIA_D&amp;G_SP</v>
      </c>
      <c r="F1343" s="7" t="str">
        <f>IFERROR(__xludf.DUMMYFUNCTION("""COMPUTED_VALUE"""),"MOTORCYCLE")</f>
        <v>MOTORCYCLE</v>
      </c>
      <c r="G1343" s="7" t="str">
        <f>IFERROR(__xludf.DUMMYFUNCTION("""COMPUTED_VALUE"""),"SAO PAULO")</f>
        <v>SAO PAULO</v>
      </c>
    </row>
    <row r="1344">
      <c r="A1344" s="6">
        <f>IFERROR(__xludf.DUMMYFUNCTION("""COMPUTED_VALUE"""),45705.0)</f>
        <v>45705</v>
      </c>
      <c r="B1344" s="7" t="str">
        <f>IFERROR(__xludf.DUMMYFUNCTION("""COMPUTED_VALUE"""),"83c04e9f-2b16-4909-9068-6a42ea8e755e")</f>
        <v>83c04e9f-2b16-4909-9068-6a42ea8e755e</v>
      </c>
      <c r="C1344" s="7">
        <f>IFERROR(__xludf.DUMMYFUNCTION("""COMPUTED_VALUE"""),0.0)</f>
        <v>0</v>
      </c>
      <c r="D1344" s="6">
        <f>IFERROR(__xludf.DUMMYFUNCTION("""COMPUTED_VALUE"""),45705.0)</f>
        <v>45705</v>
      </c>
      <c r="E1344" s="7" t="str">
        <f>IFERROR(__xludf.DUMMYFUNCTION("""COMPUTED_VALUE"""),"FRANQUIA_D&amp;G_SP")</f>
        <v>FRANQUIA_D&amp;G_SP</v>
      </c>
      <c r="F1344" s="7" t="str">
        <f>IFERROR(__xludf.DUMMYFUNCTION("""COMPUTED_VALUE"""),"MOTORCYCLE")</f>
        <v>MOTORCYCLE</v>
      </c>
      <c r="G1344" s="7" t="str">
        <f>IFERROR(__xludf.DUMMYFUNCTION("""COMPUTED_VALUE"""),"SAO PAULO")</f>
        <v>SAO PAULO</v>
      </c>
    </row>
    <row r="1345">
      <c r="A1345" s="6">
        <f>IFERROR(__xludf.DUMMYFUNCTION("""COMPUTED_VALUE"""),45705.0)</f>
        <v>45705</v>
      </c>
      <c r="B1345" s="7" t="str">
        <f>IFERROR(__xludf.DUMMYFUNCTION("""COMPUTED_VALUE"""),"b1f6b2f4-6366-488c-83c1-7acbf68e67a3")</f>
        <v>b1f6b2f4-6366-488c-83c1-7acbf68e67a3</v>
      </c>
      <c r="C1345" s="7">
        <f>IFERROR(__xludf.DUMMYFUNCTION("""COMPUTED_VALUE"""),46.0)</f>
        <v>46</v>
      </c>
      <c r="D1345" s="6">
        <f>IFERROR(__xludf.DUMMYFUNCTION("""COMPUTED_VALUE"""),45659.0)</f>
        <v>45659</v>
      </c>
      <c r="E1345" s="7" t="str">
        <f>IFERROR(__xludf.DUMMYFUNCTION("""COMPUTED_VALUE"""),"FRANQUIA_D&amp;G_SP")</f>
        <v>FRANQUIA_D&amp;G_SP</v>
      </c>
      <c r="F1345" s="7" t="str">
        <f>IFERROR(__xludf.DUMMYFUNCTION("""COMPUTED_VALUE"""),"MOTORCYCLE")</f>
        <v>MOTORCYCLE</v>
      </c>
      <c r="G1345" s="7" t="str">
        <f>IFERROR(__xludf.DUMMYFUNCTION("""COMPUTED_VALUE"""),"SAO PAULO")</f>
        <v>SAO PAULO</v>
      </c>
    </row>
    <row r="1346">
      <c r="A1346" s="6">
        <f>IFERROR(__xludf.DUMMYFUNCTION("""COMPUTED_VALUE"""),45705.0)</f>
        <v>45705</v>
      </c>
      <c r="B1346" s="7" t="str">
        <f>IFERROR(__xludf.DUMMYFUNCTION("""COMPUTED_VALUE"""),"2a8871e6-597e-400d-8296-491c831d1882")</f>
        <v>2a8871e6-597e-400d-8296-491c831d1882</v>
      </c>
      <c r="C1346" s="7">
        <f>IFERROR(__xludf.DUMMYFUNCTION("""COMPUTED_VALUE"""),0.0)</f>
        <v>0</v>
      </c>
      <c r="D1346" s="6">
        <f>IFERROR(__xludf.DUMMYFUNCTION("""COMPUTED_VALUE"""),45705.0)</f>
        <v>45705</v>
      </c>
      <c r="E1346" s="7" t="str">
        <f>IFERROR(__xludf.DUMMYFUNCTION("""COMPUTED_VALUE"""),"FRANQUIA_D&amp;G_SP")</f>
        <v>FRANQUIA_D&amp;G_SP</v>
      </c>
      <c r="F1346" s="7" t="str">
        <f>IFERROR(__xludf.DUMMYFUNCTION("""COMPUTED_VALUE"""),"EBIKE")</f>
        <v>EBIKE</v>
      </c>
      <c r="G1346" s="7" t="str">
        <f>IFERROR(__xludf.DUMMYFUNCTION("""COMPUTED_VALUE"""),"SAO PAULO")</f>
        <v>SAO PAULO</v>
      </c>
    </row>
    <row r="1347">
      <c r="A1347" s="6">
        <f>IFERROR(__xludf.DUMMYFUNCTION("""COMPUTED_VALUE"""),45705.0)</f>
        <v>45705</v>
      </c>
      <c r="B1347" s="7" t="str">
        <f>IFERROR(__xludf.DUMMYFUNCTION("""COMPUTED_VALUE"""),"c9c034c4-7758-406a-afbb-697dde2098ea")</f>
        <v>c9c034c4-7758-406a-afbb-697dde2098ea</v>
      </c>
      <c r="C1347" s="7">
        <f>IFERROR(__xludf.DUMMYFUNCTION("""COMPUTED_VALUE"""),90.0)</f>
        <v>90</v>
      </c>
      <c r="D1347" s="6">
        <f>IFERROR(__xludf.DUMMYFUNCTION("""COMPUTED_VALUE"""),45615.0)</f>
        <v>45615</v>
      </c>
      <c r="E1347" s="7" t="str">
        <f>IFERROR(__xludf.DUMMYFUNCTION("""COMPUTED_VALUE"""),"FRANQUIA_D&amp;G_SP")</f>
        <v>FRANQUIA_D&amp;G_SP</v>
      </c>
      <c r="F1347" s="7" t="str">
        <f>IFERROR(__xludf.DUMMYFUNCTION("""COMPUTED_VALUE"""),"MOTORCYCLE")</f>
        <v>MOTORCYCLE</v>
      </c>
      <c r="G1347" s="7" t="str">
        <f>IFERROR(__xludf.DUMMYFUNCTION("""COMPUTED_VALUE"""),"SAO PAULO")</f>
        <v>SAO PAULO</v>
      </c>
    </row>
    <row r="1348">
      <c r="A1348" s="6">
        <f>IFERROR(__xludf.DUMMYFUNCTION("""COMPUTED_VALUE"""),45705.0)</f>
        <v>45705</v>
      </c>
      <c r="B1348" s="7" t="str">
        <f>IFERROR(__xludf.DUMMYFUNCTION("""COMPUTED_VALUE"""),"3fa1232a-bc1e-483d-b4d7-7a57c44dc6f4")</f>
        <v>3fa1232a-bc1e-483d-b4d7-7a57c44dc6f4</v>
      </c>
      <c r="C1348" s="7">
        <f>IFERROR(__xludf.DUMMYFUNCTION("""COMPUTED_VALUE"""),665.0)</f>
        <v>665</v>
      </c>
      <c r="D1348" s="6">
        <f>IFERROR(__xludf.DUMMYFUNCTION("""COMPUTED_VALUE"""),45040.0)</f>
        <v>45040</v>
      </c>
      <c r="E1348" s="7" t="str">
        <f>IFERROR(__xludf.DUMMYFUNCTION("""COMPUTED_VALUE"""),"FRANQUIA_D&amp;G_SP")</f>
        <v>FRANQUIA_D&amp;G_SP</v>
      </c>
      <c r="F1348" s="7" t="str">
        <f>IFERROR(__xludf.DUMMYFUNCTION("""COMPUTED_VALUE"""),"MOTORCYCLE")</f>
        <v>MOTORCYCLE</v>
      </c>
      <c r="G1348" s="7" t="str">
        <f>IFERROR(__xludf.DUMMYFUNCTION("""COMPUTED_VALUE"""),"SAO PAULO")</f>
        <v>SAO PAULO</v>
      </c>
    </row>
    <row r="1349">
      <c r="A1349" s="6">
        <f>IFERROR(__xludf.DUMMYFUNCTION("""COMPUTED_VALUE"""),45705.0)</f>
        <v>45705</v>
      </c>
      <c r="B1349" s="7" t="str">
        <f>IFERROR(__xludf.DUMMYFUNCTION("""COMPUTED_VALUE"""),"7aa98593-0cd6-4784-9cb6-8d68835f89f0")</f>
        <v>7aa98593-0cd6-4784-9cb6-8d68835f89f0</v>
      </c>
      <c r="C1349" s="7">
        <f>IFERROR(__xludf.DUMMYFUNCTION("""COMPUTED_VALUE"""),46.0)</f>
        <v>46</v>
      </c>
      <c r="D1349" s="6">
        <f>IFERROR(__xludf.DUMMYFUNCTION("""COMPUTED_VALUE"""),45659.0)</f>
        <v>45659</v>
      </c>
      <c r="E1349" s="7" t="str">
        <f>IFERROR(__xludf.DUMMYFUNCTION("""COMPUTED_VALUE"""),"FRANQUIA_D&amp;G_SP")</f>
        <v>FRANQUIA_D&amp;G_SP</v>
      </c>
      <c r="F1349" s="7" t="str">
        <f>IFERROR(__xludf.DUMMYFUNCTION("""COMPUTED_VALUE"""),"MOTORCYCLE")</f>
        <v>MOTORCYCLE</v>
      </c>
      <c r="G1349" s="7" t="str">
        <f>IFERROR(__xludf.DUMMYFUNCTION("""COMPUTED_VALUE"""),"SAO PAULO")</f>
        <v>SAO PAULO</v>
      </c>
    </row>
    <row r="1350">
      <c r="A1350" s="6">
        <f>IFERROR(__xludf.DUMMYFUNCTION("""COMPUTED_VALUE"""),45705.0)</f>
        <v>45705</v>
      </c>
      <c r="B1350" s="7" t="str">
        <f>IFERROR(__xludf.DUMMYFUNCTION("""COMPUTED_VALUE"""),"86d5948a-eb8c-44c0-82eb-6c1a2605060a")</f>
        <v>86d5948a-eb8c-44c0-82eb-6c1a2605060a</v>
      </c>
      <c r="C1350" s="7">
        <f>IFERROR(__xludf.DUMMYFUNCTION("""COMPUTED_VALUE"""),0.0)</f>
        <v>0</v>
      </c>
      <c r="D1350" s="6">
        <f>IFERROR(__xludf.DUMMYFUNCTION("""COMPUTED_VALUE"""),45705.0)</f>
        <v>45705</v>
      </c>
      <c r="E1350" s="7" t="str">
        <f>IFERROR(__xludf.DUMMYFUNCTION("""COMPUTED_VALUE"""),"FRANQUIA_D&amp;G_SP")</f>
        <v>FRANQUIA_D&amp;G_SP</v>
      </c>
      <c r="F1350" s="7" t="str">
        <f>IFERROR(__xludf.DUMMYFUNCTION("""COMPUTED_VALUE"""),"MOTORCYCLE")</f>
        <v>MOTORCYCLE</v>
      </c>
      <c r="G1350" s="7" t="str">
        <f>IFERROR(__xludf.DUMMYFUNCTION("""COMPUTED_VALUE"""),"RECIFE")</f>
        <v>RECIFE</v>
      </c>
    </row>
    <row r="1351">
      <c r="A1351" s="6">
        <f>IFERROR(__xludf.DUMMYFUNCTION("""COMPUTED_VALUE"""),45705.0)</f>
        <v>45705</v>
      </c>
      <c r="B1351" s="7" t="str">
        <f>IFERROR(__xludf.DUMMYFUNCTION("""COMPUTED_VALUE"""),"a683433a-0a83-449c-9674-4567ee2132fc")</f>
        <v>a683433a-0a83-449c-9674-4567ee2132fc</v>
      </c>
      <c r="C1351" s="7">
        <f>IFERROR(__xludf.DUMMYFUNCTION("""COMPUTED_VALUE"""),23.0)</f>
        <v>23</v>
      </c>
      <c r="D1351" s="6">
        <f>IFERROR(__xludf.DUMMYFUNCTION("""COMPUTED_VALUE"""),45682.0)</f>
        <v>45682</v>
      </c>
      <c r="E1351" s="7" t="str">
        <f>IFERROR(__xludf.DUMMYFUNCTION("""COMPUTED_VALUE"""),"FRANQUIA_D&amp;G_SP")</f>
        <v>FRANQUIA_D&amp;G_SP</v>
      </c>
      <c r="F1351" s="7" t="str">
        <f>IFERROR(__xludf.DUMMYFUNCTION("""COMPUTED_VALUE"""),"MOTORCYCLE")</f>
        <v>MOTORCYCLE</v>
      </c>
      <c r="G1351" s="7" t="str">
        <f>IFERROR(__xludf.DUMMYFUNCTION("""COMPUTED_VALUE"""),"SAO PAULO")</f>
        <v>SAO PAULO</v>
      </c>
    </row>
    <row r="1352">
      <c r="A1352" s="6">
        <f>IFERROR(__xludf.DUMMYFUNCTION("""COMPUTED_VALUE"""),45705.0)</f>
        <v>45705</v>
      </c>
      <c r="B1352" s="7" t="str">
        <f>IFERROR(__xludf.DUMMYFUNCTION("""COMPUTED_VALUE"""),"9dc1127f-bd4c-40f7-9d2f-1ba1ce162e8d")</f>
        <v>9dc1127f-bd4c-40f7-9d2f-1ba1ce162e8d</v>
      </c>
      <c r="C1352" s="7">
        <f>IFERROR(__xludf.DUMMYFUNCTION("""COMPUTED_VALUE"""),63.0)</f>
        <v>63</v>
      </c>
      <c r="D1352" s="6">
        <f>IFERROR(__xludf.DUMMYFUNCTION("""COMPUTED_VALUE"""),45642.0)</f>
        <v>45642</v>
      </c>
      <c r="E1352" s="7" t="str">
        <f>IFERROR(__xludf.DUMMYFUNCTION("""COMPUTED_VALUE"""),"FRANQUIA_D&amp;G_SP")</f>
        <v>FRANQUIA_D&amp;G_SP</v>
      </c>
      <c r="F1352" s="7" t="str">
        <f>IFERROR(__xludf.DUMMYFUNCTION("""COMPUTED_VALUE"""),"MOTORCYCLE")</f>
        <v>MOTORCYCLE</v>
      </c>
      <c r="G1352" s="7" t="str">
        <f>IFERROR(__xludf.DUMMYFUNCTION("""COMPUTED_VALUE"""),"SAO PAULO")</f>
        <v>SAO PAULO</v>
      </c>
    </row>
    <row r="1353">
      <c r="A1353" s="6">
        <f>IFERROR(__xludf.DUMMYFUNCTION("""COMPUTED_VALUE"""),45705.0)</f>
        <v>45705</v>
      </c>
      <c r="B1353" s="7" t="str">
        <f>IFERROR(__xludf.DUMMYFUNCTION("""COMPUTED_VALUE"""),"7efadc48-dd4e-424c-8ed8-51fc0ac6e545")</f>
        <v>7efadc48-dd4e-424c-8ed8-51fc0ac6e545</v>
      </c>
      <c r="C1353" s="7">
        <f>IFERROR(__xludf.DUMMYFUNCTION("""COMPUTED_VALUE"""),0.0)</f>
        <v>0</v>
      </c>
      <c r="D1353" s="6">
        <f>IFERROR(__xludf.DUMMYFUNCTION("""COMPUTED_VALUE"""),45705.0)</f>
        <v>45705</v>
      </c>
      <c r="E1353" s="7" t="str">
        <f>IFERROR(__xludf.DUMMYFUNCTION("""COMPUTED_VALUE"""),"FRANQUIA_D&amp;G_SP")</f>
        <v>FRANQUIA_D&amp;G_SP</v>
      </c>
      <c r="F1353" s="7" t="str">
        <f>IFERROR(__xludf.DUMMYFUNCTION("""COMPUTED_VALUE"""),"BICYCLE")</f>
        <v>BICYCLE</v>
      </c>
      <c r="G1353" s="7" t="str">
        <f>IFERROR(__xludf.DUMMYFUNCTION("""COMPUTED_VALUE"""),"SAO PAULO")</f>
        <v>SAO PAULO</v>
      </c>
    </row>
    <row r="1354">
      <c r="A1354" s="6">
        <f>IFERROR(__xludf.DUMMYFUNCTION("""COMPUTED_VALUE"""),45705.0)</f>
        <v>45705</v>
      </c>
      <c r="B1354" s="7" t="str">
        <f>IFERROR(__xludf.DUMMYFUNCTION("""COMPUTED_VALUE"""),"8ac06429-e78d-425d-bcb1-99230edb778c")</f>
        <v>8ac06429-e78d-425d-bcb1-99230edb778c</v>
      </c>
      <c r="C1354" s="7">
        <f>IFERROR(__xludf.DUMMYFUNCTION("""COMPUTED_VALUE"""),61.0)</f>
        <v>61</v>
      </c>
      <c r="D1354" s="6">
        <f>IFERROR(__xludf.DUMMYFUNCTION("""COMPUTED_VALUE"""),45644.0)</f>
        <v>45644</v>
      </c>
      <c r="E1354" s="7" t="str">
        <f>IFERROR(__xludf.DUMMYFUNCTION("""COMPUTED_VALUE"""),"FRANQUIA_D&amp;G_SP")</f>
        <v>FRANQUIA_D&amp;G_SP</v>
      </c>
      <c r="F1354" s="7" t="str">
        <f>IFERROR(__xludf.DUMMYFUNCTION("""COMPUTED_VALUE"""),"BICYCLE")</f>
        <v>BICYCLE</v>
      </c>
      <c r="G1354" s="7" t="str">
        <f>IFERROR(__xludf.DUMMYFUNCTION("""COMPUTED_VALUE"""),"SAO PAULO")</f>
        <v>SAO PAULO</v>
      </c>
    </row>
    <row r="1355">
      <c r="A1355" s="6">
        <f>IFERROR(__xludf.DUMMYFUNCTION("""COMPUTED_VALUE"""),45705.0)</f>
        <v>45705</v>
      </c>
      <c r="B1355" s="7" t="str">
        <f>IFERROR(__xludf.DUMMYFUNCTION("""COMPUTED_VALUE"""),"bea34900-8065-4bf7-8a94-e6ff40e1cf5c")</f>
        <v>bea34900-8065-4bf7-8a94-e6ff40e1cf5c</v>
      </c>
      <c r="C1355" s="7">
        <f>IFERROR(__xludf.DUMMYFUNCTION("""COMPUTED_VALUE"""),3.0)</f>
        <v>3</v>
      </c>
      <c r="D1355" s="6">
        <f>IFERROR(__xludf.DUMMYFUNCTION("""COMPUTED_VALUE"""),45702.0)</f>
        <v>45702</v>
      </c>
      <c r="E1355" s="7" t="str">
        <f>IFERROR(__xludf.DUMMYFUNCTION("""COMPUTED_VALUE"""),"FRANQUIA_D&amp;G_SP")</f>
        <v>FRANQUIA_D&amp;G_SP</v>
      </c>
      <c r="F1355" s="7" t="str">
        <f>IFERROR(__xludf.DUMMYFUNCTION("""COMPUTED_VALUE"""),"EMOTORCYCLE")</f>
        <v>EMOTORCYCLE</v>
      </c>
      <c r="G1355" s="7" t="str">
        <f>IFERROR(__xludf.DUMMYFUNCTION("""COMPUTED_VALUE"""),"SAO PAULO")</f>
        <v>SAO PAULO</v>
      </c>
    </row>
    <row r="1356">
      <c r="A1356" s="6">
        <f>IFERROR(__xludf.DUMMYFUNCTION("""COMPUTED_VALUE"""),45705.0)</f>
        <v>45705</v>
      </c>
      <c r="B1356" s="7" t="str">
        <f>IFERROR(__xludf.DUMMYFUNCTION("""COMPUTED_VALUE"""),"b93169d3-771e-44aa-8a18-52374828d6ac")</f>
        <v>b93169d3-771e-44aa-8a18-52374828d6ac</v>
      </c>
      <c r="C1356" s="7">
        <f>IFERROR(__xludf.DUMMYFUNCTION("""COMPUTED_VALUE"""),7.0)</f>
        <v>7</v>
      </c>
      <c r="D1356" s="6">
        <f>IFERROR(__xludf.DUMMYFUNCTION("""COMPUTED_VALUE"""),45698.0)</f>
        <v>45698</v>
      </c>
      <c r="E1356" s="7" t="str">
        <f>IFERROR(__xludf.DUMMYFUNCTION("""COMPUTED_VALUE"""),"FRANQUIA_D&amp;G_SP")</f>
        <v>FRANQUIA_D&amp;G_SP</v>
      </c>
      <c r="F1356" s="7" t="str">
        <f>IFERROR(__xludf.DUMMYFUNCTION("""COMPUTED_VALUE"""),"MOTORCYCLE")</f>
        <v>MOTORCYCLE</v>
      </c>
      <c r="G1356" s="7" t="str">
        <f>IFERROR(__xludf.DUMMYFUNCTION("""COMPUTED_VALUE"""),"SAO PAULO")</f>
        <v>SAO PAULO</v>
      </c>
    </row>
    <row r="1357">
      <c r="A1357" s="6">
        <f>IFERROR(__xludf.DUMMYFUNCTION("""COMPUTED_VALUE"""),45705.0)</f>
        <v>45705</v>
      </c>
      <c r="B1357" s="7" t="str">
        <f>IFERROR(__xludf.DUMMYFUNCTION("""COMPUTED_VALUE"""),"92b6c583-4bc0-4e94-8cbb-5fa540c952a7")</f>
        <v>92b6c583-4bc0-4e94-8cbb-5fa540c952a7</v>
      </c>
      <c r="C1357" s="7">
        <f>IFERROR(__xludf.DUMMYFUNCTION("""COMPUTED_VALUE"""),237.0)</f>
        <v>237</v>
      </c>
      <c r="D1357" s="6">
        <f>IFERROR(__xludf.DUMMYFUNCTION("""COMPUTED_VALUE"""),45468.0)</f>
        <v>45468</v>
      </c>
      <c r="E1357" s="7" t="str">
        <f>IFERROR(__xludf.DUMMYFUNCTION("""COMPUTED_VALUE"""),"FRANQUIA_D&amp;G_SP")</f>
        <v>FRANQUIA_D&amp;G_SP</v>
      </c>
      <c r="F1357" s="7" t="str">
        <f>IFERROR(__xludf.DUMMYFUNCTION("""COMPUTED_VALUE"""),"BICYCLE")</f>
        <v>BICYCLE</v>
      </c>
      <c r="G1357" s="7" t="str">
        <f>IFERROR(__xludf.DUMMYFUNCTION("""COMPUTED_VALUE"""),"SAO PAULO")</f>
        <v>SAO PAULO</v>
      </c>
    </row>
    <row r="1358">
      <c r="A1358" s="6">
        <f>IFERROR(__xludf.DUMMYFUNCTION("""COMPUTED_VALUE"""),45705.0)</f>
        <v>45705</v>
      </c>
      <c r="B1358" s="7" t="str">
        <f>IFERROR(__xludf.DUMMYFUNCTION("""COMPUTED_VALUE"""),"c57ea4d4-7c1d-4af7-935b-41190b4d60cf")</f>
        <v>c57ea4d4-7c1d-4af7-935b-41190b4d60cf</v>
      </c>
      <c r="C1358" s="7">
        <f>IFERROR(__xludf.DUMMYFUNCTION("""COMPUTED_VALUE"""),43.0)</f>
        <v>43</v>
      </c>
      <c r="D1358" s="6">
        <f>IFERROR(__xludf.DUMMYFUNCTION("""COMPUTED_VALUE"""),45662.0)</f>
        <v>45662</v>
      </c>
      <c r="E1358" s="7" t="str">
        <f>IFERROR(__xludf.DUMMYFUNCTION("""COMPUTED_VALUE"""),"FRANQUIA_D&amp;G_SP")</f>
        <v>FRANQUIA_D&amp;G_SP</v>
      </c>
      <c r="F1358" s="7" t="str">
        <f>IFERROR(__xludf.DUMMYFUNCTION("""COMPUTED_VALUE"""),"MOTORCYCLE")</f>
        <v>MOTORCYCLE</v>
      </c>
      <c r="G1358" s="7" t="str">
        <f>IFERROR(__xludf.DUMMYFUNCTION("""COMPUTED_VALUE"""),"SAO PAULO")</f>
        <v>SAO PAULO</v>
      </c>
    </row>
    <row r="1359">
      <c r="A1359" s="6">
        <f>IFERROR(__xludf.DUMMYFUNCTION("""COMPUTED_VALUE"""),45705.0)</f>
        <v>45705</v>
      </c>
      <c r="B1359" s="7" t="str">
        <f>IFERROR(__xludf.DUMMYFUNCTION("""COMPUTED_VALUE"""),"f4f0a6bb-8d07-426b-b47f-f941c45c9236")</f>
        <v>f4f0a6bb-8d07-426b-b47f-f941c45c9236</v>
      </c>
      <c r="C1359" s="7">
        <f>IFERROR(__xludf.DUMMYFUNCTION("""COMPUTED_VALUE"""),136.0)</f>
        <v>136</v>
      </c>
      <c r="D1359" s="6">
        <f>IFERROR(__xludf.DUMMYFUNCTION("""COMPUTED_VALUE"""),45569.0)</f>
        <v>45569</v>
      </c>
      <c r="E1359" s="7" t="str">
        <f>IFERROR(__xludf.DUMMYFUNCTION("""COMPUTED_VALUE"""),"FRANQUIA_D&amp;G_SP")</f>
        <v>FRANQUIA_D&amp;G_SP</v>
      </c>
      <c r="F1359" s="7" t="str">
        <f>IFERROR(__xludf.DUMMYFUNCTION("""COMPUTED_VALUE"""),"BICYCLE")</f>
        <v>BICYCLE</v>
      </c>
      <c r="G1359" s="7" t="str">
        <f>IFERROR(__xludf.DUMMYFUNCTION("""COMPUTED_VALUE"""),"SAO PAULO")</f>
        <v>SAO PAULO</v>
      </c>
    </row>
    <row r="1360">
      <c r="A1360" s="6">
        <f>IFERROR(__xludf.DUMMYFUNCTION("""COMPUTED_VALUE"""),45705.0)</f>
        <v>45705</v>
      </c>
      <c r="B1360" s="7" t="str">
        <f>IFERROR(__xludf.DUMMYFUNCTION("""COMPUTED_VALUE"""),"d3fb746b-935c-4834-b913-d0cf1a48a3dc")</f>
        <v>d3fb746b-935c-4834-b913-d0cf1a48a3dc</v>
      </c>
      <c r="C1360" s="7">
        <f>IFERROR(__xludf.DUMMYFUNCTION("""COMPUTED_VALUE"""),14.0)</f>
        <v>14</v>
      </c>
      <c r="D1360" s="6">
        <f>IFERROR(__xludf.DUMMYFUNCTION("""COMPUTED_VALUE"""),45691.0)</f>
        <v>45691</v>
      </c>
      <c r="E1360" s="7" t="str">
        <f>IFERROR(__xludf.DUMMYFUNCTION("""COMPUTED_VALUE"""),"FRANQUIA_D&amp;G_SP")</f>
        <v>FRANQUIA_D&amp;G_SP</v>
      </c>
      <c r="F1360" s="7" t="str">
        <f>IFERROR(__xludf.DUMMYFUNCTION("""COMPUTED_VALUE"""),"MOTORCYCLE")</f>
        <v>MOTORCYCLE</v>
      </c>
      <c r="G1360" s="7" t="str">
        <f>IFERROR(__xludf.DUMMYFUNCTION("""COMPUTED_VALUE"""),"SAO PAULO")</f>
        <v>SAO PAULO</v>
      </c>
    </row>
    <row r="1361">
      <c r="A1361" s="6">
        <f>IFERROR(__xludf.DUMMYFUNCTION("""COMPUTED_VALUE"""),45705.0)</f>
        <v>45705</v>
      </c>
      <c r="B1361" s="7" t="str">
        <f>IFERROR(__xludf.DUMMYFUNCTION("""COMPUTED_VALUE"""),"777575a2-5ef8-42f1-946f-6b8a8290ee12")</f>
        <v>777575a2-5ef8-42f1-946f-6b8a8290ee12</v>
      </c>
      <c r="C1361" s="7">
        <f>IFERROR(__xludf.DUMMYFUNCTION("""COMPUTED_VALUE"""),0.0)</f>
        <v>0</v>
      </c>
      <c r="D1361" s="6">
        <f>IFERROR(__xludf.DUMMYFUNCTION("""COMPUTED_VALUE"""),45705.0)</f>
        <v>45705</v>
      </c>
      <c r="E1361" s="7" t="str">
        <f>IFERROR(__xludf.DUMMYFUNCTION("""COMPUTED_VALUE"""),"FRANQUIA_D&amp;G_SP")</f>
        <v>FRANQUIA_D&amp;G_SP</v>
      </c>
      <c r="F1361" s="7" t="str">
        <f>IFERROR(__xludf.DUMMYFUNCTION("""COMPUTED_VALUE"""),"MOTORCYCLE")</f>
        <v>MOTORCYCLE</v>
      </c>
      <c r="G1361" s="7" t="str">
        <f>IFERROR(__xludf.DUMMYFUNCTION("""COMPUTED_VALUE"""),"SAO PAULO")</f>
        <v>SAO PAULO</v>
      </c>
    </row>
    <row r="1362">
      <c r="A1362" s="6">
        <f>IFERROR(__xludf.DUMMYFUNCTION("""COMPUTED_VALUE"""),45705.0)</f>
        <v>45705</v>
      </c>
      <c r="B1362" s="7" t="str">
        <f>IFERROR(__xludf.DUMMYFUNCTION("""COMPUTED_VALUE"""),"477bbf4e-a658-4f90-ba2d-9471ec23b91a")</f>
        <v>477bbf4e-a658-4f90-ba2d-9471ec23b91a</v>
      </c>
      <c r="C1362" s="7">
        <f>IFERROR(__xludf.DUMMYFUNCTION("""COMPUTED_VALUE"""),22.0)</f>
        <v>22</v>
      </c>
      <c r="D1362" s="6">
        <f>IFERROR(__xludf.DUMMYFUNCTION("""COMPUTED_VALUE"""),45683.0)</f>
        <v>45683</v>
      </c>
      <c r="E1362" s="7" t="str">
        <f>IFERROR(__xludf.DUMMYFUNCTION("""COMPUTED_VALUE"""),"FRANQUIA_D&amp;G_SP")</f>
        <v>FRANQUIA_D&amp;G_SP</v>
      </c>
      <c r="F1362" s="7" t="str">
        <f>IFERROR(__xludf.DUMMYFUNCTION("""COMPUTED_VALUE"""),"MOTORCYCLE")</f>
        <v>MOTORCYCLE</v>
      </c>
      <c r="G1362" s="7" t="str">
        <f>IFERROR(__xludf.DUMMYFUNCTION("""COMPUTED_VALUE"""),"SAO PAULO")</f>
        <v>SAO PAULO</v>
      </c>
    </row>
    <row r="1363">
      <c r="A1363" s="6">
        <f>IFERROR(__xludf.DUMMYFUNCTION("""COMPUTED_VALUE"""),45705.0)</f>
        <v>45705</v>
      </c>
      <c r="B1363" s="7" t="str">
        <f>IFERROR(__xludf.DUMMYFUNCTION("""COMPUTED_VALUE"""),"4c115674-3292-42ab-9e65-3d26edd99432")</f>
        <v>4c115674-3292-42ab-9e65-3d26edd99432</v>
      </c>
      <c r="C1363" s="7">
        <f>IFERROR(__xludf.DUMMYFUNCTION("""COMPUTED_VALUE"""),50.0)</f>
        <v>50</v>
      </c>
      <c r="D1363" s="6">
        <f>IFERROR(__xludf.DUMMYFUNCTION("""COMPUTED_VALUE"""),45655.0)</f>
        <v>45655</v>
      </c>
      <c r="E1363" s="7" t="str">
        <f>IFERROR(__xludf.DUMMYFUNCTION("""COMPUTED_VALUE"""),"FRANQUIA_D&amp;G_SP")</f>
        <v>FRANQUIA_D&amp;G_SP</v>
      </c>
      <c r="F1363" s="7" t="str">
        <f>IFERROR(__xludf.DUMMYFUNCTION("""COMPUTED_VALUE"""),"BICYCLE")</f>
        <v>BICYCLE</v>
      </c>
      <c r="G1363" s="7" t="str">
        <f>IFERROR(__xludf.DUMMYFUNCTION("""COMPUTED_VALUE"""),"SAO PAULO")</f>
        <v>SAO PAULO</v>
      </c>
    </row>
    <row r="1364">
      <c r="A1364" s="6">
        <f>IFERROR(__xludf.DUMMYFUNCTION("""COMPUTED_VALUE"""),45705.0)</f>
        <v>45705</v>
      </c>
      <c r="B1364" s="7" t="str">
        <f>IFERROR(__xludf.DUMMYFUNCTION("""COMPUTED_VALUE"""),"42f14cd8-3df0-492e-9723-5584f2a84729")</f>
        <v>42f14cd8-3df0-492e-9723-5584f2a84729</v>
      </c>
      <c r="C1364" s="7">
        <f>IFERROR(__xludf.DUMMYFUNCTION("""COMPUTED_VALUE"""),536.0)</f>
        <v>536</v>
      </c>
      <c r="D1364" s="6">
        <f>IFERROR(__xludf.DUMMYFUNCTION("""COMPUTED_VALUE"""),45169.0)</f>
        <v>45169</v>
      </c>
      <c r="E1364" s="7" t="str">
        <f>IFERROR(__xludf.DUMMYFUNCTION("""COMPUTED_VALUE"""),"FRANQUIA_D&amp;G_SP")</f>
        <v>FRANQUIA_D&amp;G_SP</v>
      </c>
      <c r="F1364" s="7" t="str">
        <f>IFERROR(__xludf.DUMMYFUNCTION("""COMPUTED_VALUE"""),"MOTORCYCLE")</f>
        <v>MOTORCYCLE</v>
      </c>
      <c r="G1364" s="7" t="str">
        <f>IFERROR(__xludf.DUMMYFUNCTION("""COMPUTED_VALUE"""),"SAO PAULO")</f>
        <v>SAO PAULO</v>
      </c>
    </row>
    <row r="1365">
      <c r="A1365" s="6">
        <f>IFERROR(__xludf.DUMMYFUNCTION("""COMPUTED_VALUE"""),45705.0)</f>
        <v>45705</v>
      </c>
      <c r="B1365" s="7" t="str">
        <f>IFERROR(__xludf.DUMMYFUNCTION("""COMPUTED_VALUE"""),"932c049f-03c4-4562-8732-c9d09689b47e")</f>
        <v>932c049f-03c4-4562-8732-c9d09689b47e</v>
      </c>
      <c r="C1365" s="7">
        <f>IFERROR(__xludf.DUMMYFUNCTION("""COMPUTED_VALUE"""),0.0)</f>
        <v>0</v>
      </c>
      <c r="D1365" s="6">
        <f>IFERROR(__xludf.DUMMYFUNCTION("""COMPUTED_VALUE"""),45705.0)</f>
        <v>45705</v>
      </c>
      <c r="E1365" s="7" t="str">
        <f>IFERROR(__xludf.DUMMYFUNCTION("""COMPUTED_VALUE"""),"FRANQUIA_D&amp;G_SP")</f>
        <v>FRANQUIA_D&amp;G_SP</v>
      </c>
      <c r="F1365" s="7" t="str">
        <f>IFERROR(__xludf.DUMMYFUNCTION("""COMPUTED_VALUE"""),"MOTORCYCLE")</f>
        <v>MOTORCYCLE</v>
      </c>
      <c r="G1365" s="7" t="str">
        <f>IFERROR(__xludf.DUMMYFUNCTION("""COMPUTED_VALUE"""),"SAO PAULO")</f>
        <v>SAO PAULO</v>
      </c>
    </row>
    <row r="1366">
      <c r="A1366" s="6">
        <f>IFERROR(__xludf.DUMMYFUNCTION("""COMPUTED_VALUE"""),45705.0)</f>
        <v>45705</v>
      </c>
      <c r="B1366" s="7" t="str">
        <f>IFERROR(__xludf.DUMMYFUNCTION("""COMPUTED_VALUE"""),"e395b049-0a0e-4214-b627-001f1d77b609")</f>
        <v>e395b049-0a0e-4214-b627-001f1d77b609</v>
      </c>
      <c r="C1366" s="7">
        <f>IFERROR(__xludf.DUMMYFUNCTION("""COMPUTED_VALUE"""),1.0)</f>
        <v>1</v>
      </c>
      <c r="D1366" s="6">
        <f>IFERROR(__xludf.DUMMYFUNCTION("""COMPUTED_VALUE"""),45704.0)</f>
        <v>45704</v>
      </c>
      <c r="E1366" s="7" t="str">
        <f>IFERROR(__xludf.DUMMYFUNCTION("""COMPUTED_VALUE"""),"FRANQUIA_D&amp;G_SP")</f>
        <v>FRANQUIA_D&amp;G_SP</v>
      </c>
      <c r="F1366" s="7" t="str">
        <f>IFERROR(__xludf.DUMMYFUNCTION("""COMPUTED_VALUE"""),"MOTORCYCLE")</f>
        <v>MOTORCYCLE</v>
      </c>
      <c r="G1366" s="7" t="str">
        <f>IFERROR(__xludf.DUMMYFUNCTION("""COMPUTED_VALUE"""),"SAO PAULO")</f>
        <v>SAO PAULO</v>
      </c>
    </row>
    <row r="1367">
      <c r="A1367" s="6">
        <f>IFERROR(__xludf.DUMMYFUNCTION("""COMPUTED_VALUE"""),45705.0)</f>
        <v>45705</v>
      </c>
      <c r="B1367" s="7" t="str">
        <f>IFERROR(__xludf.DUMMYFUNCTION("""COMPUTED_VALUE"""),"dd23ef54-3b2a-4bb4-87f3-9221bf31aeb5")</f>
        <v>dd23ef54-3b2a-4bb4-87f3-9221bf31aeb5</v>
      </c>
      <c r="C1367" s="7">
        <f>IFERROR(__xludf.DUMMYFUNCTION("""COMPUTED_VALUE"""),0.0)</f>
        <v>0</v>
      </c>
      <c r="D1367" s="6">
        <f>IFERROR(__xludf.DUMMYFUNCTION("""COMPUTED_VALUE"""),45705.0)</f>
        <v>45705</v>
      </c>
      <c r="E1367" s="7" t="str">
        <f>IFERROR(__xludf.DUMMYFUNCTION("""COMPUTED_VALUE"""),"FRANQUIA_D&amp;G_SP")</f>
        <v>FRANQUIA_D&amp;G_SP</v>
      </c>
      <c r="F1367" s="7" t="str">
        <f>IFERROR(__xludf.DUMMYFUNCTION("""COMPUTED_VALUE"""),"MOTORCYCLE")</f>
        <v>MOTORCYCLE</v>
      </c>
      <c r="G1367" s="7" t="str">
        <f>IFERROR(__xludf.DUMMYFUNCTION("""COMPUTED_VALUE"""),"SAO PAULO")</f>
        <v>SAO PAULO</v>
      </c>
    </row>
    <row r="1368">
      <c r="A1368" s="6">
        <f>IFERROR(__xludf.DUMMYFUNCTION("""COMPUTED_VALUE"""),45705.0)</f>
        <v>45705</v>
      </c>
      <c r="B1368" s="7" t="str">
        <f>IFERROR(__xludf.DUMMYFUNCTION("""COMPUTED_VALUE"""),"1098aac2-abb1-439f-9fbb-0f1590f9550a")</f>
        <v>1098aac2-abb1-439f-9fbb-0f1590f9550a</v>
      </c>
      <c r="C1368" s="7">
        <f>IFERROR(__xludf.DUMMYFUNCTION("""COMPUTED_VALUE"""),0.0)</f>
        <v>0</v>
      </c>
      <c r="D1368" s="6">
        <f>IFERROR(__xludf.DUMMYFUNCTION("""COMPUTED_VALUE"""),45705.0)</f>
        <v>45705</v>
      </c>
      <c r="E1368" s="7" t="str">
        <f>IFERROR(__xludf.DUMMYFUNCTION("""COMPUTED_VALUE"""),"FRANQUIA_D&amp;G_SP")</f>
        <v>FRANQUIA_D&amp;G_SP</v>
      </c>
      <c r="F1368" s="7" t="str">
        <f>IFERROR(__xludf.DUMMYFUNCTION("""COMPUTED_VALUE"""),"BICYCLE")</f>
        <v>BICYCLE</v>
      </c>
      <c r="G1368" s="7" t="str">
        <f>IFERROR(__xludf.DUMMYFUNCTION("""COMPUTED_VALUE"""),"SAO PAULO")</f>
        <v>SAO PAULO</v>
      </c>
    </row>
    <row r="1369">
      <c r="A1369" s="6">
        <f>IFERROR(__xludf.DUMMYFUNCTION("""COMPUTED_VALUE"""),45705.0)</f>
        <v>45705</v>
      </c>
      <c r="B1369" s="7" t="str">
        <f>IFERROR(__xludf.DUMMYFUNCTION("""COMPUTED_VALUE"""),"d2f33c09-9c37-47d7-8226-008e86b8a0bb")</f>
        <v>d2f33c09-9c37-47d7-8226-008e86b8a0bb</v>
      </c>
      <c r="C1369" s="7">
        <f>IFERROR(__xludf.DUMMYFUNCTION("""COMPUTED_VALUE"""),0.0)</f>
        <v>0</v>
      </c>
      <c r="D1369" s="6">
        <f>IFERROR(__xludf.DUMMYFUNCTION("""COMPUTED_VALUE"""),45705.0)</f>
        <v>45705</v>
      </c>
      <c r="E1369" s="7" t="str">
        <f>IFERROR(__xludf.DUMMYFUNCTION("""COMPUTED_VALUE"""),"FRANQUIA_D&amp;G_SP")</f>
        <v>FRANQUIA_D&amp;G_SP</v>
      </c>
      <c r="F1369" s="7" t="str">
        <f>IFERROR(__xludf.DUMMYFUNCTION("""COMPUTED_VALUE"""),"MOTORCYCLE")</f>
        <v>MOTORCYCLE</v>
      </c>
      <c r="G1369" s="7" t="str">
        <f>IFERROR(__xludf.DUMMYFUNCTION("""COMPUTED_VALUE"""),"SAO PAULO")</f>
        <v>SAO PAULO</v>
      </c>
    </row>
    <row r="1370">
      <c r="A1370" s="6">
        <f>IFERROR(__xludf.DUMMYFUNCTION("""COMPUTED_VALUE"""),45705.0)</f>
        <v>45705</v>
      </c>
      <c r="B1370" s="7" t="str">
        <f>IFERROR(__xludf.DUMMYFUNCTION("""COMPUTED_VALUE"""),"f3ae75b2-480d-48ff-88ab-ecb33af14da8")</f>
        <v>f3ae75b2-480d-48ff-88ab-ecb33af14da8</v>
      </c>
      <c r="C1370" s="7">
        <f>IFERROR(__xludf.DUMMYFUNCTION("""COMPUTED_VALUE"""),0.0)</f>
        <v>0</v>
      </c>
      <c r="D1370" s="6">
        <f>IFERROR(__xludf.DUMMYFUNCTION("""COMPUTED_VALUE"""),45705.0)</f>
        <v>45705</v>
      </c>
      <c r="E1370" s="7" t="str">
        <f>IFERROR(__xludf.DUMMYFUNCTION("""COMPUTED_VALUE"""),"FRANQUIA_D&amp;G_SP")</f>
        <v>FRANQUIA_D&amp;G_SP</v>
      </c>
      <c r="F1370" s="7" t="str">
        <f>IFERROR(__xludf.DUMMYFUNCTION("""COMPUTED_VALUE"""),"MOTORCYCLE")</f>
        <v>MOTORCYCLE</v>
      </c>
      <c r="G1370" s="7" t="str">
        <f>IFERROR(__xludf.DUMMYFUNCTION("""COMPUTED_VALUE"""),"SAO PAULO")</f>
        <v>SAO PAULO</v>
      </c>
    </row>
    <row r="1371">
      <c r="A1371" s="6">
        <f>IFERROR(__xludf.DUMMYFUNCTION("""COMPUTED_VALUE"""),45705.0)</f>
        <v>45705</v>
      </c>
      <c r="B1371" s="7" t="str">
        <f>IFERROR(__xludf.DUMMYFUNCTION("""COMPUTED_VALUE"""),"2838cc40-631e-49b9-b535-5614a96f19a7")</f>
        <v>2838cc40-631e-49b9-b535-5614a96f19a7</v>
      </c>
      <c r="C1371" s="7">
        <f>IFERROR(__xludf.DUMMYFUNCTION("""COMPUTED_VALUE"""),0.0)</f>
        <v>0</v>
      </c>
      <c r="D1371" s="6">
        <f>IFERROR(__xludf.DUMMYFUNCTION("""COMPUTED_VALUE"""),45705.0)</f>
        <v>45705</v>
      </c>
      <c r="E1371" s="7" t="str">
        <f>IFERROR(__xludf.DUMMYFUNCTION("""COMPUTED_VALUE"""),"FRANQUIA_D&amp;G_SP")</f>
        <v>FRANQUIA_D&amp;G_SP</v>
      </c>
      <c r="F1371" s="7" t="str">
        <f>IFERROR(__xludf.DUMMYFUNCTION("""COMPUTED_VALUE"""),"MOTORCYCLE")</f>
        <v>MOTORCYCLE</v>
      </c>
      <c r="G1371" s="7" t="str">
        <f>IFERROR(__xludf.DUMMYFUNCTION("""COMPUTED_VALUE"""),"SAO PAULO")</f>
        <v>SAO PAULO</v>
      </c>
    </row>
    <row r="1372">
      <c r="A1372" s="6">
        <f>IFERROR(__xludf.DUMMYFUNCTION("""COMPUTED_VALUE"""),45705.0)</f>
        <v>45705</v>
      </c>
      <c r="B1372" s="7" t="str">
        <f>IFERROR(__xludf.DUMMYFUNCTION("""COMPUTED_VALUE"""),"ce554d5c-82e2-4c7e-a565-42823028e036")</f>
        <v>ce554d5c-82e2-4c7e-a565-42823028e036</v>
      </c>
      <c r="C1372" s="7">
        <f>IFERROR(__xludf.DUMMYFUNCTION("""COMPUTED_VALUE"""),1.0)</f>
        <v>1</v>
      </c>
      <c r="D1372" s="6">
        <f>IFERROR(__xludf.DUMMYFUNCTION("""COMPUTED_VALUE"""),45704.0)</f>
        <v>45704</v>
      </c>
      <c r="E1372" s="7" t="str">
        <f>IFERROR(__xludf.DUMMYFUNCTION("""COMPUTED_VALUE"""),"FRANQUIA_D&amp;G_SP")</f>
        <v>FRANQUIA_D&amp;G_SP</v>
      </c>
      <c r="F1372" s="7" t="str">
        <f>IFERROR(__xludf.DUMMYFUNCTION("""COMPUTED_VALUE"""),"BICYCLE")</f>
        <v>BICYCLE</v>
      </c>
      <c r="G1372" s="7" t="str">
        <f>IFERROR(__xludf.DUMMYFUNCTION("""COMPUTED_VALUE"""),"SAO PAULO")</f>
        <v>SAO PAULO</v>
      </c>
    </row>
    <row r="1373">
      <c r="A1373" s="6">
        <f>IFERROR(__xludf.DUMMYFUNCTION("""COMPUTED_VALUE"""),45705.0)</f>
        <v>45705</v>
      </c>
      <c r="B1373" s="7" t="str">
        <f>IFERROR(__xludf.DUMMYFUNCTION("""COMPUTED_VALUE"""),"ea4bb538-0139-49ad-b245-2536bcfefb73")</f>
        <v>ea4bb538-0139-49ad-b245-2536bcfefb73</v>
      </c>
      <c r="C1373" s="7">
        <f>IFERROR(__xludf.DUMMYFUNCTION("""COMPUTED_VALUE"""),2.0)</f>
        <v>2</v>
      </c>
      <c r="D1373" s="6">
        <f>IFERROR(__xludf.DUMMYFUNCTION("""COMPUTED_VALUE"""),45703.0)</f>
        <v>45703</v>
      </c>
      <c r="E1373" s="7" t="str">
        <f>IFERROR(__xludf.DUMMYFUNCTION("""COMPUTED_VALUE"""),"FRANQUIA_D&amp;G_SP")</f>
        <v>FRANQUIA_D&amp;G_SP</v>
      </c>
      <c r="F1373" s="7" t="str">
        <f>IFERROR(__xludf.DUMMYFUNCTION("""COMPUTED_VALUE"""),"MOTORCYCLE")</f>
        <v>MOTORCYCLE</v>
      </c>
      <c r="G1373" s="7" t="str">
        <f>IFERROR(__xludf.DUMMYFUNCTION("""COMPUTED_VALUE"""),"SAO PAULO")</f>
        <v>SAO PAULO</v>
      </c>
    </row>
    <row r="1374">
      <c r="A1374" s="6">
        <f>IFERROR(__xludf.DUMMYFUNCTION("""COMPUTED_VALUE"""),45705.0)</f>
        <v>45705</v>
      </c>
      <c r="B1374" s="7" t="str">
        <f>IFERROR(__xludf.DUMMYFUNCTION("""COMPUTED_VALUE"""),"541dc68c-051f-4c2b-8d7f-404f0f09f3c7")</f>
        <v>541dc68c-051f-4c2b-8d7f-404f0f09f3c7</v>
      </c>
      <c r="C1374" s="7">
        <f>IFERROR(__xludf.DUMMYFUNCTION("""COMPUTED_VALUE"""),1.0)</f>
        <v>1</v>
      </c>
      <c r="D1374" s="6">
        <f>IFERROR(__xludf.DUMMYFUNCTION("""COMPUTED_VALUE"""),45704.0)</f>
        <v>45704</v>
      </c>
      <c r="E1374" s="7" t="str">
        <f>IFERROR(__xludf.DUMMYFUNCTION("""COMPUTED_VALUE"""),"FRANQUIA_D&amp;G_SP")</f>
        <v>FRANQUIA_D&amp;G_SP</v>
      </c>
      <c r="F1374" s="7" t="str">
        <f>IFERROR(__xludf.DUMMYFUNCTION("""COMPUTED_VALUE"""),"MOTORCYCLE")</f>
        <v>MOTORCYCLE</v>
      </c>
      <c r="G1374" s="7" t="str">
        <f>IFERROR(__xludf.DUMMYFUNCTION("""COMPUTED_VALUE"""),"SAO PAULO")</f>
        <v>SAO PAULO</v>
      </c>
    </row>
    <row r="1375">
      <c r="A1375" s="6">
        <f>IFERROR(__xludf.DUMMYFUNCTION("""COMPUTED_VALUE"""),45705.0)</f>
        <v>45705</v>
      </c>
      <c r="B1375" s="7" t="str">
        <f>IFERROR(__xludf.DUMMYFUNCTION("""COMPUTED_VALUE"""),"d91b641b-6115-41ab-8b43-e141cdb25be4")</f>
        <v>d91b641b-6115-41ab-8b43-e141cdb25be4</v>
      </c>
      <c r="C1375" s="7">
        <f>IFERROR(__xludf.DUMMYFUNCTION("""COMPUTED_VALUE"""),0.0)</f>
        <v>0</v>
      </c>
      <c r="D1375" s="6">
        <f>IFERROR(__xludf.DUMMYFUNCTION("""COMPUTED_VALUE"""),45705.0)</f>
        <v>45705</v>
      </c>
      <c r="E1375" s="7" t="str">
        <f>IFERROR(__xludf.DUMMYFUNCTION("""COMPUTED_VALUE"""),"FRANQUIA_D&amp;G_SP")</f>
        <v>FRANQUIA_D&amp;G_SP</v>
      </c>
      <c r="F1375" s="7" t="str">
        <f>IFERROR(__xludf.DUMMYFUNCTION("""COMPUTED_VALUE"""),"MOTORCYCLE")</f>
        <v>MOTORCYCLE</v>
      </c>
      <c r="G1375" s="7" t="str">
        <f>IFERROR(__xludf.DUMMYFUNCTION("""COMPUTED_VALUE"""),"SAO PAULO")</f>
        <v>SAO PAULO</v>
      </c>
    </row>
    <row r="1376">
      <c r="A1376" s="6">
        <f>IFERROR(__xludf.DUMMYFUNCTION("""COMPUTED_VALUE"""),45705.0)</f>
        <v>45705</v>
      </c>
      <c r="B1376" s="7" t="str">
        <f>IFERROR(__xludf.DUMMYFUNCTION("""COMPUTED_VALUE"""),"b6ffcc1f-f07a-480c-b7ba-f0c08e3cb87b")</f>
        <v>b6ffcc1f-f07a-480c-b7ba-f0c08e3cb87b</v>
      </c>
      <c r="C1376" s="7">
        <f>IFERROR(__xludf.DUMMYFUNCTION("""COMPUTED_VALUE"""),0.0)</f>
        <v>0</v>
      </c>
      <c r="D1376" s="6">
        <f>IFERROR(__xludf.DUMMYFUNCTION("""COMPUTED_VALUE"""),45705.0)</f>
        <v>45705</v>
      </c>
      <c r="E1376" s="7" t="str">
        <f>IFERROR(__xludf.DUMMYFUNCTION("""COMPUTED_VALUE"""),"FRANQUIA_D&amp;G_SP")</f>
        <v>FRANQUIA_D&amp;G_SP</v>
      </c>
      <c r="F1376" s="7" t="str">
        <f>IFERROR(__xludf.DUMMYFUNCTION("""COMPUTED_VALUE"""),"BICYCLE")</f>
        <v>BICYCLE</v>
      </c>
      <c r="G1376" s="7" t="str">
        <f>IFERROR(__xludf.DUMMYFUNCTION("""COMPUTED_VALUE"""),"SAO PAULO")</f>
        <v>SAO PAULO</v>
      </c>
    </row>
    <row r="1377">
      <c r="A1377" s="6">
        <f>IFERROR(__xludf.DUMMYFUNCTION("""COMPUTED_VALUE"""),45705.0)</f>
        <v>45705</v>
      </c>
      <c r="B1377" s="7" t="str">
        <f>IFERROR(__xludf.DUMMYFUNCTION("""COMPUTED_VALUE"""),"98e5dd0d-1389-47a0-92d8-fb7717fa9622")</f>
        <v>98e5dd0d-1389-47a0-92d8-fb7717fa9622</v>
      </c>
      <c r="C1377" s="7">
        <f>IFERROR(__xludf.DUMMYFUNCTION("""COMPUTED_VALUE"""),0.0)</f>
        <v>0</v>
      </c>
      <c r="D1377" s="6">
        <f>IFERROR(__xludf.DUMMYFUNCTION("""COMPUTED_VALUE"""),45705.0)</f>
        <v>45705</v>
      </c>
      <c r="E1377" s="7" t="str">
        <f>IFERROR(__xludf.DUMMYFUNCTION("""COMPUTED_VALUE"""),"FRANQUIA_D&amp;G_SP")</f>
        <v>FRANQUIA_D&amp;G_SP</v>
      </c>
      <c r="F1377" s="7" t="str">
        <f>IFERROR(__xludf.DUMMYFUNCTION("""COMPUTED_VALUE"""),"BICYCLE")</f>
        <v>BICYCLE</v>
      </c>
      <c r="G1377" s="7" t="str">
        <f>IFERROR(__xludf.DUMMYFUNCTION("""COMPUTED_VALUE"""),"SAO PAULO")</f>
        <v>SAO PAULO</v>
      </c>
    </row>
    <row r="1378">
      <c r="A1378" s="6">
        <f>IFERROR(__xludf.DUMMYFUNCTION("""COMPUTED_VALUE"""),45705.0)</f>
        <v>45705</v>
      </c>
      <c r="B1378" s="7" t="str">
        <f>IFERROR(__xludf.DUMMYFUNCTION("""COMPUTED_VALUE"""),"57742ac1-7ba3-47c5-8b7c-bb967d51eb66")</f>
        <v>57742ac1-7ba3-47c5-8b7c-bb967d51eb66</v>
      </c>
      <c r="C1378" s="7">
        <f>IFERROR(__xludf.DUMMYFUNCTION("""COMPUTED_VALUE"""),214.0)</f>
        <v>214</v>
      </c>
      <c r="D1378" s="6">
        <f>IFERROR(__xludf.DUMMYFUNCTION("""COMPUTED_VALUE"""),45491.0)</f>
        <v>45491</v>
      </c>
      <c r="E1378" s="7" t="str">
        <f>IFERROR(__xludf.DUMMYFUNCTION("""COMPUTED_VALUE"""),"FRANQUIA_D&amp;G_SP")</f>
        <v>FRANQUIA_D&amp;G_SP</v>
      </c>
      <c r="F1378" s="7" t="str">
        <f>IFERROR(__xludf.DUMMYFUNCTION("""COMPUTED_VALUE"""),"MOTORCYCLE")</f>
        <v>MOTORCYCLE</v>
      </c>
      <c r="G1378" s="7" t="str">
        <f>IFERROR(__xludf.DUMMYFUNCTION("""COMPUTED_VALUE"""),"SAO PAULO")</f>
        <v>SAO PAULO</v>
      </c>
    </row>
    <row r="1379">
      <c r="A1379" s="6">
        <f>IFERROR(__xludf.DUMMYFUNCTION("""COMPUTED_VALUE"""),45705.0)</f>
        <v>45705</v>
      </c>
      <c r="B1379" s="7" t="str">
        <f>IFERROR(__xludf.DUMMYFUNCTION("""COMPUTED_VALUE"""),"69086e0f-b6f7-4e54-8490-a66fe86d6715")</f>
        <v>69086e0f-b6f7-4e54-8490-a66fe86d6715</v>
      </c>
      <c r="C1379" s="7">
        <f>IFERROR(__xludf.DUMMYFUNCTION("""COMPUTED_VALUE"""),305.0)</f>
        <v>305</v>
      </c>
      <c r="D1379" s="6">
        <f>IFERROR(__xludf.DUMMYFUNCTION("""COMPUTED_VALUE"""),45400.0)</f>
        <v>45400</v>
      </c>
      <c r="E1379" s="7" t="str">
        <f>IFERROR(__xludf.DUMMYFUNCTION("""COMPUTED_VALUE"""),"FRANQUIA_D&amp;G_SP")</f>
        <v>FRANQUIA_D&amp;G_SP</v>
      </c>
      <c r="F1379" s="7" t="str">
        <f>IFERROR(__xludf.DUMMYFUNCTION("""COMPUTED_VALUE"""),"BICYCLE")</f>
        <v>BICYCLE</v>
      </c>
      <c r="G1379" s="7" t="str">
        <f>IFERROR(__xludf.DUMMYFUNCTION("""COMPUTED_VALUE"""),"SAO PAULO")</f>
        <v>SAO PAULO</v>
      </c>
    </row>
    <row r="1380">
      <c r="A1380" s="6">
        <f>IFERROR(__xludf.DUMMYFUNCTION("""COMPUTED_VALUE"""),45705.0)</f>
        <v>45705</v>
      </c>
      <c r="B1380" s="7" t="str">
        <f>IFERROR(__xludf.DUMMYFUNCTION("""COMPUTED_VALUE"""),"a27bc55a-7c98-4120-9e4f-e4f9b2fe2a21")</f>
        <v>a27bc55a-7c98-4120-9e4f-e4f9b2fe2a21</v>
      </c>
      <c r="C1380" s="7">
        <f>IFERROR(__xludf.DUMMYFUNCTION("""COMPUTED_VALUE"""),1357.0)</f>
        <v>1357</v>
      </c>
      <c r="D1380" s="6">
        <f>IFERROR(__xludf.DUMMYFUNCTION("""COMPUTED_VALUE"""),44348.0)</f>
        <v>44348</v>
      </c>
      <c r="E1380" s="7" t="str">
        <f>IFERROR(__xludf.DUMMYFUNCTION("""COMPUTED_VALUE"""),"FRANQUIA_D&amp;G_SP")</f>
        <v>FRANQUIA_D&amp;G_SP</v>
      </c>
      <c r="F1380" s="7" t="str">
        <f>IFERROR(__xludf.DUMMYFUNCTION("""COMPUTED_VALUE"""),"BICYCLE")</f>
        <v>BICYCLE</v>
      </c>
      <c r="G1380" s="7" t="str">
        <f>IFERROR(__xludf.DUMMYFUNCTION("""COMPUTED_VALUE"""),"SAO PAULO")</f>
        <v>SAO PAULO</v>
      </c>
    </row>
    <row r="1381">
      <c r="A1381" s="6">
        <f>IFERROR(__xludf.DUMMYFUNCTION("""COMPUTED_VALUE"""),45705.0)</f>
        <v>45705</v>
      </c>
      <c r="B1381" s="7" t="str">
        <f>IFERROR(__xludf.DUMMYFUNCTION("""COMPUTED_VALUE"""),"df84b109-8cf7-46b3-b593-cab19a7e51a4")</f>
        <v>df84b109-8cf7-46b3-b593-cab19a7e51a4</v>
      </c>
      <c r="C1381" s="7">
        <f>IFERROR(__xludf.DUMMYFUNCTION("""COMPUTED_VALUE"""),0.0)</f>
        <v>0</v>
      </c>
      <c r="D1381" s="6">
        <f>IFERROR(__xludf.DUMMYFUNCTION("""COMPUTED_VALUE"""),45705.0)</f>
        <v>45705</v>
      </c>
      <c r="E1381" s="7" t="str">
        <f>IFERROR(__xludf.DUMMYFUNCTION("""COMPUTED_VALUE"""),"FRANQUIA_D&amp;G_SP")</f>
        <v>FRANQUIA_D&amp;G_SP</v>
      </c>
      <c r="F1381" s="7" t="str">
        <f>IFERROR(__xludf.DUMMYFUNCTION("""COMPUTED_VALUE"""),"BICYCLE")</f>
        <v>BICYCLE</v>
      </c>
      <c r="G1381" s="7" t="str">
        <f>IFERROR(__xludf.DUMMYFUNCTION("""COMPUTED_VALUE"""),"SAO PAULO")</f>
        <v>SAO PAULO</v>
      </c>
    </row>
    <row r="1382">
      <c r="A1382" s="6">
        <f>IFERROR(__xludf.DUMMYFUNCTION("""COMPUTED_VALUE"""),45705.0)</f>
        <v>45705</v>
      </c>
      <c r="B1382" s="7" t="str">
        <f>IFERROR(__xludf.DUMMYFUNCTION("""COMPUTED_VALUE"""),"7c6d4d6a-826e-4c9b-8578-9970524e89df")</f>
        <v>7c6d4d6a-826e-4c9b-8578-9970524e89df</v>
      </c>
      <c r="C1382" s="7">
        <f>IFERROR(__xludf.DUMMYFUNCTION("""COMPUTED_VALUE"""),2.0)</f>
        <v>2</v>
      </c>
      <c r="D1382" s="6">
        <f>IFERROR(__xludf.DUMMYFUNCTION("""COMPUTED_VALUE"""),45703.0)</f>
        <v>45703</v>
      </c>
      <c r="E1382" s="7" t="str">
        <f>IFERROR(__xludf.DUMMYFUNCTION("""COMPUTED_VALUE"""),"FRANQUIA_D&amp;G_SP")</f>
        <v>FRANQUIA_D&amp;G_SP</v>
      </c>
      <c r="F1382" s="7" t="str">
        <f>IFERROR(__xludf.DUMMYFUNCTION("""COMPUTED_VALUE"""),"MOTORCYCLE")</f>
        <v>MOTORCYCLE</v>
      </c>
      <c r="G1382" s="7" t="str">
        <f>IFERROR(__xludf.DUMMYFUNCTION("""COMPUTED_VALUE"""),"SAO PAULO")</f>
        <v>SAO PAULO</v>
      </c>
    </row>
    <row r="1383">
      <c r="A1383" s="6">
        <f>IFERROR(__xludf.DUMMYFUNCTION("""COMPUTED_VALUE"""),45705.0)</f>
        <v>45705</v>
      </c>
      <c r="B1383" s="7" t="str">
        <f>IFERROR(__xludf.DUMMYFUNCTION("""COMPUTED_VALUE"""),"d279fe1b-6b45-4934-8744-4e7985acd9bb")</f>
        <v>d279fe1b-6b45-4934-8744-4e7985acd9bb</v>
      </c>
      <c r="C1383" s="7">
        <f>IFERROR(__xludf.DUMMYFUNCTION("""COMPUTED_VALUE"""),114.0)</f>
        <v>114</v>
      </c>
      <c r="D1383" s="6">
        <f>IFERROR(__xludf.DUMMYFUNCTION("""COMPUTED_VALUE"""),45591.0)</f>
        <v>45591</v>
      </c>
      <c r="E1383" s="7" t="str">
        <f>IFERROR(__xludf.DUMMYFUNCTION("""COMPUTED_VALUE"""),"FRANQUIA_D&amp;G_SP")</f>
        <v>FRANQUIA_D&amp;G_SP</v>
      </c>
      <c r="F1383" s="7" t="str">
        <f>IFERROR(__xludf.DUMMYFUNCTION("""COMPUTED_VALUE"""),"MOTORCYCLE")</f>
        <v>MOTORCYCLE</v>
      </c>
      <c r="G1383" s="7" t="str">
        <f>IFERROR(__xludf.DUMMYFUNCTION("""COMPUTED_VALUE"""),"SAO PAULO")</f>
        <v>SAO PAULO</v>
      </c>
    </row>
    <row r="1384">
      <c r="A1384" s="6">
        <f>IFERROR(__xludf.DUMMYFUNCTION("""COMPUTED_VALUE"""),45705.0)</f>
        <v>45705</v>
      </c>
      <c r="B1384" s="7" t="str">
        <f>IFERROR(__xludf.DUMMYFUNCTION("""COMPUTED_VALUE"""),"a040624e-de76-46f0-b038-1a5e4398a078")</f>
        <v>a040624e-de76-46f0-b038-1a5e4398a078</v>
      </c>
      <c r="C1384" s="7">
        <f>IFERROR(__xludf.DUMMYFUNCTION("""COMPUTED_VALUE"""),348.0)</f>
        <v>348</v>
      </c>
      <c r="D1384" s="6">
        <f>IFERROR(__xludf.DUMMYFUNCTION("""COMPUTED_VALUE"""),45357.0)</f>
        <v>45357</v>
      </c>
      <c r="E1384" s="7" t="str">
        <f>IFERROR(__xludf.DUMMYFUNCTION("""COMPUTED_VALUE"""),"FRANQUIA_D&amp;G_SP")</f>
        <v>FRANQUIA_D&amp;G_SP</v>
      </c>
      <c r="F1384" s="7" t="str">
        <f>IFERROR(__xludf.DUMMYFUNCTION("""COMPUTED_VALUE"""),"BICYCLE")</f>
        <v>BICYCLE</v>
      </c>
      <c r="G1384" s="7" t="str">
        <f>IFERROR(__xludf.DUMMYFUNCTION("""COMPUTED_VALUE"""),"SAO PAULO")</f>
        <v>SAO PAULO</v>
      </c>
    </row>
    <row r="1385">
      <c r="A1385" s="6">
        <f>IFERROR(__xludf.DUMMYFUNCTION("""COMPUTED_VALUE"""),45705.0)</f>
        <v>45705</v>
      </c>
      <c r="B1385" s="7" t="str">
        <f>IFERROR(__xludf.DUMMYFUNCTION("""COMPUTED_VALUE"""),"48c9e0b1-d894-400d-a7c4-fa93f97b496d")</f>
        <v>48c9e0b1-d894-400d-a7c4-fa93f97b496d</v>
      </c>
      <c r="C1385" s="7">
        <f>IFERROR(__xludf.DUMMYFUNCTION("""COMPUTED_VALUE"""),210.0)</f>
        <v>210</v>
      </c>
      <c r="D1385" s="6">
        <f>IFERROR(__xludf.DUMMYFUNCTION("""COMPUTED_VALUE"""),45495.0)</f>
        <v>45495</v>
      </c>
      <c r="E1385" s="7" t="str">
        <f>IFERROR(__xludf.DUMMYFUNCTION("""COMPUTED_VALUE"""),"FRANQUIA_D&amp;G_SP")</f>
        <v>FRANQUIA_D&amp;G_SP</v>
      </c>
      <c r="F1385" s="7" t="str">
        <f>IFERROR(__xludf.DUMMYFUNCTION("""COMPUTED_VALUE"""),"MOTORCYCLE")</f>
        <v>MOTORCYCLE</v>
      </c>
      <c r="G1385" s="7" t="str">
        <f>IFERROR(__xludf.DUMMYFUNCTION("""COMPUTED_VALUE"""),"SAO PAULO")</f>
        <v>SAO PAULO</v>
      </c>
    </row>
    <row r="1386">
      <c r="A1386" s="6">
        <f>IFERROR(__xludf.DUMMYFUNCTION("""COMPUTED_VALUE"""),45705.0)</f>
        <v>45705</v>
      </c>
      <c r="B1386" s="7" t="str">
        <f>IFERROR(__xludf.DUMMYFUNCTION("""COMPUTED_VALUE"""),"a6f20739-6243-4259-b056-8fd72ff5d97d")</f>
        <v>a6f20739-6243-4259-b056-8fd72ff5d97d</v>
      </c>
      <c r="C1386" s="7">
        <f>IFERROR(__xludf.DUMMYFUNCTION("""COMPUTED_VALUE"""),3.0)</f>
        <v>3</v>
      </c>
      <c r="D1386" s="6">
        <f>IFERROR(__xludf.DUMMYFUNCTION("""COMPUTED_VALUE"""),45702.0)</f>
        <v>45702</v>
      </c>
      <c r="E1386" s="7" t="str">
        <f>IFERROR(__xludf.DUMMYFUNCTION("""COMPUTED_VALUE"""),"FRANQUIA_D&amp;G_SP")</f>
        <v>FRANQUIA_D&amp;G_SP</v>
      </c>
      <c r="F1386" s="7" t="str">
        <f>IFERROR(__xludf.DUMMYFUNCTION("""COMPUTED_VALUE"""),"MOTORCYCLE")</f>
        <v>MOTORCYCLE</v>
      </c>
      <c r="G1386" s="7" t="str">
        <f>IFERROR(__xludf.DUMMYFUNCTION("""COMPUTED_VALUE"""),"SAO PAULO")</f>
        <v>SAO PAULO</v>
      </c>
    </row>
    <row r="1387">
      <c r="A1387" s="6">
        <f>IFERROR(__xludf.DUMMYFUNCTION("""COMPUTED_VALUE"""),45705.0)</f>
        <v>45705</v>
      </c>
      <c r="B1387" s="7" t="str">
        <f>IFERROR(__xludf.DUMMYFUNCTION("""COMPUTED_VALUE"""),"b732f24a-d86f-4f1f-93c2-4f963b8370ed")</f>
        <v>b732f24a-d86f-4f1f-93c2-4f963b8370ed</v>
      </c>
      <c r="C1387" s="7">
        <f>IFERROR(__xludf.DUMMYFUNCTION("""COMPUTED_VALUE"""),0.0)</f>
        <v>0</v>
      </c>
      <c r="D1387" s="6">
        <f>IFERROR(__xludf.DUMMYFUNCTION("""COMPUTED_VALUE"""),45705.0)</f>
        <v>45705</v>
      </c>
      <c r="E1387" s="7" t="str">
        <f>IFERROR(__xludf.DUMMYFUNCTION("""COMPUTED_VALUE"""),"FRANQUIA_D&amp;G_SP")</f>
        <v>FRANQUIA_D&amp;G_SP</v>
      </c>
      <c r="F1387" s="7" t="str">
        <f>IFERROR(__xludf.DUMMYFUNCTION("""COMPUTED_VALUE"""),"MOTORCYCLE")</f>
        <v>MOTORCYCLE</v>
      </c>
      <c r="G1387" s="7" t="str">
        <f>IFERROR(__xludf.DUMMYFUNCTION("""COMPUTED_VALUE"""),"SAO PAULO")</f>
        <v>SAO PAULO</v>
      </c>
    </row>
    <row r="1388">
      <c r="A1388" s="6">
        <f>IFERROR(__xludf.DUMMYFUNCTION("""COMPUTED_VALUE"""),45705.0)</f>
        <v>45705</v>
      </c>
      <c r="B1388" s="7" t="str">
        <f>IFERROR(__xludf.DUMMYFUNCTION("""COMPUTED_VALUE"""),"f3d06b6c-0138-4bda-8357-bdf435f2ea57")</f>
        <v>f3d06b6c-0138-4bda-8357-bdf435f2ea57</v>
      </c>
      <c r="C1388" s="7">
        <f>IFERROR(__xludf.DUMMYFUNCTION("""COMPUTED_VALUE"""),0.0)</f>
        <v>0</v>
      </c>
      <c r="D1388" s="6">
        <f>IFERROR(__xludf.DUMMYFUNCTION("""COMPUTED_VALUE"""),45705.0)</f>
        <v>45705</v>
      </c>
      <c r="E1388" s="7" t="str">
        <f>IFERROR(__xludf.DUMMYFUNCTION("""COMPUTED_VALUE"""),"FRANQUIA_D&amp;G_SP")</f>
        <v>FRANQUIA_D&amp;G_SP</v>
      </c>
      <c r="F1388" s="7" t="str">
        <f>IFERROR(__xludf.DUMMYFUNCTION("""COMPUTED_VALUE"""),"MOTORCYCLE")</f>
        <v>MOTORCYCLE</v>
      </c>
      <c r="G1388" s="7" t="str">
        <f>IFERROR(__xludf.DUMMYFUNCTION("""COMPUTED_VALUE"""),"SAO PAULO")</f>
        <v>SAO PAULO</v>
      </c>
    </row>
    <row r="1389">
      <c r="A1389" s="6">
        <f>IFERROR(__xludf.DUMMYFUNCTION("""COMPUTED_VALUE"""),45705.0)</f>
        <v>45705</v>
      </c>
      <c r="B1389" s="7" t="str">
        <f>IFERROR(__xludf.DUMMYFUNCTION("""COMPUTED_VALUE"""),"170e82ec-ed1b-4dbe-8b09-147e5d4b754e")</f>
        <v>170e82ec-ed1b-4dbe-8b09-147e5d4b754e</v>
      </c>
      <c r="C1389" s="7">
        <f>IFERROR(__xludf.DUMMYFUNCTION("""COMPUTED_VALUE"""),444.0)</f>
        <v>444</v>
      </c>
      <c r="D1389" s="6">
        <f>IFERROR(__xludf.DUMMYFUNCTION("""COMPUTED_VALUE"""),45261.0)</f>
        <v>45261</v>
      </c>
      <c r="E1389" s="7" t="str">
        <f>IFERROR(__xludf.DUMMYFUNCTION("""COMPUTED_VALUE"""),"FRANQUIA_D&amp;G_SP")</f>
        <v>FRANQUIA_D&amp;G_SP</v>
      </c>
      <c r="F1389" s="7" t="str">
        <f>IFERROR(__xludf.DUMMYFUNCTION("""COMPUTED_VALUE"""),"MOTORCYCLE")</f>
        <v>MOTORCYCLE</v>
      </c>
      <c r="G1389" s="7" t="str">
        <f>IFERROR(__xludf.DUMMYFUNCTION("""COMPUTED_VALUE"""),"TABOAO DA SERRA")</f>
        <v>TABOAO DA SERRA</v>
      </c>
    </row>
    <row r="1390">
      <c r="A1390" s="6">
        <f>IFERROR(__xludf.DUMMYFUNCTION("""COMPUTED_VALUE"""),45705.0)</f>
        <v>45705</v>
      </c>
      <c r="B1390" s="7" t="str">
        <f>IFERROR(__xludf.DUMMYFUNCTION("""COMPUTED_VALUE"""),"e7fd4318-487d-4ea4-b7b2-6e04193102e0")</f>
        <v>e7fd4318-487d-4ea4-b7b2-6e04193102e0</v>
      </c>
      <c r="C1390" s="7">
        <f>IFERROR(__xludf.DUMMYFUNCTION("""COMPUTED_VALUE"""),84.0)</f>
        <v>84</v>
      </c>
      <c r="D1390" s="6">
        <f>IFERROR(__xludf.DUMMYFUNCTION("""COMPUTED_VALUE"""),45621.0)</f>
        <v>45621</v>
      </c>
      <c r="E1390" s="7" t="str">
        <f>IFERROR(__xludf.DUMMYFUNCTION("""COMPUTED_VALUE"""),"FRANQUIA_D&amp;G_SP")</f>
        <v>FRANQUIA_D&amp;G_SP</v>
      </c>
      <c r="F1390" s="7" t="str">
        <f>IFERROR(__xludf.DUMMYFUNCTION("""COMPUTED_VALUE"""),"MOTORCYCLE")</f>
        <v>MOTORCYCLE</v>
      </c>
      <c r="G1390" s="7" t="str">
        <f>IFERROR(__xludf.DUMMYFUNCTION("""COMPUTED_VALUE"""),"SAO PAULO")</f>
        <v>SAO PAULO</v>
      </c>
    </row>
    <row r="1391">
      <c r="A1391" s="6">
        <f>IFERROR(__xludf.DUMMYFUNCTION("""COMPUTED_VALUE"""),45705.0)</f>
        <v>45705</v>
      </c>
      <c r="B1391" s="7" t="str">
        <f>IFERROR(__xludf.DUMMYFUNCTION("""COMPUTED_VALUE"""),"0719f769-8371-45a9-8a39-72ebcfcbb16c")</f>
        <v>0719f769-8371-45a9-8a39-72ebcfcbb16c</v>
      </c>
      <c r="C1391" s="7">
        <f>IFERROR(__xludf.DUMMYFUNCTION("""COMPUTED_VALUE"""),17.0)</f>
        <v>17</v>
      </c>
      <c r="D1391" s="6">
        <f>IFERROR(__xludf.DUMMYFUNCTION("""COMPUTED_VALUE"""),45688.0)</f>
        <v>45688</v>
      </c>
      <c r="E1391" s="7" t="str">
        <f>IFERROR(__xludf.DUMMYFUNCTION("""COMPUTED_VALUE"""),"FRANQUIA_D&amp;G_SP")</f>
        <v>FRANQUIA_D&amp;G_SP</v>
      </c>
      <c r="F1391" s="7" t="str">
        <f>IFERROR(__xludf.DUMMYFUNCTION("""COMPUTED_VALUE"""),"MOTORCYCLE")</f>
        <v>MOTORCYCLE</v>
      </c>
      <c r="G1391" s="7" t="str">
        <f>IFERROR(__xludf.DUMMYFUNCTION("""COMPUTED_VALUE"""),"SAO PAULO")</f>
        <v>SAO PAULO</v>
      </c>
    </row>
    <row r="1392">
      <c r="A1392" s="6">
        <f>IFERROR(__xludf.DUMMYFUNCTION("""COMPUTED_VALUE"""),45705.0)</f>
        <v>45705</v>
      </c>
      <c r="B1392" s="7" t="str">
        <f>IFERROR(__xludf.DUMMYFUNCTION("""COMPUTED_VALUE"""),"7dd92986-70a8-402a-ac81-1982dfcf2078")</f>
        <v>7dd92986-70a8-402a-ac81-1982dfcf2078</v>
      </c>
      <c r="C1392" s="7">
        <f>IFERROR(__xludf.DUMMYFUNCTION("""COMPUTED_VALUE"""),0.0)</f>
        <v>0</v>
      </c>
      <c r="D1392" s="6">
        <f>IFERROR(__xludf.DUMMYFUNCTION("""COMPUTED_VALUE"""),45705.0)</f>
        <v>45705</v>
      </c>
      <c r="E1392" s="7" t="str">
        <f>IFERROR(__xludf.DUMMYFUNCTION("""COMPUTED_VALUE"""),"FRANQUIA_D&amp;G_SP")</f>
        <v>FRANQUIA_D&amp;G_SP</v>
      </c>
      <c r="F1392" s="7" t="str">
        <f>IFERROR(__xludf.DUMMYFUNCTION("""COMPUTED_VALUE"""),"MOTORCYCLE")</f>
        <v>MOTORCYCLE</v>
      </c>
      <c r="G1392" s="7" t="str">
        <f>IFERROR(__xludf.DUMMYFUNCTION("""COMPUTED_VALUE"""),"SAO PAULO")</f>
        <v>SAO PAULO</v>
      </c>
    </row>
    <row r="1393">
      <c r="A1393" s="6">
        <f>IFERROR(__xludf.DUMMYFUNCTION("""COMPUTED_VALUE"""),45705.0)</f>
        <v>45705</v>
      </c>
      <c r="B1393" s="7" t="str">
        <f>IFERROR(__xludf.DUMMYFUNCTION("""COMPUTED_VALUE"""),"b09e331a-1d14-4c03-b3a2-2544a6cc4403")</f>
        <v>b09e331a-1d14-4c03-b3a2-2544a6cc4403</v>
      </c>
      <c r="C1393" s="7">
        <f>IFERROR(__xludf.DUMMYFUNCTION("""COMPUTED_VALUE"""),0.0)</f>
        <v>0</v>
      </c>
      <c r="D1393" s="6">
        <f>IFERROR(__xludf.DUMMYFUNCTION("""COMPUTED_VALUE"""),45705.0)</f>
        <v>45705</v>
      </c>
      <c r="E1393" s="7" t="str">
        <f>IFERROR(__xludf.DUMMYFUNCTION("""COMPUTED_VALUE"""),"FRANQUIA_D&amp;G_SP")</f>
        <v>FRANQUIA_D&amp;G_SP</v>
      </c>
      <c r="F1393" s="7" t="str">
        <f>IFERROR(__xludf.DUMMYFUNCTION("""COMPUTED_VALUE"""),"MOTORCYCLE")</f>
        <v>MOTORCYCLE</v>
      </c>
      <c r="G1393" s="7" t="str">
        <f>IFERROR(__xludf.DUMMYFUNCTION("""COMPUTED_VALUE"""),"SAO PAULO")</f>
        <v>SAO PAULO</v>
      </c>
    </row>
    <row r="1394">
      <c r="A1394" s="6">
        <f>IFERROR(__xludf.DUMMYFUNCTION("""COMPUTED_VALUE"""),45705.0)</f>
        <v>45705</v>
      </c>
      <c r="B1394" s="7" t="str">
        <f>IFERROR(__xludf.DUMMYFUNCTION("""COMPUTED_VALUE"""),"74af60f0-d526-47c8-9f35-7596956101c4")</f>
        <v>74af60f0-d526-47c8-9f35-7596956101c4</v>
      </c>
      <c r="C1394" s="7">
        <f>IFERROR(__xludf.DUMMYFUNCTION("""COMPUTED_VALUE"""),0.0)</f>
        <v>0</v>
      </c>
      <c r="D1394" s="6">
        <f>IFERROR(__xludf.DUMMYFUNCTION("""COMPUTED_VALUE"""),45705.0)</f>
        <v>45705</v>
      </c>
      <c r="E1394" s="7" t="str">
        <f>IFERROR(__xludf.DUMMYFUNCTION("""COMPUTED_VALUE"""),"FRANQUIA_D&amp;G_SP")</f>
        <v>FRANQUIA_D&amp;G_SP</v>
      </c>
      <c r="F1394" s="7" t="str">
        <f>IFERROR(__xludf.DUMMYFUNCTION("""COMPUTED_VALUE"""),"MOTORCYCLE")</f>
        <v>MOTORCYCLE</v>
      </c>
      <c r="G1394" s="7" t="str">
        <f>IFERROR(__xludf.DUMMYFUNCTION("""COMPUTED_VALUE"""),"SAO PAULO")</f>
        <v>SAO PAULO</v>
      </c>
    </row>
    <row r="1395">
      <c r="A1395" s="6">
        <f>IFERROR(__xludf.DUMMYFUNCTION("""COMPUTED_VALUE"""),45705.0)</f>
        <v>45705</v>
      </c>
      <c r="B1395" s="7" t="str">
        <f>IFERROR(__xludf.DUMMYFUNCTION("""COMPUTED_VALUE"""),"2d1b7935-9dc5-4f64-8855-e1933b0b1af5")</f>
        <v>2d1b7935-9dc5-4f64-8855-e1933b0b1af5</v>
      </c>
      <c r="C1395" s="7">
        <f>IFERROR(__xludf.DUMMYFUNCTION("""COMPUTED_VALUE"""),1.0)</f>
        <v>1</v>
      </c>
      <c r="D1395" s="6">
        <f>IFERROR(__xludf.DUMMYFUNCTION("""COMPUTED_VALUE"""),45704.0)</f>
        <v>45704</v>
      </c>
      <c r="E1395" s="7" t="str">
        <f>IFERROR(__xludf.DUMMYFUNCTION("""COMPUTED_VALUE"""),"FRANQUIA_D&amp;G_SP")</f>
        <v>FRANQUIA_D&amp;G_SP</v>
      </c>
      <c r="F1395" s="7" t="str">
        <f>IFERROR(__xludf.DUMMYFUNCTION("""COMPUTED_VALUE"""),"BICYCLE")</f>
        <v>BICYCLE</v>
      </c>
      <c r="G1395" s="7" t="str">
        <f>IFERROR(__xludf.DUMMYFUNCTION("""COMPUTED_VALUE"""),"SAO PAULO")</f>
        <v>SAO PAULO</v>
      </c>
    </row>
    <row r="1396">
      <c r="A1396" s="6">
        <f>IFERROR(__xludf.DUMMYFUNCTION("""COMPUTED_VALUE"""),45705.0)</f>
        <v>45705</v>
      </c>
      <c r="B1396" s="7" t="str">
        <f>IFERROR(__xludf.DUMMYFUNCTION("""COMPUTED_VALUE"""),"b49b91a5-5fa1-4e19-8a2a-cb980c77f0ac")</f>
        <v>b49b91a5-5fa1-4e19-8a2a-cb980c77f0ac</v>
      </c>
      <c r="C1396" s="7">
        <f>IFERROR(__xludf.DUMMYFUNCTION("""COMPUTED_VALUE"""),1.0)</f>
        <v>1</v>
      </c>
      <c r="D1396" s="6">
        <f>IFERROR(__xludf.DUMMYFUNCTION("""COMPUTED_VALUE"""),45704.0)</f>
        <v>45704</v>
      </c>
      <c r="E1396" s="7" t="str">
        <f>IFERROR(__xludf.DUMMYFUNCTION("""COMPUTED_VALUE"""),"FRANQUIA_D&amp;G_SP")</f>
        <v>FRANQUIA_D&amp;G_SP</v>
      </c>
      <c r="F1396" s="7" t="str">
        <f>IFERROR(__xludf.DUMMYFUNCTION("""COMPUTED_VALUE"""),"BICYCLE")</f>
        <v>BICYCLE</v>
      </c>
      <c r="G1396" s="7" t="str">
        <f>IFERROR(__xludf.DUMMYFUNCTION("""COMPUTED_VALUE"""),"SAO PAULO")</f>
        <v>SAO PAULO</v>
      </c>
    </row>
    <row r="1397">
      <c r="A1397" s="6">
        <f>IFERROR(__xludf.DUMMYFUNCTION("""COMPUTED_VALUE"""),45705.0)</f>
        <v>45705</v>
      </c>
      <c r="B1397" s="7" t="str">
        <f>IFERROR(__xludf.DUMMYFUNCTION("""COMPUTED_VALUE"""),"622508ac-f268-4969-8a20-b862d38df371")</f>
        <v>622508ac-f268-4969-8a20-b862d38df371</v>
      </c>
      <c r="C1397" s="7">
        <f>IFERROR(__xludf.DUMMYFUNCTION("""COMPUTED_VALUE"""),0.0)</f>
        <v>0</v>
      </c>
      <c r="D1397" s="6">
        <f>IFERROR(__xludf.DUMMYFUNCTION("""COMPUTED_VALUE"""),45705.0)</f>
        <v>45705</v>
      </c>
      <c r="E1397" s="7" t="str">
        <f>IFERROR(__xludf.DUMMYFUNCTION("""COMPUTED_VALUE"""),"FRANQUIA_D&amp;G_SP")</f>
        <v>FRANQUIA_D&amp;G_SP</v>
      </c>
      <c r="F1397" s="7" t="str">
        <f>IFERROR(__xludf.DUMMYFUNCTION("""COMPUTED_VALUE"""),"MOTORCYCLE")</f>
        <v>MOTORCYCLE</v>
      </c>
      <c r="G1397" s="7" t="str">
        <f>IFERROR(__xludf.DUMMYFUNCTION("""COMPUTED_VALUE"""),"SAO PAULO")</f>
        <v>SAO PAULO</v>
      </c>
    </row>
    <row r="1398">
      <c r="A1398" s="6">
        <f>IFERROR(__xludf.DUMMYFUNCTION("""COMPUTED_VALUE"""),45705.0)</f>
        <v>45705</v>
      </c>
      <c r="B1398" s="7" t="str">
        <f>IFERROR(__xludf.DUMMYFUNCTION("""COMPUTED_VALUE"""),"2ac8be81-8668-45aa-b8d4-5abd3dc397e5")</f>
        <v>2ac8be81-8668-45aa-b8d4-5abd3dc397e5</v>
      </c>
      <c r="C1398" s="7">
        <f>IFERROR(__xludf.DUMMYFUNCTION("""COMPUTED_VALUE"""),95.0)</f>
        <v>95</v>
      </c>
      <c r="D1398" s="6">
        <f>IFERROR(__xludf.DUMMYFUNCTION("""COMPUTED_VALUE"""),45610.0)</f>
        <v>45610</v>
      </c>
      <c r="E1398" s="7" t="str">
        <f>IFERROR(__xludf.DUMMYFUNCTION("""COMPUTED_VALUE"""),"FRANQUIA_D&amp;G_SP")</f>
        <v>FRANQUIA_D&amp;G_SP</v>
      </c>
      <c r="F1398" s="7" t="str">
        <f>IFERROR(__xludf.DUMMYFUNCTION("""COMPUTED_VALUE"""),"MOTORCYCLE")</f>
        <v>MOTORCYCLE</v>
      </c>
      <c r="G1398" s="7" t="str">
        <f>IFERROR(__xludf.DUMMYFUNCTION("""COMPUTED_VALUE"""),"SAO PAULO")</f>
        <v>SAO PAULO</v>
      </c>
    </row>
    <row r="1399">
      <c r="A1399" s="6">
        <f>IFERROR(__xludf.DUMMYFUNCTION("""COMPUTED_VALUE"""),45705.0)</f>
        <v>45705</v>
      </c>
      <c r="B1399" s="7" t="str">
        <f>IFERROR(__xludf.DUMMYFUNCTION("""COMPUTED_VALUE"""),"2c7bb3a6-5d98-418a-a715-5ec584fecfdd")</f>
        <v>2c7bb3a6-5d98-418a-a715-5ec584fecfdd</v>
      </c>
      <c r="C1399" s="7">
        <f>IFERROR(__xludf.DUMMYFUNCTION("""COMPUTED_VALUE"""),0.0)</f>
        <v>0</v>
      </c>
      <c r="D1399" s="6">
        <f>IFERROR(__xludf.DUMMYFUNCTION("""COMPUTED_VALUE"""),45705.0)</f>
        <v>45705</v>
      </c>
      <c r="E1399" s="7" t="str">
        <f>IFERROR(__xludf.DUMMYFUNCTION("""COMPUTED_VALUE"""),"FRANQUIA_D&amp;G_SP")</f>
        <v>FRANQUIA_D&amp;G_SP</v>
      </c>
      <c r="F1399" s="7" t="str">
        <f>IFERROR(__xludf.DUMMYFUNCTION("""COMPUTED_VALUE"""),"MOTORCYCLE")</f>
        <v>MOTORCYCLE</v>
      </c>
      <c r="G1399" s="7" t="str">
        <f>IFERROR(__xludf.DUMMYFUNCTION("""COMPUTED_VALUE"""),"TABOAO DA SERRA")</f>
        <v>TABOAO DA SERRA</v>
      </c>
    </row>
    <row r="1400">
      <c r="A1400" s="6">
        <f>IFERROR(__xludf.DUMMYFUNCTION("""COMPUTED_VALUE"""),45705.0)</f>
        <v>45705</v>
      </c>
      <c r="B1400" s="7" t="str">
        <f>IFERROR(__xludf.DUMMYFUNCTION("""COMPUTED_VALUE"""),"237ee782-3ba3-42f1-88bd-a759a7a500d6")</f>
        <v>237ee782-3ba3-42f1-88bd-a759a7a500d6</v>
      </c>
      <c r="C1400" s="7">
        <f>IFERROR(__xludf.DUMMYFUNCTION("""COMPUTED_VALUE"""),3.0)</f>
        <v>3</v>
      </c>
      <c r="D1400" s="6">
        <f>IFERROR(__xludf.DUMMYFUNCTION("""COMPUTED_VALUE"""),45702.0)</f>
        <v>45702</v>
      </c>
      <c r="E1400" s="7" t="str">
        <f>IFERROR(__xludf.DUMMYFUNCTION("""COMPUTED_VALUE"""),"FRANQUIA_D&amp;G_SP")</f>
        <v>FRANQUIA_D&amp;G_SP</v>
      </c>
      <c r="F1400" s="7" t="str">
        <f>IFERROR(__xludf.DUMMYFUNCTION("""COMPUTED_VALUE"""),"MOTORCYCLE")</f>
        <v>MOTORCYCLE</v>
      </c>
      <c r="G1400" s="7" t="str">
        <f>IFERROR(__xludf.DUMMYFUNCTION("""COMPUTED_VALUE"""),"SAO PAULO")</f>
        <v>SAO PAULO</v>
      </c>
    </row>
    <row r="1401">
      <c r="A1401" s="6">
        <f>IFERROR(__xludf.DUMMYFUNCTION("""COMPUTED_VALUE"""),45705.0)</f>
        <v>45705</v>
      </c>
      <c r="B1401" s="7" t="str">
        <f>IFERROR(__xludf.DUMMYFUNCTION("""COMPUTED_VALUE"""),"545d81a1-c93a-48d9-a51f-5fc7b393ebff")</f>
        <v>545d81a1-c93a-48d9-a51f-5fc7b393ebff</v>
      </c>
      <c r="C1401" s="7">
        <f>IFERROR(__xludf.DUMMYFUNCTION("""COMPUTED_VALUE"""),0.0)</f>
        <v>0</v>
      </c>
      <c r="D1401" s="6">
        <f>IFERROR(__xludf.DUMMYFUNCTION("""COMPUTED_VALUE"""),0.0)</f>
        <v>0</v>
      </c>
      <c r="E1401" s="7" t="str">
        <f>IFERROR(__xludf.DUMMYFUNCTION("""COMPUTED_VALUE"""),"FRANQUIA_D&amp;G_SP")</f>
        <v>FRANQUIA_D&amp;G_SP</v>
      </c>
      <c r="F1401" s="7" t="str">
        <f>IFERROR(__xludf.DUMMYFUNCTION("""COMPUTED_VALUE"""),"BICYCLE")</f>
        <v>BICYCLE</v>
      </c>
      <c r="G1401" s="7" t="str">
        <f>IFERROR(__xludf.DUMMYFUNCTION("""COMPUTED_VALUE"""),"0")</f>
        <v>0</v>
      </c>
    </row>
    <row r="1402">
      <c r="A1402" s="6">
        <f>IFERROR(__xludf.DUMMYFUNCTION("""COMPUTED_VALUE"""),45705.0)</f>
        <v>45705</v>
      </c>
      <c r="B1402" s="7" t="str">
        <f>IFERROR(__xludf.DUMMYFUNCTION("""COMPUTED_VALUE"""),"7e681f7c-33c5-410c-914e-0a06d3d4d218")</f>
        <v>7e681f7c-33c5-410c-914e-0a06d3d4d218</v>
      </c>
      <c r="C1402" s="7">
        <f>IFERROR(__xludf.DUMMYFUNCTION("""COMPUTED_VALUE"""),3.0)</f>
        <v>3</v>
      </c>
      <c r="D1402" s="6">
        <f>IFERROR(__xludf.DUMMYFUNCTION("""COMPUTED_VALUE"""),45702.0)</f>
        <v>45702</v>
      </c>
      <c r="E1402" s="7" t="str">
        <f>IFERROR(__xludf.DUMMYFUNCTION("""COMPUTED_VALUE"""),"FRANQUIA_D&amp;G_SP")</f>
        <v>FRANQUIA_D&amp;G_SP</v>
      </c>
      <c r="F1402" s="7" t="str">
        <f>IFERROR(__xludf.DUMMYFUNCTION("""COMPUTED_VALUE"""),"EBIKE")</f>
        <v>EBIKE</v>
      </c>
      <c r="G1402" s="7" t="str">
        <f>IFERROR(__xludf.DUMMYFUNCTION("""COMPUTED_VALUE"""),"SAO PAULO")</f>
        <v>SAO PAULO</v>
      </c>
    </row>
    <row r="1403">
      <c r="A1403" s="6">
        <f>IFERROR(__xludf.DUMMYFUNCTION("""COMPUTED_VALUE"""),45705.0)</f>
        <v>45705</v>
      </c>
      <c r="B1403" s="7" t="str">
        <f>IFERROR(__xludf.DUMMYFUNCTION("""COMPUTED_VALUE"""),"a7a5db22-fd16-419c-a917-d1f5765f40bd")</f>
        <v>a7a5db22-fd16-419c-a917-d1f5765f40bd</v>
      </c>
      <c r="C1403" s="7">
        <f>IFERROR(__xludf.DUMMYFUNCTION("""COMPUTED_VALUE"""),0.0)</f>
        <v>0</v>
      </c>
      <c r="D1403" s="6">
        <f>IFERROR(__xludf.DUMMYFUNCTION("""COMPUTED_VALUE"""),45705.0)</f>
        <v>45705</v>
      </c>
      <c r="E1403" s="7" t="str">
        <f>IFERROR(__xludf.DUMMYFUNCTION("""COMPUTED_VALUE"""),"FRANQUIA_D&amp;G_SP")</f>
        <v>FRANQUIA_D&amp;G_SP</v>
      </c>
      <c r="F1403" s="7" t="str">
        <f>IFERROR(__xludf.DUMMYFUNCTION("""COMPUTED_VALUE"""),"MOTORCYCLE")</f>
        <v>MOTORCYCLE</v>
      </c>
      <c r="G1403" s="7" t="str">
        <f>IFERROR(__xludf.DUMMYFUNCTION("""COMPUTED_VALUE"""),"SAO PAULO")</f>
        <v>SAO PAULO</v>
      </c>
    </row>
    <row r="1404">
      <c r="A1404" s="6">
        <f>IFERROR(__xludf.DUMMYFUNCTION("""COMPUTED_VALUE"""),45705.0)</f>
        <v>45705</v>
      </c>
      <c r="B1404" s="7" t="str">
        <f>IFERROR(__xludf.DUMMYFUNCTION("""COMPUTED_VALUE"""),"6093cef6-8915-4636-b209-e90fbbd28009")</f>
        <v>6093cef6-8915-4636-b209-e90fbbd28009</v>
      </c>
      <c r="C1404" s="7">
        <f>IFERROR(__xludf.DUMMYFUNCTION("""COMPUTED_VALUE"""),0.0)</f>
        <v>0</v>
      </c>
      <c r="D1404" s="6">
        <f>IFERROR(__xludf.DUMMYFUNCTION("""COMPUTED_VALUE"""),45705.0)</f>
        <v>45705</v>
      </c>
      <c r="E1404" s="7" t="str">
        <f>IFERROR(__xludf.DUMMYFUNCTION("""COMPUTED_VALUE"""),"FRANQUIA_D&amp;G_SP")</f>
        <v>FRANQUIA_D&amp;G_SP</v>
      </c>
      <c r="F1404" s="7" t="str">
        <f>IFERROR(__xludf.DUMMYFUNCTION("""COMPUTED_VALUE"""),"BICYCLE")</f>
        <v>BICYCLE</v>
      </c>
      <c r="G1404" s="7" t="str">
        <f>IFERROR(__xludf.DUMMYFUNCTION("""COMPUTED_VALUE"""),"SAO PAULO")</f>
        <v>SAO PAULO</v>
      </c>
    </row>
    <row r="1405">
      <c r="A1405" s="6">
        <f>IFERROR(__xludf.DUMMYFUNCTION("""COMPUTED_VALUE"""),45705.0)</f>
        <v>45705</v>
      </c>
      <c r="B1405" s="7" t="str">
        <f>IFERROR(__xludf.DUMMYFUNCTION("""COMPUTED_VALUE"""),"828b3207-b4f1-4052-b797-43483a53b655")</f>
        <v>828b3207-b4f1-4052-b797-43483a53b655</v>
      </c>
      <c r="C1405" s="7">
        <f>IFERROR(__xludf.DUMMYFUNCTION("""COMPUTED_VALUE"""),185.0)</f>
        <v>185</v>
      </c>
      <c r="D1405" s="6">
        <f>IFERROR(__xludf.DUMMYFUNCTION("""COMPUTED_VALUE"""),45520.0)</f>
        <v>45520</v>
      </c>
      <c r="E1405" s="7" t="str">
        <f>IFERROR(__xludf.DUMMYFUNCTION("""COMPUTED_VALUE"""),"FRANQUIA_D&amp;G_SP")</f>
        <v>FRANQUIA_D&amp;G_SP</v>
      </c>
      <c r="F1405" s="7" t="str">
        <f>IFERROR(__xludf.DUMMYFUNCTION("""COMPUTED_VALUE"""),"BICYCLE")</f>
        <v>BICYCLE</v>
      </c>
      <c r="G1405" s="7" t="str">
        <f>IFERROR(__xludf.DUMMYFUNCTION("""COMPUTED_VALUE"""),"SAO PAULO")</f>
        <v>SAO PAULO</v>
      </c>
    </row>
    <row r="1406">
      <c r="A1406" s="6">
        <f>IFERROR(__xludf.DUMMYFUNCTION("""COMPUTED_VALUE"""),45705.0)</f>
        <v>45705</v>
      </c>
      <c r="B1406" s="7" t="str">
        <f>IFERROR(__xludf.DUMMYFUNCTION("""COMPUTED_VALUE"""),"49ca7de2-5a47-423a-b67c-70bee4b3cab2")</f>
        <v>49ca7de2-5a47-423a-b67c-70bee4b3cab2</v>
      </c>
      <c r="C1406" s="7">
        <f>IFERROR(__xludf.DUMMYFUNCTION("""COMPUTED_VALUE"""),17.0)</f>
        <v>17</v>
      </c>
      <c r="D1406" s="6">
        <f>IFERROR(__xludf.DUMMYFUNCTION("""COMPUTED_VALUE"""),45688.0)</f>
        <v>45688</v>
      </c>
      <c r="E1406" s="7" t="str">
        <f>IFERROR(__xludf.DUMMYFUNCTION("""COMPUTED_VALUE"""),"FRANQUIA_D&amp;G_SP")</f>
        <v>FRANQUIA_D&amp;G_SP</v>
      </c>
      <c r="F1406" s="7" t="str">
        <f>IFERROR(__xludf.DUMMYFUNCTION("""COMPUTED_VALUE"""),"MOTORCYCLE")</f>
        <v>MOTORCYCLE</v>
      </c>
      <c r="G1406" s="7" t="str">
        <f>IFERROR(__xludf.DUMMYFUNCTION("""COMPUTED_VALUE"""),"SAO PAULO")</f>
        <v>SAO PAULO</v>
      </c>
    </row>
    <row r="1407">
      <c r="A1407" s="6">
        <f>IFERROR(__xludf.DUMMYFUNCTION("""COMPUTED_VALUE"""),45705.0)</f>
        <v>45705</v>
      </c>
      <c r="B1407" s="7" t="str">
        <f>IFERROR(__xludf.DUMMYFUNCTION("""COMPUTED_VALUE"""),"91304613-3989-4f01-a161-4843cfeae013")</f>
        <v>91304613-3989-4f01-a161-4843cfeae013</v>
      </c>
      <c r="C1407" s="7">
        <f>IFERROR(__xludf.DUMMYFUNCTION("""COMPUTED_VALUE"""),7.0)</f>
        <v>7</v>
      </c>
      <c r="D1407" s="6">
        <f>IFERROR(__xludf.DUMMYFUNCTION("""COMPUTED_VALUE"""),45698.0)</f>
        <v>45698</v>
      </c>
      <c r="E1407" s="7" t="str">
        <f>IFERROR(__xludf.DUMMYFUNCTION("""COMPUTED_VALUE"""),"FRANQUIA_D&amp;G_SP")</f>
        <v>FRANQUIA_D&amp;G_SP</v>
      </c>
      <c r="F1407" s="7" t="str">
        <f>IFERROR(__xludf.DUMMYFUNCTION("""COMPUTED_VALUE"""),"MOTORCYCLE")</f>
        <v>MOTORCYCLE</v>
      </c>
      <c r="G1407" s="7" t="str">
        <f>IFERROR(__xludf.DUMMYFUNCTION("""COMPUTED_VALUE"""),"SAO PAULO")</f>
        <v>SAO PAULO</v>
      </c>
    </row>
    <row r="1408">
      <c r="A1408" s="6">
        <f>IFERROR(__xludf.DUMMYFUNCTION("""COMPUTED_VALUE"""),45705.0)</f>
        <v>45705</v>
      </c>
      <c r="B1408" s="7" t="str">
        <f>IFERROR(__xludf.DUMMYFUNCTION("""COMPUTED_VALUE"""),"e24a22f0-2368-436e-99da-0ea55793c39b")</f>
        <v>e24a22f0-2368-436e-99da-0ea55793c39b</v>
      </c>
      <c r="C1408" s="7">
        <f>IFERROR(__xludf.DUMMYFUNCTION("""COMPUTED_VALUE"""),436.0)</f>
        <v>436</v>
      </c>
      <c r="D1408" s="6">
        <f>IFERROR(__xludf.DUMMYFUNCTION("""COMPUTED_VALUE"""),45269.0)</f>
        <v>45269</v>
      </c>
      <c r="E1408" s="7" t="str">
        <f>IFERROR(__xludf.DUMMYFUNCTION("""COMPUTED_VALUE"""),"FRANQUIA_D&amp;G_SP")</f>
        <v>FRANQUIA_D&amp;G_SP</v>
      </c>
      <c r="F1408" s="7" t="str">
        <f>IFERROR(__xludf.DUMMYFUNCTION("""COMPUTED_VALUE"""),"MOTORCYCLE")</f>
        <v>MOTORCYCLE</v>
      </c>
      <c r="G1408" s="7" t="str">
        <f>IFERROR(__xludf.DUMMYFUNCTION("""COMPUTED_VALUE"""),"SAO PAULO")</f>
        <v>SAO PAULO</v>
      </c>
    </row>
    <row r="1409">
      <c r="A1409" s="6">
        <f>IFERROR(__xludf.DUMMYFUNCTION("""COMPUTED_VALUE"""),45705.0)</f>
        <v>45705</v>
      </c>
      <c r="B1409" s="7" t="str">
        <f>IFERROR(__xludf.DUMMYFUNCTION("""COMPUTED_VALUE"""),"f3616dab-20fd-47dd-b100-2ef8157f5e8b")</f>
        <v>f3616dab-20fd-47dd-b100-2ef8157f5e8b</v>
      </c>
      <c r="C1409" s="7">
        <f>IFERROR(__xludf.DUMMYFUNCTION("""COMPUTED_VALUE"""),338.0)</f>
        <v>338</v>
      </c>
      <c r="D1409" s="6">
        <f>IFERROR(__xludf.DUMMYFUNCTION("""COMPUTED_VALUE"""),45367.0)</f>
        <v>45367</v>
      </c>
      <c r="E1409" s="7" t="str">
        <f>IFERROR(__xludf.DUMMYFUNCTION("""COMPUTED_VALUE"""),"FRANQUIA_D&amp;G_SP")</f>
        <v>FRANQUIA_D&amp;G_SP</v>
      </c>
      <c r="F1409" s="7" t="str">
        <f>IFERROR(__xludf.DUMMYFUNCTION("""COMPUTED_VALUE"""),"MOTORCYCLE")</f>
        <v>MOTORCYCLE</v>
      </c>
      <c r="G1409" s="7" t="str">
        <f>IFERROR(__xludf.DUMMYFUNCTION("""COMPUTED_VALUE"""),"SAO PAULO")</f>
        <v>SAO PAULO</v>
      </c>
    </row>
    <row r="1410">
      <c r="A1410" s="6">
        <f>IFERROR(__xludf.DUMMYFUNCTION("""COMPUTED_VALUE"""),45705.0)</f>
        <v>45705</v>
      </c>
      <c r="B1410" s="7" t="str">
        <f>IFERROR(__xludf.DUMMYFUNCTION("""COMPUTED_VALUE"""),"a7b9caea-bff9-4057-90c4-d817c814c942")</f>
        <v>a7b9caea-bff9-4057-90c4-d817c814c942</v>
      </c>
      <c r="C1410" s="7">
        <f>IFERROR(__xludf.DUMMYFUNCTION("""COMPUTED_VALUE"""),0.0)</f>
        <v>0</v>
      </c>
      <c r="D1410" s="6">
        <f>IFERROR(__xludf.DUMMYFUNCTION("""COMPUTED_VALUE"""),45705.0)</f>
        <v>45705</v>
      </c>
      <c r="E1410" s="7" t="str">
        <f>IFERROR(__xludf.DUMMYFUNCTION("""COMPUTED_VALUE"""),"FRANQUIA_D&amp;G_SP")</f>
        <v>FRANQUIA_D&amp;G_SP</v>
      </c>
      <c r="F1410" s="7" t="str">
        <f>IFERROR(__xludf.DUMMYFUNCTION("""COMPUTED_VALUE"""),"BICYCLE")</f>
        <v>BICYCLE</v>
      </c>
      <c r="G1410" s="7" t="str">
        <f>IFERROR(__xludf.DUMMYFUNCTION("""COMPUTED_VALUE"""),"SAO PAULO")</f>
        <v>SAO PAULO</v>
      </c>
    </row>
    <row r="1411">
      <c r="A1411" s="6">
        <f>IFERROR(__xludf.DUMMYFUNCTION("""COMPUTED_VALUE"""),45705.0)</f>
        <v>45705</v>
      </c>
      <c r="B1411" s="7" t="str">
        <f>IFERROR(__xludf.DUMMYFUNCTION("""COMPUTED_VALUE"""),"face93c0-b537-4904-819e-eeffa3f3f980")</f>
        <v>face93c0-b537-4904-819e-eeffa3f3f980</v>
      </c>
      <c r="C1411" s="7">
        <f>IFERROR(__xludf.DUMMYFUNCTION("""COMPUTED_VALUE"""),0.0)</f>
        <v>0</v>
      </c>
      <c r="D1411" s="6">
        <f>IFERROR(__xludf.DUMMYFUNCTION("""COMPUTED_VALUE"""),45705.0)</f>
        <v>45705</v>
      </c>
      <c r="E1411" s="7" t="str">
        <f>IFERROR(__xludf.DUMMYFUNCTION("""COMPUTED_VALUE"""),"FRANQUIA_D&amp;G_SP")</f>
        <v>FRANQUIA_D&amp;G_SP</v>
      </c>
      <c r="F1411" s="7" t="str">
        <f>IFERROR(__xludf.DUMMYFUNCTION("""COMPUTED_VALUE"""),"MOTORCYCLE")</f>
        <v>MOTORCYCLE</v>
      </c>
      <c r="G1411" s="7" t="str">
        <f>IFERROR(__xludf.DUMMYFUNCTION("""COMPUTED_VALUE"""),"SAO PAULO")</f>
        <v>SAO PAULO</v>
      </c>
    </row>
    <row r="1412">
      <c r="A1412" s="6">
        <f>IFERROR(__xludf.DUMMYFUNCTION("""COMPUTED_VALUE"""),45705.0)</f>
        <v>45705</v>
      </c>
      <c r="B1412" s="7" t="str">
        <f>IFERROR(__xludf.DUMMYFUNCTION("""COMPUTED_VALUE"""),"f383c4dc-1a38-4c78-9542-95217f252a3e")</f>
        <v>f383c4dc-1a38-4c78-9542-95217f252a3e</v>
      </c>
      <c r="C1412" s="7">
        <f>IFERROR(__xludf.DUMMYFUNCTION("""COMPUTED_VALUE"""),487.0)</f>
        <v>487</v>
      </c>
      <c r="D1412" s="6">
        <f>IFERROR(__xludf.DUMMYFUNCTION("""COMPUTED_VALUE"""),45218.0)</f>
        <v>45218</v>
      </c>
      <c r="E1412" s="7" t="str">
        <f>IFERROR(__xludf.DUMMYFUNCTION("""COMPUTED_VALUE"""),"FRANQUIA_D&amp;G_SP")</f>
        <v>FRANQUIA_D&amp;G_SP</v>
      </c>
      <c r="F1412" s="7" t="str">
        <f>IFERROR(__xludf.DUMMYFUNCTION("""COMPUTED_VALUE"""),"EMOTORCYCLE")</f>
        <v>EMOTORCYCLE</v>
      </c>
      <c r="G1412" s="7" t="str">
        <f>IFERROR(__xludf.DUMMYFUNCTION("""COMPUTED_VALUE"""),"SAO PAULO")</f>
        <v>SAO PAULO</v>
      </c>
    </row>
    <row r="1413">
      <c r="A1413" s="6">
        <f>IFERROR(__xludf.DUMMYFUNCTION("""COMPUTED_VALUE"""),45705.0)</f>
        <v>45705</v>
      </c>
      <c r="B1413" s="7" t="str">
        <f>IFERROR(__xludf.DUMMYFUNCTION("""COMPUTED_VALUE"""),"af41592b-bb81-4728-b628-d4a875ca9329")</f>
        <v>af41592b-bb81-4728-b628-d4a875ca9329</v>
      </c>
      <c r="C1413" s="7">
        <f>IFERROR(__xludf.DUMMYFUNCTION("""COMPUTED_VALUE"""),24.0)</f>
        <v>24</v>
      </c>
      <c r="D1413" s="6">
        <f>IFERROR(__xludf.DUMMYFUNCTION("""COMPUTED_VALUE"""),45681.0)</f>
        <v>45681</v>
      </c>
      <c r="E1413" s="7" t="str">
        <f>IFERROR(__xludf.DUMMYFUNCTION("""COMPUTED_VALUE"""),"FRANQUIA_D&amp;G_SP")</f>
        <v>FRANQUIA_D&amp;G_SP</v>
      </c>
      <c r="F1413" s="7" t="str">
        <f>IFERROR(__xludf.DUMMYFUNCTION("""COMPUTED_VALUE"""),"MOTORCYCLE")</f>
        <v>MOTORCYCLE</v>
      </c>
      <c r="G1413" s="7" t="str">
        <f>IFERROR(__xludf.DUMMYFUNCTION("""COMPUTED_VALUE"""),"ATIBAIA")</f>
        <v>ATIBAIA</v>
      </c>
    </row>
    <row r="1414">
      <c r="A1414" s="6">
        <f>IFERROR(__xludf.DUMMYFUNCTION("""COMPUTED_VALUE"""),45705.0)</f>
        <v>45705</v>
      </c>
      <c r="B1414" s="7" t="str">
        <f>IFERROR(__xludf.DUMMYFUNCTION("""COMPUTED_VALUE"""),"cc36d492-3841-404c-85b0-fd7435a5659a")</f>
        <v>cc36d492-3841-404c-85b0-fd7435a5659a</v>
      </c>
      <c r="C1414" s="7">
        <f>IFERROR(__xludf.DUMMYFUNCTION("""COMPUTED_VALUE"""),0.0)</f>
        <v>0</v>
      </c>
      <c r="D1414" s="6">
        <f>IFERROR(__xludf.DUMMYFUNCTION("""COMPUTED_VALUE"""),45705.0)</f>
        <v>45705</v>
      </c>
      <c r="E1414" s="7" t="str">
        <f>IFERROR(__xludf.DUMMYFUNCTION("""COMPUTED_VALUE"""),"FRANQUIA_D&amp;G_SP")</f>
        <v>FRANQUIA_D&amp;G_SP</v>
      </c>
      <c r="F1414" s="7" t="str">
        <f>IFERROR(__xludf.DUMMYFUNCTION("""COMPUTED_VALUE"""),"MOTORCYCLE")</f>
        <v>MOTORCYCLE</v>
      </c>
      <c r="G1414" s="7" t="str">
        <f>IFERROR(__xludf.DUMMYFUNCTION("""COMPUTED_VALUE"""),"PRAIA GRANDE")</f>
        <v>PRAIA GRANDE</v>
      </c>
    </row>
    <row r="1415">
      <c r="A1415" s="6">
        <f>IFERROR(__xludf.DUMMYFUNCTION("""COMPUTED_VALUE"""),45705.0)</f>
        <v>45705</v>
      </c>
      <c r="B1415" s="7" t="str">
        <f>IFERROR(__xludf.DUMMYFUNCTION("""COMPUTED_VALUE"""),"9ff16b99-5b76-4dd2-b663-b23721d31182")</f>
        <v>9ff16b99-5b76-4dd2-b663-b23721d31182</v>
      </c>
      <c r="C1415" s="7">
        <f>IFERROR(__xludf.DUMMYFUNCTION("""COMPUTED_VALUE"""),0.0)</f>
        <v>0</v>
      </c>
      <c r="D1415" s="6">
        <f>IFERROR(__xludf.DUMMYFUNCTION("""COMPUTED_VALUE"""),45705.0)</f>
        <v>45705</v>
      </c>
      <c r="E1415" s="7" t="str">
        <f>IFERROR(__xludf.DUMMYFUNCTION("""COMPUTED_VALUE"""),"FRANQUIA_D&amp;G_SP")</f>
        <v>FRANQUIA_D&amp;G_SP</v>
      </c>
      <c r="F1415" s="7" t="str">
        <f>IFERROR(__xludf.DUMMYFUNCTION("""COMPUTED_VALUE"""),"BICYCLE")</f>
        <v>BICYCLE</v>
      </c>
      <c r="G1415" s="7" t="str">
        <f>IFERROR(__xludf.DUMMYFUNCTION("""COMPUTED_VALUE"""),"SAO PAULO")</f>
        <v>SAO PAULO</v>
      </c>
    </row>
    <row r="1416">
      <c r="A1416" s="6">
        <f>IFERROR(__xludf.DUMMYFUNCTION("""COMPUTED_VALUE"""),45705.0)</f>
        <v>45705</v>
      </c>
      <c r="B1416" s="7" t="str">
        <f>IFERROR(__xludf.DUMMYFUNCTION("""COMPUTED_VALUE"""),"2fd8181f-0457-48f8-a555-a0429a10d657")</f>
        <v>2fd8181f-0457-48f8-a555-a0429a10d657</v>
      </c>
      <c r="C1416" s="7">
        <f>IFERROR(__xludf.DUMMYFUNCTION("""COMPUTED_VALUE"""),1690.0)</f>
        <v>1690</v>
      </c>
      <c r="D1416" s="6">
        <f>IFERROR(__xludf.DUMMYFUNCTION("""COMPUTED_VALUE"""),44015.0)</f>
        <v>44015</v>
      </c>
      <c r="E1416" s="7" t="str">
        <f>IFERROR(__xludf.DUMMYFUNCTION("""COMPUTED_VALUE"""),"FRANQUIA_D&amp;G_SP")</f>
        <v>FRANQUIA_D&amp;G_SP</v>
      </c>
      <c r="F1416" s="7" t="str">
        <f>IFERROR(__xludf.DUMMYFUNCTION("""COMPUTED_VALUE"""),"EMOTORCYCLE")</f>
        <v>EMOTORCYCLE</v>
      </c>
      <c r="G1416" s="7" t="str">
        <f>IFERROR(__xludf.DUMMYFUNCTION("""COMPUTED_VALUE"""),"SAO PAULO")</f>
        <v>SAO PAULO</v>
      </c>
    </row>
    <row r="1417">
      <c r="A1417" s="6">
        <f>IFERROR(__xludf.DUMMYFUNCTION("""COMPUTED_VALUE"""),45705.0)</f>
        <v>45705</v>
      </c>
      <c r="B1417" s="7" t="str">
        <f>IFERROR(__xludf.DUMMYFUNCTION("""COMPUTED_VALUE"""),"63b8d965-1a3f-407c-af11-6fdad8426b26")</f>
        <v>63b8d965-1a3f-407c-af11-6fdad8426b26</v>
      </c>
      <c r="C1417" s="7">
        <f>IFERROR(__xludf.DUMMYFUNCTION("""COMPUTED_VALUE"""),0.0)</f>
        <v>0</v>
      </c>
      <c r="D1417" s="6">
        <f>IFERROR(__xludf.DUMMYFUNCTION("""COMPUTED_VALUE"""),45705.0)</f>
        <v>45705</v>
      </c>
      <c r="E1417" s="7" t="str">
        <f>IFERROR(__xludf.DUMMYFUNCTION("""COMPUTED_VALUE"""),"FRANQUIA_D&amp;G_SP")</f>
        <v>FRANQUIA_D&amp;G_SP</v>
      </c>
      <c r="F1417" s="7" t="str">
        <f>IFERROR(__xludf.DUMMYFUNCTION("""COMPUTED_VALUE"""),"MOTORCYCLE")</f>
        <v>MOTORCYCLE</v>
      </c>
      <c r="G1417" s="7" t="str">
        <f>IFERROR(__xludf.DUMMYFUNCTION("""COMPUTED_VALUE"""),"SAO PAULO")</f>
        <v>SAO PAULO</v>
      </c>
    </row>
    <row r="1418">
      <c r="A1418" s="6">
        <f>IFERROR(__xludf.DUMMYFUNCTION("""COMPUTED_VALUE"""),45705.0)</f>
        <v>45705</v>
      </c>
      <c r="B1418" s="7" t="str">
        <f>IFERROR(__xludf.DUMMYFUNCTION("""COMPUTED_VALUE"""),"e6e8b0dd-f48c-422a-85f2-3b94adbb72ee")</f>
        <v>e6e8b0dd-f48c-422a-85f2-3b94adbb72ee</v>
      </c>
      <c r="C1418" s="7">
        <f>IFERROR(__xludf.DUMMYFUNCTION("""COMPUTED_VALUE"""),0.0)</f>
        <v>0</v>
      </c>
      <c r="D1418" s="6">
        <f>IFERROR(__xludf.DUMMYFUNCTION("""COMPUTED_VALUE"""),0.0)</f>
        <v>0</v>
      </c>
      <c r="E1418" s="7" t="str">
        <f>IFERROR(__xludf.DUMMYFUNCTION("""COMPUTED_VALUE"""),"FRANQUIA_D&amp;G_SP")</f>
        <v>FRANQUIA_D&amp;G_SP</v>
      </c>
      <c r="F1418" s="7" t="str">
        <f>IFERROR(__xludf.DUMMYFUNCTION("""COMPUTED_VALUE"""),"BICYCLE")</f>
        <v>BICYCLE</v>
      </c>
      <c r="G1418" s="7" t="str">
        <f>IFERROR(__xludf.DUMMYFUNCTION("""COMPUTED_VALUE"""),"0")</f>
        <v>0</v>
      </c>
    </row>
    <row r="1419">
      <c r="A1419" s="6">
        <f>IFERROR(__xludf.DUMMYFUNCTION("""COMPUTED_VALUE"""),45705.0)</f>
        <v>45705</v>
      </c>
      <c r="B1419" s="7" t="str">
        <f>IFERROR(__xludf.DUMMYFUNCTION("""COMPUTED_VALUE"""),"07519b82-3e4e-4374-b627-fba318f35936")</f>
        <v>07519b82-3e4e-4374-b627-fba318f35936</v>
      </c>
      <c r="C1419" s="7">
        <f>IFERROR(__xludf.DUMMYFUNCTION("""COMPUTED_VALUE"""),1340.0)</f>
        <v>1340</v>
      </c>
      <c r="D1419" s="6">
        <f>IFERROR(__xludf.DUMMYFUNCTION("""COMPUTED_VALUE"""),44365.0)</f>
        <v>44365</v>
      </c>
      <c r="E1419" s="7" t="str">
        <f>IFERROR(__xludf.DUMMYFUNCTION("""COMPUTED_VALUE"""),"FRANQUIA_D&amp;G_SP")</f>
        <v>FRANQUIA_D&amp;G_SP</v>
      </c>
      <c r="F1419" s="7" t="str">
        <f>IFERROR(__xludf.DUMMYFUNCTION("""COMPUTED_VALUE"""),"BICYCLE")</f>
        <v>BICYCLE</v>
      </c>
      <c r="G1419" s="7" t="str">
        <f>IFERROR(__xludf.DUMMYFUNCTION("""COMPUTED_VALUE"""),"SAO PAULO")</f>
        <v>SAO PAULO</v>
      </c>
    </row>
    <row r="1420">
      <c r="A1420" s="6">
        <f>IFERROR(__xludf.DUMMYFUNCTION("""COMPUTED_VALUE"""),45705.0)</f>
        <v>45705</v>
      </c>
      <c r="B1420" s="7" t="str">
        <f>IFERROR(__xludf.DUMMYFUNCTION("""COMPUTED_VALUE"""),"a9c25d8e-dd0e-44a7-93d6-ae4d9ca0b074")</f>
        <v>a9c25d8e-dd0e-44a7-93d6-ae4d9ca0b074</v>
      </c>
      <c r="C1420" s="7">
        <f>IFERROR(__xludf.DUMMYFUNCTION("""COMPUTED_VALUE"""),48.0)</f>
        <v>48</v>
      </c>
      <c r="D1420" s="6">
        <f>IFERROR(__xludf.DUMMYFUNCTION("""COMPUTED_VALUE"""),45657.0)</f>
        <v>45657</v>
      </c>
      <c r="E1420" s="7" t="str">
        <f>IFERROR(__xludf.DUMMYFUNCTION("""COMPUTED_VALUE"""),"FRANQUIA_D&amp;G_SP")</f>
        <v>FRANQUIA_D&amp;G_SP</v>
      </c>
      <c r="F1420" s="7" t="str">
        <f>IFERROR(__xludf.DUMMYFUNCTION("""COMPUTED_VALUE"""),"BICYCLE")</f>
        <v>BICYCLE</v>
      </c>
      <c r="G1420" s="7" t="str">
        <f>IFERROR(__xludf.DUMMYFUNCTION("""COMPUTED_VALUE"""),"SAO PAULO")</f>
        <v>SAO PAULO</v>
      </c>
    </row>
    <row r="1421">
      <c r="A1421" s="6">
        <f>IFERROR(__xludf.DUMMYFUNCTION("""COMPUTED_VALUE"""),45705.0)</f>
        <v>45705</v>
      </c>
      <c r="B1421" s="7" t="str">
        <f>IFERROR(__xludf.DUMMYFUNCTION("""COMPUTED_VALUE"""),"9fd945bf-df59-4bec-841e-d2766d716335")</f>
        <v>9fd945bf-df59-4bec-841e-d2766d716335</v>
      </c>
      <c r="C1421" s="7">
        <f>IFERROR(__xludf.DUMMYFUNCTION("""COMPUTED_VALUE"""),12.0)</f>
        <v>12</v>
      </c>
      <c r="D1421" s="6">
        <f>IFERROR(__xludf.DUMMYFUNCTION("""COMPUTED_VALUE"""),45693.0)</f>
        <v>45693</v>
      </c>
      <c r="E1421" s="7" t="str">
        <f>IFERROR(__xludf.DUMMYFUNCTION("""COMPUTED_VALUE"""),"FRANQUIA_D&amp;G_SP")</f>
        <v>FRANQUIA_D&amp;G_SP</v>
      </c>
      <c r="F1421" s="7" t="str">
        <f>IFERROR(__xludf.DUMMYFUNCTION("""COMPUTED_VALUE"""),"MOTORCYCLE")</f>
        <v>MOTORCYCLE</v>
      </c>
      <c r="G1421" s="7" t="str">
        <f>IFERROR(__xludf.DUMMYFUNCTION("""COMPUTED_VALUE"""),"SAO PAULO")</f>
        <v>SAO PAULO</v>
      </c>
    </row>
    <row r="1422">
      <c r="A1422" s="6">
        <f>IFERROR(__xludf.DUMMYFUNCTION("""COMPUTED_VALUE"""),45705.0)</f>
        <v>45705</v>
      </c>
      <c r="B1422" s="7" t="str">
        <f>IFERROR(__xludf.DUMMYFUNCTION("""COMPUTED_VALUE"""),"0fb78c29-5245-4fd0-bc50-0fe96a3b62cd")</f>
        <v>0fb78c29-5245-4fd0-bc50-0fe96a3b62cd</v>
      </c>
      <c r="C1422" s="7">
        <f>IFERROR(__xludf.DUMMYFUNCTION("""COMPUTED_VALUE"""),9.0)</f>
        <v>9</v>
      </c>
      <c r="D1422" s="6">
        <f>IFERROR(__xludf.DUMMYFUNCTION("""COMPUTED_VALUE"""),45696.0)</f>
        <v>45696</v>
      </c>
      <c r="E1422" s="7" t="str">
        <f>IFERROR(__xludf.DUMMYFUNCTION("""COMPUTED_VALUE"""),"FRANQUIA_D&amp;G_SP")</f>
        <v>FRANQUIA_D&amp;G_SP</v>
      </c>
      <c r="F1422" s="7" t="str">
        <f>IFERROR(__xludf.DUMMYFUNCTION("""COMPUTED_VALUE"""),"EMOTORCYCLE")</f>
        <v>EMOTORCYCLE</v>
      </c>
      <c r="G1422" s="7" t="str">
        <f>IFERROR(__xludf.DUMMYFUNCTION("""COMPUTED_VALUE"""),"SAO PAULO")</f>
        <v>SAO PAULO</v>
      </c>
    </row>
    <row r="1423">
      <c r="A1423" s="6">
        <f>IFERROR(__xludf.DUMMYFUNCTION("""COMPUTED_VALUE"""),45705.0)</f>
        <v>45705</v>
      </c>
      <c r="B1423" s="7" t="str">
        <f>IFERROR(__xludf.DUMMYFUNCTION("""COMPUTED_VALUE"""),"2ebb2e82-fc94-4d20-8ea7-8f57eef4037b")</f>
        <v>2ebb2e82-fc94-4d20-8ea7-8f57eef4037b</v>
      </c>
      <c r="C1423" s="7">
        <f>IFERROR(__xludf.DUMMYFUNCTION("""COMPUTED_VALUE"""),0.0)</f>
        <v>0</v>
      </c>
      <c r="D1423" s="6">
        <f>IFERROR(__xludf.DUMMYFUNCTION("""COMPUTED_VALUE"""),45705.0)</f>
        <v>45705</v>
      </c>
      <c r="E1423" s="7" t="str">
        <f>IFERROR(__xludf.DUMMYFUNCTION("""COMPUTED_VALUE"""),"FRANQUIA_D&amp;G_SP")</f>
        <v>FRANQUIA_D&amp;G_SP</v>
      </c>
      <c r="F1423" s="7" t="str">
        <f>IFERROR(__xludf.DUMMYFUNCTION("""COMPUTED_VALUE"""),"MOTORCYCLE")</f>
        <v>MOTORCYCLE</v>
      </c>
      <c r="G1423" s="7" t="str">
        <f>IFERROR(__xludf.DUMMYFUNCTION("""COMPUTED_VALUE"""),"SAO PAULO")</f>
        <v>SAO PAULO</v>
      </c>
    </row>
    <row r="1424">
      <c r="A1424" s="6">
        <f>IFERROR(__xludf.DUMMYFUNCTION("""COMPUTED_VALUE"""),45705.0)</f>
        <v>45705</v>
      </c>
      <c r="B1424" s="7" t="str">
        <f>IFERROR(__xludf.DUMMYFUNCTION("""COMPUTED_VALUE"""),"06fbd61d-61ec-4e6d-baba-6acd25eb8362")</f>
        <v>06fbd61d-61ec-4e6d-baba-6acd25eb8362</v>
      </c>
      <c r="C1424" s="7">
        <f>IFERROR(__xludf.DUMMYFUNCTION("""COMPUTED_VALUE"""),0.0)</f>
        <v>0</v>
      </c>
      <c r="D1424" s="6">
        <f>IFERROR(__xludf.DUMMYFUNCTION("""COMPUTED_VALUE"""),45705.0)</f>
        <v>45705</v>
      </c>
      <c r="E1424" s="7" t="str">
        <f>IFERROR(__xludf.DUMMYFUNCTION("""COMPUTED_VALUE"""),"FRANQUIA_D&amp;G_SP")</f>
        <v>FRANQUIA_D&amp;G_SP</v>
      </c>
      <c r="F1424" s="7" t="str">
        <f>IFERROR(__xludf.DUMMYFUNCTION("""COMPUTED_VALUE"""),"MOTORCYCLE")</f>
        <v>MOTORCYCLE</v>
      </c>
      <c r="G1424" s="7" t="str">
        <f>IFERROR(__xludf.DUMMYFUNCTION("""COMPUTED_VALUE"""),"SAO PAULO")</f>
        <v>SAO PAULO</v>
      </c>
    </row>
    <row r="1425">
      <c r="A1425" s="6">
        <f>IFERROR(__xludf.DUMMYFUNCTION("""COMPUTED_VALUE"""),45705.0)</f>
        <v>45705</v>
      </c>
      <c r="B1425" s="7" t="str">
        <f>IFERROR(__xludf.DUMMYFUNCTION("""COMPUTED_VALUE"""),"74a210a0-7426-49cc-966d-855cb58e4bc8")</f>
        <v>74a210a0-7426-49cc-966d-855cb58e4bc8</v>
      </c>
      <c r="C1425" s="7">
        <f>IFERROR(__xludf.DUMMYFUNCTION("""COMPUTED_VALUE"""),0.0)</f>
        <v>0</v>
      </c>
      <c r="D1425" s="6">
        <f>IFERROR(__xludf.DUMMYFUNCTION("""COMPUTED_VALUE"""),0.0)</f>
        <v>0</v>
      </c>
      <c r="E1425" s="7" t="str">
        <f>IFERROR(__xludf.DUMMYFUNCTION("""COMPUTED_VALUE"""),"FRANQUIA_D&amp;G_SP")</f>
        <v>FRANQUIA_D&amp;G_SP</v>
      </c>
      <c r="F1425" s="7" t="str">
        <f>IFERROR(__xludf.DUMMYFUNCTION("""COMPUTED_VALUE"""),"BICYCLE")</f>
        <v>BICYCLE</v>
      </c>
      <c r="G1425" s="7" t="str">
        <f>IFERROR(__xludf.DUMMYFUNCTION("""COMPUTED_VALUE"""),"0")</f>
        <v>0</v>
      </c>
    </row>
    <row r="1426">
      <c r="A1426" s="6">
        <f>IFERROR(__xludf.DUMMYFUNCTION("""COMPUTED_VALUE"""),45705.0)</f>
        <v>45705</v>
      </c>
      <c r="B1426" s="7" t="str">
        <f>IFERROR(__xludf.DUMMYFUNCTION("""COMPUTED_VALUE"""),"e85250bc-2784-4e5a-b1cc-65af2a40b535")</f>
        <v>e85250bc-2784-4e5a-b1cc-65af2a40b535</v>
      </c>
      <c r="C1426" s="7">
        <f>IFERROR(__xludf.DUMMYFUNCTION("""COMPUTED_VALUE"""),16.0)</f>
        <v>16</v>
      </c>
      <c r="D1426" s="6">
        <f>IFERROR(__xludf.DUMMYFUNCTION("""COMPUTED_VALUE"""),45689.0)</f>
        <v>45689</v>
      </c>
      <c r="E1426" s="7" t="str">
        <f>IFERROR(__xludf.DUMMYFUNCTION("""COMPUTED_VALUE"""),"FRANQUIA_D&amp;G_SP")</f>
        <v>FRANQUIA_D&amp;G_SP</v>
      </c>
      <c r="F1426" s="7" t="str">
        <f>IFERROR(__xludf.DUMMYFUNCTION("""COMPUTED_VALUE"""),"BICYCLE")</f>
        <v>BICYCLE</v>
      </c>
      <c r="G1426" s="7" t="str">
        <f>IFERROR(__xludf.DUMMYFUNCTION("""COMPUTED_VALUE"""),"SAO PAULO")</f>
        <v>SAO PAULO</v>
      </c>
    </row>
    <row r="1427">
      <c r="A1427" s="6">
        <f>IFERROR(__xludf.DUMMYFUNCTION("""COMPUTED_VALUE"""),45705.0)</f>
        <v>45705</v>
      </c>
      <c r="B1427" s="7" t="str">
        <f>IFERROR(__xludf.DUMMYFUNCTION("""COMPUTED_VALUE"""),"21d119e8-0cfb-4445-b4de-5dfb3f390803")</f>
        <v>21d119e8-0cfb-4445-b4de-5dfb3f390803</v>
      </c>
      <c r="C1427" s="7">
        <f>IFERROR(__xludf.DUMMYFUNCTION("""COMPUTED_VALUE"""),0.0)</f>
        <v>0</v>
      </c>
      <c r="D1427" s="6">
        <f>IFERROR(__xludf.DUMMYFUNCTION("""COMPUTED_VALUE"""),45705.0)</f>
        <v>45705</v>
      </c>
      <c r="E1427" s="7" t="str">
        <f>IFERROR(__xludf.DUMMYFUNCTION("""COMPUTED_VALUE"""),"FRANQUIA_D&amp;G_SP")</f>
        <v>FRANQUIA_D&amp;G_SP</v>
      </c>
      <c r="F1427" s="7" t="str">
        <f>IFERROR(__xludf.DUMMYFUNCTION("""COMPUTED_VALUE"""),"MOTORCYCLE")</f>
        <v>MOTORCYCLE</v>
      </c>
      <c r="G1427" s="7" t="str">
        <f>IFERROR(__xludf.DUMMYFUNCTION("""COMPUTED_VALUE"""),"SAO PAULO")</f>
        <v>SAO PAULO</v>
      </c>
    </row>
    <row r="1428">
      <c r="A1428" s="6">
        <f>IFERROR(__xludf.DUMMYFUNCTION("""COMPUTED_VALUE"""),45705.0)</f>
        <v>45705</v>
      </c>
      <c r="B1428" s="7" t="str">
        <f>IFERROR(__xludf.DUMMYFUNCTION("""COMPUTED_VALUE"""),"888433e1-c615-4538-8706-d4f76ec807bb")</f>
        <v>888433e1-c615-4538-8706-d4f76ec807bb</v>
      </c>
      <c r="C1428" s="7">
        <f>IFERROR(__xludf.DUMMYFUNCTION("""COMPUTED_VALUE"""),50.0)</f>
        <v>50</v>
      </c>
      <c r="D1428" s="6">
        <f>IFERROR(__xludf.DUMMYFUNCTION("""COMPUTED_VALUE"""),45655.0)</f>
        <v>45655</v>
      </c>
      <c r="E1428" s="7" t="str">
        <f>IFERROR(__xludf.DUMMYFUNCTION("""COMPUTED_VALUE"""),"FRANQUIA_D&amp;G_SP")</f>
        <v>FRANQUIA_D&amp;G_SP</v>
      </c>
      <c r="F1428" s="7" t="str">
        <f>IFERROR(__xludf.DUMMYFUNCTION("""COMPUTED_VALUE"""),"MOTORCYCLE")</f>
        <v>MOTORCYCLE</v>
      </c>
      <c r="G1428" s="7" t="str">
        <f>IFERROR(__xludf.DUMMYFUNCTION("""COMPUTED_VALUE"""),"SAO PAULO")</f>
        <v>SAO PAULO</v>
      </c>
    </row>
    <row r="1429">
      <c r="A1429" s="6">
        <f>IFERROR(__xludf.DUMMYFUNCTION("""COMPUTED_VALUE"""),45705.0)</f>
        <v>45705</v>
      </c>
      <c r="B1429" s="7" t="str">
        <f>IFERROR(__xludf.DUMMYFUNCTION("""COMPUTED_VALUE"""),"ab30157c-f6f9-4cec-b982-a642c8ce77ea")</f>
        <v>ab30157c-f6f9-4cec-b982-a642c8ce77ea</v>
      </c>
      <c r="C1429" s="7">
        <f>IFERROR(__xludf.DUMMYFUNCTION("""COMPUTED_VALUE"""),0.0)</f>
        <v>0</v>
      </c>
      <c r="D1429" s="6">
        <f>IFERROR(__xludf.DUMMYFUNCTION("""COMPUTED_VALUE"""),45705.0)</f>
        <v>45705</v>
      </c>
      <c r="E1429" s="7" t="str">
        <f>IFERROR(__xludf.DUMMYFUNCTION("""COMPUTED_VALUE"""),"FRANQUIA_D&amp;G_SP")</f>
        <v>FRANQUIA_D&amp;G_SP</v>
      </c>
      <c r="F1429" s="7" t="str">
        <f>IFERROR(__xludf.DUMMYFUNCTION("""COMPUTED_VALUE"""),"MOTORCYCLE")</f>
        <v>MOTORCYCLE</v>
      </c>
      <c r="G1429" s="7" t="str">
        <f>IFERROR(__xludf.DUMMYFUNCTION("""COMPUTED_VALUE"""),"SAO PAULO")</f>
        <v>SAO PAULO</v>
      </c>
    </row>
    <row r="1430">
      <c r="A1430" s="6">
        <f>IFERROR(__xludf.DUMMYFUNCTION("""COMPUTED_VALUE"""),45705.0)</f>
        <v>45705</v>
      </c>
      <c r="B1430" s="7" t="str">
        <f>IFERROR(__xludf.DUMMYFUNCTION("""COMPUTED_VALUE"""),"ac6e9118-b1f7-462e-b8ff-cc764fea5b0e")</f>
        <v>ac6e9118-b1f7-462e-b8ff-cc764fea5b0e</v>
      </c>
      <c r="C1430" s="7">
        <f>IFERROR(__xludf.DUMMYFUNCTION("""COMPUTED_VALUE"""),62.0)</f>
        <v>62</v>
      </c>
      <c r="D1430" s="6">
        <f>IFERROR(__xludf.DUMMYFUNCTION("""COMPUTED_VALUE"""),45643.0)</f>
        <v>45643</v>
      </c>
      <c r="E1430" s="7" t="str">
        <f>IFERROR(__xludf.DUMMYFUNCTION("""COMPUTED_VALUE"""),"FRANQUIA_D&amp;G_SP")</f>
        <v>FRANQUIA_D&amp;G_SP</v>
      </c>
      <c r="F1430" s="7" t="str">
        <f>IFERROR(__xludf.DUMMYFUNCTION("""COMPUTED_VALUE"""),"BICYCLE")</f>
        <v>BICYCLE</v>
      </c>
      <c r="G1430" s="7" t="str">
        <f>IFERROR(__xludf.DUMMYFUNCTION("""COMPUTED_VALUE"""),"SAO PAULO")</f>
        <v>SAO PAULO</v>
      </c>
    </row>
    <row r="1431">
      <c r="A1431" s="6">
        <f>IFERROR(__xludf.DUMMYFUNCTION("""COMPUTED_VALUE"""),45705.0)</f>
        <v>45705</v>
      </c>
      <c r="B1431" s="7" t="str">
        <f>IFERROR(__xludf.DUMMYFUNCTION("""COMPUTED_VALUE"""),"b6780298-5fd8-4d63-bc5b-d8a0b0f5afbd")</f>
        <v>b6780298-5fd8-4d63-bc5b-d8a0b0f5afbd</v>
      </c>
      <c r="C1431" s="7">
        <f>IFERROR(__xludf.DUMMYFUNCTION("""COMPUTED_VALUE"""),0.0)</f>
        <v>0</v>
      </c>
      <c r="D1431" s="6">
        <f>IFERROR(__xludf.DUMMYFUNCTION("""COMPUTED_VALUE"""),0.0)</f>
        <v>0</v>
      </c>
      <c r="E1431" s="7" t="str">
        <f>IFERROR(__xludf.DUMMYFUNCTION("""COMPUTED_VALUE"""),"FRANQUIA_D&amp;G_SP")</f>
        <v>FRANQUIA_D&amp;G_SP</v>
      </c>
      <c r="F1431" s="7" t="str">
        <f>IFERROR(__xludf.DUMMYFUNCTION("""COMPUTED_VALUE"""),"MOTORCYCLE")</f>
        <v>MOTORCYCLE</v>
      </c>
      <c r="G1431" s="7" t="str">
        <f>IFERROR(__xludf.DUMMYFUNCTION("""COMPUTED_VALUE"""),"0")</f>
        <v>0</v>
      </c>
    </row>
    <row r="1432">
      <c r="A1432" s="6">
        <f>IFERROR(__xludf.DUMMYFUNCTION("""COMPUTED_VALUE"""),45705.0)</f>
        <v>45705</v>
      </c>
      <c r="B1432" s="7" t="str">
        <f>IFERROR(__xludf.DUMMYFUNCTION("""COMPUTED_VALUE"""),"09ae58d4-8ecb-4405-bb61-7590b17a9123")</f>
        <v>09ae58d4-8ecb-4405-bb61-7590b17a9123</v>
      </c>
      <c r="C1432" s="7">
        <f>IFERROR(__xludf.DUMMYFUNCTION("""COMPUTED_VALUE"""),0.0)</f>
        <v>0</v>
      </c>
      <c r="D1432" s="6">
        <f>IFERROR(__xludf.DUMMYFUNCTION("""COMPUTED_VALUE"""),45705.0)</f>
        <v>45705</v>
      </c>
      <c r="E1432" s="7" t="str">
        <f>IFERROR(__xludf.DUMMYFUNCTION("""COMPUTED_VALUE"""),"FRANQUIA_D&amp;G_SP")</f>
        <v>FRANQUIA_D&amp;G_SP</v>
      </c>
      <c r="F1432" s="7" t="str">
        <f>IFERROR(__xludf.DUMMYFUNCTION("""COMPUTED_VALUE"""),"MOTORCYCLE")</f>
        <v>MOTORCYCLE</v>
      </c>
      <c r="G1432" s="7" t="str">
        <f>IFERROR(__xludf.DUMMYFUNCTION("""COMPUTED_VALUE"""),"SAO PAULO")</f>
        <v>SAO PAULO</v>
      </c>
    </row>
    <row r="1433">
      <c r="A1433" s="6">
        <f>IFERROR(__xludf.DUMMYFUNCTION("""COMPUTED_VALUE"""),45705.0)</f>
        <v>45705</v>
      </c>
      <c r="B1433" s="7" t="str">
        <f>IFERROR(__xludf.DUMMYFUNCTION("""COMPUTED_VALUE"""),"c39bbcd7-a275-4f9b-a0fc-41914a0e097f")</f>
        <v>c39bbcd7-a275-4f9b-a0fc-41914a0e097f</v>
      </c>
      <c r="C1433" s="7">
        <f>IFERROR(__xludf.DUMMYFUNCTION("""COMPUTED_VALUE"""),1.0)</f>
        <v>1</v>
      </c>
      <c r="D1433" s="6">
        <f>IFERROR(__xludf.DUMMYFUNCTION("""COMPUTED_VALUE"""),45704.0)</f>
        <v>45704</v>
      </c>
      <c r="E1433" s="7" t="str">
        <f>IFERROR(__xludf.DUMMYFUNCTION("""COMPUTED_VALUE"""),"FRANQUIA_D&amp;G_SP")</f>
        <v>FRANQUIA_D&amp;G_SP</v>
      </c>
      <c r="F1433" s="7" t="str">
        <f>IFERROR(__xludf.DUMMYFUNCTION("""COMPUTED_VALUE"""),"BICYCLE")</f>
        <v>BICYCLE</v>
      </c>
      <c r="G1433" s="7" t="str">
        <f>IFERROR(__xludf.DUMMYFUNCTION("""COMPUTED_VALUE"""),"SAO PAULO")</f>
        <v>SAO PAULO</v>
      </c>
    </row>
    <row r="1434">
      <c r="A1434" s="6">
        <f>IFERROR(__xludf.DUMMYFUNCTION("""COMPUTED_VALUE"""),45705.0)</f>
        <v>45705</v>
      </c>
      <c r="B1434" s="7" t="str">
        <f>IFERROR(__xludf.DUMMYFUNCTION("""COMPUTED_VALUE"""),"c795cea9-52c2-48e7-a950-ecc1b05e1675")</f>
        <v>c795cea9-52c2-48e7-a950-ecc1b05e1675</v>
      </c>
      <c r="C1434" s="7">
        <f>IFERROR(__xludf.DUMMYFUNCTION("""COMPUTED_VALUE"""),0.0)</f>
        <v>0</v>
      </c>
      <c r="D1434" s="6">
        <f>IFERROR(__xludf.DUMMYFUNCTION("""COMPUTED_VALUE"""),45705.0)</f>
        <v>45705</v>
      </c>
      <c r="E1434" s="7" t="str">
        <f>IFERROR(__xludf.DUMMYFUNCTION("""COMPUTED_VALUE"""),"FRANQUIA_D&amp;G_SP")</f>
        <v>FRANQUIA_D&amp;G_SP</v>
      </c>
      <c r="F1434" s="7" t="str">
        <f>IFERROR(__xludf.DUMMYFUNCTION("""COMPUTED_VALUE"""),"BICYCLE")</f>
        <v>BICYCLE</v>
      </c>
      <c r="G1434" s="7" t="str">
        <f>IFERROR(__xludf.DUMMYFUNCTION("""COMPUTED_VALUE"""),"SAO PAULO")</f>
        <v>SAO PAULO</v>
      </c>
    </row>
    <row r="1435">
      <c r="A1435" s="6">
        <f>IFERROR(__xludf.DUMMYFUNCTION("""COMPUTED_VALUE"""),45705.0)</f>
        <v>45705</v>
      </c>
      <c r="B1435" s="7" t="str">
        <f>IFERROR(__xludf.DUMMYFUNCTION("""COMPUTED_VALUE"""),"a5c8380f-4b83-4306-aba1-e5a0f283cf62")</f>
        <v>a5c8380f-4b83-4306-aba1-e5a0f283cf62</v>
      </c>
      <c r="C1435" s="7">
        <f>IFERROR(__xludf.DUMMYFUNCTION("""COMPUTED_VALUE"""),0.0)</f>
        <v>0</v>
      </c>
      <c r="D1435" s="6">
        <f>IFERROR(__xludf.DUMMYFUNCTION("""COMPUTED_VALUE"""),45705.0)</f>
        <v>45705</v>
      </c>
      <c r="E1435" s="7" t="str">
        <f>IFERROR(__xludf.DUMMYFUNCTION("""COMPUTED_VALUE"""),"FRANQUIA_D&amp;G_SP")</f>
        <v>FRANQUIA_D&amp;G_SP</v>
      </c>
      <c r="F1435" s="7" t="str">
        <f>IFERROR(__xludf.DUMMYFUNCTION("""COMPUTED_VALUE"""),"MOTORCYCLE")</f>
        <v>MOTORCYCLE</v>
      </c>
      <c r="G1435" s="7" t="str">
        <f>IFERROR(__xludf.DUMMYFUNCTION("""COMPUTED_VALUE"""),"SAO PAULO")</f>
        <v>SAO PAULO</v>
      </c>
    </row>
    <row r="1436">
      <c r="A1436" s="6">
        <f>IFERROR(__xludf.DUMMYFUNCTION("""COMPUTED_VALUE"""),45705.0)</f>
        <v>45705</v>
      </c>
      <c r="B1436" s="7" t="str">
        <f>IFERROR(__xludf.DUMMYFUNCTION("""COMPUTED_VALUE"""),"340d2e14-1ebe-4f7b-86fd-fa7ef56b2a32")</f>
        <v>340d2e14-1ebe-4f7b-86fd-fa7ef56b2a32</v>
      </c>
      <c r="C1436" s="7">
        <f>IFERROR(__xludf.DUMMYFUNCTION("""COMPUTED_VALUE"""),24.0)</f>
        <v>24</v>
      </c>
      <c r="D1436" s="6">
        <f>IFERROR(__xludf.DUMMYFUNCTION("""COMPUTED_VALUE"""),45681.0)</f>
        <v>45681</v>
      </c>
      <c r="E1436" s="7" t="str">
        <f>IFERROR(__xludf.DUMMYFUNCTION("""COMPUTED_VALUE"""),"FRANQUIA_D&amp;G_SP")</f>
        <v>FRANQUIA_D&amp;G_SP</v>
      </c>
      <c r="F1436" s="7" t="str">
        <f>IFERROR(__xludf.DUMMYFUNCTION("""COMPUTED_VALUE"""),"MOTORCYCLE")</f>
        <v>MOTORCYCLE</v>
      </c>
      <c r="G1436" s="7" t="str">
        <f>IFERROR(__xludf.DUMMYFUNCTION("""COMPUTED_VALUE"""),"SAO PAULO")</f>
        <v>SAO PAULO</v>
      </c>
    </row>
    <row r="1437">
      <c r="A1437" s="6">
        <f>IFERROR(__xludf.DUMMYFUNCTION("""COMPUTED_VALUE"""),45705.0)</f>
        <v>45705</v>
      </c>
      <c r="B1437" s="7" t="str">
        <f>IFERROR(__xludf.DUMMYFUNCTION("""COMPUTED_VALUE"""),"6c1e585f-145d-4929-b6c4-8d3d620cc17b")</f>
        <v>6c1e585f-145d-4929-b6c4-8d3d620cc17b</v>
      </c>
      <c r="C1437" s="7">
        <f>IFERROR(__xludf.DUMMYFUNCTION("""COMPUTED_VALUE"""),1.0)</f>
        <v>1</v>
      </c>
      <c r="D1437" s="6">
        <f>IFERROR(__xludf.DUMMYFUNCTION("""COMPUTED_VALUE"""),45704.0)</f>
        <v>45704</v>
      </c>
      <c r="E1437" s="7" t="str">
        <f>IFERROR(__xludf.DUMMYFUNCTION("""COMPUTED_VALUE"""),"FRANQUIA_D&amp;G_SP")</f>
        <v>FRANQUIA_D&amp;G_SP</v>
      </c>
      <c r="F1437" s="7" t="str">
        <f>IFERROR(__xludf.DUMMYFUNCTION("""COMPUTED_VALUE"""),"BICYCLE")</f>
        <v>BICYCLE</v>
      </c>
      <c r="G1437" s="7" t="str">
        <f>IFERROR(__xludf.DUMMYFUNCTION("""COMPUTED_VALUE"""),"SAO PAULO")</f>
        <v>SAO PAULO</v>
      </c>
    </row>
    <row r="1438">
      <c r="A1438" s="6">
        <f>IFERROR(__xludf.DUMMYFUNCTION("""COMPUTED_VALUE"""),45705.0)</f>
        <v>45705</v>
      </c>
      <c r="B1438" s="7" t="str">
        <f>IFERROR(__xludf.DUMMYFUNCTION("""COMPUTED_VALUE"""),"1d5a2676-b438-4d1d-a836-5b537c168f92")</f>
        <v>1d5a2676-b438-4d1d-a836-5b537c168f92</v>
      </c>
      <c r="C1438" s="7">
        <f>IFERROR(__xludf.DUMMYFUNCTION("""COMPUTED_VALUE"""),98.0)</f>
        <v>98</v>
      </c>
      <c r="D1438" s="6">
        <f>IFERROR(__xludf.DUMMYFUNCTION("""COMPUTED_VALUE"""),45607.0)</f>
        <v>45607</v>
      </c>
      <c r="E1438" s="7" t="str">
        <f>IFERROR(__xludf.DUMMYFUNCTION("""COMPUTED_VALUE"""),"FRANQUIA_D&amp;G_SP")</f>
        <v>FRANQUIA_D&amp;G_SP</v>
      </c>
      <c r="F1438" s="7" t="str">
        <f>IFERROR(__xludf.DUMMYFUNCTION("""COMPUTED_VALUE"""),"BICYCLE")</f>
        <v>BICYCLE</v>
      </c>
      <c r="G1438" s="7" t="str">
        <f>IFERROR(__xludf.DUMMYFUNCTION("""COMPUTED_VALUE"""),"SAO PAULO")</f>
        <v>SAO PAULO</v>
      </c>
    </row>
    <row r="1439">
      <c r="A1439" s="6">
        <f>IFERROR(__xludf.DUMMYFUNCTION("""COMPUTED_VALUE"""),45705.0)</f>
        <v>45705</v>
      </c>
      <c r="B1439" s="7" t="str">
        <f>IFERROR(__xludf.DUMMYFUNCTION("""COMPUTED_VALUE"""),"3ad1c6c7-92e7-4a8d-a41b-4fda09d54529")</f>
        <v>3ad1c6c7-92e7-4a8d-a41b-4fda09d54529</v>
      </c>
      <c r="C1439" s="7">
        <f>IFERROR(__xludf.DUMMYFUNCTION("""COMPUTED_VALUE"""),39.0)</f>
        <v>39</v>
      </c>
      <c r="D1439" s="6">
        <f>IFERROR(__xludf.DUMMYFUNCTION("""COMPUTED_VALUE"""),45666.0)</f>
        <v>45666</v>
      </c>
      <c r="E1439" s="7" t="str">
        <f>IFERROR(__xludf.DUMMYFUNCTION("""COMPUTED_VALUE"""),"FRANQUIA_D&amp;G_SP")</f>
        <v>FRANQUIA_D&amp;G_SP</v>
      </c>
      <c r="F1439" s="7" t="str">
        <f>IFERROR(__xludf.DUMMYFUNCTION("""COMPUTED_VALUE"""),"EMOTORCYCLE")</f>
        <v>EMOTORCYCLE</v>
      </c>
      <c r="G1439" s="7" t="str">
        <f>IFERROR(__xludf.DUMMYFUNCTION("""COMPUTED_VALUE"""),"GUARULHOS")</f>
        <v>GUARULHOS</v>
      </c>
    </row>
    <row r="1440">
      <c r="A1440" s="6">
        <f>IFERROR(__xludf.DUMMYFUNCTION("""COMPUTED_VALUE"""),45705.0)</f>
        <v>45705</v>
      </c>
      <c r="B1440" s="7" t="str">
        <f>IFERROR(__xludf.DUMMYFUNCTION("""COMPUTED_VALUE"""),"44128bf5-d5ae-4a81-8015-c9fceff39439")</f>
        <v>44128bf5-d5ae-4a81-8015-c9fceff39439</v>
      </c>
      <c r="C1440" s="7">
        <f>IFERROR(__xludf.DUMMYFUNCTION("""COMPUTED_VALUE"""),0.0)</f>
        <v>0</v>
      </c>
      <c r="D1440" s="6">
        <f>IFERROR(__xludf.DUMMYFUNCTION("""COMPUTED_VALUE"""),45705.0)</f>
        <v>45705</v>
      </c>
      <c r="E1440" s="7" t="str">
        <f>IFERROR(__xludf.DUMMYFUNCTION("""COMPUTED_VALUE"""),"FRANQUIA_D&amp;G_SP")</f>
        <v>FRANQUIA_D&amp;G_SP</v>
      </c>
      <c r="F1440" s="7" t="str">
        <f>IFERROR(__xludf.DUMMYFUNCTION("""COMPUTED_VALUE"""),"MOTORCYCLE")</f>
        <v>MOTORCYCLE</v>
      </c>
      <c r="G1440" s="7" t="str">
        <f>IFERROR(__xludf.DUMMYFUNCTION("""COMPUTED_VALUE"""),"SUZANO")</f>
        <v>SUZANO</v>
      </c>
    </row>
    <row r="1441">
      <c r="A1441" s="6">
        <f>IFERROR(__xludf.DUMMYFUNCTION("""COMPUTED_VALUE"""),45705.0)</f>
        <v>45705</v>
      </c>
      <c r="B1441" s="7" t="str">
        <f>IFERROR(__xludf.DUMMYFUNCTION("""COMPUTED_VALUE"""),"8ed71d43-f5f9-4af4-be17-8d084da2dcd2")</f>
        <v>8ed71d43-f5f9-4af4-be17-8d084da2dcd2</v>
      </c>
      <c r="C1441" s="7">
        <f>IFERROR(__xludf.DUMMYFUNCTION("""COMPUTED_VALUE"""),0.0)</f>
        <v>0</v>
      </c>
      <c r="D1441" s="6">
        <f>IFERROR(__xludf.DUMMYFUNCTION("""COMPUTED_VALUE"""),45705.0)</f>
        <v>45705</v>
      </c>
      <c r="E1441" s="7" t="str">
        <f>IFERROR(__xludf.DUMMYFUNCTION("""COMPUTED_VALUE"""),"FRANQUIA_D&amp;G_SP")</f>
        <v>FRANQUIA_D&amp;G_SP</v>
      </c>
      <c r="F1441" s="7" t="str">
        <f>IFERROR(__xludf.DUMMYFUNCTION("""COMPUTED_VALUE"""),"MOTORCYCLE")</f>
        <v>MOTORCYCLE</v>
      </c>
      <c r="G1441" s="7" t="str">
        <f>IFERROR(__xludf.DUMMYFUNCTION("""COMPUTED_VALUE"""),"SAO PAULO")</f>
        <v>SAO PAULO</v>
      </c>
    </row>
    <row r="1442">
      <c r="A1442" s="6">
        <f>IFERROR(__xludf.DUMMYFUNCTION("""COMPUTED_VALUE"""),45705.0)</f>
        <v>45705</v>
      </c>
      <c r="B1442" s="7" t="str">
        <f>IFERROR(__xludf.DUMMYFUNCTION("""COMPUTED_VALUE"""),"34bed8b6-240c-4584-8748-4b321eeab5b0")</f>
        <v>34bed8b6-240c-4584-8748-4b321eeab5b0</v>
      </c>
      <c r="C1442" s="7">
        <f>IFERROR(__xludf.DUMMYFUNCTION("""COMPUTED_VALUE"""),0.0)</f>
        <v>0</v>
      </c>
      <c r="D1442" s="6">
        <f>IFERROR(__xludf.DUMMYFUNCTION("""COMPUTED_VALUE"""),45705.0)</f>
        <v>45705</v>
      </c>
      <c r="E1442" s="7" t="str">
        <f>IFERROR(__xludf.DUMMYFUNCTION("""COMPUTED_VALUE"""),"FRANQUIA_D&amp;G_SP")</f>
        <v>FRANQUIA_D&amp;G_SP</v>
      </c>
      <c r="F1442" s="7" t="str">
        <f>IFERROR(__xludf.DUMMYFUNCTION("""COMPUTED_VALUE"""),"MOTORCYCLE")</f>
        <v>MOTORCYCLE</v>
      </c>
      <c r="G1442" s="7" t="str">
        <f>IFERROR(__xludf.DUMMYFUNCTION("""COMPUTED_VALUE"""),"SAO PAULO")</f>
        <v>SAO PAULO</v>
      </c>
    </row>
    <row r="1443">
      <c r="A1443" s="6">
        <f>IFERROR(__xludf.DUMMYFUNCTION("""COMPUTED_VALUE"""),45705.0)</f>
        <v>45705</v>
      </c>
      <c r="B1443" s="7" t="str">
        <f>IFERROR(__xludf.DUMMYFUNCTION("""COMPUTED_VALUE"""),"2c0719b2-f88c-4d0f-b9b6-ed14383c5a4e")</f>
        <v>2c0719b2-f88c-4d0f-b9b6-ed14383c5a4e</v>
      </c>
      <c r="C1443" s="7">
        <f>IFERROR(__xludf.DUMMYFUNCTION("""COMPUTED_VALUE"""),41.0)</f>
        <v>41</v>
      </c>
      <c r="D1443" s="6">
        <f>IFERROR(__xludf.DUMMYFUNCTION("""COMPUTED_VALUE"""),45664.0)</f>
        <v>45664</v>
      </c>
      <c r="E1443" s="7" t="str">
        <f>IFERROR(__xludf.DUMMYFUNCTION("""COMPUTED_VALUE"""),"FRANQUIA_D&amp;G_SP")</f>
        <v>FRANQUIA_D&amp;G_SP</v>
      </c>
      <c r="F1443" s="7" t="str">
        <f>IFERROR(__xludf.DUMMYFUNCTION("""COMPUTED_VALUE"""),"MOTORCYCLE")</f>
        <v>MOTORCYCLE</v>
      </c>
      <c r="G1443" s="7" t="str">
        <f>IFERROR(__xludf.DUMMYFUNCTION("""COMPUTED_VALUE"""),"SAO PAULO")</f>
        <v>SAO PAULO</v>
      </c>
    </row>
    <row r="1444">
      <c r="A1444" s="6">
        <f>IFERROR(__xludf.DUMMYFUNCTION("""COMPUTED_VALUE"""),45705.0)</f>
        <v>45705</v>
      </c>
      <c r="B1444" s="7" t="str">
        <f>IFERROR(__xludf.DUMMYFUNCTION("""COMPUTED_VALUE"""),"f8b92f79-ba40-4a6e-b579-8623c0542425")</f>
        <v>f8b92f79-ba40-4a6e-b579-8623c0542425</v>
      </c>
      <c r="C1444" s="7">
        <f>IFERROR(__xludf.DUMMYFUNCTION("""COMPUTED_VALUE"""),0.0)</f>
        <v>0</v>
      </c>
      <c r="D1444" s="6">
        <f>IFERROR(__xludf.DUMMYFUNCTION("""COMPUTED_VALUE"""),45705.0)</f>
        <v>45705</v>
      </c>
      <c r="E1444" s="7" t="str">
        <f>IFERROR(__xludf.DUMMYFUNCTION("""COMPUTED_VALUE"""),"FRANQUIA_D&amp;G_SP")</f>
        <v>FRANQUIA_D&amp;G_SP</v>
      </c>
      <c r="F1444" s="7" t="str">
        <f>IFERROR(__xludf.DUMMYFUNCTION("""COMPUTED_VALUE"""),"EMOTORCYCLE")</f>
        <v>EMOTORCYCLE</v>
      </c>
      <c r="G1444" s="7" t="str">
        <f>IFERROR(__xludf.DUMMYFUNCTION("""COMPUTED_VALUE"""),"SAO PAULO")</f>
        <v>SAO PAULO</v>
      </c>
    </row>
    <row r="1445">
      <c r="A1445" s="6">
        <f>IFERROR(__xludf.DUMMYFUNCTION("""COMPUTED_VALUE"""),45705.0)</f>
        <v>45705</v>
      </c>
      <c r="B1445" s="7" t="str">
        <f>IFERROR(__xludf.DUMMYFUNCTION("""COMPUTED_VALUE"""),"5146ba1f-5e20-4e48-b4e4-53a909674333")</f>
        <v>5146ba1f-5e20-4e48-b4e4-53a909674333</v>
      </c>
      <c r="C1445" s="7">
        <f>IFERROR(__xludf.DUMMYFUNCTION("""COMPUTED_VALUE"""),0.0)</f>
        <v>0</v>
      </c>
      <c r="D1445" s="6">
        <f>IFERROR(__xludf.DUMMYFUNCTION("""COMPUTED_VALUE"""),45705.0)</f>
        <v>45705</v>
      </c>
      <c r="E1445" s="7" t="str">
        <f>IFERROR(__xludf.DUMMYFUNCTION("""COMPUTED_VALUE"""),"FRANQUIA_D&amp;G_SP")</f>
        <v>FRANQUIA_D&amp;G_SP</v>
      </c>
      <c r="F1445" s="7" t="str">
        <f>IFERROR(__xludf.DUMMYFUNCTION("""COMPUTED_VALUE"""),"MOTORCYCLE")</f>
        <v>MOTORCYCLE</v>
      </c>
      <c r="G1445" s="7" t="str">
        <f>IFERROR(__xludf.DUMMYFUNCTION("""COMPUTED_VALUE"""),"SAO PAULO")</f>
        <v>SAO PAULO</v>
      </c>
    </row>
    <row r="1446">
      <c r="A1446" s="6">
        <f>IFERROR(__xludf.DUMMYFUNCTION("""COMPUTED_VALUE"""),45705.0)</f>
        <v>45705</v>
      </c>
      <c r="B1446" s="7" t="str">
        <f>IFERROR(__xludf.DUMMYFUNCTION("""COMPUTED_VALUE"""),"34aeec24-963e-4817-8c5e-c91f16042a2d")</f>
        <v>34aeec24-963e-4817-8c5e-c91f16042a2d</v>
      </c>
      <c r="C1446" s="7">
        <f>IFERROR(__xludf.DUMMYFUNCTION("""COMPUTED_VALUE"""),1.0)</f>
        <v>1</v>
      </c>
      <c r="D1446" s="6">
        <f>IFERROR(__xludf.DUMMYFUNCTION("""COMPUTED_VALUE"""),45704.0)</f>
        <v>45704</v>
      </c>
      <c r="E1446" s="7" t="str">
        <f>IFERROR(__xludf.DUMMYFUNCTION("""COMPUTED_VALUE"""),"FRANQUIA_D&amp;G_SP")</f>
        <v>FRANQUIA_D&amp;G_SP</v>
      </c>
      <c r="F1446" s="7" t="str">
        <f>IFERROR(__xludf.DUMMYFUNCTION("""COMPUTED_VALUE"""),"BICYCLE")</f>
        <v>BICYCLE</v>
      </c>
      <c r="G1446" s="7" t="str">
        <f>IFERROR(__xludf.DUMMYFUNCTION("""COMPUTED_VALUE"""),"SAO PAULO")</f>
        <v>SAO PAULO</v>
      </c>
    </row>
    <row r="1447">
      <c r="A1447" s="6">
        <f>IFERROR(__xludf.DUMMYFUNCTION("""COMPUTED_VALUE"""),45705.0)</f>
        <v>45705</v>
      </c>
      <c r="B1447" s="7" t="str">
        <f>IFERROR(__xludf.DUMMYFUNCTION("""COMPUTED_VALUE"""),"c92b7640-a6d3-4af2-8a85-c73378fbeee9")</f>
        <v>c92b7640-a6d3-4af2-8a85-c73378fbeee9</v>
      </c>
      <c r="C1447" s="7">
        <f>IFERROR(__xludf.DUMMYFUNCTION("""COMPUTED_VALUE"""),0.0)</f>
        <v>0</v>
      </c>
      <c r="D1447" s="6">
        <f>IFERROR(__xludf.DUMMYFUNCTION("""COMPUTED_VALUE"""),45705.0)</f>
        <v>45705</v>
      </c>
      <c r="E1447" s="7" t="str">
        <f>IFERROR(__xludf.DUMMYFUNCTION("""COMPUTED_VALUE"""),"FRANQUIA_D&amp;G_SP")</f>
        <v>FRANQUIA_D&amp;G_SP</v>
      </c>
      <c r="F1447" s="7" t="str">
        <f>IFERROR(__xludf.DUMMYFUNCTION("""COMPUTED_VALUE"""),"BICYCLE")</f>
        <v>BICYCLE</v>
      </c>
      <c r="G1447" s="7" t="str">
        <f>IFERROR(__xludf.DUMMYFUNCTION("""COMPUTED_VALUE"""),"SAO PAULO")</f>
        <v>SAO PAULO</v>
      </c>
    </row>
    <row r="1448">
      <c r="A1448" s="6">
        <f>IFERROR(__xludf.DUMMYFUNCTION("""COMPUTED_VALUE"""),45705.0)</f>
        <v>45705</v>
      </c>
      <c r="B1448" s="7" t="str">
        <f>IFERROR(__xludf.DUMMYFUNCTION("""COMPUTED_VALUE"""),"c60e6527-6ee2-48c9-9bb1-8980070fcce7")</f>
        <v>c60e6527-6ee2-48c9-9bb1-8980070fcce7</v>
      </c>
      <c r="C1448" s="7">
        <f>IFERROR(__xludf.DUMMYFUNCTION("""COMPUTED_VALUE"""),1.0)</f>
        <v>1</v>
      </c>
      <c r="D1448" s="6">
        <f>IFERROR(__xludf.DUMMYFUNCTION("""COMPUTED_VALUE"""),45704.0)</f>
        <v>45704</v>
      </c>
      <c r="E1448" s="7" t="str">
        <f>IFERROR(__xludf.DUMMYFUNCTION("""COMPUTED_VALUE"""),"FRANQUIA_D&amp;G_SP")</f>
        <v>FRANQUIA_D&amp;G_SP</v>
      </c>
      <c r="F1448" s="7" t="str">
        <f>IFERROR(__xludf.DUMMYFUNCTION("""COMPUTED_VALUE"""),"MOTORCYCLE")</f>
        <v>MOTORCYCLE</v>
      </c>
      <c r="G1448" s="7" t="str">
        <f>IFERROR(__xludf.DUMMYFUNCTION("""COMPUTED_VALUE"""),"SAO PAULO")</f>
        <v>SAO PAULO</v>
      </c>
    </row>
    <row r="1449">
      <c r="A1449" s="6">
        <f>IFERROR(__xludf.DUMMYFUNCTION("""COMPUTED_VALUE"""),45705.0)</f>
        <v>45705</v>
      </c>
      <c r="B1449" s="7" t="str">
        <f>IFERROR(__xludf.DUMMYFUNCTION("""COMPUTED_VALUE"""),"d2d6322f-bfb2-4ec3-a7a1-c9dd3839fdc4")</f>
        <v>d2d6322f-bfb2-4ec3-a7a1-c9dd3839fdc4</v>
      </c>
      <c r="C1449" s="7">
        <f>IFERROR(__xludf.DUMMYFUNCTION("""COMPUTED_VALUE"""),0.0)</f>
        <v>0</v>
      </c>
      <c r="D1449" s="6">
        <f>IFERROR(__xludf.DUMMYFUNCTION("""COMPUTED_VALUE"""),45705.0)</f>
        <v>45705</v>
      </c>
      <c r="E1449" s="7" t="str">
        <f>IFERROR(__xludf.DUMMYFUNCTION("""COMPUTED_VALUE"""),"FRANQUIA_D&amp;G_SP")</f>
        <v>FRANQUIA_D&amp;G_SP</v>
      </c>
      <c r="F1449" s="7" t="str">
        <f>IFERROR(__xludf.DUMMYFUNCTION("""COMPUTED_VALUE"""),"BICYCLE")</f>
        <v>BICYCLE</v>
      </c>
      <c r="G1449" s="7" t="str">
        <f>IFERROR(__xludf.DUMMYFUNCTION("""COMPUTED_VALUE"""),"SAO PAULO")</f>
        <v>SAO PAULO</v>
      </c>
    </row>
    <row r="1450">
      <c r="A1450" s="6">
        <f>IFERROR(__xludf.DUMMYFUNCTION("""COMPUTED_VALUE"""),45705.0)</f>
        <v>45705</v>
      </c>
      <c r="B1450" s="7" t="str">
        <f>IFERROR(__xludf.DUMMYFUNCTION("""COMPUTED_VALUE"""),"713ad70c-bee2-4524-afb2-18ae683dea26")</f>
        <v>713ad70c-bee2-4524-afb2-18ae683dea26</v>
      </c>
      <c r="C1450" s="7">
        <f>IFERROR(__xludf.DUMMYFUNCTION("""COMPUTED_VALUE"""),0.0)</f>
        <v>0</v>
      </c>
      <c r="D1450" s="6">
        <f>IFERROR(__xludf.DUMMYFUNCTION("""COMPUTED_VALUE"""),45705.0)</f>
        <v>45705</v>
      </c>
      <c r="E1450" s="7" t="str">
        <f>IFERROR(__xludf.DUMMYFUNCTION("""COMPUTED_VALUE"""),"FRANQUIA_D&amp;G_SP")</f>
        <v>FRANQUIA_D&amp;G_SP</v>
      </c>
      <c r="F1450" s="7" t="str">
        <f>IFERROR(__xludf.DUMMYFUNCTION("""COMPUTED_VALUE"""),"BICYCLE")</f>
        <v>BICYCLE</v>
      </c>
      <c r="G1450" s="7" t="str">
        <f>IFERROR(__xludf.DUMMYFUNCTION("""COMPUTED_VALUE"""),"SAO PAULO")</f>
        <v>SAO PAULO</v>
      </c>
    </row>
    <row r="1451">
      <c r="A1451" s="6">
        <f>IFERROR(__xludf.DUMMYFUNCTION("""COMPUTED_VALUE"""),45705.0)</f>
        <v>45705</v>
      </c>
      <c r="B1451" s="7" t="str">
        <f>IFERROR(__xludf.DUMMYFUNCTION("""COMPUTED_VALUE"""),"bba7c93d-30c4-4835-badb-bb5338e7a388")</f>
        <v>bba7c93d-30c4-4835-badb-bb5338e7a388</v>
      </c>
      <c r="C1451" s="7">
        <f>IFERROR(__xludf.DUMMYFUNCTION("""COMPUTED_VALUE"""),3.0)</f>
        <v>3</v>
      </c>
      <c r="D1451" s="6">
        <f>IFERROR(__xludf.DUMMYFUNCTION("""COMPUTED_VALUE"""),45702.0)</f>
        <v>45702</v>
      </c>
      <c r="E1451" s="7" t="str">
        <f>IFERROR(__xludf.DUMMYFUNCTION("""COMPUTED_VALUE"""),"FRANQUIA_D&amp;G_SP")</f>
        <v>FRANQUIA_D&amp;G_SP</v>
      </c>
      <c r="F1451" s="7" t="str">
        <f>IFERROR(__xludf.DUMMYFUNCTION("""COMPUTED_VALUE"""),"MOTORCYCLE")</f>
        <v>MOTORCYCLE</v>
      </c>
      <c r="G1451" s="7" t="str">
        <f>IFERROR(__xludf.DUMMYFUNCTION("""COMPUTED_VALUE"""),"SAO PAULO")</f>
        <v>SAO PAULO</v>
      </c>
    </row>
    <row r="1452">
      <c r="A1452" s="6">
        <f>IFERROR(__xludf.DUMMYFUNCTION("""COMPUTED_VALUE"""),45705.0)</f>
        <v>45705</v>
      </c>
      <c r="B1452" s="7" t="str">
        <f>IFERROR(__xludf.DUMMYFUNCTION("""COMPUTED_VALUE"""),"f8be618a-1263-41f6-aa1c-68de12257acb")</f>
        <v>f8be618a-1263-41f6-aa1c-68de12257acb</v>
      </c>
      <c r="C1452" s="7">
        <f>IFERROR(__xludf.DUMMYFUNCTION("""COMPUTED_VALUE"""),72.0)</f>
        <v>72</v>
      </c>
      <c r="D1452" s="6">
        <f>IFERROR(__xludf.DUMMYFUNCTION("""COMPUTED_VALUE"""),45633.0)</f>
        <v>45633</v>
      </c>
      <c r="E1452" s="7" t="str">
        <f>IFERROR(__xludf.DUMMYFUNCTION("""COMPUTED_VALUE"""),"FRANQUIA_D&amp;G_SP")</f>
        <v>FRANQUIA_D&amp;G_SP</v>
      </c>
      <c r="F1452" s="7" t="str">
        <f>IFERROR(__xludf.DUMMYFUNCTION("""COMPUTED_VALUE"""),"BICYCLE")</f>
        <v>BICYCLE</v>
      </c>
      <c r="G1452" s="7" t="str">
        <f>IFERROR(__xludf.DUMMYFUNCTION("""COMPUTED_VALUE"""),"SAO PAULO")</f>
        <v>SAO PAULO</v>
      </c>
    </row>
    <row r="1453">
      <c r="A1453" s="6">
        <f>IFERROR(__xludf.DUMMYFUNCTION("""COMPUTED_VALUE"""),45705.0)</f>
        <v>45705</v>
      </c>
      <c r="B1453" s="7" t="str">
        <f>IFERROR(__xludf.DUMMYFUNCTION("""COMPUTED_VALUE"""),"e9845e14-3059-416e-988b-3e67e8b0b0de")</f>
        <v>e9845e14-3059-416e-988b-3e67e8b0b0de</v>
      </c>
      <c r="C1453" s="7">
        <f>IFERROR(__xludf.DUMMYFUNCTION("""COMPUTED_VALUE"""),658.0)</f>
        <v>658</v>
      </c>
      <c r="D1453" s="6">
        <f>IFERROR(__xludf.DUMMYFUNCTION("""COMPUTED_VALUE"""),45047.0)</f>
        <v>45047</v>
      </c>
      <c r="E1453" s="7" t="str">
        <f>IFERROR(__xludf.DUMMYFUNCTION("""COMPUTED_VALUE"""),"FRANQUIA_D&amp;G_SP")</f>
        <v>FRANQUIA_D&amp;G_SP</v>
      </c>
      <c r="F1453" s="7" t="str">
        <f>IFERROR(__xludf.DUMMYFUNCTION("""COMPUTED_VALUE"""),"MOTORCYCLE")</f>
        <v>MOTORCYCLE</v>
      </c>
      <c r="G1453" s="7" t="str">
        <f>IFERROR(__xludf.DUMMYFUNCTION("""COMPUTED_VALUE"""),"SAO PAULO")</f>
        <v>SAO PAULO</v>
      </c>
    </row>
    <row r="1454">
      <c r="A1454" s="6">
        <f>IFERROR(__xludf.DUMMYFUNCTION("""COMPUTED_VALUE"""),45705.0)</f>
        <v>45705</v>
      </c>
      <c r="B1454" s="7" t="str">
        <f>IFERROR(__xludf.DUMMYFUNCTION("""COMPUTED_VALUE"""),"fb912fdf-c4f5-432e-acad-a38324f06504")</f>
        <v>fb912fdf-c4f5-432e-acad-a38324f06504</v>
      </c>
      <c r="C1454" s="7">
        <f>IFERROR(__xludf.DUMMYFUNCTION("""COMPUTED_VALUE"""),0.0)</f>
        <v>0</v>
      </c>
      <c r="D1454" s="6">
        <f>IFERROR(__xludf.DUMMYFUNCTION("""COMPUTED_VALUE"""),45705.0)</f>
        <v>45705</v>
      </c>
      <c r="E1454" s="7" t="str">
        <f>IFERROR(__xludf.DUMMYFUNCTION("""COMPUTED_VALUE"""),"FRANQUIA_D&amp;G_SP")</f>
        <v>FRANQUIA_D&amp;G_SP</v>
      </c>
      <c r="F1454" s="7" t="str">
        <f>IFERROR(__xludf.DUMMYFUNCTION("""COMPUTED_VALUE"""),"MOTORCYCLE")</f>
        <v>MOTORCYCLE</v>
      </c>
      <c r="G1454" s="7" t="str">
        <f>IFERROR(__xludf.DUMMYFUNCTION("""COMPUTED_VALUE"""),"SAO PAULO")</f>
        <v>SAO PAULO</v>
      </c>
    </row>
    <row r="1455">
      <c r="A1455" s="6">
        <f>IFERROR(__xludf.DUMMYFUNCTION("""COMPUTED_VALUE"""),45705.0)</f>
        <v>45705</v>
      </c>
      <c r="B1455" s="7" t="str">
        <f>IFERROR(__xludf.DUMMYFUNCTION("""COMPUTED_VALUE"""),"caf28f67-3270-4d33-8207-720407b67569")</f>
        <v>caf28f67-3270-4d33-8207-720407b67569</v>
      </c>
      <c r="C1455" s="7">
        <f>IFERROR(__xludf.DUMMYFUNCTION("""COMPUTED_VALUE"""),52.0)</f>
        <v>52</v>
      </c>
      <c r="D1455" s="6">
        <f>IFERROR(__xludf.DUMMYFUNCTION("""COMPUTED_VALUE"""),45653.0)</f>
        <v>45653</v>
      </c>
      <c r="E1455" s="7" t="str">
        <f>IFERROR(__xludf.DUMMYFUNCTION("""COMPUTED_VALUE"""),"FRANQUIA_D&amp;G_SP")</f>
        <v>FRANQUIA_D&amp;G_SP</v>
      </c>
      <c r="F1455" s="7" t="str">
        <f>IFERROR(__xludf.DUMMYFUNCTION("""COMPUTED_VALUE"""),"MOTORCYCLE")</f>
        <v>MOTORCYCLE</v>
      </c>
      <c r="G1455" s="7" t="str">
        <f>IFERROR(__xludf.DUMMYFUNCTION("""COMPUTED_VALUE"""),"SAO PAULO")</f>
        <v>SAO PAULO</v>
      </c>
    </row>
    <row r="1456">
      <c r="A1456" s="6">
        <f>IFERROR(__xludf.DUMMYFUNCTION("""COMPUTED_VALUE"""),45705.0)</f>
        <v>45705</v>
      </c>
      <c r="B1456" s="7" t="str">
        <f>IFERROR(__xludf.DUMMYFUNCTION("""COMPUTED_VALUE"""),"f4385731-6e6b-453e-85c8-8c4a7c8d8b96")</f>
        <v>f4385731-6e6b-453e-85c8-8c4a7c8d8b96</v>
      </c>
      <c r="C1456" s="7">
        <f>IFERROR(__xludf.DUMMYFUNCTION("""COMPUTED_VALUE"""),1.0)</f>
        <v>1</v>
      </c>
      <c r="D1456" s="6">
        <f>IFERROR(__xludf.DUMMYFUNCTION("""COMPUTED_VALUE"""),45704.0)</f>
        <v>45704</v>
      </c>
      <c r="E1456" s="7" t="str">
        <f>IFERROR(__xludf.DUMMYFUNCTION("""COMPUTED_VALUE"""),"FRANQUIA_D&amp;G_SP")</f>
        <v>FRANQUIA_D&amp;G_SP</v>
      </c>
      <c r="F1456" s="7" t="str">
        <f>IFERROR(__xludf.DUMMYFUNCTION("""COMPUTED_VALUE"""),"MOTORCYCLE")</f>
        <v>MOTORCYCLE</v>
      </c>
      <c r="G1456" s="7" t="str">
        <f>IFERROR(__xludf.DUMMYFUNCTION("""COMPUTED_VALUE"""),"SAO PAULO")</f>
        <v>SAO PAULO</v>
      </c>
    </row>
    <row r="1457">
      <c r="A1457" s="6">
        <f>IFERROR(__xludf.DUMMYFUNCTION("""COMPUTED_VALUE"""),45705.0)</f>
        <v>45705</v>
      </c>
      <c r="B1457" s="7" t="str">
        <f>IFERROR(__xludf.DUMMYFUNCTION("""COMPUTED_VALUE"""),"58e924ff-cc1f-4f9b-8b79-b187dc6e1296")</f>
        <v>58e924ff-cc1f-4f9b-8b79-b187dc6e1296</v>
      </c>
      <c r="C1457" s="7">
        <f>IFERROR(__xludf.DUMMYFUNCTION("""COMPUTED_VALUE"""),64.0)</f>
        <v>64</v>
      </c>
      <c r="D1457" s="6">
        <f>IFERROR(__xludf.DUMMYFUNCTION("""COMPUTED_VALUE"""),45641.0)</f>
        <v>45641</v>
      </c>
      <c r="E1457" s="7" t="str">
        <f>IFERROR(__xludf.DUMMYFUNCTION("""COMPUTED_VALUE"""),"FRANQUIA_D&amp;G_SP")</f>
        <v>FRANQUIA_D&amp;G_SP</v>
      </c>
      <c r="F1457" s="7" t="str">
        <f>IFERROR(__xludf.DUMMYFUNCTION("""COMPUTED_VALUE"""),"BICYCLE")</f>
        <v>BICYCLE</v>
      </c>
      <c r="G1457" s="7" t="str">
        <f>IFERROR(__xludf.DUMMYFUNCTION("""COMPUTED_VALUE"""),"SAO PAULO")</f>
        <v>SAO PAULO</v>
      </c>
    </row>
    <row r="1458">
      <c r="A1458" s="6">
        <f>IFERROR(__xludf.DUMMYFUNCTION("""COMPUTED_VALUE"""),45705.0)</f>
        <v>45705</v>
      </c>
      <c r="B1458" s="7" t="str">
        <f>IFERROR(__xludf.DUMMYFUNCTION("""COMPUTED_VALUE"""),"e3173c27-d57f-4d23-9bc6-b2484ed18f6d")</f>
        <v>e3173c27-d57f-4d23-9bc6-b2484ed18f6d</v>
      </c>
      <c r="C1458" s="7">
        <f>IFERROR(__xludf.DUMMYFUNCTION("""COMPUTED_VALUE"""),125.0)</f>
        <v>125</v>
      </c>
      <c r="D1458" s="6">
        <f>IFERROR(__xludf.DUMMYFUNCTION("""COMPUTED_VALUE"""),45580.0)</f>
        <v>45580</v>
      </c>
      <c r="E1458" s="7" t="str">
        <f>IFERROR(__xludf.DUMMYFUNCTION("""COMPUTED_VALUE"""),"FRANQUIA_D&amp;G_SP")</f>
        <v>FRANQUIA_D&amp;G_SP</v>
      </c>
      <c r="F1458" s="7" t="str">
        <f>IFERROR(__xludf.DUMMYFUNCTION("""COMPUTED_VALUE"""),"BICYCLE")</f>
        <v>BICYCLE</v>
      </c>
      <c r="G1458" s="7" t="str">
        <f>IFERROR(__xludf.DUMMYFUNCTION("""COMPUTED_VALUE"""),"SUZANO")</f>
        <v>SUZANO</v>
      </c>
    </row>
    <row r="1459">
      <c r="A1459" s="6">
        <f>IFERROR(__xludf.DUMMYFUNCTION("""COMPUTED_VALUE"""),45705.0)</f>
        <v>45705</v>
      </c>
      <c r="B1459" s="7" t="str">
        <f>IFERROR(__xludf.DUMMYFUNCTION("""COMPUTED_VALUE"""),"efa17362-e1e2-4b76-9355-5336c00bba1c")</f>
        <v>efa17362-e1e2-4b76-9355-5336c00bba1c</v>
      </c>
      <c r="C1459" s="7">
        <f>IFERROR(__xludf.DUMMYFUNCTION("""COMPUTED_VALUE"""),0.0)</f>
        <v>0</v>
      </c>
      <c r="D1459" s="6">
        <f>IFERROR(__xludf.DUMMYFUNCTION("""COMPUTED_VALUE"""),0.0)</f>
        <v>0</v>
      </c>
      <c r="E1459" s="7" t="str">
        <f>IFERROR(__xludf.DUMMYFUNCTION("""COMPUTED_VALUE"""),"FRANQUIA_D&amp;G_SP")</f>
        <v>FRANQUIA_D&amp;G_SP</v>
      </c>
      <c r="F1459" s="7" t="str">
        <f>IFERROR(__xludf.DUMMYFUNCTION("""COMPUTED_VALUE"""),"BICYCLE")</f>
        <v>BICYCLE</v>
      </c>
      <c r="G1459" s="7" t="str">
        <f>IFERROR(__xludf.DUMMYFUNCTION("""COMPUTED_VALUE"""),"0")</f>
        <v>0</v>
      </c>
    </row>
    <row r="1460">
      <c r="A1460" s="6">
        <f>IFERROR(__xludf.DUMMYFUNCTION("""COMPUTED_VALUE"""),45705.0)</f>
        <v>45705</v>
      </c>
      <c r="B1460" s="7" t="str">
        <f>IFERROR(__xludf.DUMMYFUNCTION("""COMPUTED_VALUE"""),"56525d4d-e1f7-439e-9ab4-0fa4a992d8d4")</f>
        <v>56525d4d-e1f7-439e-9ab4-0fa4a992d8d4</v>
      </c>
      <c r="C1460" s="7">
        <f>IFERROR(__xludf.DUMMYFUNCTION("""COMPUTED_VALUE"""),1.0)</f>
        <v>1</v>
      </c>
      <c r="D1460" s="6">
        <f>IFERROR(__xludf.DUMMYFUNCTION("""COMPUTED_VALUE"""),45704.0)</f>
        <v>45704</v>
      </c>
      <c r="E1460" s="7" t="str">
        <f>IFERROR(__xludf.DUMMYFUNCTION("""COMPUTED_VALUE"""),"FRANQUIA_D&amp;G_SP")</f>
        <v>FRANQUIA_D&amp;G_SP</v>
      </c>
      <c r="F1460" s="7" t="str">
        <f>IFERROR(__xludf.DUMMYFUNCTION("""COMPUTED_VALUE"""),"BICYCLE")</f>
        <v>BICYCLE</v>
      </c>
      <c r="G1460" s="7" t="str">
        <f>IFERROR(__xludf.DUMMYFUNCTION("""COMPUTED_VALUE"""),"SAO PAULO")</f>
        <v>SAO PAULO</v>
      </c>
    </row>
    <row r="1461">
      <c r="A1461" s="6">
        <f>IFERROR(__xludf.DUMMYFUNCTION("""COMPUTED_VALUE"""),45705.0)</f>
        <v>45705</v>
      </c>
      <c r="B1461" s="7" t="str">
        <f>IFERROR(__xludf.DUMMYFUNCTION("""COMPUTED_VALUE"""),"66392c4c-a027-4fd8-a15b-87ca767023a0")</f>
        <v>66392c4c-a027-4fd8-a15b-87ca767023a0</v>
      </c>
      <c r="C1461" s="7">
        <f>IFERROR(__xludf.DUMMYFUNCTION("""COMPUTED_VALUE"""),223.0)</f>
        <v>223</v>
      </c>
      <c r="D1461" s="6">
        <f>IFERROR(__xludf.DUMMYFUNCTION("""COMPUTED_VALUE"""),45482.0)</f>
        <v>45482</v>
      </c>
      <c r="E1461" s="7" t="str">
        <f>IFERROR(__xludf.DUMMYFUNCTION("""COMPUTED_VALUE"""),"FRANQUIA_D&amp;G_SP")</f>
        <v>FRANQUIA_D&amp;G_SP</v>
      </c>
      <c r="F1461" s="7" t="str">
        <f>IFERROR(__xludf.DUMMYFUNCTION("""COMPUTED_VALUE"""),"BICYCLE")</f>
        <v>BICYCLE</v>
      </c>
      <c r="G1461" s="7" t="str">
        <f>IFERROR(__xludf.DUMMYFUNCTION("""COMPUTED_VALUE"""),"SAO PAULO")</f>
        <v>SAO PAULO</v>
      </c>
    </row>
    <row r="1462">
      <c r="A1462" s="6">
        <f>IFERROR(__xludf.DUMMYFUNCTION("""COMPUTED_VALUE"""),45705.0)</f>
        <v>45705</v>
      </c>
      <c r="B1462" s="7" t="str">
        <f>IFERROR(__xludf.DUMMYFUNCTION("""COMPUTED_VALUE"""),"d3142738-b9ec-4416-a6be-73131a66c3d1")</f>
        <v>d3142738-b9ec-4416-a6be-73131a66c3d1</v>
      </c>
      <c r="C1462" s="7">
        <f>IFERROR(__xludf.DUMMYFUNCTION("""COMPUTED_VALUE"""),0.0)</f>
        <v>0</v>
      </c>
      <c r="D1462" s="6">
        <f>IFERROR(__xludf.DUMMYFUNCTION("""COMPUTED_VALUE"""),45705.0)</f>
        <v>45705</v>
      </c>
      <c r="E1462" s="7" t="str">
        <f>IFERROR(__xludf.DUMMYFUNCTION("""COMPUTED_VALUE"""),"FRANQUIA_D&amp;G_SP")</f>
        <v>FRANQUIA_D&amp;G_SP</v>
      </c>
      <c r="F1462" s="7" t="str">
        <f>IFERROR(__xludf.DUMMYFUNCTION("""COMPUTED_VALUE"""),"MOTORCYCLE")</f>
        <v>MOTORCYCLE</v>
      </c>
      <c r="G1462" s="7" t="str">
        <f>IFERROR(__xludf.DUMMYFUNCTION("""COMPUTED_VALUE"""),"SAO PAULO")</f>
        <v>SAO PAULO</v>
      </c>
    </row>
    <row r="1463">
      <c r="A1463" s="6">
        <f>IFERROR(__xludf.DUMMYFUNCTION("""COMPUTED_VALUE"""),45705.0)</f>
        <v>45705</v>
      </c>
      <c r="B1463" s="7" t="str">
        <f>IFERROR(__xludf.DUMMYFUNCTION("""COMPUTED_VALUE"""),"c3249646-1189-43e5-b7ad-d46ac1168990")</f>
        <v>c3249646-1189-43e5-b7ad-d46ac1168990</v>
      </c>
      <c r="C1463" s="7">
        <f>IFERROR(__xludf.DUMMYFUNCTION("""COMPUTED_VALUE"""),0.0)</f>
        <v>0</v>
      </c>
      <c r="D1463" s="6">
        <f>IFERROR(__xludf.DUMMYFUNCTION("""COMPUTED_VALUE"""),45705.0)</f>
        <v>45705</v>
      </c>
      <c r="E1463" s="7" t="str">
        <f>IFERROR(__xludf.DUMMYFUNCTION("""COMPUTED_VALUE"""),"FRANQUIA_D&amp;G_SP")</f>
        <v>FRANQUIA_D&amp;G_SP</v>
      </c>
      <c r="F1463" s="7" t="str">
        <f>IFERROR(__xludf.DUMMYFUNCTION("""COMPUTED_VALUE"""),"BICYCLE")</f>
        <v>BICYCLE</v>
      </c>
      <c r="G1463" s="7" t="str">
        <f>IFERROR(__xludf.DUMMYFUNCTION("""COMPUTED_VALUE"""),"SAO PAULO")</f>
        <v>SAO PAULO</v>
      </c>
    </row>
    <row r="1464">
      <c r="A1464" s="6">
        <f>IFERROR(__xludf.DUMMYFUNCTION("""COMPUTED_VALUE"""),45705.0)</f>
        <v>45705</v>
      </c>
      <c r="B1464" s="7" t="str">
        <f>IFERROR(__xludf.DUMMYFUNCTION("""COMPUTED_VALUE"""),"0d823d5b-926e-41ef-a346-79d5dbd878b7")</f>
        <v>0d823d5b-926e-41ef-a346-79d5dbd878b7</v>
      </c>
      <c r="C1464" s="7">
        <f>IFERROR(__xludf.DUMMYFUNCTION("""COMPUTED_VALUE"""),50.0)</f>
        <v>50</v>
      </c>
      <c r="D1464" s="6">
        <f>IFERROR(__xludf.DUMMYFUNCTION("""COMPUTED_VALUE"""),45655.0)</f>
        <v>45655</v>
      </c>
      <c r="E1464" s="7" t="str">
        <f>IFERROR(__xludf.DUMMYFUNCTION("""COMPUTED_VALUE"""),"FRANQUIA_D&amp;G_SP")</f>
        <v>FRANQUIA_D&amp;G_SP</v>
      </c>
      <c r="F1464" s="7" t="str">
        <f>IFERROR(__xludf.DUMMYFUNCTION("""COMPUTED_VALUE"""),"BICYCLE")</f>
        <v>BICYCLE</v>
      </c>
      <c r="G1464" s="7" t="str">
        <f>IFERROR(__xludf.DUMMYFUNCTION("""COMPUTED_VALUE"""),"SAO PAULO")</f>
        <v>SAO PAULO</v>
      </c>
    </row>
    <row r="1465">
      <c r="A1465" s="6">
        <f>IFERROR(__xludf.DUMMYFUNCTION("""COMPUTED_VALUE"""),45705.0)</f>
        <v>45705</v>
      </c>
      <c r="B1465" s="7" t="str">
        <f>IFERROR(__xludf.DUMMYFUNCTION("""COMPUTED_VALUE"""),"6ad73827-e8fb-43ac-a072-de438bd3f0d7")</f>
        <v>6ad73827-e8fb-43ac-a072-de438bd3f0d7</v>
      </c>
      <c r="C1465" s="7">
        <f>IFERROR(__xludf.DUMMYFUNCTION("""COMPUTED_VALUE"""),68.0)</f>
        <v>68</v>
      </c>
      <c r="D1465" s="6">
        <f>IFERROR(__xludf.DUMMYFUNCTION("""COMPUTED_VALUE"""),45637.0)</f>
        <v>45637</v>
      </c>
      <c r="E1465" s="7" t="str">
        <f>IFERROR(__xludf.DUMMYFUNCTION("""COMPUTED_VALUE"""),"FRANQUIA_D&amp;G_SP")</f>
        <v>FRANQUIA_D&amp;G_SP</v>
      </c>
      <c r="F1465" s="7" t="str">
        <f>IFERROR(__xludf.DUMMYFUNCTION("""COMPUTED_VALUE"""),"BICYCLE")</f>
        <v>BICYCLE</v>
      </c>
      <c r="G1465" s="7" t="str">
        <f>IFERROR(__xludf.DUMMYFUNCTION("""COMPUTED_VALUE"""),"SAO PAULO")</f>
        <v>SAO PAULO</v>
      </c>
    </row>
    <row r="1466">
      <c r="A1466" s="6">
        <f>IFERROR(__xludf.DUMMYFUNCTION("""COMPUTED_VALUE"""),45705.0)</f>
        <v>45705</v>
      </c>
      <c r="B1466" s="7" t="str">
        <f>IFERROR(__xludf.DUMMYFUNCTION("""COMPUTED_VALUE"""),"27f51cd4-4e5b-4860-a542-b85f7d5b67da")</f>
        <v>27f51cd4-4e5b-4860-a542-b85f7d5b67da</v>
      </c>
      <c r="C1466" s="7">
        <f>IFERROR(__xludf.DUMMYFUNCTION("""COMPUTED_VALUE"""),33.0)</f>
        <v>33</v>
      </c>
      <c r="D1466" s="6">
        <f>IFERROR(__xludf.DUMMYFUNCTION("""COMPUTED_VALUE"""),45672.0)</f>
        <v>45672</v>
      </c>
      <c r="E1466" s="7" t="str">
        <f>IFERROR(__xludf.DUMMYFUNCTION("""COMPUTED_VALUE"""),"FRANQUIA_D&amp;G_SP")</f>
        <v>FRANQUIA_D&amp;G_SP</v>
      </c>
      <c r="F1466" s="7" t="str">
        <f>IFERROR(__xludf.DUMMYFUNCTION("""COMPUTED_VALUE"""),"MOTORCYCLE")</f>
        <v>MOTORCYCLE</v>
      </c>
      <c r="G1466" s="7" t="str">
        <f>IFERROR(__xludf.DUMMYFUNCTION("""COMPUTED_VALUE"""),"SAO PAULO")</f>
        <v>SAO PAULO</v>
      </c>
    </row>
    <row r="1467">
      <c r="A1467" s="6">
        <f>IFERROR(__xludf.DUMMYFUNCTION("""COMPUTED_VALUE"""),45705.0)</f>
        <v>45705</v>
      </c>
      <c r="B1467" s="7" t="str">
        <f>IFERROR(__xludf.DUMMYFUNCTION("""COMPUTED_VALUE"""),"e79f79f0-8e17-418e-b530-fc2fe9163cd1")</f>
        <v>e79f79f0-8e17-418e-b530-fc2fe9163cd1</v>
      </c>
      <c r="C1467" s="7">
        <f>IFERROR(__xludf.DUMMYFUNCTION("""COMPUTED_VALUE"""),0.0)</f>
        <v>0</v>
      </c>
      <c r="D1467" s="6">
        <f>IFERROR(__xludf.DUMMYFUNCTION("""COMPUTED_VALUE"""),45705.0)</f>
        <v>45705</v>
      </c>
      <c r="E1467" s="7" t="str">
        <f>IFERROR(__xludf.DUMMYFUNCTION("""COMPUTED_VALUE"""),"FRANQUIA_D&amp;G_SP")</f>
        <v>FRANQUIA_D&amp;G_SP</v>
      </c>
      <c r="F1467" s="7" t="str">
        <f>IFERROR(__xludf.DUMMYFUNCTION("""COMPUTED_VALUE"""),"MOTORCYCLE")</f>
        <v>MOTORCYCLE</v>
      </c>
      <c r="G1467" s="7" t="str">
        <f>IFERROR(__xludf.DUMMYFUNCTION("""COMPUTED_VALUE"""),"TABOAO DA SERRA")</f>
        <v>TABOAO DA SERRA</v>
      </c>
    </row>
    <row r="1468">
      <c r="A1468" s="6">
        <f>IFERROR(__xludf.DUMMYFUNCTION("""COMPUTED_VALUE"""),45705.0)</f>
        <v>45705</v>
      </c>
      <c r="B1468" s="7" t="str">
        <f>IFERROR(__xludf.DUMMYFUNCTION("""COMPUTED_VALUE"""),"9f34d492-1e06-45d8-9900-250b2f121cac")</f>
        <v>9f34d492-1e06-45d8-9900-250b2f121cac</v>
      </c>
      <c r="C1468" s="7">
        <f>IFERROR(__xludf.DUMMYFUNCTION("""COMPUTED_VALUE"""),0.0)</f>
        <v>0</v>
      </c>
      <c r="D1468" s="6">
        <f>IFERROR(__xludf.DUMMYFUNCTION("""COMPUTED_VALUE"""),45705.0)</f>
        <v>45705</v>
      </c>
      <c r="E1468" s="7" t="str">
        <f>IFERROR(__xludf.DUMMYFUNCTION("""COMPUTED_VALUE"""),"FRANQUIA_D&amp;G_SP")</f>
        <v>FRANQUIA_D&amp;G_SP</v>
      </c>
      <c r="F1468" s="7" t="str">
        <f>IFERROR(__xludf.DUMMYFUNCTION("""COMPUTED_VALUE"""),"BICYCLE")</f>
        <v>BICYCLE</v>
      </c>
      <c r="G1468" s="7" t="str">
        <f>IFERROR(__xludf.DUMMYFUNCTION("""COMPUTED_VALUE"""),"SAO PAULO")</f>
        <v>SAO PAULO</v>
      </c>
    </row>
    <row r="1469">
      <c r="A1469" s="6">
        <f>IFERROR(__xludf.DUMMYFUNCTION("""COMPUTED_VALUE"""),45705.0)</f>
        <v>45705</v>
      </c>
      <c r="B1469" s="7" t="str">
        <f>IFERROR(__xludf.DUMMYFUNCTION("""COMPUTED_VALUE"""),"94e225a9-0214-4e9a-b5dc-3dc7c81f982d")</f>
        <v>94e225a9-0214-4e9a-b5dc-3dc7c81f982d</v>
      </c>
      <c r="C1469" s="7">
        <f>IFERROR(__xludf.DUMMYFUNCTION("""COMPUTED_VALUE"""),1.0)</f>
        <v>1</v>
      </c>
      <c r="D1469" s="6">
        <f>IFERROR(__xludf.DUMMYFUNCTION("""COMPUTED_VALUE"""),45704.0)</f>
        <v>45704</v>
      </c>
      <c r="E1469" s="7" t="str">
        <f>IFERROR(__xludf.DUMMYFUNCTION("""COMPUTED_VALUE"""),"FRANQUIA_D&amp;G_SP")</f>
        <v>FRANQUIA_D&amp;G_SP</v>
      </c>
      <c r="F1469" s="7" t="str">
        <f>IFERROR(__xludf.DUMMYFUNCTION("""COMPUTED_VALUE"""),"MOTORCYCLE")</f>
        <v>MOTORCYCLE</v>
      </c>
      <c r="G1469" s="7" t="str">
        <f>IFERROR(__xludf.DUMMYFUNCTION("""COMPUTED_VALUE"""),"SAO PAULO")</f>
        <v>SAO PAULO</v>
      </c>
    </row>
    <row r="1470">
      <c r="A1470" s="6">
        <f>IFERROR(__xludf.DUMMYFUNCTION("""COMPUTED_VALUE"""),45705.0)</f>
        <v>45705</v>
      </c>
      <c r="B1470" s="7" t="str">
        <f>IFERROR(__xludf.DUMMYFUNCTION("""COMPUTED_VALUE"""),"170e52f1-cf86-4551-84e4-068d7a35cbe2")</f>
        <v>170e52f1-cf86-4551-84e4-068d7a35cbe2</v>
      </c>
      <c r="C1470" s="7">
        <f>IFERROR(__xludf.DUMMYFUNCTION("""COMPUTED_VALUE"""),3.0)</f>
        <v>3</v>
      </c>
      <c r="D1470" s="6">
        <f>IFERROR(__xludf.DUMMYFUNCTION("""COMPUTED_VALUE"""),45702.0)</f>
        <v>45702</v>
      </c>
      <c r="E1470" s="7" t="str">
        <f>IFERROR(__xludf.DUMMYFUNCTION("""COMPUTED_VALUE"""),"FRANQUIA_D&amp;G_SP")</f>
        <v>FRANQUIA_D&amp;G_SP</v>
      </c>
      <c r="F1470" s="7" t="str">
        <f>IFERROR(__xludf.DUMMYFUNCTION("""COMPUTED_VALUE"""),"MOTORCYCLE")</f>
        <v>MOTORCYCLE</v>
      </c>
      <c r="G1470" s="7" t="str">
        <f>IFERROR(__xludf.DUMMYFUNCTION("""COMPUTED_VALUE"""),"SAO PAULO")</f>
        <v>SAO PAULO</v>
      </c>
    </row>
    <row r="1471">
      <c r="A1471" s="6">
        <f>IFERROR(__xludf.DUMMYFUNCTION("""COMPUTED_VALUE"""),45705.0)</f>
        <v>45705</v>
      </c>
      <c r="B1471" s="7" t="str">
        <f>IFERROR(__xludf.DUMMYFUNCTION("""COMPUTED_VALUE"""),"a2fd7034-d08d-47ac-af94-68e04f3711e6")</f>
        <v>a2fd7034-d08d-47ac-af94-68e04f3711e6</v>
      </c>
      <c r="C1471" s="7">
        <f>IFERROR(__xludf.DUMMYFUNCTION("""COMPUTED_VALUE"""),0.0)</f>
        <v>0</v>
      </c>
      <c r="D1471" s="6">
        <f>IFERROR(__xludf.DUMMYFUNCTION("""COMPUTED_VALUE"""),45705.0)</f>
        <v>45705</v>
      </c>
      <c r="E1471" s="7" t="str">
        <f>IFERROR(__xludf.DUMMYFUNCTION("""COMPUTED_VALUE"""),"FRANQUIA_D&amp;G_SP")</f>
        <v>FRANQUIA_D&amp;G_SP</v>
      </c>
      <c r="F1471" s="7" t="str">
        <f>IFERROR(__xludf.DUMMYFUNCTION("""COMPUTED_VALUE"""),"MOTORCYCLE")</f>
        <v>MOTORCYCLE</v>
      </c>
      <c r="G1471" s="7" t="str">
        <f>IFERROR(__xludf.DUMMYFUNCTION("""COMPUTED_VALUE"""),"SAO PAULO")</f>
        <v>SAO PAULO</v>
      </c>
    </row>
    <row r="1472">
      <c r="A1472" s="6">
        <f>IFERROR(__xludf.DUMMYFUNCTION("""COMPUTED_VALUE"""),45705.0)</f>
        <v>45705</v>
      </c>
      <c r="B1472" s="7" t="str">
        <f>IFERROR(__xludf.DUMMYFUNCTION("""COMPUTED_VALUE"""),"a9de4573-2a98-4fd5-9891-826b3f9a6f06")</f>
        <v>a9de4573-2a98-4fd5-9891-826b3f9a6f06</v>
      </c>
      <c r="C1472" s="7">
        <f>IFERROR(__xludf.DUMMYFUNCTION("""COMPUTED_VALUE"""),0.0)</f>
        <v>0</v>
      </c>
      <c r="D1472" s="6">
        <f>IFERROR(__xludf.DUMMYFUNCTION("""COMPUTED_VALUE"""),0.0)</f>
        <v>0</v>
      </c>
      <c r="E1472" s="7" t="str">
        <f>IFERROR(__xludf.DUMMYFUNCTION("""COMPUTED_VALUE"""),"FRANQUIA_D&amp;G_SP")</f>
        <v>FRANQUIA_D&amp;G_SP</v>
      </c>
      <c r="F1472" s="7" t="str">
        <f>IFERROR(__xludf.DUMMYFUNCTION("""COMPUTED_VALUE"""),"BICYCLE")</f>
        <v>BICYCLE</v>
      </c>
      <c r="G1472" s="7" t="str">
        <f>IFERROR(__xludf.DUMMYFUNCTION("""COMPUTED_VALUE"""),"0")</f>
        <v>0</v>
      </c>
    </row>
    <row r="1473">
      <c r="A1473" s="6">
        <f>IFERROR(__xludf.DUMMYFUNCTION("""COMPUTED_VALUE"""),45705.0)</f>
        <v>45705</v>
      </c>
      <c r="B1473" s="7" t="str">
        <f>IFERROR(__xludf.DUMMYFUNCTION("""COMPUTED_VALUE"""),"7b874098-fdc6-45a4-8acc-557609a3cb9d")</f>
        <v>7b874098-fdc6-45a4-8acc-557609a3cb9d</v>
      </c>
      <c r="C1473" s="7">
        <f>IFERROR(__xludf.DUMMYFUNCTION("""COMPUTED_VALUE"""),289.0)</f>
        <v>289</v>
      </c>
      <c r="D1473" s="6">
        <f>IFERROR(__xludf.DUMMYFUNCTION("""COMPUTED_VALUE"""),45416.0)</f>
        <v>45416</v>
      </c>
      <c r="E1473" s="7" t="str">
        <f>IFERROR(__xludf.DUMMYFUNCTION("""COMPUTED_VALUE"""),"FRANQUIA_D&amp;G_SP")</f>
        <v>FRANQUIA_D&amp;G_SP</v>
      </c>
      <c r="F1473" s="7" t="str">
        <f>IFERROR(__xludf.DUMMYFUNCTION("""COMPUTED_VALUE"""),"MOTORCYCLE")</f>
        <v>MOTORCYCLE</v>
      </c>
      <c r="G1473" s="7" t="str">
        <f>IFERROR(__xludf.DUMMYFUNCTION("""COMPUTED_VALUE"""),"SAO PAULO")</f>
        <v>SAO PAULO</v>
      </c>
    </row>
    <row r="1474">
      <c r="A1474" s="6">
        <f>IFERROR(__xludf.DUMMYFUNCTION("""COMPUTED_VALUE"""),45705.0)</f>
        <v>45705</v>
      </c>
      <c r="B1474" s="7" t="str">
        <f>IFERROR(__xludf.DUMMYFUNCTION("""COMPUTED_VALUE"""),"817761a5-f076-4480-a55b-485e353751be")</f>
        <v>817761a5-f076-4480-a55b-485e353751be</v>
      </c>
      <c r="C1474" s="7">
        <f>IFERROR(__xludf.DUMMYFUNCTION("""COMPUTED_VALUE"""),1.0)</f>
        <v>1</v>
      </c>
      <c r="D1474" s="6">
        <f>IFERROR(__xludf.DUMMYFUNCTION("""COMPUTED_VALUE"""),45704.0)</f>
        <v>45704</v>
      </c>
      <c r="E1474" s="7" t="str">
        <f>IFERROR(__xludf.DUMMYFUNCTION("""COMPUTED_VALUE"""),"FRANQUIA_D&amp;G_SP")</f>
        <v>FRANQUIA_D&amp;G_SP</v>
      </c>
      <c r="F1474" s="7" t="str">
        <f>IFERROR(__xludf.DUMMYFUNCTION("""COMPUTED_VALUE"""),"MOTORCYCLE")</f>
        <v>MOTORCYCLE</v>
      </c>
      <c r="G1474" s="7" t="str">
        <f>IFERROR(__xludf.DUMMYFUNCTION("""COMPUTED_VALUE"""),"SAO PAULO")</f>
        <v>SAO PAULO</v>
      </c>
    </row>
    <row r="1475">
      <c r="A1475" s="6">
        <f>IFERROR(__xludf.DUMMYFUNCTION("""COMPUTED_VALUE"""),45705.0)</f>
        <v>45705</v>
      </c>
      <c r="B1475" s="7" t="str">
        <f>IFERROR(__xludf.DUMMYFUNCTION("""COMPUTED_VALUE"""),"df09975c-75e5-4689-83c1-add2607623e9")</f>
        <v>df09975c-75e5-4689-83c1-add2607623e9</v>
      </c>
      <c r="C1475" s="7">
        <f>IFERROR(__xludf.DUMMYFUNCTION("""COMPUTED_VALUE"""),0.0)</f>
        <v>0</v>
      </c>
      <c r="D1475" s="6">
        <f>IFERROR(__xludf.DUMMYFUNCTION("""COMPUTED_VALUE"""),45705.0)</f>
        <v>45705</v>
      </c>
      <c r="E1475" s="7" t="str">
        <f>IFERROR(__xludf.DUMMYFUNCTION("""COMPUTED_VALUE"""),"FRANQUIA_D&amp;G_SP")</f>
        <v>FRANQUIA_D&amp;G_SP</v>
      </c>
      <c r="F1475" s="7" t="str">
        <f>IFERROR(__xludf.DUMMYFUNCTION("""COMPUTED_VALUE"""),"MOTORCYCLE")</f>
        <v>MOTORCYCLE</v>
      </c>
      <c r="G1475" s="7" t="str">
        <f>IFERROR(__xludf.DUMMYFUNCTION("""COMPUTED_VALUE"""),"SAO PAULO")</f>
        <v>SAO PAULO</v>
      </c>
    </row>
    <row r="1476">
      <c r="A1476" s="6">
        <f>IFERROR(__xludf.DUMMYFUNCTION("""COMPUTED_VALUE"""),45705.0)</f>
        <v>45705</v>
      </c>
      <c r="B1476" s="7" t="str">
        <f>IFERROR(__xludf.DUMMYFUNCTION("""COMPUTED_VALUE"""),"37082af1-0778-41dc-bd68-0ff0a9972e9e")</f>
        <v>37082af1-0778-41dc-bd68-0ff0a9972e9e</v>
      </c>
      <c r="C1476" s="7">
        <f>IFERROR(__xludf.DUMMYFUNCTION("""COMPUTED_VALUE"""),1930.0)</f>
        <v>1930</v>
      </c>
      <c r="D1476" s="6">
        <f>IFERROR(__xludf.DUMMYFUNCTION("""COMPUTED_VALUE"""),43775.0)</f>
        <v>43775</v>
      </c>
      <c r="E1476" s="7" t="str">
        <f>IFERROR(__xludf.DUMMYFUNCTION("""COMPUTED_VALUE"""),"FRANQUIA_D&amp;G_SP")</f>
        <v>FRANQUIA_D&amp;G_SP</v>
      </c>
      <c r="F1476" s="7" t="str">
        <f>IFERROR(__xludf.DUMMYFUNCTION("""COMPUTED_VALUE"""),"MOTORCYCLE")</f>
        <v>MOTORCYCLE</v>
      </c>
      <c r="G1476" s="7" t="str">
        <f>IFERROR(__xludf.DUMMYFUNCTION("""COMPUTED_VALUE"""),"SAO PAULO")</f>
        <v>SAO PAULO</v>
      </c>
    </row>
    <row r="1477">
      <c r="A1477" s="6">
        <f>IFERROR(__xludf.DUMMYFUNCTION("""COMPUTED_VALUE"""),45705.0)</f>
        <v>45705</v>
      </c>
      <c r="B1477" s="7" t="str">
        <f>IFERROR(__xludf.DUMMYFUNCTION("""COMPUTED_VALUE"""),"0144c6c9-04c8-44b7-98fa-0b94e02279e3")</f>
        <v>0144c6c9-04c8-44b7-98fa-0b94e02279e3</v>
      </c>
      <c r="C1477" s="7">
        <f>IFERROR(__xludf.DUMMYFUNCTION("""COMPUTED_VALUE"""),10.0)</f>
        <v>10</v>
      </c>
      <c r="D1477" s="6">
        <f>IFERROR(__xludf.DUMMYFUNCTION("""COMPUTED_VALUE"""),45695.0)</f>
        <v>45695</v>
      </c>
      <c r="E1477" s="7" t="str">
        <f>IFERROR(__xludf.DUMMYFUNCTION("""COMPUTED_VALUE"""),"FRANQUIA_D&amp;G_SP")</f>
        <v>FRANQUIA_D&amp;G_SP</v>
      </c>
      <c r="F1477" s="7" t="str">
        <f>IFERROR(__xludf.DUMMYFUNCTION("""COMPUTED_VALUE"""),"EMOTORCYCLE")</f>
        <v>EMOTORCYCLE</v>
      </c>
      <c r="G1477" s="7" t="str">
        <f>IFERROR(__xludf.DUMMYFUNCTION("""COMPUTED_VALUE"""),"SAO PAULO")</f>
        <v>SAO PAULO</v>
      </c>
    </row>
    <row r="1478">
      <c r="A1478" s="6">
        <f>IFERROR(__xludf.DUMMYFUNCTION("""COMPUTED_VALUE"""),45705.0)</f>
        <v>45705</v>
      </c>
      <c r="B1478" s="7" t="str">
        <f>IFERROR(__xludf.DUMMYFUNCTION("""COMPUTED_VALUE"""),"693d673c-9cf3-4949-9edd-8365bfcd0209")</f>
        <v>693d673c-9cf3-4949-9edd-8365bfcd0209</v>
      </c>
      <c r="C1478" s="7">
        <f>IFERROR(__xludf.DUMMYFUNCTION("""COMPUTED_VALUE"""),10.0)</f>
        <v>10</v>
      </c>
      <c r="D1478" s="6">
        <f>IFERROR(__xludf.DUMMYFUNCTION("""COMPUTED_VALUE"""),45695.0)</f>
        <v>45695</v>
      </c>
      <c r="E1478" s="7" t="str">
        <f>IFERROR(__xludf.DUMMYFUNCTION("""COMPUTED_VALUE"""),"FRANQUIA_D&amp;G_SP")</f>
        <v>FRANQUIA_D&amp;G_SP</v>
      </c>
      <c r="F1478" s="7" t="str">
        <f>IFERROR(__xludf.DUMMYFUNCTION("""COMPUTED_VALUE"""),"MOTORCYCLE")</f>
        <v>MOTORCYCLE</v>
      </c>
      <c r="G1478" s="7" t="str">
        <f>IFERROR(__xludf.DUMMYFUNCTION("""COMPUTED_VALUE"""),"SAO PAULO")</f>
        <v>SAO PAULO</v>
      </c>
    </row>
    <row r="1479">
      <c r="A1479" s="6">
        <f>IFERROR(__xludf.DUMMYFUNCTION("""COMPUTED_VALUE"""),45705.0)</f>
        <v>45705</v>
      </c>
      <c r="B1479" s="7" t="str">
        <f>IFERROR(__xludf.DUMMYFUNCTION("""COMPUTED_VALUE"""),"e663dda8-9338-4bed-be5e-ab3b5bfcd284")</f>
        <v>e663dda8-9338-4bed-be5e-ab3b5bfcd284</v>
      </c>
      <c r="C1479" s="7">
        <f>IFERROR(__xludf.DUMMYFUNCTION("""COMPUTED_VALUE"""),0.0)</f>
        <v>0</v>
      </c>
      <c r="D1479" s="6">
        <f>IFERROR(__xludf.DUMMYFUNCTION("""COMPUTED_VALUE"""),45705.0)</f>
        <v>45705</v>
      </c>
      <c r="E1479" s="7" t="str">
        <f>IFERROR(__xludf.DUMMYFUNCTION("""COMPUTED_VALUE"""),"FRANQUIA_D&amp;G_SP")</f>
        <v>FRANQUIA_D&amp;G_SP</v>
      </c>
      <c r="F1479" s="7" t="str">
        <f>IFERROR(__xludf.DUMMYFUNCTION("""COMPUTED_VALUE"""),"MOTORCYCLE")</f>
        <v>MOTORCYCLE</v>
      </c>
      <c r="G1479" s="7" t="str">
        <f>IFERROR(__xludf.DUMMYFUNCTION("""COMPUTED_VALUE"""),"SAO PAULO")</f>
        <v>SAO PAULO</v>
      </c>
    </row>
    <row r="1480">
      <c r="A1480" s="6">
        <f>IFERROR(__xludf.DUMMYFUNCTION("""COMPUTED_VALUE"""),45705.0)</f>
        <v>45705</v>
      </c>
      <c r="B1480" s="7" t="str">
        <f>IFERROR(__xludf.DUMMYFUNCTION("""COMPUTED_VALUE"""),"5038b513-6593-4460-9fbe-f6e5dc9fd42d")</f>
        <v>5038b513-6593-4460-9fbe-f6e5dc9fd42d</v>
      </c>
      <c r="C1480" s="7">
        <f>IFERROR(__xludf.DUMMYFUNCTION("""COMPUTED_VALUE"""),101.0)</f>
        <v>101</v>
      </c>
      <c r="D1480" s="6">
        <f>IFERROR(__xludf.DUMMYFUNCTION("""COMPUTED_VALUE"""),45604.0)</f>
        <v>45604</v>
      </c>
      <c r="E1480" s="7" t="str">
        <f>IFERROR(__xludf.DUMMYFUNCTION("""COMPUTED_VALUE"""),"FRANQUIA_D&amp;G_SP")</f>
        <v>FRANQUIA_D&amp;G_SP</v>
      </c>
      <c r="F1480" s="7" t="str">
        <f>IFERROR(__xludf.DUMMYFUNCTION("""COMPUTED_VALUE"""),"BICYCLE")</f>
        <v>BICYCLE</v>
      </c>
      <c r="G1480" s="7" t="str">
        <f>IFERROR(__xludf.DUMMYFUNCTION("""COMPUTED_VALUE"""),"SAO PAULO")</f>
        <v>SAO PAULO</v>
      </c>
    </row>
    <row r="1481">
      <c r="A1481" s="6">
        <f>IFERROR(__xludf.DUMMYFUNCTION("""COMPUTED_VALUE"""),45705.0)</f>
        <v>45705</v>
      </c>
      <c r="B1481" s="7" t="str">
        <f>IFERROR(__xludf.DUMMYFUNCTION("""COMPUTED_VALUE"""),"7caff54b-d5ff-46fc-bcbb-e51cab69cbc5")</f>
        <v>7caff54b-d5ff-46fc-bcbb-e51cab69cbc5</v>
      </c>
      <c r="C1481" s="7">
        <f>IFERROR(__xludf.DUMMYFUNCTION("""COMPUTED_VALUE"""),0.0)</f>
        <v>0</v>
      </c>
      <c r="D1481" s="6">
        <f>IFERROR(__xludf.DUMMYFUNCTION("""COMPUTED_VALUE"""),45705.0)</f>
        <v>45705</v>
      </c>
      <c r="E1481" s="7" t="str">
        <f>IFERROR(__xludf.DUMMYFUNCTION("""COMPUTED_VALUE"""),"FRANQUIA_D&amp;G_SP")</f>
        <v>FRANQUIA_D&amp;G_SP</v>
      </c>
      <c r="F1481" s="7" t="str">
        <f>IFERROR(__xludf.DUMMYFUNCTION("""COMPUTED_VALUE"""),"BICYCLE")</f>
        <v>BICYCLE</v>
      </c>
      <c r="G1481" s="7" t="str">
        <f>IFERROR(__xludf.DUMMYFUNCTION("""COMPUTED_VALUE"""),"SAO PAULO")</f>
        <v>SAO PAULO</v>
      </c>
    </row>
    <row r="1482">
      <c r="A1482" s="6">
        <f>IFERROR(__xludf.DUMMYFUNCTION("""COMPUTED_VALUE"""),45705.0)</f>
        <v>45705</v>
      </c>
      <c r="B1482" s="7" t="str">
        <f>IFERROR(__xludf.DUMMYFUNCTION("""COMPUTED_VALUE"""),"5fee0a49-4048-46db-ad92-8aa475f9891a")</f>
        <v>5fee0a49-4048-46db-ad92-8aa475f9891a</v>
      </c>
      <c r="C1482" s="7">
        <f>IFERROR(__xludf.DUMMYFUNCTION("""COMPUTED_VALUE"""),2.0)</f>
        <v>2</v>
      </c>
      <c r="D1482" s="6">
        <f>IFERROR(__xludf.DUMMYFUNCTION("""COMPUTED_VALUE"""),45703.0)</f>
        <v>45703</v>
      </c>
      <c r="E1482" s="7" t="str">
        <f>IFERROR(__xludf.DUMMYFUNCTION("""COMPUTED_VALUE"""),"FRANQUIA_D&amp;G_SP")</f>
        <v>FRANQUIA_D&amp;G_SP</v>
      </c>
      <c r="F1482" s="7" t="str">
        <f>IFERROR(__xludf.DUMMYFUNCTION("""COMPUTED_VALUE"""),"BICYCLE")</f>
        <v>BICYCLE</v>
      </c>
      <c r="G1482" s="7" t="str">
        <f>IFERROR(__xludf.DUMMYFUNCTION("""COMPUTED_VALUE"""),"SAO PAULO")</f>
        <v>SAO PAULO</v>
      </c>
    </row>
    <row r="1483">
      <c r="A1483" s="6">
        <f>IFERROR(__xludf.DUMMYFUNCTION("""COMPUTED_VALUE"""),45705.0)</f>
        <v>45705</v>
      </c>
      <c r="B1483" s="7" t="str">
        <f>IFERROR(__xludf.DUMMYFUNCTION("""COMPUTED_VALUE"""),"322c4c51-c0ec-4798-8ed0-ab4ca03fb7f3")</f>
        <v>322c4c51-c0ec-4798-8ed0-ab4ca03fb7f3</v>
      </c>
      <c r="C1483" s="7">
        <f>IFERROR(__xludf.DUMMYFUNCTION("""COMPUTED_VALUE"""),6.0)</f>
        <v>6</v>
      </c>
      <c r="D1483" s="6">
        <f>IFERROR(__xludf.DUMMYFUNCTION("""COMPUTED_VALUE"""),45699.0)</f>
        <v>45699</v>
      </c>
      <c r="E1483" s="7" t="str">
        <f>IFERROR(__xludf.DUMMYFUNCTION("""COMPUTED_VALUE"""),"FRANQUIA_D&amp;G_SP")</f>
        <v>FRANQUIA_D&amp;G_SP</v>
      </c>
      <c r="F1483" s="7" t="str">
        <f>IFERROR(__xludf.DUMMYFUNCTION("""COMPUTED_VALUE"""),"MOTORCYCLE")</f>
        <v>MOTORCYCLE</v>
      </c>
      <c r="G1483" s="7" t="str">
        <f>IFERROR(__xludf.DUMMYFUNCTION("""COMPUTED_VALUE"""),"SAO PAULO")</f>
        <v>SAO PAULO</v>
      </c>
    </row>
    <row r="1484">
      <c r="A1484" s="6">
        <f>IFERROR(__xludf.DUMMYFUNCTION("""COMPUTED_VALUE"""),45705.0)</f>
        <v>45705</v>
      </c>
      <c r="B1484" s="7" t="str">
        <f>IFERROR(__xludf.DUMMYFUNCTION("""COMPUTED_VALUE"""),"54a661ec-d907-43ab-8987-9c83ee07f1ab")</f>
        <v>54a661ec-d907-43ab-8987-9c83ee07f1ab</v>
      </c>
      <c r="C1484" s="7">
        <f>IFERROR(__xludf.DUMMYFUNCTION("""COMPUTED_VALUE"""),0.0)</f>
        <v>0</v>
      </c>
      <c r="D1484" s="6">
        <f>IFERROR(__xludf.DUMMYFUNCTION("""COMPUTED_VALUE"""),45705.0)</f>
        <v>45705</v>
      </c>
      <c r="E1484" s="7" t="str">
        <f>IFERROR(__xludf.DUMMYFUNCTION("""COMPUTED_VALUE"""),"FRANQUIA_D&amp;G_SP")</f>
        <v>FRANQUIA_D&amp;G_SP</v>
      </c>
      <c r="F1484" s="7" t="str">
        <f>IFERROR(__xludf.DUMMYFUNCTION("""COMPUTED_VALUE"""),"EMOTORCYCLE")</f>
        <v>EMOTORCYCLE</v>
      </c>
      <c r="G1484" s="7" t="str">
        <f>IFERROR(__xludf.DUMMYFUNCTION("""COMPUTED_VALUE"""),"SAO PAULO")</f>
        <v>SAO PAULO</v>
      </c>
    </row>
    <row r="1485">
      <c r="A1485" s="6">
        <f>IFERROR(__xludf.DUMMYFUNCTION("""COMPUTED_VALUE"""),45705.0)</f>
        <v>45705</v>
      </c>
      <c r="B1485" s="7" t="str">
        <f>IFERROR(__xludf.DUMMYFUNCTION("""COMPUTED_VALUE"""),"60225350-6163-4f38-b539-1c015e93a843")</f>
        <v>60225350-6163-4f38-b539-1c015e93a843</v>
      </c>
      <c r="C1485" s="7">
        <f>IFERROR(__xludf.DUMMYFUNCTION("""COMPUTED_VALUE"""),126.0)</f>
        <v>126</v>
      </c>
      <c r="D1485" s="6">
        <f>IFERROR(__xludf.DUMMYFUNCTION("""COMPUTED_VALUE"""),45579.0)</f>
        <v>45579</v>
      </c>
      <c r="E1485" s="7" t="str">
        <f>IFERROR(__xludf.DUMMYFUNCTION("""COMPUTED_VALUE"""),"FRANQUIA_D&amp;G_SP")</f>
        <v>FRANQUIA_D&amp;G_SP</v>
      </c>
      <c r="F1485" s="7" t="str">
        <f>IFERROR(__xludf.DUMMYFUNCTION("""COMPUTED_VALUE"""),"MOTORCYCLE")</f>
        <v>MOTORCYCLE</v>
      </c>
      <c r="G1485" s="7" t="str">
        <f>IFERROR(__xludf.DUMMYFUNCTION("""COMPUTED_VALUE"""),"SAO PAULO")</f>
        <v>SAO PAULO</v>
      </c>
    </row>
    <row r="1486">
      <c r="A1486" s="6">
        <f>IFERROR(__xludf.DUMMYFUNCTION("""COMPUTED_VALUE"""),45705.0)</f>
        <v>45705</v>
      </c>
      <c r="B1486" s="7" t="str">
        <f>IFERROR(__xludf.DUMMYFUNCTION("""COMPUTED_VALUE"""),"f05aa397-a0be-4aba-83c3-2aae015386cd")</f>
        <v>f05aa397-a0be-4aba-83c3-2aae015386cd</v>
      </c>
      <c r="C1486" s="7">
        <f>IFERROR(__xludf.DUMMYFUNCTION("""COMPUTED_VALUE"""),0.0)</f>
        <v>0</v>
      </c>
      <c r="D1486" s="6">
        <f>IFERROR(__xludf.DUMMYFUNCTION("""COMPUTED_VALUE"""),45705.0)</f>
        <v>45705</v>
      </c>
      <c r="E1486" s="7" t="str">
        <f>IFERROR(__xludf.DUMMYFUNCTION("""COMPUTED_VALUE"""),"FRANQUIA_D&amp;G_SP")</f>
        <v>FRANQUIA_D&amp;G_SP</v>
      </c>
      <c r="F1486" s="7" t="str">
        <f>IFERROR(__xludf.DUMMYFUNCTION("""COMPUTED_VALUE"""),"MOTORCYCLE")</f>
        <v>MOTORCYCLE</v>
      </c>
      <c r="G1486" s="7" t="str">
        <f>IFERROR(__xludf.DUMMYFUNCTION("""COMPUTED_VALUE"""),"SAO PAULO")</f>
        <v>SAO PAULO</v>
      </c>
    </row>
    <row r="1487">
      <c r="A1487" s="6">
        <f>IFERROR(__xludf.DUMMYFUNCTION("""COMPUTED_VALUE"""),45705.0)</f>
        <v>45705</v>
      </c>
      <c r="B1487" s="7" t="str">
        <f>IFERROR(__xludf.DUMMYFUNCTION("""COMPUTED_VALUE"""),"7728dbd9-cfb6-4f19-aa03-60b2290108a7")</f>
        <v>7728dbd9-cfb6-4f19-aa03-60b2290108a7</v>
      </c>
      <c r="C1487" s="7">
        <f>IFERROR(__xludf.DUMMYFUNCTION("""COMPUTED_VALUE"""),0.0)</f>
        <v>0</v>
      </c>
      <c r="D1487" s="6">
        <f>IFERROR(__xludf.DUMMYFUNCTION("""COMPUTED_VALUE"""),0.0)</f>
        <v>0</v>
      </c>
      <c r="E1487" s="7" t="str">
        <f>IFERROR(__xludf.DUMMYFUNCTION("""COMPUTED_VALUE"""),"FRANQUIA_D&amp;G_SP")</f>
        <v>FRANQUIA_D&amp;G_SP</v>
      </c>
      <c r="F1487" s="7" t="str">
        <f>IFERROR(__xludf.DUMMYFUNCTION("""COMPUTED_VALUE"""),"BICYCLE")</f>
        <v>BICYCLE</v>
      </c>
      <c r="G1487" s="7" t="str">
        <f>IFERROR(__xludf.DUMMYFUNCTION("""COMPUTED_VALUE"""),"0")</f>
        <v>0</v>
      </c>
    </row>
    <row r="1488">
      <c r="A1488" s="6">
        <f>IFERROR(__xludf.DUMMYFUNCTION("""COMPUTED_VALUE"""),45705.0)</f>
        <v>45705</v>
      </c>
      <c r="B1488" s="7" t="str">
        <f>IFERROR(__xludf.DUMMYFUNCTION("""COMPUTED_VALUE"""),"34c0996a-3ffb-43a2-ad4a-13e49b2c8ba0")</f>
        <v>34c0996a-3ffb-43a2-ad4a-13e49b2c8ba0</v>
      </c>
      <c r="C1488" s="7">
        <f>IFERROR(__xludf.DUMMYFUNCTION("""COMPUTED_VALUE"""),293.0)</f>
        <v>293</v>
      </c>
      <c r="D1488" s="6">
        <f>IFERROR(__xludf.DUMMYFUNCTION("""COMPUTED_VALUE"""),45412.0)</f>
        <v>45412</v>
      </c>
      <c r="E1488" s="7" t="str">
        <f>IFERROR(__xludf.DUMMYFUNCTION("""COMPUTED_VALUE"""),"FRANQUIA_D&amp;G_SP")</f>
        <v>FRANQUIA_D&amp;G_SP</v>
      </c>
      <c r="F1488" s="7" t="str">
        <f>IFERROR(__xludf.DUMMYFUNCTION("""COMPUTED_VALUE"""),"BICYCLE")</f>
        <v>BICYCLE</v>
      </c>
      <c r="G1488" s="7" t="str">
        <f>IFERROR(__xludf.DUMMYFUNCTION("""COMPUTED_VALUE"""),"SAO PAULO")</f>
        <v>SAO PAULO</v>
      </c>
    </row>
    <row r="1489">
      <c r="A1489" s="6">
        <f>IFERROR(__xludf.DUMMYFUNCTION("""COMPUTED_VALUE"""),45705.0)</f>
        <v>45705</v>
      </c>
      <c r="B1489" s="7" t="str">
        <f>IFERROR(__xludf.DUMMYFUNCTION("""COMPUTED_VALUE"""),"352753d4-c9ec-4abd-8b73-1757b2a72f27")</f>
        <v>352753d4-c9ec-4abd-8b73-1757b2a72f27</v>
      </c>
      <c r="C1489" s="7">
        <f>IFERROR(__xludf.DUMMYFUNCTION("""COMPUTED_VALUE"""),0.0)</f>
        <v>0</v>
      </c>
      <c r="D1489" s="6">
        <f>IFERROR(__xludf.DUMMYFUNCTION("""COMPUTED_VALUE"""),45705.0)</f>
        <v>45705</v>
      </c>
      <c r="E1489" s="7" t="str">
        <f>IFERROR(__xludf.DUMMYFUNCTION("""COMPUTED_VALUE"""),"FRANQUIA_D&amp;G_SP")</f>
        <v>FRANQUIA_D&amp;G_SP</v>
      </c>
      <c r="F1489" s="7" t="str">
        <f>IFERROR(__xludf.DUMMYFUNCTION("""COMPUTED_VALUE"""),"MOTORCYCLE")</f>
        <v>MOTORCYCLE</v>
      </c>
      <c r="G1489" s="7" t="str">
        <f>IFERROR(__xludf.DUMMYFUNCTION("""COMPUTED_VALUE"""),"SAO PAULO")</f>
        <v>SAO PAULO</v>
      </c>
    </row>
    <row r="1490">
      <c r="A1490" s="6">
        <f>IFERROR(__xludf.DUMMYFUNCTION("""COMPUTED_VALUE"""),45705.0)</f>
        <v>45705</v>
      </c>
      <c r="B1490" s="7" t="str">
        <f>IFERROR(__xludf.DUMMYFUNCTION("""COMPUTED_VALUE"""),"1f96ab4e-e899-4425-aa11-5e787335e36b")</f>
        <v>1f96ab4e-e899-4425-aa11-5e787335e36b</v>
      </c>
      <c r="C1490" s="7">
        <f>IFERROR(__xludf.DUMMYFUNCTION("""COMPUTED_VALUE"""),0.0)</f>
        <v>0</v>
      </c>
      <c r="D1490" s="6">
        <f>IFERROR(__xludf.DUMMYFUNCTION("""COMPUTED_VALUE"""),0.0)</f>
        <v>0</v>
      </c>
      <c r="E1490" s="7" t="str">
        <f>IFERROR(__xludf.DUMMYFUNCTION("""COMPUTED_VALUE"""),"FRANQUIA_D&amp;G_SP")</f>
        <v>FRANQUIA_D&amp;G_SP</v>
      </c>
      <c r="F1490" s="7" t="str">
        <f>IFERROR(__xludf.DUMMYFUNCTION("""COMPUTED_VALUE"""),"BICYCLE")</f>
        <v>BICYCLE</v>
      </c>
      <c r="G1490" s="7" t="str">
        <f>IFERROR(__xludf.DUMMYFUNCTION("""COMPUTED_VALUE"""),"0")</f>
        <v>0</v>
      </c>
    </row>
    <row r="1491">
      <c r="A1491" s="6">
        <f>IFERROR(__xludf.DUMMYFUNCTION("""COMPUTED_VALUE"""),45705.0)</f>
        <v>45705</v>
      </c>
      <c r="B1491" s="7" t="str">
        <f>IFERROR(__xludf.DUMMYFUNCTION("""COMPUTED_VALUE"""),"e60d7b02-a91e-4f11-b9a3-3c966f83efff")</f>
        <v>e60d7b02-a91e-4f11-b9a3-3c966f83efff</v>
      </c>
      <c r="C1491" s="7">
        <f>IFERROR(__xludf.DUMMYFUNCTION("""COMPUTED_VALUE"""),10.0)</f>
        <v>10</v>
      </c>
      <c r="D1491" s="6">
        <f>IFERROR(__xludf.DUMMYFUNCTION("""COMPUTED_VALUE"""),45695.0)</f>
        <v>45695</v>
      </c>
      <c r="E1491" s="7" t="str">
        <f>IFERROR(__xludf.DUMMYFUNCTION("""COMPUTED_VALUE"""),"FRANQUIA_D&amp;G_SP")</f>
        <v>FRANQUIA_D&amp;G_SP</v>
      </c>
      <c r="F1491" s="7" t="str">
        <f>IFERROR(__xludf.DUMMYFUNCTION("""COMPUTED_VALUE"""),"MOTORCYCLE")</f>
        <v>MOTORCYCLE</v>
      </c>
      <c r="G1491" s="7" t="str">
        <f>IFERROR(__xludf.DUMMYFUNCTION("""COMPUTED_VALUE"""),"SAO PAULO")</f>
        <v>SAO PAULO</v>
      </c>
    </row>
    <row r="1492">
      <c r="A1492" s="6">
        <f>IFERROR(__xludf.DUMMYFUNCTION("""COMPUTED_VALUE"""),45705.0)</f>
        <v>45705</v>
      </c>
      <c r="B1492" s="7" t="str">
        <f>IFERROR(__xludf.DUMMYFUNCTION("""COMPUTED_VALUE"""),"eadc1a52-b4a7-46f4-b0d9-647df8726fc9")</f>
        <v>eadc1a52-b4a7-46f4-b0d9-647df8726fc9</v>
      </c>
      <c r="C1492" s="7">
        <f>IFERROR(__xludf.DUMMYFUNCTION("""COMPUTED_VALUE"""),0.0)</f>
        <v>0</v>
      </c>
      <c r="D1492" s="6">
        <f>IFERROR(__xludf.DUMMYFUNCTION("""COMPUTED_VALUE"""),45705.0)</f>
        <v>45705</v>
      </c>
      <c r="E1492" s="7" t="str">
        <f>IFERROR(__xludf.DUMMYFUNCTION("""COMPUTED_VALUE"""),"FRANQUIA_D&amp;G_SP")</f>
        <v>FRANQUIA_D&amp;G_SP</v>
      </c>
      <c r="F1492" s="7" t="str">
        <f>IFERROR(__xludf.DUMMYFUNCTION("""COMPUTED_VALUE"""),"MOTORCYCLE")</f>
        <v>MOTORCYCLE</v>
      </c>
      <c r="G1492" s="7" t="str">
        <f>IFERROR(__xludf.DUMMYFUNCTION("""COMPUTED_VALUE"""),"SAO PAULO")</f>
        <v>SAO PAULO</v>
      </c>
    </row>
    <row r="1493">
      <c r="A1493" s="6">
        <f>IFERROR(__xludf.DUMMYFUNCTION("""COMPUTED_VALUE"""),45705.0)</f>
        <v>45705</v>
      </c>
      <c r="B1493" s="7" t="str">
        <f>IFERROR(__xludf.DUMMYFUNCTION("""COMPUTED_VALUE"""),"e37e995c-8858-4868-b161-bbf0baf27c4e")</f>
        <v>e37e995c-8858-4868-b161-bbf0baf27c4e</v>
      </c>
      <c r="C1493" s="7">
        <f>IFERROR(__xludf.DUMMYFUNCTION("""COMPUTED_VALUE"""),3.0)</f>
        <v>3</v>
      </c>
      <c r="D1493" s="6">
        <f>IFERROR(__xludf.DUMMYFUNCTION("""COMPUTED_VALUE"""),45702.0)</f>
        <v>45702</v>
      </c>
      <c r="E1493" s="7" t="str">
        <f>IFERROR(__xludf.DUMMYFUNCTION("""COMPUTED_VALUE"""),"FRANQUIA_D&amp;G_SP")</f>
        <v>FRANQUIA_D&amp;G_SP</v>
      </c>
      <c r="F1493" s="7" t="str">
        <f>IFERROR(__xludf.DUMMYFUNCTION("""COMPUTED_VALUE"""),"EBIKE")</f>
        <v>EBIKE</v>
      </c>
      <c r="G1493" s="7" t="str">
        <f>IFERROR(__xludf.DUMMYFUNCTION("""COMPUTED_VALUE"""),"SAO PAULO")</f>
        <v>SAO PAULO</v>
      </c>
    </row>
    <row r="1494">
      <c r="A1494" s="6">
        <f>IFERROR(__xludf.DUMMYFUNCTION("""COMPUTED_VALUE"""),45705.0)</f>
        <v>45705</v>
      </c>
      <c r="B1494" s="7" t="str">
        <f>IFERROR(__xludf.DUMMYFUNCTION("""COMPUTED_VALUE"""),"11c4cc7c-50ef-494e-a23e-489ae423a01c")</f>
        <v>11c4cc7c-50ef-494e-a23e-489ae423a01c</v>
      </c>
      <c r="C1494" s="7">
        <f>IFERROR(__xludf.DUMMYFUNCTION("""COMPUTED_VALUE"""),321.0)</f>
        <v>321</v>
      </c>
      <c r="D1494" s="6">
        <f>IFERROR(__xludf.DUMMYFUNCTION("""COMPUTED_VALUE"""),45384.0)</f>
        <v>45384</v>
      </c>
      <c r="E1494" s="7" t="str">
        <f>IFERROR(__xludf.DUMMYFUNCTION("""COMPUTED_VALUE"""),"FRANQUIA_D&amp;G_SP")</f>
        <v>FRANQUIA_D&amp;G_SP</v>
      </c>
      <c r="F1494" s="7" t="str">
        <f>IFERROR(__xludf.DUMMYFUNCTION("""COMPUTED_VALUE"""),"BICYCLE")</f>
        <v>BICYCLE</v>
      </c>
      <c r="G1494" s="7" t="str">
        <f>IFERROR(__xludf.DUMMYFUNCTION("""COMPUTED_VALUE"""),"SAO PAULO")</f>
        <v>SAO PAULO</v>
      </c>
    </row>
    <row r="1495">
      <c r="A1495" s="6">
        <f>IFERROR(__xludf.DUMMYFUNCTION("""COMPUTED_VALUE"""),45705.0)</f>
        <v>45705</v>
      </c>
      <c r="B1495" s="7" t="str">
        <f>IFERROR(__xludf.DUMMYFUNCTION("""COMPUTED_VALUE"""),"d5770a46-0236-4291-8131-cd0e6de68822")</f>
        <v>d5770a46-0236-4291-8131-cd0e6de68822</v>
      </c>
      <c r="C1495" s="7">
        <f>IFERROR(__xludf.DUMMYFUNCTION("""COMPUTED_VALUE"""),1.0)</f>
        <v>1</v>
      </c>
      <c r="D1495" s="6">
        <f>IFERROR(__xludf.DUMMYFUNCTION("""COMPUTED_VALUE"""),45704.0)</f>
        <v>45704</v>
      </c>
      <c r="E1495" s="7" t="str">
        <f>IFERROR(__xludf.DUMMYFUNCTION("""COMPUTED_VALUE"""),"FRANQUIA_D&amp;G_SP")</f>
        <v>FRANQUIA_D&amp;G_SP</v>
      </c>
      <c r="F1495" s="7" t="str">
        <f>IFERROR(__xludf.DUMMYFUNCTION("""COMPUTED_VALUE"""),"BICYCLE")</f>
        <v>BICYCLE</v>
      </c>
      <c r="G1495" s="7" t="str">
        <f>IFERROR(__xludf.DUMMYFUNCTION("""COMPUTED_VALUE"""),"SAO PAULO")</f>
        <v>SAO PAULO</v>
      </c>
    </row>
    <row r="1496">
      <c r="A1496" s="6">
        <f>IFERROR(__xludf.DUMMYFUNCTION("""COMPUTED_VALUE"""),45705.0)</f>
        <v>45705</v>
      </c>
      <c r="B1496" s="7" t="str">
        <f>IFERROR(__xludf.DUMMYFUNCTION("""COMPUTED_VALUE"""),"c2018742-6895-4fb2-8927-f2471d3fc588")</f>
        <v>c2018742-6895-4fb2-8927-f2471d3fc588</v>
      </c>
      <c r="C1496" s="7">
        <f>IFERROR(__xludf.DUMMYFUNCTION("""COMPUTED_VALUE"""),0.0)</f>
        <v>0</v>
      </c>
      <c r="D1496" s="6">
        <f>IFERROR(__xludf.DUMMYFUNCTION("""COMPUTED_VALUE"""),45705.0)</f>
        <v>45705</v>
      </c>
      <c r="E1496" s="7" t="str">
        <f>IFERROR(__xludf.DUMMYFUNCTION("""COMPUTED_VALUE"""),"FRANQUIA_D&amp;G_SP")</f>
        <v>FRANQUIA_D&amp;G_SP</v>
      </c>
      <c r="F1496" s="7" t="str">
        <f>IFERROR(__xludf.DUMMYFUNCTION("""COMPUTED_VALUE"""),"EMOTORCYCLE")</f>
        <v>EMOTORCYCLE</v>
      </c>
      <c r="G1496" s="7" t="str">
        <f>IFERROR(__xludf.DUMMYFUNCTION("""COMPUTED_VALUE"""),"BELEM")</f>
        <v>BELEM</v>
      </c>
    </row>
    <row r="1497">
      <c r="A1497" s="6">
        <f>IFERROR(__xludf.DUMMYFUNCTION("""COMPUTED_VALUE"""),45705.0)</f>
        <v>45705</v>
      </c>
      <c r="B1497" s="7" t="str">
        <f>IFERROR(__xludf.DUMMYFUNCTION("""COMPUTED_VALUE"""),"6de7f3f4-db5d-47fc-9ff6-341f56720e23")</f>
        <v>6de7f3f4-db5d-47fc-9ff6-341f56720e23</v>
      </c>
      <c r="C1497" s="7">
        <f>IFERROR(__xludf.DUMMYFUNCTION("""COMPUTED_VALUE"""),0.0)</f>
        <v>0</v>
      </c>
      <c r="D1497" s="6">
        <f>IFERROR(__xludf.DUMMYFUNCTION("""COMPUTED_VALUE"""),0.0)</f>
        <v>0</v>
      </c>
      <c r="E1497" s="7" t="str">
        <f>IFERROR(__xludf.DUMMYFUNCTION("""COMPUTED_VALUE"""),"FRANQUIA_D&amp;G_SP")</f>
        <v>FRANQUIA_D&amp;G_SP</v>
      </c>
      <c r="F1497" s="7" t="str">
        <f>IFERROR(__xludf.DUMMYFUNCTION("""COMPUTED_VALUE"""),"BICYCLE")</f>
        <v>BICYCLE</v>
      </c>
      <c r="G1497" s="7" t="str">
        <f>IFERROR(__xludf.DUMMYFUNCTION("""COMPUTED_VALUE"""),"0")</f>
        <v>0</v>
      </c>
    </row>
    <row r="1498">
      <c r="A1498" s="6">
        <f>IFERROR(__xludf.DUMMYFUNCTION("""COMPUTED_VALUE"""),45705.0)</f>
        <v>45705</v>
      </c>
      <c r="B1498" s="7" t="str">
        <f>IFERROR(__xludf.DUMMYFUNCTION("""COMPUTED_VALUE"""),"75b3884f-c7f4-451e-be9b-0e3d9d76f58d")</f>
        <v>75b3884f-c7f4-451e-be9b-0e3d9d76f58d</v>
      </c>
      <c r="C1498" s="7">
        <f>IFERROR(__xludf.DUMMYFUNCTION("""COMPUTED_VALUE"""),0.0)</f>
        <v>0</v>
      </c>
      <c r="D1498" s="6">
        <f>IFERROR(__xludf.DUMMYFUNCTION("""COMPUTED_VALUE"""),45705.0)</f>
        <v>45705</v>
      </c>
      <c r="E1498" s="7" t="str">
        <f>IFERROR(__xludf.DUMMYFUNCTION("""COMPUTED_VALUE"""),"FRANQUIA_D&amp;G_SP")</f>
        <v>FRANQUIA_D&amp;G_SP</v>
      </c>
      <c r="F1498" s="7" t="str">
        <f>IFERROR(__xludf.DUMMYFUNCTION("""COMPUTED_VALUE"""),"MOTORCYCLE")</f>
        <v>MOTORCYCLE</v>
      </c>
      <c r="G1498" s="7" t="str">
        <f>IFERROR(__xludf.DUMMYFUNCTION("""COMPUTED_VALUE"""),"SAO PAULO")</f>
        <v>SAO PAULO</v>
      </c>
    </row>
    <row r="1499">
      <c r="A1499" s="6">
        <f>IFERROR(__xludf.DUMMYFUNCTION("""COMPUTED_VALUE"""),45705.0)</f>
        <v>45705</v>
      </c>
      <c r="B1499" s="7" t="str">
        <f>IFERROR(__xludf.DUMMYFUNCTION("""COMPUTED_VALUE"""),"ddd97afe-6b20-4d3e-903d-be473e1cadd4")</f>
        <v>ddd97afe-6b20-4d3e-903d-be473e1cadd4</v>
      </c>
      <c r="C1499" s="7">
        <f>IFERROR(__xludf.DUMMYFUNCTION("""COMPUTED_VALUE"""),0.0)</f>
        <v>0</v>
      </c>
      <c r="D1499" s="6">
        <f>IFERROR(__xludf.DUMMYFUNCTION("""COMPUTED_VALUE"""),45705.0)</f>
        <v>45705</v>
      </c>
      <c r="E1499" s="7" t="str">
        <f>IFERROR(__xludf.DUMMYFUNCTION("""COMPUTED_VALUE"""),"FRANQUIA_D&amp;G_SP")</f>
        <v>FRANQUIA_D&amp;G_SP</v>
      </c>
      <c r="F1499" s="7" t="str">
        <f>IFERROR(__xludf.DUMMYFUNCTION("""COMPUTED_VALUE"""),"BICYCLE")</f>
        <v>BICYCLE</v>
      </c>
      <c r="G1499" s="7" t="str">
        <f>IFERROR(__xludf.DUMMYFUNCTION("""COMPUTED_VALUE"""),"SAO PAULO")</f>
        <v>SAO PAULO</v>
      </c>
    </row>
    <row r="1500">
      <c r="A1500" s="6">
        <f>IFERROR(__xludf.DUMMYFUNCTION("""COMPUTED_VALUE"""),45705.0)</f>
        <v>45705</v>
      </c>
      <c r="B1500" s="7" t="str">
        <f>IFERROR(__xludf.DUMMYFUNCTION("""COMPUTED_VALUE"""),"4c50709e-fba5-497b-a707-d5d11d599bc4")</f>
        <v>4c50709e-fba5-497b-a707-d5d11d599bc4</v>
      </c>
      <c r="C1500" s="7">
        <f>IFERROR(__xludf.DUMMYFUNCTION("""COMPUTED_VALUE"""),7.0)</f>
        <v>7</v>
      </c>
      <c r="D1500" s="6">
        <f>IFERROR(__xludf.DUMMYFUNCTION("""COMPUTED_VALUE"""),45698.0)</f>
        <v>45698</v>
      </c>
      <c r="E1500" s="7" t="str">
        <f>IFERROR(__xludf.DUMMYFUNCTION("""COMPUTED_VALUE"""),"FRANQUIA_D&amp;G_SP")</f>
        <v>FRANQUIA_D&amp;G_SP</v>
      </c>
      <c r="F1500" s="7" t="str">
        <f>IFERROR(__xludf.DUMMYFUNCTION("""COMPUTED_VALUE"""),"BICYCLE")</f>
        <v>BICYCLE</v>
      </c>
      <c r="G1500" s="7" t="str">
        <f>IFERROR(__xludf.DUMMYFUNCTION("""COMPUTED_VALUE"""),"SAO PAULO")</f>
        <v>SAO PAULO</v>
      </c>
    </row>
    <row r="1501">
      <c r="A1501" s="6">
        <f>IFERROR(__xludf.DUMMYFUNCTION("""COMPUTED_VALUE"""),45705.0)</f>
        <v>45705</v>
      </c>
      <c r="B1501" s="7" t="str">
        <f>IFERROR(__xludf.DUMMYFUNCTION("""COMPUTED_VALUE"""),"7fbfaed3-8a37-4be0-a3ee-968500fd6036")</f>
        <v>7fbfaed3-8a37-4be0-a3ee-968500fd6036</v>
      </c>
      <c r="C1501" s="7">
        <f>IFERROR(__xludf.DUMMYFUNCTION("""COMPUTED_VALUE"""),0.0)</f>
        <v>0</v>
      </c>
      <c r="D1501" s="6">
        <f>IFERROR(__xludf.DUMMYFUNCTION("""COMPUTED_VALUE"""),45705.0)</f>
        <v>45705</v>
      </c>
      <c r="E1501" s="7" t="str">
        <f>IFERROR(__xludf.DUMMYFUNCTION("""COMPUTED_VALUE"""),"FRANQUIA_D&amp;G_SP")</f>
        <v>FRANQUIA_D&amp;G_SP</v>
      </c>
      <c r="F1501" s="7" t="str">
        <f>IFERROR(__xludf.DUMMYFUNCTION("""COMPUTED_VALUE"""),"MOTORCYCLE")</f>
        <v>MOTORCYCLE</v>
      </c>
      <c r="G1501" s="7" t="str">
        <f>IFERROR(__xludf.DUMMYFUNCTION("""COMPUTED_VALUE"""),"ABC")</f>
        <v>ABC</v>
      </c>
    </row>
    <row r="1502">
      <c r="A1502" s="6">
        <f>IFERROR(__xludf.DUMMYFUNCTION("""COMPUTED_VALUE"""),45705.0)</f>
        <v>45705</v>
      </c>
      <c r="B1502" s="7" t="str">
        <f>IFERROR(__xludf.DUMMYFUNCTION("""COMPUTED_VALUE"""),"29016bad-5bac-4798-9e76-21abfcd8bc3f")</f>
        <v>29016bad-5bac-4798-9e76-21abfcd8bc3f</v>
      </c>
      <c r="C1502" s="7">
        <f>IFERROR(__xludf.DUMMYFUNCTION("""COMPUTED_VALUE"""),0.0)</f>
        <v>0</v>
      </c>
      <c r="D1502" s="6">
        <f>IFERROR(__xludf.DUMMYFUNCTION("""COMPUTED_VALUE"""),45705.0)</f>
        <v>45705</v>
      </c>
      <c r="E1502" s="7" t="str">
        <f>IFERROR(__xludf.DUMMYFUNCTION("""COMPUTED_VALUE"""),"FRANQUIA_D&amp;G_SP")</f>
        <v>FRANQUIA_D&amp;G_SP</v>
      </c>
      <c r="F1502" s="7" t="str">
        <f>IFERROR(__xludf.DUMMYFUNCTION("""COMPUTED_VALUE"""),"MOTORCYCLE")</f>
        <v>MOTORCYCLE</v>
      </c>
      <c r="G1502" s="7" t="str">
        <f>IFERROR(__xludf.DUMMYFUNCTION("""COMPUTED_VALUE"""),"SAO PAULO")</f>
        <v>SAO PAULO</v>
      </c>
    </row>
    <row r="1503">
      <c r="A1503" s="6">
        <f>IFERROR(__xludf.DUMMYFUNCTION("""COMPUTED_VALUE"""),45705.0)</f>
        <v>45705</v>
      </c>
      <c r="B1503" s="7" t="str">
        <f>IFERROR(__xludf.DUMMYFUNCTION("""COMPUTED_VALUE"""),"21bfa758-36b0-4920-a74b-bb85c45d77df")</f>
        <v>21bfa758-36b0-4920-a74b-bb85c45d77df</v>
      </c>
      <c r="C1503" s="7">
        <f>IFERROR(__xludf.DUMMYFUNCTION("""COMPUTED_VALUE"""),1.0)</f>
        <v>1</v>
      </c>
      <c r="D1503" s="6">
        <f>IFERROR(__xludf.DUMMYFUNCTION("""COMPUTED_VALUE"""),45704.0)</f>
        <v>45704</v>
      </c>
      <c r="E1503" s="7" t="str">
        <f>IFERROR(__xludf.DUMMYFUNCTION("""COMPUTED_VALUE"""),"FRANQUIA_D&amp;G_SP")</f>
        <v>FRANQUIA_D&amp;G_SP</v>
      </c>
      <c r="F1503" s="7" t="str">
        <f>IFERROR(__xludf.DUMMYFUNCTION("""COMPUTED_VALUE"""),"MOTORCYCLE")</f>
        <v>MOTORCYCLE</v>
      </c>
      <c r="G1503" s="7" t="str">
        <f>IFERROR(__xludf.DUMMYFUNCTION("""COMPUTED_VALUE"""),"SAO PAULO")</f>
        <v>SAO PAULO</v>
      </c>
    </row>
    <row r="1504">
      <c r="A1504" s="6">
        <f>IFERROR(__xludf.DUMMYFUNCTION("""COMPUTED_VALUE"""),45705.0)</f>
        <v>45705</v>
      </c>
      <c r="B1504" s="7" t="str">
        <f>IFERROR(__xludf.DUMMYFUNCTION("""COMPUTED_VALUE"""),"c775054f-87c9-42c5-bd0d-c6d391f25d6c")</f>
        <v>c775054f-87c9-42c5-bd0d-c6d391f25d6c</v>
      </c>
      <c r="C1504" s="7">
        <f>IFERROR(__xludf.DUMMYFUNCTION("""COMPUTED_VALUE"""),0.0)</f>
        <v>0</v>
      </c>
      <c r="D1504" s="6">
        <f>IFERROR(__xludf.DUMMYFUNCTION("""COMPUTED_VALUE"""),45705.0)</f>
        <v>45705</v>
      </c>
      <c r="E1504" s="7" t="str">
        <f>IFERROR(__xludf.DUMMYFUNCTION("""COMPUTED_VALUE"""),"FRANQUIA_D&amp;G_SP")</f>
        <v>FRANQUIA_D&amp;G_SP</v>
      </c>
      <c r="F1504" s="7" t="str">
        <f>IFERROR(__xludf.DUMMYFUNCTION("""COMPUTED_VALUE"""),"MOTORCYCLE")</f>
        <v>MOTORCYCLE</v>
      </c>
      <c r="G1504" s="7" t="str">
        <f>IFERROR(__xludf.DUMMYFUNCTION("""COMPUTED_VALUE"""),"SAO PAULO")</f>
        <v>SAO PAULO</v>
      </c>
    </row>
    <row r="1505">
      <c r="A1505" s="6">
        <f>IFERROR(__xludf.DUMMYFUNCTION("""COMPUTED_VALUE"""),45705.0)</f>
        <v>45705</v>
      </c>
      <c r="B1505" s="7" t="str">
        <f>IFERROR(__xludf.DUMMYFUNCTION("""COMPUTED_VALUE"""),"c10210c7-43a8-47bf-bf4d-ae24e9655196")</f>
        <v>c10210c7-43a8-47bf-bf4d-ae24e9655196</v>
      </c>
      <c r="C1505" s="7">
        <f>IFERROR(__xludf.DUMMYFUNCTION("""COMPUTED_VALUE"""),368.0)</f>
        <v>368</v>
      </c>
      <c r="D1505" s="6">
        <f>IFERROR(__xludf.DUMMYFUNCTION("""COMPUTED_VALUE"""),45337.0)</f>
        <v>45337</v>
      </c>
      <c r="E1505" s="7" t="str">
        <f>IFERROR(__xludf.DUMMYFUNCTION("""COMPUTED_VALUE"""),"FRANQUIA_D&amp;G_SP")</f>
        <v>FRANQUIA_D&amp;G_SP</v>
      </c>
      <c r="F1505" s="7" t="str">
        <f>IFERROR(__xludf.DUMMYFUNCTION("""COMPUTED_VALUE"""),"BICYCLE")</f>
        <v>BICYCLE</v>
      </c>
      <c r="G1505" s="7" t="str">
        <f>IFERROR(__xludf.DUMMYFUNCTION("""COMPUTED_VALUE"""),"SAO PAULO")</f>
        <v>SAO PAULO</v>
      </c>
    </row>
    <row r="1506">
      <c r="A1506" s="6">
        <f>IFERROR(__xludf.DUMMYFUNCTION("""COMPUTED_VALUE"""),45705.0)</f>
        <v>45705</v>
      </c>
      <c r="B1506" s="7" t="str">
        <f>IFERROR(__xludf.DUMMYFUNCTION("""COMPUTED_VALUE"""),"80877695-440d-41b6-afff-1b67714a3465")</f>
        <v>80877695-440d-41b6-afff-1b67714a3465</v>
      </c>
      <c r="C1506" s="7">
        <f>IFERROR(__xludf.DUMMYFUNCTION("""COMPUTED_VALUE"""),0.0)</f>
        <v>0</v>
      </c>
      <c r="D1506" s="6">
        <f>IFERROR(__xludf.DUMMYFUNCTION("""COMPUTED_VALUE"""),45705.0)</f>
        <v>45705</v>
      </c>
      <c r="E1506" s="7" t="str">
        <f>IFERROR(__xludf.DUMMYFUNCTION("""COMPUTED_VALUE"""),"FRANQUIA_D&amp;G_SP")</f>
        <v>FRANQUIA_D&amp;G_SP</v>
      </c>
      <c r="F1506" s="7" t="str">
        <f>IFERROR(__xludf.DUMMYFUNCTION("""COMPUTED_VALUE"""),"MOTORCYCLE")</f>
        <v>MOTORCYCLE</v>
      </c>
      <c r="G1506" s="7" t="str">
        <f>IFERROR(__xludf.DUMMYFUNCTION("""COMPUTED_VALUE"""),"RECIFE")</f>
        <v>RECIFE</v>
      </c>
    </row>
    <row r="1507">
      <c r="A1507" s="6">
        <f>IFERROR(__xludf.DUMMYFUNCTION("""COMPUTED_VALUE"""),45705.0)</f>
        <v>45705</v>
      </c>
      <c r="B1507" s="7" t="str">
        <f>IFERROR(__xludf.DUMMYFUNCTION("""COMPUTED_VALUE"""),"491a05c6-dc34-460f-886d-7472202e735d")</f>
        <v>491a05c6-dc34-460f-886d-7472202e735d</v>
      </c>
      <c r="C1507" s="7">
        <f>IFERROR(__xludf.DUMMYFUNCTION("""COMPUTED_VALUE"""),0.0)</f>
        <v>0</v>
      </c>
      <c r="D1507" s="6">
        <f>IFERROR(__xludf.DUMMYFUNCTION("""COMPUTED_VALUE"""),0.0)</f>
        <v>0</v>
      </c>
      <c r="E1507" s="7" t="str">
        <f>IFERROR(__xludf.DUMMYFUNCTION("""COMPUTED_VALUE"""),"FRANQUIA_D&amp;G_SP")</f>
        <v>FRANQUIA_D&amp;G_SP</v>
      </c>
      <c r="F1507" s="7" t="str">
        <f>IFERROR(__xludf.DUMMYFUNCTION("""COMPUTED_VALUE"""),"BICYCLE")</f>
        <v>BICYCLE</v>
      </c>
      <c r="G1507" s="7" t="str">
        <f>IFERROR(__xludf.DUMMYFUNCTION("""COMPUTED_VALUE"""),"0")</f>
        <v>0</v>
      </c>
    </row>
    <row r="1508">
      <c r="A1508" s="6">
        <f>IFERROR(__xludf.DUMMYFUNCTION("""COMPUTED_VALUE"""),45705.0)</f>
        <v>45705</v>
      </c>
      <c r="B1508" s="7" t="str">
        <f>IFERROR(__xludf.DUMMYFUNCTION("""COMPUTED_VALUE"""),"3c802c72-9b25-403b-8dae-0e83432d7182")</f>
        <v>3c802c72-9b25-403b-8dae-0e83432d7182</v>
      </c>
      <c r="C1508" s="7">
        <f>IFERROR(__xludf.DUMMYFUNCTION("""COMPUTED_VALUE"""),591.0)</f>
        <v>591</v>
      </c>
      <c r="D1508" s="6">
        <f>IFERROR(__xludf.DUMMYFUNCTION("""COMPUTED_VALUE"""),45114.0)</f>
        <v>45114</v>
      </c>
      <c r="E1508" s="7" t="str">
        <f>IFERROR(__xludf.DUMMYFUNCTION("""COMPUTED_VALUE"""),"FRANQUIA_D&amp;G_SP")</f>
        <v>FRANQUIA_D&amp;G_SP</v>
      </c>
      <c r="F1508" s="7" t="str">
        <f>IFERROR(__xludf.DUMMYFUNCTION("""COMPUTED_VALUE"""),"Bike Express")</f>
        <v>Bike Express</v>
      </c>
      <c r="G1508" s="7" t="str">
        <f>IFERROR(__xludf.DUMMYFUNCTION("""COMPUTED_VALUE"""),"SAO PAULO")</f>
        <v>SAO PAULO</v>
      </c>
    </row>
    <row r="1509">
      <c r="A1509" s="6">
        <f>IFERROR(__xludf.DUMMYFUNCTION("""COMPUTED_VALUE"""),45705.0)</f>
        <v>45705</v>
      </c>
      <c r="B1509" s="7" t="str">
        <f>IFERROR(__xludf.DUMMYFUNCTION("""COMPUTED_VALUE"""),"24435252-8057-4844-aeb0-47b1db16253a")</f>
        <v>24435252-8057-4844-aeb0-47b1db16253a</v>
      </c>
      <c r="C1509" s="7">
        <f>IFERROR(__xludf.DUMMYFUNCTION("""COMPUTED_VALUE"""),0.0)</f>
        <v>0</v>
      </c>
      <c r="D1509" s="6">
        <f>IFERROR(__xludf.DUMMYFUNCTION("""COMPUTED_VALUE"""),45705.0)</f>
        <v>45705</v>
      </c>
      <c r="E1509" s="7" t="str">
        <f>IFERROR(__xludf.DUMMYFUNCTION("""COMPUTED_VALUE"""),"FRANQUIA_D&amp;G_SP")</f>
        <v>FRANQUIA_D&amp;G_SP</v>
      </c>
      <c r="F1509" s="7" t="str">
        <f>IFERROR(__xludf.DUMMYFUNCTION("""COMPUTED_VALUE"""),"MOTORCYCLE")</f>
        <v>MOTORCYCLE</v>
      </c>
      <c r="G1509" s="7" t="str">
        <f>IFERROR(__xludf.DUMMYFUNCTION("""COMPUTED_VALUE"""),"SAO PAULO")</f>
        <v>SAO PAULO</v>
      </c>
    </row>
    <row r="1510">
      <c r="A1510" s="6">
        <f>IFERROR(__xludf.DUMMYFUNCTION("""COMPUTED_VALUE"""),45705.0)</f>
        <v>45705</v>
      </c>
      <c r="B1510" s="7" t="str">
        <f>IFERROR(__xludf.DUMMYFUNCTION("""COMPUTED_VALUE"""),"d355dea3-da59-4859-8d7c-c70e2da96b79")</f>
        <v>d355dea3-da59-4859-8d7c-c70e2da96b79</v>
      </c>
      <c r="C1510" s="7">
        <f>IFERROR(__xludf.DUMMYFUNCTION("""COMPUTED_VALUE"""),0.0)</f>
        <v>0</v>
      </c>
      <c r="D1510" s="6">
        <f>IFERROR(__xludf.DUMMYFUNCTION("""COMPUTED_VALUE"""),45705.0)</f>
        <v>45705</v>
      </c>
      <c r="E1510" s="7" t="str">
        <f>IFERROR(__xludf.DUMMYFUNCTION("""COMPUTED_VALUE"""),"FRANQUIA_D&amp;G_SP")</f>
        <v>FRANQUIA_D&amp;G_SP</v>
      </c>
      <c r="F1510" s="7" t="str">
        <f>IFERROR(__xludf.DUMMYFUNCTION("""COMPUTED_VALUE"""),"MOTORCYCLE")</f>
        <v>MOTORCYCLE</v>
      </c>
      <c r="G1510" s="7" t="str">
        <f>IFERROR(__xludf.DUMMYFUNCTION("""COMPUTED_VALUE"""),"SAO PAULO")</f>
        <v>SAO PAULO</v>
      </c>
    </row>
    <row r="1511">
      <c r="A1511" s="6">
        <f>IFERROR(__xludf.DUMMYFUNCTION("""COMPUTED_VALUE"""),45705.0)</f>
        <v>45705</v>
      </c>
      <c r="B1511" s="7" t="str">
        <f>IFERROR(__xludf.DUMMYFUNCTION("""COMPUTED_VALUE"""),"a82ca0ee-684e-48c8-9061-0951fe3af768")</f>
        <v>a82ca0ee-684e-48c8-9061-0951fe3af768</v>
      </c>
      <c r="C1511" s="7">
        <f>IFERROR(__xludf.DUMMYFUNCTION("""COMPUTED_VALUE"""),26.0)</f>
        <v>26</v>
      </c>
      <c r="D1511" s="6">
        <f>IFERROR(__xludf.DUMMYFUNCTION("""COMPUTED_VALUE"""),45679.0)</f>
        <v>45679</v>
      </c>
      <c r="E1511" s="7" t="str">
        <f>IFERROR(__xludf.DUMMYFUNCTION("""COMPUTED_VALUE"""),"FRANQUIA_D&amp;G_SP")</f>
        <v>FRANQUIA_D&amp;G_SP</v>
      </c>
      <c r="F1511" s="7" t="str">
        <f>IFERROR(__xludf.DUMMYFUNCTION("""COMPUTED_VALUE"""),"BICYCLE")</f>
        <v>BICYCLE</v>
      </c>
      <c r="G1511" s="7" t="str">
        <f>IFERROR(__xludf.DUMMYFUNCTION("""COMPUTED_VALUE"""),"ABC")</f>
        <v>ABC</v>
      </c>
    </row>
    <row r="1512">
      <c r="A1512" s="6">
        <f>IFERROR(__xludf.DUMMYFUNCTION("""COMPUTED_VALUE"""),45705.0)</f>
        <v>45705</v>
      </c>
      <c r="B1512" s="7" t="str">
        <f>IFERROR(__xludf.DUMMYFUNCTION("""COMPUTED_VALUE"""),"cfbfbf60-049a-4255-8410-6cfb887959e9")</f>
        <v>cfbfbf60-049a-4255-8410-6cfb887959e9</v>
      </c>
      <c r="C1512" s="7">
        <f>IFERROR(__xludf.DUMMYFUNCTION("""COMPUTED_VALUE"""),0.0)</f>
        <v>0</v>
      </c>
      <c r="D1512" s="6">
        <f>IFERROR(__xludf.DUMMYFUNCTION("""COMPUTED_VALUE"""),45705.0)</f>
        <v>45705</v>
      </c>
      <c r="E1512" s="7" t="str">
        <f>IFERROR(__xludf.DUMMYFUNCTION("""COMPUTED_VALUE"""),"FRANQUIA_D&amp;G_SP")</f>
        <v>FRANQUIA_D&amp;G_SP</v>
      </c>
      <c r="F1512" s="7" t="str">
        <f>IFERROR(__xludf.DUMMYFUNCTION("""COMPUTED_VALUE"""),"MOTORCYCLE")</f>
        <v>MOTORCYCLE</v>
      </c>
      <c r="G1512" s="7" t="str">
        <f>IFERROR(__xludf.DUMMYFUNCTION("""COMPUTED_VALUE"""),"SAO PAULO")</f>
        <v>SAO PAULO</v>
      </c>
    </row>
    <row r="1513">
      <c r="A1513" s="6">
        <f>IFERROR(__xludf.DUMMYFUNCTION("""COMPUTED_VALUE"""),45705.0)</f>
        <v>45705</v>
      </c>
      <c r="B1513" s="7" t="str">
        <f>IFERROR(__xludf.DUMMYFUNCTION("""COMPUTED_VALUE"""),"8380a3cc-1fb0-4df3-b747-84872b6d49a9")</f>
        <v>8380a3cc-1fb0-4df3-b747-84872b6d49a9</v>
      </c>
      <c r="C1513" s="7">
        <f>IFERROR(__xludf.DUMMYFUNCTION("""COMPUTED_VALUE"""),27.0)</f>
        <v>27</v>
      </c>
      <c r="D1513" s="6">
        <f>IFERROR(__xludf.DUMMYFUNCTION("""COMPUTED_VALUE"""),45678.0)</f>
        <v>45678</v>
      </c>
      <c r="E1513" s="7" t="str">
        <f>IFERROR(__xludf.DUMMYFUNCTION("""COMPUTED_VALUE"""),"FRANQUIA_D&amp;G_SP")</f>
        <v>FRANQUIA_D&amp;G_SP</v>
      </c>
      <c r="F1513" s="7" t="str">
        <f>IFERROR(__xludf.DUMMYFUNCTION("""COMPUTED_VALUE"""),"BICYCLE")</f>
        <v>BICYCLE</v>
      </c>
      <c r="G1513" s="7" t="str">
        <f>IFERROR(__xludf.DUMMYFUNCTION("""COMPUTED_VALUE"""),"SAO PAULO")</f>
        <v>SAO PAULO</v>
      </c>
    </row>
    <row r="1514">
      <c r="A1514" s="6">
        <f>IFERROR(__xludf.DUMMYFUNCTION("""COMPUTED_VALUE"""),45705.0)</f>
        <v>45705</v>
      </c>
      <c r="B1514" s="7" t="str">
        <f>IFERROR(__xludf.DUMMYFUNCTION("""COMPUTED_VALUE"""),"3a142d41-4bfc-4586-88e9-41e00237fec2")</f>
        <v>3a142d41-4bfc-4586-88e9-41e00237fec2</v>
      </c>
      <c r="C1514" s="7">
        <f>IFERROR(__xludf.DUMMYFUNCTION("""COMPUTED_VALUE"""),22.0)</f>
        <v>22</v>
      </c>
      <c r="D1514" s="6">
        <f>IFERROR(__xludf.DUMMYFUNCTION("""COMPUTED_VALUE"""),45683.0)</f>
        <v>45683</v>
      </c>
      <c r="E1514" s="7" t="str">
        <f>IFERROR(__xludf.DUMMYFUNCTION("""COMPUTED_VALUE"""),"FRANQUIA_D&amp;G_SP")</f>
        <v>FRANQUIA_D&amp;G_SP</v>
      </c>
      <c r="F1514" s="7" t="str">
        <f>IFERROR(__xludf.DUMMYFUNCTION("""COMPUTED_VALUE"""),"MOTORCYCLE")</f>
        <v>MOTORCYCLE</v>
      </c>
      <c r="G1514" s="7" t="str">
        <f>IFERROR(__xludf.DUMMYFUNCTION("""COMPUTED_VALUE"""),"SAO PAULO")</f>
        <v>SAO PAULO</v>
      </c>
    </row>
    <row r="1515">
      <c r="A1515" s="6">
        <f>IFERROR(__xludf.DUMMYFUNCTION("""COMPUTED_VALUE"""),45705.0)</f>
        <v>45705</v>
      </c>
      <c r="B1515" s="7" t="str">
        <f>IFERROR(__xludf.DUMMYFUNCTION("""COMPUTED_VALUE"""),"021f72fd-0048-4b0d-96f4-b8f4c9641650")</f>
        <v>021f72fd-0048-4b0d-96f4-b8f4c9641650</v>
      </c>
      <c r="C1515" s="7">
        <f>IFERROR(__xludf.DUMMYFUNCTION("""COMPUTED_VALUE"""),51.0)</f>
        <v>51</v>
      </c>
      <c r="D1515" s="6">
        <f>IFERROR(__xludf.DUMMYFUNCTION("""COMPUTED_VALUE"""),45654.0)</f>
        <v>45654</v>
      </c>
      <c r="E1515" s="7" t="str">
        <f>IFERROR(__xludf.DUMMYFUNCTION("""COMPUTED_VALUE"""),"FRANQUIA_D&amp;G_SP")</f>
        <v>FRANQUIA_D&amp;G_SP</v>
      </c>
      <c r="F1515" s="7" t="str">
        <f>IFERROR(__xludf.DUMMYFUNCTION("""COMPUTED_VALUE"""),"MOTORCYCLE")</f>
        <v>MOTORCYCLE</v>
      </c>
      <c r="G1515" s="7" t="str">
        <f>IFERROR(__xludf.DUMMYFUNCTION("""COMPUTED_VALUE"""),"SAO PAULO")</f>
        <v>SAO PAULO</v>
      </c>
    </row>
    <row r="1516">
      <c r="A1516" s="6">
        <f>IFERROR(__xludf.DUMMYFUNCTION("""COMPUTED_VALUE"""),45705.0)</f>
        <v>45705</v>
      </c>
      <c r="B1516" s="7" t="str">
        <f>IFERROR(__xludf.DUMMYFUNCTION("""COMPUTED_VALUE"""),"b50773b4-bc84-4ce6-ac85-a61b96c2b8fa")</f>
        <v>b50773b4-bc84-4ce6-ac85-a61b96c2b8fa</v>
      </c>
      <c r="C1516" s="7">
        <f>IFERROR(__xludf.DUMMYFUNCTION("""COMPUTED_VALUE"""),319.0)</f>
        <v>319</v>
      </c>
      <c r="D1516" s="6">
        <f>IFERROR(__xludf.DUMMYFUNCTION("""COMPUTED_VALUE"""),45386.0)</f>
        <v>45386</v>
      </c>
      <c r="E1516" s="7" t="str">
        <f>IFERROR(__xludf.DUMMYFUNCTION("""COMPUTED_VALUE"""),"FRANQUIA_D&amp;G_SP")</f>
        <v>FRANQUIA_D&amp;G_SP</v>
      </c>
      <c r="F1516" s="7" t="str">
        <f>IFERROR(__xludf.DUMMYFUNCTION("""COMPUTED_VALUE"""),"BICYCLE")</f>
        <v>BICYCLE</v>
      </c>
      <c r="G1516" s="7" t="str">
        <f>IFERROR(__xludf.DUMMYFUNCTION("""COMPUTED_VALUE"""),"SAO PAULO")</f>
        <v>SAO PAULO</v>
      </c>
    </row>
    <row r="1517">
      <c r="A1517" s="6">
        <f>IFERROR(__xludf.DUMMYFUNCTION("""COMPUTED_VALUE"""),45705.0)</f>
        <v>45705</v>
      </c>
      <c r="B1517" s="7" t="str">
        <f>IFERROR(__xludf.DUMMYFUNCTION("""COMPUTED_VALUE"""),"bbb37d1d-706a-4631-a649-ddcb4415ac80")</f>
        <v>bbb37d1d-706a-4631-a649-ddcb4415ac80</v>
      </c>
      <c r="C1517" s="7">
        <f>IFERROR(__xludf.DUMMYFUNCTION("""COMPUTED_VALUE"""),0.0)</f>
        <v>0</v>
      </c>
      <c r="D1517" s="6">
        <f>IFERROR(__xludf.DUMMYFUNCTION("""COMPUTED_VALUE"""),45705.0)</f>
        <v>45705</v>
      </c>
      <c r="E1517" s="7" t="str">
        <f>IFERROR(__xludf.DUMMYFUNCTION("""COMPUTED_VALUE"""),"FRANQUIA_D&amp;G_SP")</f>
        <v>FRANQUIA_D&amp;G_SP</v>
      </c>
      <c r="F1517" s="7" t="str">
        <f>IFERROR(__xludf.DUMMYFUNCTION("""COMPUTED_VALUE"""),"MOTORCYCLE")</f>
        <v>MOTORCYCLE</v>
      </c>
      <c r="G1517" s="7" t="str">
        <f>IFERROR(__xludf.DUMMYFUNCTION("""COMPUTED_VALUE"""),"SAO PAULO")</f>
        <v>SAO PAULO</v>
      </c>
    </row>
    <row r="1518">
      <c r="A1518" s="6">
        <f>IFERROR(__xludf.DUMMYFUNCTION("""COMPUTED_VALUE"""),45705.0)</f>
        <v>45705</v>
      </c>
      <c r="B1518" s="7" t="str">
        <f>IFERROR(__xludf.DUMMYFUNCTION("""COMPUTED_VALUE"""),"e352ac44-18ef-4be1-9d16-41cb396880d1")</f>
        <v>e352ac44-18ef-4be1-9d16-41cb396880d1</v>
      </c>
      <c r="C1518" s="7">
        <f>IFERROR(__xludf.DUMMYFUNCTION("""COMPUTED_VALUE"""),708.0)</f>
        <v>708</v>
      </c>
      <c r="D1518" s="6">
        <f>IFERROR(__xludf.DUMMYFUNCTION("""COMPUTED_VALUE"""),44997.0)</f>
        <v>44997</v>
      </c>
      <c r="E1518" s="7" t="str">
        <f>IFERROR(__xludf.DUMMYFUNCTION("""COMPUTED_VALUE"""),"FRANQUIA_D&amp;G_SP")</f>
        <v>FRANQUIA_D&amp;G_SP</v>
      </c>
      <c r="F1518" s="7" t="str">
        <f>IFERROR(__xludf.DUMMYFUNCTION("""COMPUTED_VALUE"""),"BICYCLE")</f>
        <v>BICYCLE</v>
      </c>
      <c r="G1518" s="7" t="str">
        <f>IFERROR(__xludf.DUMMYFUNCTION("""COMPUTED_VALUE"""),"SUZANO")</f>
        <v>SUZANO</v>
      </c>
    </row>
    <row r="1519">
      <c r="A1519" s="6">
        <f>IFERROR(__xludf.DUMMYFUNCTION("""COMPUTED_VALUE"""),45705.0)</f>
        <v>45705</v>
      </c>
      <c r="B1519" s="7" t="str">
        <f>IFERROR(__xludf.DUMMYFUNCTION("""COMPUTED_VALUE"""),"0684bc81-7c88-4652-bcde-cb4f60661ee4")</f>
        <v>0684bc81-7c88-4652-bcde-cb4f60661ee4</v>
      </c>
      <c r="C1519" s="7">
        <f>IFERROR(__xludf.DUMMYFUNCTION("""COMPUTED_VALUE"""),490.0)</f>
        <v>490</v>
      </c>
      <c r="D1519" s="6">
        <f>IFERROR(__xludf.DUMMYFUNCTION("""COMPUTED_VALUE"""),45215.0)</f>
        <v>45215</v>
      </c>
      <c r="E1519" s="7" t="str">
        <f>IFERROR(__xludf.DUMMYFUNCTION("""COMPUTED_VALUE"""),"FRANQUIA_D&amp;G_SP")</f>
        <v>FRANQUIA_D&amp;G_SP</v>
      </c>
      <c r="F1519" s="7" t="str">
        <f>IFERROR(__xludf.DUMMYFUNCTION("""COMPUTED_VALUE"""),"MOTORCYCLE")</f>
        <v>MOTORCYCLE</v>
      </c>
      <c r="G1519" s="7" t="str">
        <f>IFERROR(__xludf.DUMMYFUNCTION("""COMPUTED_VALUE"""),"SAO PAULO")</f>
        <v>SAO PAULO</v>
      </c>
    </row>
    <row r="1520">
      <c r="A1520" s="6">
        <f>IFERROR(__xludf.DUMMYFUNCTION("""COMPUTED_VALUE"""),45705.0)</f>
        <v>45705</v>
      </c>
      <c r="B1520" s="7" t="str">
        <f>IFERROR(__xludf.DUMMYFUNCTION("""COMPUTED_VALUE"""),"a8f69b77-1df2-45f7-a337-74c0407dede8")</f>
        <v>a8f69b77-1df2-45f7-a337-74c0407dede8</v>
      </c>
      <c r="C1520" s="7">
        <f>IFERROR(__xludf.DUMMYFUNCTION("""COMPUTED_VALUE"""),17.0)</f>
        <v>17</v>
      </c>
      <c r="D1520" s="6">
        <f>IFERROR(__xludf.DUMMYFUNCTION("""COMPUTED_VALUE"""),45688.0)</f>
        <v>45688</v>
      </c>
      <c r="E1520" s="7" t="str">
        <f>IFERROR(__xludf.DUMMYFUNCTION("""COMPUTED_VALUE"""),"FRANQUIA_D&amp;G_SP")</f>
        <v>FRANQUIA_D&amp;G_SP</v>
      </c>
      <c r="F1520" s="7" t="str">
        <f>IFERROR(__xludf.DUMMYFUNCTION("""COMPUTED_VALUE"""),"BICYCLE")</f>
        <v>BICYCLE</v>
      </c>
      <c r="G1520" s="7" t="str">
        <f>IFERROR(__xludf.DUMMYFUNCTION("""COMPUTED_VALUE"""),"SAO PAULO")</f>
        <v>SAO PAULO</v>
      </c>
    </row>
    <row r="1521">
      <c r="A1521" s="6">
        <f>IFERROR(__xludf.DUMMYFUNCTION("""COMPUTED_VALUE"""),45705.0)</f>
        <v>45705</v>
      </c>
      <c r="B1521" s="7" t="str">
        <f>IFERROR(__xludf.DUMMYFUNCTION("""COMPUTED_VALUE"""),"dfb4add9-1c1c-4b34-8ced-243a1c455c9f")</f>
        <v>dfb4add9-1c1c-4b34-8ced-243a1c455c9f</v>
      </c>
      <c r="C1521" s="7">
        <f>IFERROR(__xludf.DUMMYFUNCTION("""COMPUTED_VALUE"""),0.0)</f>
        <v>0</v>
      </c>
      <c r="D1521" s="6">
        <f>IFERROR(__xludf.DUMMYFUNCTION("""COMPUTED_VALUE"""),0.0)</f>
        <v>0</v>
      </c>
      <c r="E1521" s="7" t="str">
        <f>IFERROR(__xludf.DUMMYFUNCTION("""COMPUTED_VALUE"""),"FRANQUIA_D&amp;G_SP")</f>
        <v>FRANQUIA_D&amp;G_SP</v>
      </c>
      <c r="F1521" s="7" t="str">
        <f>IFERROR(__xludf.DUMMYFUNCTION("""COMPUTED_VALUE"""),"MOTORCYCLE")</f>
        <v>MOTORCYCLE</v>
      </c>
      <c r="G1521" s="7" t="str">
        <f>IFERROR(__xludf.DUMMYFUNCTION("""COMPUTED_VALUE"""),"0")</f>
        <v>0</v>
      </c>
    </row>
    <row r="1522">
      <c r="A1522" s="6">
        <f>IFERROR(__xludf.DUMMYFUNCTION("""COMPUTED_VALUE"""),45705.0)</f>
        <v>45705</v>
      </c>
      <c r="B1522" s="7" t="str">
        <f>IFERROR(__xludf.DUMMYFUNCTION("""COMPUTED_VALUE"""),"3df5f2a5-2fed-414d-afd1-b42bf9ceb223")</f>
        <v>3df5f2a5-2fed-414d-afd1-b42bf9ceb223</v>
      </c>
      <c r="C1522" s="7">
        <f>IFERROR(__xludf.DUMMYFUNCTION("""COMPUTED_VALUE"""),0.0)</f>
        <v>0</v>
      </c>
      <c r="D1522" s="6">
        <f>IFERROR(__xludf.DUMMYFUNCTION("""COMPUTED_VALUE"""),45705.0)</f>
        <v>45705</v>
      </c>
      <c r="E1522" s="7" t="str">
        <f>IFERROR(__xludf.DUMMYFUNCTION("""COMPUTED_VALUE"""),"FRANQUIA_D&amp;G_SP")</f>
        <v>FRANQUIA_D&amp;G_SP</v>
      </c>
      <c r="F1522" s="7" t="str">
        <f>IFERROR(__xludf.DUMMYFUNCTION("""COMPUTED_VALUE"""),"BICYCLE")</f>
        <v>BICYCLE</v>
      </c>
      <c r="G1522" s="7" t="str">
        <f>IFERROR(__xludf.DUMMYFUNCTION("""COMPUTED_VALUE"""),"SAO PAULO")</f>
        <v>SAO PAULO</v>
      </c>
    </row>
    <row r="1523">
      <c r="A1523" s="6">
        <f>IFERROR(__xludf.DUMMYFUNCTION("""COMPUTED_VALUE"""),45705.0)</f>
        <v>45705</v>
      </c>
      <c r="B1523" s="7" t="str">
        <f>IFERROR(__xludf.DUMMYFUNCTION("""COMPUTED_VALUE"""),"eaa98b9b-83b6-4877-9dbd-179274f0f188")</f>
        <v>eaa98b9b-83b6-4877-9dbd-179274f0f188</v>
      </c>
      <c r="C1523" s="7">
        <f>IFERROR(__xludf.DUMMYFUNCTION("""COMPUTED_VALUE"""),34.0)</f>
        <v>34</v>
      </c>
      <c r="D1523" s="6">
        <f>IFERROR(__xludf.DUMMYFUNCTION("""COMPUTED_VALUE"""),45671.0)</f>
        <v>45671</v>
      </c>
      <c r="E1523" s="7" t="str">
        <f>IFERROR(__xludf.DUMMYFUNCTION("""COMPUTED_VALUE"""),"FRANQUIA_D&amp;G_SP")</f>
        <v>FRANQUIA_D&amp;G_SP</v>
      </c>
      <c r="F1523" s="7" t="str">
        <f>IFERROR(__xludf.DUMMYFUNCTION("""COMPUTED_VALUE"""),"MOTORCYCLE")</f>
        <v>MOTORCYCLE</v>
      </c>
      <c r="G1523" s="7" t="str">
        <f>IFERROR(__xludf.DUMMYFUNCTION("""COMPUTED_VALUE"""),"SAO PAULO")</f>
        <v>SAO PAULO</v>
      </c>
    </row>
    <row r="1524">
      <c r="A1524" s="6">
        <f>IFERROR(__xludf.DUMMYFUNCTION("""COMPUTED_VALUE"""),45705.0)</f>
        <v>45705</v>
      </c>
      <c r="B1524" s="7" t="str">
        <f>IFERROR(__xludf.DUMMYFUNCTION("""COMPUTED_VALUE"""),"552530fa-50d7-468b-a4ea-35780dc289dc")</f>
        <v>552530fa-50d7-468b-a4ea-35780dc289dc</v>
      </c>
      <c r="C1524" s="7">
        <f>IFERROR(__xludf.DUMMYFUNCTION("""COMPUTED_VALUE"""),0.0)</f>
        <v>0</v>
      </c>
      <c r="D1524" s="6">
        <f>IFERROR(__xludf.DUMMYFUNCTION("""COMPUTED_VALUE"""),45705.0)</f>
        <v>45705</v>
      </c>
      <c r="E1524" s="7" t="str">
        <f>IFERROR(__xludf.DUMMYFUNCTION("""COMPUTED_VALUE"""),"FRANQUIA_D&amp;G_SP")</f>
        <v>FRANQUIA_D&amp;G_SP</v>
      </c>
      <c r="F1524" s="7" t="str">
        <f>IFERROR(__xludf.DUMMYFUNCTION("""COMPUTED_VALUE"""),"MOTORCYCLE")</f>
        <v>MOTORCYCLE</v>
      </c>
      <c r="G1524" s="7" t="str">
        <f>IFERROR(__xludf.DUMMYFUNCTION("""COMPUTED_VALUE"""),"SAO PAULO")</f>
        <v>SAO PAULO</v>
      </c>
    </row>
    <row r="1525">
      <c r="A1525" s="6">
        <f>IFERROR(__xludf.DUMMYFUNCTION("""COMPUTED_VALUE"""),45705.0)</f>
        <v>45705</v>
      </c>
      <c r="B1525" s="7" t="str">
        <f>IFERROR(__xludf.DUMMYFUNCTION("""COMPUTED_VALUE"""),"0f9761f3-5eff-4828-ade0-67419b2eff49")</f>
        <v>0f9761f3-5eff-4828-ade0-67419b2eff49</v>
      </c>
      <c r="C1525" s="7">
        <f>IFERROR(__xludf.DUMMYFUNCTION("""COMPUTED_VALUE"""),1.0)</f>
        <v>1</v>
      </c>
      <c r="D1525" s="6">
        <f>IFERROR(__xludf.DUMMYFUNCTION("""COMPUTED_VALUE"""),45704.0)</f>
        <v>45704</v>
      </c>
      <c r="E1525" s="7" t="str">
        <f>IFERROR(__xludf.DUMMYFUNCTION("""COMPUTED_VALUE"""),"FRANQUIA_D&amp;G_SP")</f>
        <v>FRANQUIA_D&amp;G_SP</v>
      </c>
      <c r="F1525" s="7" t="str">
        <f>IFERROR(__xludf.DUMMYFUNCTION("""COMPUTED_VALUE"""),"MOTORCYCLE")</f>
        <v>MOTORCYCLE</v>
      </c>
      <c r="G1525" s="7" t="str">
        <f>IFERROR(__xludf.DUMMYFUNCTION("""COMPUTED_VALUE"""),"SAO PAULO")</f>
        <v>SAO PAULO</v>
      </c>
    </row>
    <row r="1526">
      <c r="A1526" s="6">
        <f>IFERROR(__xludf.DUMMYFUNCTION("""COMPUTED_VALUE"""),45705.0)</f>
        <v>45705</v>
      </c>
      <c r="B1526" s="7" t="str">
        <f>IFERROR(__xludf.DUMMYFUNCTION("""COMPUTED_VALUE"""),"164c14fb-6b6e-4fd7-8f43-ed46ceb8736d")</f>
        <v>164c14fb-6b6e-4fd7-8f43-ed46ceb8736d</v>
      </c>
      <c r="C1526" s="7">
        <f>IFERROR(__xludf.DUMMYFUNCTION("""COMPUTED_VALUE"""),0.0)</f>
        <v>0</v>
      </c>
      <c r="D1526" s="6">
        <f>IFERROR(__xludf.DUMMYFUNCTION("""COMPUTED_VALUE"""),0.0)</f>
        <v>0</v>
      </c>
      <c r="E1526" s="7" t="str">
        <f>IFERROR(__xludf.DUMMYFUNCTION("""COMPUTED_VALUE"""),"FRANQUIA_D&amp;G_SP")</f>
        <v>FRANQUIA_D&amp;G_SP</v>
      </c>
      <c r="F1526" s="7" t="str">
        <f>IFERROR(__xludf.DUMMYFUNCTION("""COMPUTED_VALUE"""),"MOTORCYCLE")</f>
        <v>MOTORCYCLE</v>
      </c>
      <c r="G1526" s="7" t="str">
        <f>IFERROR(__xludf.DUMMYFUNCTION("""COMPUTED_VALUE"""),"0")</f>
        <v>0</v>
      </c>
    </row>
    <row r="1527">
      <c r="A1527" s="6">
        <f>IFERROR(__xludf.DUMMYFUNCTION("""COMPUTED_VALUE"""),45705.0)</f>
        <v>45705</v>
      </c>
      <c r="B1527" s="7" t="str">
        <f>IFERROR(__xludf.DUMMYFUNCTION("""COMPUTED_VALUE"""),"1375fc07-1279-4ffc-b039-9b1d98bba94b")</f>
        <v>1375fc07-1279-4ffc-b039-9b1d98bba94b</v>
      </c>
      <c r="C1527" s="7">
        <f>IFERROR(__xludf.DUMMYFUNCTION("""COMPUTED_VALUE"""),0.0)</f>
        <v>0</v>
      </c>
      <c r="D1527" s="6">
        <f>IFERROR(__xludf.DUMMYFUNCTION("""COMPUTED_VALUE"""),45705.0)</f>
        <v>45705</v>
      </c>
      <c r="E1527" s="7" t="str">
        <f>IFERROR(__xludf.DUMMYFUNCTION("""COMPUTED_VALUE"""),"FRANQUIA_D&amp;G_SP")</f>
        <v>FRANQUIA_D&amp;G_SP</v>
      </c>
      <c r="F1527" s="7" t="str">
        <f>IFERROR(__xludf.DUMMYFUNCTION("""COMPUTED_VALUE"""),"MOTORCYCLE")</f>
        <v>MOTORCYCLE</v>
      </c>
      <c r="G1527" s="7" t="str">
        <f>IFERROR(__xludf.DUMMYFUNCTION("""COMPUTED_VALUE"""),"SAO PAULO")</f>
        <v>SAO PAULO</v>
      </c>
    </row>
    <row r="1528">
      <c r="A1528" s="6">
        <f>IFERROR(__xludf.DUMMYFUNCTION("""COMPUTED_VALUE"""),45705.0)</f>
        <v>45705</v>
      </c>
      <c r="B1528" s="7" t="str">
        <f>IFERROR(__xludf.DUMMYFUNCTION("""COMPUTED_VALUE"""),"abe498ca-43f1-4598-b8c4-c7ec2c73e007")</f>
        <v>abe498ca-43f1-4598-b8c4-c7ec2c73e007</v>
      </c>
      <c r="C1528" s="7">
        <f>IFERROR(__xludf.DUMMYFUNCTION("""COMPUTED_VALUE"""),0.0)</f>
        <v>0</v>
      </c>
      <c r="D1528" s="6">
        <f>IFERROR(__xludf.DUMMYFUNCTION("""COMPUTED_VALUE"""),45705.0)</f>
        <v>45705</v>
      </c>
      <c r="E1528" s="7" t="str">
        <f>IFERROR(__xludf.DUMMYFUNCTION("""COMPUTED_VALUE"""),"FRANQUIA_D&amp;G_SP")</f>
        <v>FRANQUIA_D&amp;G_SP</v>
      </c>
      <c r="F1528" s="7" t="str">
        <f>IFERROR(__xludf.DUMMYFUNCTION("""COMPUTED_VALUE"""),"MOTORCYCLE")</f>
        <v>MOTORCYCLE</v>
      </c>
      <c r="G1528" s="7" t="str">
        <f>IFERROR(__xludf.DUMMYFUNCTION("""COMPUTED_VALUE"""),"ABC")</f>
        <v>ABC</v>
      </c>
    </row>
    <row r="1529">
      <c r="A1529" s="6">
        <f>IFERROR(__xludf.DUMMYFUNCTION("""COMPUTED_VALUE"""),45705.0)</f>
        <v>45705</v>
      </c>
      <c r="B1529" s="7" t="str">
        <f>IFERROR(__xludf.DUMMYFUNCTION("""COMPUTED_VALUE"""),"c59a21a3-b61b-48b3-92c8-f07dcb47a406")</f>
        <v>c59a21a3-b61b-48b3-92c8-f07dcb47a406</v>
      </c>
      <c r="C1529" s="7">
        <f>IFERROR(__xludf.DUMMYFUNCTION("""COMPUTED_VALUE"""),2.0)</f>
        <v>2</v>
      </c>
      <c r="D1529" s="6">
        <f>IFERROR(__xludf.DUMMYFUNCTION("""COMPUTED_VALUE"""),45703.0)</f>
        <v>45703</v>
      </c>
      <c r="E1529" s="7" t="str">
        <f>IFERROR(__xludf.DUMMYFUNCTION("""COMPUTED_VALUE"""),"FRANQUIA_D&amp;G_SP")</f>
        <v>FRANQUIA_D&amp;G_SP</v>
      </c>
      <c r="F1529" s="7" t="str">
        <f>IFERROR(__xludf.DUMMYFUNCTION("""COMPUTED_VALUE"""),"MOTORCYCLE")</f>
        <v>MOTORCYCLE</v>
      </c>
      <c r="G1529" s="7" t="str">
        <f>IFERROR(__xludf.DUMMYFUNCTION("""COMPUTED_VALUE"""),"SAO PAULO")</f>
        <v>SAO PAULO</v>
      </c>
    </row>
    <row r="1530">
      <c r="A1530" s="6">
        <f>IFERROR(__xludf.DUMMYFUNCTION("""COMPUTED_VALUE"""),45705.0)</f>
        <v>45705</v>
      </c>
      <c r="B1530" s="7" t="str">
        <f>IFERROR(__xludf.DUMMYFUNCTION("""COMPUTED_VALUE"""),"e1f3e94b-7f59-4f71-8542-da1d2c8deb3c")</f>
        <v>e1f3e94b-7f59-4f71-8542-da1d2c8deb3c</v>
      </c>
      <c r="C1530" s="7">
        <f>IFERROR(__xludf.DUMMYFUNCTION("""COMPUTED_VALUE"""),74.0)</f>
        <v>74</v>
      </c>
      <c r="D1530" s="6">
        <f>IFERROR(__xludf.DUMMYFUNCTION("""COMPUTED_VALUE"""),45631.0)</f>
        <v>45631</v>
      </c>
      <c r="E1530" s="7" t="str">
        <f>IFERROR(__xludf.DUMMYFUNCTION("""COMPUTED_VALUE"""),"FRANQUIA_D&amp;G_SP")</f>
        <v>FRANQUIA_D&amp;G_SP</v>
      </c>
      <c r="F1530" s="7" t="str">
        <f>IFERROR(__xludf.DUMMYFUNCTION("""COMPUTED_VALUE"""),"BICYCLE")</f>
        <v>BICYCLE</v>
      </c>
      <c r="G1530" s="7" t="str">
        <f>IFERROR(__xludf.DUMMYFUNCTION("""COMPUTED_VALUE"""),"SAO PAULO")</f>
        <v>SAO PAULO</v>
      </c>
    </row>
    <row r="1531">
      <c r="A1531" s="6">
        <f>IFERROR(__xludf.DUMMYFUNCTION("""COMPUTED_VALUE"""),45705.0)</f>
        <v>45705</v>
      </c>
      <c r="B1531" s="7" t="str">
        <f>IFERROR(__xludf.DUMMYFUNCTION("""COMPUTED_VALUE"""),"235d2a01-0f6a-43d1-ac6a-2477c349e725")</f>
        <v>235d2a01-0f6a-43d1-ac6a-2477c349e725</v>
      </c>
      <c r="C1531" s="7">
        <f>IFERROR(__xludf.DUMMYFUNCTION("""COMPUTED_VALUE"""),1.0)</f>
        <v>1</v>
      </c>
      <c r="D1531" s="6">
        <f>IFERROR(__xludf.DUMMYFUNCTION("""COMPUTED_VALUE"""),45704.0)</f>
        <v>45704</v>
      </c>
      <c r="E1531" s="7" t="str">
        <f>IFERROR(__xludf.DUMMYFUNCTION("""COMPUTED_VALUE"""),"FRANQUIA_D&amp;G_SP")</f>
        <v>FRANQUIA_D&amp;G_SP</v>
      </c>
      <c r="F1531" s="7" t="str">
        <f>IFERROR(__xludf.DUMMYFUNCTION("""COMPUTED_VALUE"""),"MOTORCYCLE")</f>
        <v>MOTORCYCLE</v>
      </c>
      <c r="G1531" s="7" t="str">
        <f>IFERROR(__xludf.DUMMYFUNCTION("""COMPUTED_VALUE"""),"SAO PAULO")</f>
        <v>SAO PAULO</v>
      </c>
    </row>
    <row r="1532">
      <c r="A1532" s="6">
        <f>IFERROR(__xludf.DUMMYFUNCTION("""COMPUTED_VALUE"""),45705.0)</f>
        <v>45705</v>
      </c>
      <c r="B1532" s="7" t="str">
        <f>IFERROR(__xludf.DUMMYFUNCTION("""COMPUTED_VALUE"""),"e341a416-3c35-40e8-b706-6be703ed58ea")</f>
        <v>e341a416-3c35-40e8-b706-6be703ed58ea</v>
      </c>
      <c r="C1532" s="7">
        <f>IFERROR(__xludf.DUMMYFUNCTION("""COMPUTED_VALUE"""),0.0)</f>
        <v>0</v>
      </c>
      <c r="D1532" s="6">
        <f>IFERROR(__xludf.DUMMYFUNCTION("""COMPUTED_VALUE"""),45705.0)</f>
        <v>45705</v>
      </c>
      <c r="E1532" s="7" t="str">
        <f>IFERROR(__xludf.DUMMYFUNCTION("""COMPUTED_VALUE"""),"FRANQUIA_D&amp;G_SP")</f>
        <v>FRANQUIA_D&amp;G_SP</v>
      </c>
      <c r="F1532" s="7" t="str">
        <f>IFERROR(__xludf.DUMMYFUNCTION("""COMPUTED_VALUE"""),"EMOTORCYCLE")</f>
        <v>EMOTORCYCLE</v>
      </c>
      <c r="G1532" s="7" t="str">
        <f>IFERROR(__xludf.DUMMYFUNCTION("""COMPUTED_VALUE"""),"SAO PAULO")</f>
        <v>SAO PAULO</v>
      </c>
    </row>
    <row r="1533">
      <c r="A1533" s="6">
        <f>IFERROR(__xludf.DUMMYFUNCTION("""COMPUTED_VALUE"""),45705.0)</f>
        <v>45705</v>
      </c>
      <c r="B1533" s="7" t="str">
        <f>IFERROR(__xludf.DUMMYFUNCTION("""COMPUTED_VALUE"""),"9f19f2a1-6e65-4ed8-8e28-fc7fd4c88247")</f>
        <v>9f19f2a1-6e65-4ed8-8e28-fc7fd4c88247</v>
      </c>
      <c r="C1533" s="7">
        <f>IFERROR(__xludf.DUMMYFUNCTION("""COMPUTED_VALUE"""),0.0)</f>
        <v>0</v>
      </c>
      <c r="D1533" s="6">
        <f>IFERROR(__xludf.DUMMYFUNCTION("""COMPUTED_VALUE"""),45705.0)</f>
        <v>45705</v>
      </c>
      <c r="E1533" s="7" t="str">
        <f>IFERROR(__xludf.DUMMYFUNCTION("""COMPUTED_VALUE"""),"FRANQUIA_D&amp;G_SP")</f>
        <v>FRANQUIA_D&amp;G_SP</v>
      </c>
      <c r="F1533" s="7" t="str">
        <f>IFERROR(__xludf.DUMMYFUNCTION("""COMPUTED_VALUE"""),"BICYCLE")</f>
        <v>BICYCLE</v>
      </c>
      <c r="G1533" s="7" t="str">
        <f>IFERROR(__xludf.DUMMYFUNCTION("""COMPUTED_VALUE"""),"SAO PAULO")</f>
        <v>SAO PAULO</v>
      </c>
    </row>
    <row r="1534">
      <c r="A1534" s="6">
        <f>IFERROR(__xludf.DUMMYFUNCTION("""COMPUTED_VALUE"""),45705.0)</f>
        <v>45705</v>
      </c>
      <c r="B1534" s="7" t="str">
        <f>IFERROR(__xludf.DUMMYFUNCTION("""COMPUTED_VALUE"""),"303c73c4-a8a9-46db-a883-d715fd1b695f")</f>
        <v>303c73c4-a8a9-46db-a883-d715fd1b695f</v>
      </c>
      <c r="C1534" s="7">
        <f>IFERROR(__xludf.DUMMYFUNCTION("""COMPUTED_VALUE"""),373.0)</f>
        <v>373</v>
      </c>
      <c r="D1534" s="6">
        <f>IFERROR(__xludf.DUMMYFUNCTION("""COMPUTED_VALUE"""),45332.0)</f>
        <v>45332</v>
      </c>
      <c r="E1534" s="7" t="str">
        <f>IFERROR(__xludf.DUMMYFUNCTION("""COMPUTED_VALUE"""),"FRANQUIA_D&amp;G_SP")</f>
        <v>FRANQUIA_D&amp;G_SP</v>
      </c>
      <c r="F1534" s="7" t="str">
        <f>IFERROR(__xludf.DUMMYFUNCTION("""COMPUTED_VALUE"""),"MOTORCYCLE")</f>
        <v>MOTORCYCLE</v>
      </c>
      <c r="G1534" s="7" t="str">
        <f>IFERROR(__xludf.DUMMYFUNCTION("""COMPUTED_VALUE"""),"SAO PAULO")</f>
        <v>SAO PAULO</v>
      </c>
    </row>
    <row r="1535">
      <c r="A1535" s="6">
        <f>IFERROR(__xludf.DUMMYFUNCTION("""COMPUTED_VALUE"""),45705.0)</f>
        <v>45705</v>
      </c>
      <c r="B1535" s="7" t="str">
        <f>IFERROR(__xludf.DUMMYFUNCTION("""COMPUTED_VALUE"""),"22ce22c4-9436-45a3-820b-060857c7b3e8")</f>
        <v>22ce22c4-9436-45a3-820b-060857c7b3e8</v>
      </c>
      <c r="C1535" s="7">
        <f>IFERROR(__xludf.DUMMYFUNCTION("""COMPUTED_VALUE"""),0.0)</f>
        <v>0</v>
      </c>
      <c r="D1535" s="6">
        <f>IFERROR(__xludf.DUMMYFUNCTION("""COMPUTED_VALUE"""),45705.0)</f>
        <v>45705</v>
      </c>
      <c r="E1535" s="7" t="str">
        <f>IFERROR(__xludf.DUMMYFUNCTION("""COMPUTED_VALUE"""),"FRANQUIA_D&amp;G_SP")</f>
        <v>FRANQUIA_D&amp;G_SP</v>
      </c>
      <c r="F1535" s="7" t="str">
        <f>IFERROR(__xludf.DUMMYFUNCTION("""COMPUTED_VALUE"""),"MOTORCYCLE")</f>
        <v>MOTORCYCLE</v>
      </c>
      <c r="G1535" s="7" t="str">
        <f>IFERROR(__xludf.DUMMYFUNCTION("""COMPUTED_VALUE"""),"SAO PAULO")</f>
        <v>SAO PAULO</v>
      </c>
    </row>
    <row r="1536">
      <c r="A1536" s="6">
        <f>IFERROR(__xludf.DUMMYFUNCTION("""COMPUTED_VALUE"""),45705.0)</f>
        <v>45705</v>
      </c>
      <c r="B1536" s="7" t="str">
        <f>IFERROR(__xludf.DUMMYFUNCTION("""COMPUTED_VALUE"""),"0133ece2-635f-439d-97d3-d03d998da6f9")</f>
        <v>0133ece2-635f-439d-97d3-d03d998da6f9</v>
      </c>
      <c r="C1536" s="7">
        <f>IFERROR(__xludf.DUMMYFUNCTION("""COMPUTED_VALUE"""),188.0)</f>
        <v>188</v>
      </c>
      <c r="D1536" s="6">
        <f>IFERROR(__xludf.DUMMYFUNCTION("""COMPUTED_VALUE"""),45517.0)</f>
        <v>45517</v>
      </c>
      <c r="E1536" s="7" t="str">
        <f>IFERROR(__xludf.DUMMYFUNCTION("""COMPUTED_VALUE"""),"FRANQUIA_D&amp;G_SP")</f>
        <v>FRANQUIA_D&amp;G_SP</v>
      </c>
      <c r="F1536" s="7" t="str">
        <f>IFERROR(__xludf.DUMMYFUNCTION("""COMPUTED_VALUE"""),"BICYCLE")</f>
        <v>BICYCLE</v>
      </c>
      <c r="G1536" s="7" t="str">
        <f>IFERROR(__xludf.DUMMYFUNCTION("""COMPUTED_VALUE"""),"SAO PAULO")</f>
        <v>SAO PAULO</v>
      </c>
    </row>
    <row r="1537">
      <c r="A1537" s="6">
        <f>IFERROR(__xludf.DUMMYFUNCTION("""COMPUTED_VALUE"""),45705.0)</f>
        <v>45705</v>
      </c>
      <c r="B1537" s="7" t="str">
        <f>IFERROR(__xludf.DUMMYFUNCTION("""COMPUTED_VALUE"""),"5834a072-8aa8-4211-9f7a-02c04914dc36")</f>
        <v>5834a072-8aa8-4211-9f7a-02c04914dc36</v>
      </c>
      <c r="C1537" s="7">
        <f>IFERROR(__xludf.DUMMYFUNCTION("""COMPUTED_VALUE"""),0.0)</f>
        <v>0</v>
      </c>
      <c r="D1537" s="6">
        <f>IFERROR(__xludf.DUMMYFUNCTION("""COMPUTED_VALUE"""),45705.0)</f>
        <v>45705</v>
      </c>
      <c r="E1537" s="7" t="str">
        <f>IFERROR(__xludf.DUMMYFUNCTION("""COMPUTED_VALUE"""),"FRANQUIA_D&amp;G_SP")</f>
        <v>FRANQUIA_D&amp;G_SP</v>
      </c>
      <c r="F1537" s="7" t="str">
        <f>IFERROR(__xludf.DUMMYFUNCTION("""COMPUTED_VALUE"""),"MOTORCYCLE")</f>
        <v>MOTORCYCLE</v>
      </c>
      <c r="G1537" s="7" t="str">
        <f>IFERROR(__xludf.DUMMYFUNCTION("""COMPUTED_VALUE"""),"SAO PAULO")</f>
        <v>SAO PAULO</v>
      </c>
    </row>
    <row r="1538">
      <c r="A1538" s="6">
        <f>IFERROR(__xludf.DUMMYFUNCTION("""COMPUTED_VALUE"""),45705.0)</f>
        <v>45705</v>
      </c>
      <c r="B1538" s="7" t="str">
        <f>IFERROR(__xludf.DUMMYFUNCTION("""COMPUTED_VALUE"""),"9436d342-67cb-454b-8a8d-193537d0c59c")</f>
        <v>9436d342-67cb-454b-8a8d-193537d0c59c</v>
      </c>
      <c r="C1538" s="7">
        <f>IFERROR(__xludf.DUMMYFUNCTION("""COMPUTED_VALUE"""),0.0)</f>
        <v>0</v>
      </c>
      <c r="D1538" s="6">
        <f>IFERROR(__xludf.DUMMYFUNCTION("""COMPUTED_VALUE"""),45705.0)</f>
        <v>45705</v>
      </c>
      <c r="E1538" s="7" t="str">
        <f>IFERROR(__xludf.DUMMYFUNCTION("""COMPUTED_VALUE"""),"FRANQUIA_D&amp;G_SP")</f>
        <v>FRANQUIA_D&amp;G_SP</v>
      </c>
      <c r="F1538" s="7" t="str">
        <f>IFERROR(__xludf.DUMMYFUNCTION("""COMPUTED_VALUE"""),"MOTORCYCLE")</f>
        <v>MOTORCYCLE</v>
      </c>
      <c r="G1538" s="7" t="str">
        <f>IFERROR(__xludf.DUMMYFUNCTION("""COMPUTED_VALUE"""),"SAO PAULO")</f>
        <v>SAO PAULO</v>
      </c>
    </row>
    <row r="1539">
      <c r="A1539" s="6">
        <f>IFERROR(__xludf.DUMMYFUNCTION("""COMPUTED_VALUE"""),45705.0)</f>
        <v>45705</v>
      </c>
      <c r="B1539" s="7" t="str">
        <f>IFERROR(__xludf.DUMMYFUNCTION("""COMPUTED_VALUE"""),"cfa89ef3-4912-4f29-b9b8-cf28d94b8993")</f>
        <v>cfa89ef3-4912-4f29-b9b8-cf28d94b8993</v>
      </c>
      <c r="C1539" s="7">
        <f>IFERROR(__xludf.DUMMYFUNCTION("""COMPUTED_VALUE"""),429.0)</f>
        <v>429</v>
      </c>
      <c r="D1539" s="6">
        <f>IFERROR(__xludf.DUMMYFUNCTION("""COMPUTED_VALUE"""),45276.0)</f>
        <v>45276</v>
      </c>
      <c r="E1539" s="7" t="str">
        <f>IFERROR(__xludf.DUMMYFUNCTION("""COMPUTED_VALUE"""),"FRANQUIA_D&amp;G_SP")</f>
        <v>FRANQUIA_D&amp;G_SP</v>
      </c>
      <c r="F1539" s="7" t="str">
        <f>IFERROR(__xludf.DUMMYFUNCTION("""COMPUTED_VALUE"""),"BICYCLE")</f>
        <v>BICYCLE</v>
      </c>
      <c r="G1539" s="7" t="str">
        <f>IFERROR(__xludf.DUMMYFUNCTION("""COMPUTED_VALUE"""),"SAO PAULO")</f>
        <v>SAO PAULO</v>
      </c>
    </row>
    <row r="1540">
      <c r="A1540" s="6">
        <f>IFERROR(__xludf.DUMMYFUNCTION("""COMPUTED_VALUE"""),45705.0)</f>
        <v>45705</v>
      </c>
      <c r="B1540" s="7" t="str">
        <f>IFERROR(__xludf.DUMMYFUNCTION("""COMPUTED_VALUE"""),"6bf38f43-0d33-40e4-b093-ad4f96d1d830")</f>
        <v>6bf38f43-0d33-40e4-b093-ad4f96d1d830</v>
      </c>
      <c r="C1540" s="7">
        <f>IFERROR(__xludf.DUMMYFUNCTION("""COMPUTED_VALUE"""),2.0)</f>
        <v>2</v>
      </c>
      <c r="D1540" s="6">
        <f>IFERROR(__xludf.DUMMYFUNCTION("""COMPUTED_VALUE"""),45703.0)</f>
        <v>45703</v>
      </c>
      <c r="E1540" s="7" t="str">
        <f>IFERROR(__xludf.DUMMYFUNCTION("""COMPUTED_VALUE"""),"FRANQUIA_D&amp;G_SP")</f>
        <v>FRANQUIA_D&amp;G_SP</v>
      </c>
      <c r="F1540" s="7" t="str">
        <f>IFERROR(__xludf.DUMMYFUNCTION("""COMPUTED_VALUE"""),"BICYCLE")</f>
        <v>BICYCLE</v>
      </c>
      <c r="G1540" s="7" t="str">
        <f>IFERROR(__xludf.DUMMYFUNCTION("""COMPUTED_VALUE"""),"SAO PAULO")</f>
        <v>SAO PAULO</v>
      </c>
    </row>
    <row r="1541">
      <c r="A1541" s="6">
        <f>IFERROR(__xludf.DUMMYFUNCTION("""COMPUTED_VALUE"""),45705.0)</f>
        <v>45705</v>
      </c>
      <c r="B1541" s="7" t="str">
        <f>IFERROR(__xludf.DUMMYFUNCTION("""COMPUTED_VALUE"""),"6be6cef6-adba-4e61-ac8c-5369f4baad8e")</f>
        <v>6be6cef6-adba-4e61-ac8c-5369f4baad8e</v>
      </c>
      <c r="C1541" s="7">
        <f>IFERROR(__xludf.DUMMYFUNCTION("""COMPUTED_VALUE"""),18.0)</f>
        <v>18</v>
      </c>
      <c r="D1541" s="6">
        <f>IFERROR(__xludf.DUMMYFUNCTION("""COMPUTED_VALUE"""),45687.0)</f>
        <v>45687</v>
      </c>
      <c r="E1541" s="7" t="str">
        <f>IFERROR(__xludf.DUMMYFUNCTION("""COMPUTED_VALUE"""),"FRANQUIA_D&amp;G_SP")</f>
        <v>FRANQUIA_D&amp;G_SP</v>
      </c>
      <c r="F1541" s="7" t="str">
        <f>IFERROR(__xludf.DUMMYFUNCTION("""COMPUTED_VALUE"""),"BICYCLE")</f>
        <v>BICYCLE</v>
      </c>
      <c r="G1541" s="7" t="str">
        <f>IFERROR(__xludf.DUMMYFUNCTION("""COMPUTED_VALUE"""),"SAO PAULO")</f>
        <v>SAO PAULO</v>
      </c>
    </row>
    <row r="1542">
      <c r="A1542" s="6">
        <f>IFERROR(__xludf.DUMMYFUNCTION("""COMPUTED_VALUE"""),45705.0)</f>
        <v>45705</v>
      </c>
      <c r="B1542" s="7" t="str">
        <f>IFERROR(__xludf.DUMMYFUNCTION("""COMPUTED_VALUE"""),"84f529a2-97b5-4800-88f9-9ec0dd2da990")</f>
        <v>84f529a2-97b5-4800-88f9-9ec0dd2da990</v>
      </c>
      <c r="C1542" s="7">
        <f>IFERROR(__xludf.DUMMYFUNCTION("""COMPUTED_VALUE"""),0.0)</f>
        <v>0</v>
      </c>
      <c r="D1542" s="6">
        <f>IFERROR(__xludf.DUMMYFUNCTION("""COMPUTED_VALUE"""),45705.0)</f>
        <v>45705</v>
      </c>
      <c r="E1542" s="7" t="str">
        <f>IFERROR(__xludf.DUMMYFUNCTION("""COMPUTED_VALUE"""),"FRANQUIA_D&amp;G_SP")</f>
        <v>FRANQUIA_D&amp;G_SP</v>
      </c>
      <c r="F1542" s="7" t="str">
        <f>IFERROR(__xludf.DUMMYFUNCTION("""COMPUTED_VALUE"""),"MOTORCYCLE")</f>
        <v>MOTORCYCLE</v>
      </c>
      <c r="G1542" s="7" t="str">
        <f>IFERROR(__xludf.DUMMYFUNCTION("""COMPUTED_VALUE"""),"SAO PAULO")</f>
        <v>SAO PAULO</v>
      </c>
    </row>
    <row r="1543">
      <c r="A1543" s="6">
        <f>IFERROR(__xludf.DUMMYFUNCTION("""COMPUTED_VALUE"""),45705.0)</f>
        <v>45705</v>
      </c>
      <c r="B1543" s="7" t="str">
        <f>IFERROR(__xludf.DUMMYFUNCTION("""COMPUTED_VALUE"""),"7201a4eb-9eb0-4bc3-b035-7a5cec5f3ace")</f>
        <v>7201a4eb-9eb0-4bc3-b035-7a5cec5f3ace</v>
      </c>
      <c r="C1543" s="7">
        <f>IFERROR(__xludf.DUMMYFUNCTION("""COMPUTED_VALUE"""),16.0)</f>
        <v>16</v>
      </c>
      <c r="D1543" s="6">
        <f>IFERROR(__xludf.DUMMYFUNCTION("""COMPUTED_VALUE"""),45689.0)</f>
        <v>45689</v>
      </c>
      <c r="E1543" s="7" t="str">
        <f>IFERROR(__xludf.DUMMYFUNCTION("""COMPUTED_VALUE"""),"FRANQUIA_D&amp;G_SP")</f>
        <v>FRANQUIA_D&amp;G_SP</v>
      </c>
      <c r="F1543" s="7" t="str">
        <f>IFERROR(__xludf.DUMMYFUNCTION("""COMPUTED_VALUE"""),"BICYCLE")</f>
        <v>BICYCLE</v>
      </c>
      <c r="G1543" s="7" t="str">
        <f>IFERROR(__xludf.DUMMYFUNCTION("""COMPUTED_VALUE"""),"SAO PAULO")</f>
        <v>SAO PAULO</v>
      </c>
    </row>
    <row r="1544">
      <c r="A1544" s="6">
        <f>IFERROR(__xludf.DUMMYFUNCTION("""COMPUTED_VALUE"""),45705.0)</f>
        <v>45705</v>
      </c>
      <c r="B1544" s="7" t="str">
        <f>IFERROR(__xludf.DUMMYFUNCTION("""COMPUTED_VALUE"""),"57e469ae-b9a5-4114-82ea-514a08e138a4")</f>
        <v>57e469ae-b9a5-4114-82ea-514a08e138a4</v>
      </c>
      <c r="C1544" s="7">
        <f>IFERROR(__xludf.DUMMYFUNCTION("""COMPUTED_VALUE"""),218.0)</f>
        <v>218</v>
      </c>
      <c r="D1544" s="6">
        <f>IFERROR(__xludf.DUMMYFUNCTION("""COMPUTED_VALUE"""),45487.0)</f>
        <v>45487</v>
      </c>
      <c r="E1544" s="7" t="str">
        <f>IFERROR(__xludf.DUMMYFUNCTION("""COMPUTED_VALUE"""),"FRANQUIA_D&amp;G_SP")</f>
        <v>FRANQUIA_D&amp;G_SP</v>
      </c>
      <c r="F1544" s="7" t="str">
        <f>IFERROR(__xludf.DUMMYFUNCTION("""COMPUTED_VALUE"""),"MOTORCYCLE")</f>
        <v>MOTORCYCLE</v>
      </c>
      <c r="G1544" s="7" t="str">
        <f>IFERROR(__xludf.DUMMYFUNCTION("""COMPUTED_VALUE"""),"SAO PAULO")</f>
        <v>SAO PAULO</v>
      </c>
    </row>
    <row r="1545">
      <c r="A1545" s="6">
        <f>IFERROR(__xludf.DUMMYFUNCTION("""COMPUTED_VALUE"""),45705.0)</f>
        <v>45705</v>
      </c>
      <c r="B1545" s="7" t="str">
        <f>IFERROR(__xludf.DUMMYFUNCTION("""COMPUTED_VALUE"""),"5e7df9e4-4d0c-44f9-a753-372f7526ea97")</f>
        <v>5e7df9e4-4d0c-44f9-a753-372f7526ea97</v>
      </c>
      <c r="C1545" s="7">
        <f>IFERROR(__xludf.DUMMYFUNCTION("""COMPUTED_VALUE"""),0.0)</f>
        <v>0</v>
      </c>
      <c r="D1545" s="6">
        <f>IFERROR(__xludf.DUMMYFUNCTION("""COMPUTED_VALUE"""),45705.0)</f>
        <v>45705</v>
      </c>
      <c r="E1545" s="7" t="str">
        <f>IFERROR(__xludf.DUMMYFUNCTION("""COMPUTED_VALUE"""),"FRANQUIA_D&amp;G_SP")</f>
        <v>FRANQUIA_D&amp;G_SP</v>
      </c>
      <c r="F1545" s="7" t="str">
        <f>IFERROR(__xludf.DUMMYFUNCTION("""COMPUTED_VALUE"""),"MOTORCYCLE")</f>
        <v>MOTORCYCLE</v>
      </c>
      <c r="G1545" s="7" t="str">
        <f>IFERROR(__xludf.DUMMYFUNCTION("""COMPUTED_VALUE"""),"SAO PAULO")</f>
        <v>SAO PAULO</v>
      </c>
    </row>
    <row r="1546">
      <c r="A1546" s="6">
        <f>IFERROR(__xludf.DUMMYFUNCTION("""COMPUTED_VALUE"""),45705.0)</f>
        <v>45705</v>
      </c>
      <c r="B1546" s="7" t="str">
        <f>IFERROR(__xludf.DUMMYFUNCTION("""COMPUTED_VALUE"""),"41dc1aad-8a9a-49a4-96b3-4ea2369fa6d6")</f>
        <v>41dc1aad-8a9a-49a4-96b3-4ea2369fa6d6</v>
      </c>
      <c r="C1546" s="7">
        <f>IFERROR(__xludf.DUMMYFUNCTION("""COMPUTED_VALUE"""),480.0)</f>
        <v>480</v>
      </c>
      <c r="D1546" s="6">
        <f>IFERROR(__xludf.DUMMYFUNCTION("""COMPUTED_VALUE"""),45225.0)</f>
        <v>45225</v>
      </c>
      <c r="E1546" s="7" t="str">
        <f>IFERROR(__xludf.DUMMYFUNCTION("""COMPUTED_VALUE"""),"FRANQUIA_D&amp;G_SP")</f>
        <v>FRANQUIA_D&amp;G_SP</v>
      </c>
      <c r="F1546" s="7" t="str">
        <f>IFERROR(__xludf.DUMMYFUNCTION("""COMPUTED_VALUE"""),"MOTORCYCLE")</f>
        <v>MOTORCYCLE</v>
      </c>
      <c r="G1546" s="7" t="str">
        <f>IFERROR(__xludf.DUMMYFUNCTION("""COMPUTED_VALUE"""),"SAO PAULO")</f>
        <v>SAO PAULO</v>
      </c>
    </row>
    <row r="1547">
      <c r="A1547" s="6">
        <f>IFERROR(__xludf.DUMMYFUNCTION("""COMPUTED_VALUE"""),45705.0)</f>
        <v>45705</v>
      </c>
      <c r="B1547" s="7" t="str">
        <f>IFERROR(__xludf.DUMMYFUNCTION("""COMPUTED_VALUE"""),"47d997b4-004f-43ba-9561-0768d786496b")</f>
        <v>47d997b4-004f-43ba-9561-0768d786496b</v>
      </c>
      <c r="C1547" s="7">
        <f>IFERROR(__xludf.DUMMYFUNCTION("""COMPUTED_VALUE"""),57.0)</f>
        <v>57</v>
      </c>
      <c r="D1547" s="6">
        <f>IFERROR(__xludf.DUMMYFUNCTION("""COMPUTED_VALUE"""),45648.0)</f>
        <v>45648</v>
      </c>
      <c r="E1547" s="7" t="str">
        <f>IFERROR(__xludf.DUMMYFUNCTION("""COMPUTED_VALUE"""),"FRANQUIA_D&amp;G_SP")</f>
        <v>FRANQUIA_D&amp;G_SP</v>
      </c>
      <c r="F1547" s="7" t="str">
        <f>IFERROR(__xludf.DUMMYFUNCTION("""COMPUTED_VALUE"""),"BICYCLE")</f>
        <v>BICYCLE</v>
      </c>
      <c r="G1547" s="7" t="str">
        <f>IFERROR(__xludf.DUMMYFUNCTION("""COMPUTED_VALUE"""),"SAO PAULO")</f>
        <v>SAO PAULO</v>
      </c>
    </row>
    <row r="1548">
      <c r="A1548" s="6">
        <f>IFERROR(__xludf.DUMMYFUNCTION("""COMPUTED_VALUE"""),45705.0)</f>
        <v>45705</v>
      </c>
      <c r="B1548" s="7" t="str">
        <f>IFERROR(__xludf.DUMMYFUNCTION("""COMPUTED_VALUE"""),"bd31e3c7-a247-407b-90dc-d405bdb671e3")</f>
        <v>bd31e3c7-a247-407b-90dc-d405bdb671e3</v>
      </c>
      <c r="C1548" s="7">
        <f>IFERROR(__xludf.DUMMYFUNCTION("""COMPUTED_VALUE"""),0.0)</f>
        <v>0</v>
      </c>
      <c r="D1548" s="6">
        <f>IFERROR(__xludf.DUMMYFUNCTION("""COMPUTED_VALUE"""),45705.0)</f>
        <v>45705</v>
      </c>
      <c r="E1548" s="7" t="str">
        <f>IFERROR(__xludf.DUMMYFUNCTION("""COMPUTED_VALUE"""),"FRANQUIA_D&amp;G_SP")</f>
        <v>FRANQUIA_D&amp;G_SP</v>
      </c>
      <c r="F1548" s="7" t="str">
        <f>IFERROR(__xludf.DUMMYFUNCTION("""COMPUTED_VALUE"""),"BICYCLE")</f>
        <v>BICYCLE</v>
      </c>
      <c r="G1548" s="7" t="str">
        <f>IFERROR(__xludf.DUMMYFUNCTION("""COMPUTED_VALUE"""),"SAO PAULO")</f>
        <v>SAO PAULO</v>
      </c>
    </row>
    <row r="1549">
      <c r="A1549" s="6">
        <f>IFERROR(__xludf.DUMMYFUNCTION("""COMPUTED_VALUE"""),45705.0)</f>
        <v>45705</v>
      </c>
      <c r="B1549" s="7" t="str">
        <f>IFERROR(__xludf.DUMMYFUNCTION("""COMPUTED_VALUE"""),"3da30a65-21eb-4272-9d06-f670b6cbfaa4")</f>
        <v>3da30a65-21eb-4272-9d06-f670b6cbfaa4</v>
      </c>
      <c r="C1549" s="7">
        <f>IFERROR(__xludf.DUMMYFUNCTION("""COMPUTED_VALUE"""),0.0)</f>
        <v>0</v>
      </c>
      <c r="D1549" s="6">
        <f>IFERROR(__xludf.DUMMYFUNCTION("""COMPUTED_VALUE"""),45705.0)</f>
        <v>45705</v>
      </c>
      <c r="E1549" s="7" t="str">
        <f>IFERROR(__xludf.DUMMYFUNCTION("""COMPUTED_VALUE"""),"FRANQUIA_D&amp;G_SP")</f>
        <v>FRANQUIA_D&amp;G_SP</v>
      </c>
      <c r="F1549" s="7" t="str">
        <f>IFERROR(__xludf.DUMMYFUNCTION("""COMPUTED_VALUE"""),"MOTORCYCLE")</f>
        <v>MOTORCYCLE</v>
      </c>
      <c r="G1549" s="7" t="str">
        <f>IFERROR(__xludf.DUMMYFUNCTION("""COMPUTED_VALUE"""),"SAO PAULO")</f>
        <v>SAO PAULO</v>
      </c>
    </row>
    <row r="1550">
      <c r="A1550" s="6">
        <f>IFERROR(__xludf.DUMMYFUNCTION("""COMPUTED_VALUE"""),45705.0)</f>
        <v>45705</v>
      </c>
      <c r="B1550" s="7" t="str">
        <f>IFERROR(__xludf.DUMMYFUNCTION("""COMPUTED_VALUE"""),"b0617e7e-2831-41cd-a472-248530fb6894")</f>
        <v>b0617e7e-2831-41cd-a472-248530fb6894</v>
      </c>
      <c r="C1550" s="7">
        <f>IFERROR(__xludf.DUMMYFUNCTION("""COMPUTED_VALUE"""),58.0)</f>
        <v>58</v>
      </c>
      <c r="D1550" s="6">
        <f>IFERROR(__xludf.DUMMYFUNCTION("""COMPUTED_VALUE"""),45647.0)</f>
        <v>45647</v>
      </c>
      <c r="E1550" s="7" t="str">
        <f>IFERROR(__xludf.DUMMYFUNCTION("""COMPUTED_VALUE"""),"FRANQUIA_D&amp;G_SP")</f>
        <v>FRANQUIA_D&amp;G_SP</v>
      </c>
      <c r="F1550" s="7" t="str">
        <f>IFERROR(__xludf.DUMMYFUNCTION("""COMPUTED_VALUE"""),"MOTORCYCLE")</f>
        <v>MOTORCYCLE</v>
      </c>
      <c r="G1550" s="7" t="str">
        <f>IFERROR(__xludf.DUMMYFUNCTION("""COMPUTED_VALUE"""),"SAO PAULO")</f>
        <v>SAO PAULO</v>
      </c>
    </row>
    <row r="1551">
      <c r="A1551" s="6">
        <f>IFERROR(__xludf.DUMMYFUNCTION("""COMPUTED_VALUE"""),45705.0)</f>
        <v>45705</v>
      </c>
      <c r="B1551" s="7" t="str">
        <f>IFERROR(__xludf.DUMMYFUNCTION("""COMPUTED_VALUE"""),"4d9fad2a-23d6-4057-b7b0-349c25b165a5")</f>
        <v>4d9fad2a-23d6-4057-b7b0-349c25b165a5</v>
      </c>
      <c r="C1551" s="7">
        <f>IFERROR(__xludf.DUMMYFUNCTION("""COMPUTED_VALUE"""),2032.0)</f>
        <v>2032</v>
      </c>
      <c r="D1551" s="6">
        <f>IFERROR(__xludf.DUMMYFUNCTION("""COMPUTED_VALUE"""),43673.0)</f>
        <v>43673</v>
      </c>
      <c r="E1551" s="7" t="str">
        <f>IFERROR(__xludf.DUMMYFUNCTION("""COMPUTED_VALUE"""),"FRANQUIA_D&amp;G_SP")</f>
        <v>FRANQUIA_D&amp;G_SP</v>
      </c>
      <c r="F1551" s="7" t="str">
        <f>IFERROR(__xludf.DUMMYFUNCTION("""COMPUTED_VALUE"""),"BICYCLE")</f>
        <v>BICYCLE</v>
      </c>
      <c r="G1551" s="7" t="str">
        <f>IFERROR(__xludf.DUMMYFUNCTION("""COMPUTED_VALUE"""),"PORTO ALEGRE")</f>
        <v>PORTO ALEGRE</v>
      </c>
    </row>
    <row r="1552">
      <c r="A1552" s="6">
        <f>IFERROR(__xludf.DUMMYFUNCTION("""COMPUTED_VALUE"""),45705.0)</f>
        <v>45705</v>
      </c>
      <c r="B1552" s="7" t="str">
        <f>IFERROR(__xludf.DUMMYFUNCTION("""COMPUTED_VALUE"""),"afeb8f72-46dc-4c4a-883d-d3bb711bc0d2")</f>
        <v>afeb8f72-46dc-4c4a-883d-d3bb711bc0d2</v>
      </c>
      <c r="C1552" s="7">
        <f>IFERROR(__xludf.DUMMYFUNCTION("""COMPUTED_VALUE"""),8.0)</f>
        <v>8</v>
      </c>
      <c r="D1552" s="6">
        <f>IFERROR(__xludf.DUMMYFUNCTION("""COMPUTED_VALUE"""),45697.0)</f>
        <v>45697</v>
      </c>
      <c r="E1552" s="7" t="str">
        <f>IFERROR(__xludf.DUMMYFUNCTION("""COMPUTED_VALUE"""),"FRANQUIA_D&amp;G_SP")</f>
        <v>FRANQUIA_D&amp;G_SP</v>
      </c>
      <c r="F1552" s="7" t="str">
        <f>IFERROR(__xludf.DUMMYFUNCTION("""COMPUTED_VALUE"""),"MOTORCYCLE")</f>
        <v>MOTORCYCLE</v>
      </c>
      <c r="G1552" s="7" t="str">
        <f>IFERROR(__xludf.DUMMYFUNCTION("""COMPUTED_VALUE"""),"SAO PAULO")</f>
        <v>SAO PAULO</v>
      </c>
    </row>
    <row r="1553">
      <c r="A1553" s="6">
        <f>IFERROR(__xludf.DUMMYFUNCTION("""COMPUTED_VALUE"""),45705.0)</f>
        <v>45705</v>
      </c>
      <c r="B1553" s="7" t="str">
        <f>IFERROR(__xludf.DUMMYFUNCTION("""COMPUTED_VALUE"""),"e4d50d23-b9be-47b2-b4bc-387bcfd240e3")</f>
        <v>e4d50d23-b9be-47b2-b4bc-387bcfd240e3</v>
      </c>
      <c r="C1553" s="7">
        <f>IFERROR(__xludf.DUMMYFUNCTION("""COMPUTED_VALUE"""),0.0)</f>
        <v>0</v>
      </c>
      <c r="D1553" s="6">
        <f>IFERROR(__xludf.DUMMYFUNCTION("""COMPUTED_VALUE"""),45705.0)</f>
        <v>45705</v>
      </c>
      <c r="E1553" s="7" t="str">
        <f>IFERROR(__xludf.DUMMYFUNCTION("""COMPUTED_VALUE"""),"FRANQUIA_D&amp;G_SP")</f>
        <v>FRANQUIA_D&amp;G_SP</v>
      </c>
      <c r="F1553" s="7" t="str">
        <f>IFERROR(__xludf.DUMMYFUNCTION("""COMPUTED_VALUE"""),"EBIKE")</f>
        <v>EBIKE</v>
      </c>
      <c r="G1553" s="7" t="str">
        <f>IFERROR(__xludf.DUMMYFUNCTION("""COMPUTED_VALUE"""),"ABC")</f>
        <v>ABC</v>
      </c>
    </row>
    <row r="1554">
      <c r="A1554" s="6">
        <f>IFERROR(__xludf.DUMMYFUNCTION("""COMPUTED_VALUE"""),45705.0)</f>
        <v>45705</v>
      </c>
      <c r="B1554" s="7" t="str">
        <f>IFERROR(__xludf.DUMMYFUNCTION("""COMPUTED_VALUE"""),"bfe73237-e16d-49f9-a30a-36b4cd6ecd57")</f>
        <v>bfe73237-e16d-49f9-a30a-36b4cd6ecd57</v>
      </c>
      <c r="C1554" s="7">
        <f>IFERROR(__xludf.DUMMYFUNCTION("""COMPUTED_VALUE"""),0.0)</f>
        <v>0</v>
      </c>
      <c r="D1554" s="6">
        <f>IFERROR(__xludf.DUMMYFUNCTION("""COMPUTED_VALUE"""),45705.0)</f>
        <v>45705</v>
      </c>
      <c r="E1554" s="7" t="str">
        <f>IFERROR(__xludf.DUMMYFUNCTION("""COMPUTED_VALUE"""),"FRANQUIA_D&amp;G_SP")</f>
        <v>FRANQUIA_D&amp;G_SP</v>
      </c>
      <c r="F1554" s="7" t="str">
        <f>IFERROR(__xludf.DUMMYFUNCTION("""COMPUTED_VALUE"""),"MOTORCYCLE")</f>
        <v>MOTORCYCLE</v>
      </c>
      <c r="G1554" s="7" t="str">
        <f>IFERROR(__xludf.DUMMYFUNCTION("""COMPUTED_VALUE"""),"SAO PAULO")</f>
        <v>SAO PAULO</v>
      </c>
    </row>
    <row r="1555">
      <c r="A1555" s="6">
        <f>IFERROR(__xludf.DUMMYFUNCTION("""COMPUTED_VALUE"""),45705.0)</f>
        <v>45705</v>
      </c>
      <c r="B1555" s="7" t="str">
        <f>IFERROR(__xludf.DUMMYFUNCTION("""COMPUTED_VALUE"""),"3882e598-3709-42f9-bd83-8b4c97c5b60e")</f>
        <v>3882e598-3709-42f9-bd83-8b4c97c5b60e</v>
      </c>
      <c r="C1555" s="7">
        <f>IFERROR(__xludf.DUMMYFUNCTION("""COMPUTED_VALUE"""),31.0)</f>
        <v>31</v>
      </c>
      <c r="D1555" s="6">
        <f>IFERROR(__xludf.DUMMYFUNCTION("""COMPUTED_VALUE"""),45674.0)</f>
        <v>45674</v>
      </c>
      <c r="E1555" s="7" t="str">
        <f>IFERROR(__xludf.DUMMYFUNCTION("""COMPUTED_VALUE"""),"FRANQUIA_D&amp;G_SP")</f>
        <v>FRANQUIA_D&amp;G_SP</v>
      </c>
      <c r="F1555" s="7" t="str">
        <f>IFERROR(__xludf.DUMMYFUNCTION("""COMPUTED_VALUE"""),"MOTORCYCLE")</f>
        <v>MOTORCYCLE</v>
      </c>
      <c r="G1555" s="7" t="str">
        <f>IFERROR(__xludf.DUMMYFUNCTION("""COMPUTED_VALUE"""),"SAO PAULO")</f>
        <v>SAO PAULO</v>
      </c>
    </row>
    <row r="1556">
      <c r="A1556" s="6">
        <f>IFERROR(__xludf.DUMMYFUNCTION("""COMPUTED_VALUE"""),45705.0)</f>
        <v>45705</v>
      </c>
      <c r="B1556" s="7" t="str">
        <f>IFERROR(__xludf.DUMMYFUNCTION("""COMPUTED_VALUE"""),"5385af7b-6114-4c59-98a6-630dc88fb944")</f>
        <v>5385af7b-6114-4c59-98a6-630dc88fb944</v>
      </c>
      <c r="C1556" s="7">
        <f>IFERROR(__xludf.DUMMYFUNCTION("""COMPUTED_VALUE"""),416.0)</f>
        <v>416</v>
      </c>
      <c r="D1556" s="6">
        <f>IFERROR(__xludf.DUMMYFUNCTION("""COMPUTED_VALUE"""),45289.0)</f>
        <v>45289</v>
      </c>
      <c r="E1556" s="7" t="str">
        <f>IFERROR(__xludf.DUMMYFUNCTION("""COMPUTED_VALUE"""),"FRANQUIA_D&amp;G_SP")</f>
        <v>FRANQUIA_D&amp;G_SP</v>
      </c>
      <c r="F1556" s="7" t="str">
        <f>IFERROR(__xludf.DUMMYFUNCTION("""COMPUTED_VALUE"""),"BICYCLE")</f>
        <v>BICYCLE</v>
      </c>
      <c r="G1556" s="7" t="str">
        <f>IFERROR(__xludf.DUMMYFUNCTION("""COMPUTED_VALUE"""),"SAO PAULO")</f>
        <v>SAO PAULO</v>
      </c>
    </row>
    <row r="1557">
      <c r="A1557" s="6">
        <f>IFERROR(__xludf.DUMMYFUNCTION("""COMPUTED_VALUE"""),45705.0)</f>
        <v>45705</v>
      </c>
      <c r="B1557" s="7" t="str">
        <f>IFERROR(__xludf.DUMMYFUNCTION("""COMPUTED_VALUE"""),"4f039d8c-8f41-469c-9450-c84f63adda71")</f>
        <v>4f039d8c-8f41-469c-9450-c84f63adda71</v>
      </c>
      <c r="C1557" s="7">
        <f>IFERROR(__xludf.DUMMYFUNCTION("""COMPUTED_VALUE"""),202.0)</f>
        <v>202</v>
      </c>
      <c r="D1557" s="6">
        <f>IFERROR(__xludf.DUMMYFUNCTION("""COMPUTED_VALUE"""),45503.0)</f>
        <v>45503</v>
      </c>
      <c r="E1557" s="7" t="str">
        <f>IFERROR(__xludf.DUMMYFUNCTION("""COMPUTED_VALUE"""),"FRANQUIA_D&amp;G_SP")</f>
        <v>FRANQUIA_D&amp;G_SP</v>
      </c>
      <c r="F1557" s="7" t="str">
        <f>IFERROR(__xludf.DUMMYFUNCTION("""COMPUTED_VALUE"""),"MOTORCYCLE")</f>
        <v>MOTORCYCLE</v>
      </c>
      <c r="G1557" s="7" t="str">
        <f>IFERROR(__xludf.DUMMYFUNCTION("""COMPUTED_VALUE"""),"SAO PAULO")</f>
        <v>SAO PAULO</v>
      </c>
    </row>
    <row r="1558">
      <c r="A1558" s="6">
        <f>IFERROR(__xludf.DUMMYFUNCTION("""COMPUTED_VALUE"""),45705.0)</f>
        <v>45705</v>
      </c>
      <c r="B1558" s="7" t="str">
        <f>IFERROR(__xludf.DUMMYFUNCTION("""COMPUTED_VALUE"""),"448f028a-b76f-4224-8149-a5ad52fa3129")</f>
        <v>448f028a-b76f-4224-8149-a5ad52fa3129</v>
      </c>
      <c r="C1558" s="7">
        <f>IFERROR(__xludf.DUMMYFUNCTION("""COMPUTED_VALUE"""),3.0)</f>
        <v>3</v>
      </c>
      <c r="D1558" s="6">
        <f>IFERROR(__xludf.DUMMYFUNCTION("""COMPUTED_VALUE"""),45702.0)</f>
        <v>45702</v>
      </c>
      <c r="E1558" s="7" t="str">
        <f>IFERROR(__xludf.DUMMYFUNCTION("""COMPUTED_VALUE"""),"FRANQUIA_D&amp;G_SP")</f>
        <v>FRANQUIA_D&amp;G_SP</v>
      </c>
      <c r="F1558" s="7" t="str">
        <f>IFERROR(__xludf.DUMMYFUNCTION("""COMPUTED_VALUE"""),"BICYCLE")</f>
        <v>BICYCLE</v>
      </c>
      <c r="G1558" s="7" t="str">
        <f>IFERROR(__xludf.DUMMYFUNCTION("""COMPUTED_VALUE"""),"SAO PAULO")</f>
        <v>SAO PAULO</v>
      </c>
    </row>
    <row r="1559">
      <c r="A1559" s="6">
        <f>IFERROR(__xludf.DUMMYFUNCTION("""COMPUTED_VALUE"""),45705.0)</f>
        <v>45705</v>
      </c>
      <c r="B1559" s="7" t="str">
        <f>IFERROR(__xludf.DUMMYFUNCTION("""COMPUTED_VALUE"""),"8c0b9033-a59e-4bcf-899d-559383f59632")</f>
        <v>8c0b9033-a59e-4bcf-899d-559383f59632</v>
      </c>
      <c r="C1559" s="7">
        <f>IFERROR(__xludf.DUMMYFUNCTION("""COMPUTED_VALUE"""),0.0)</f>
        <v>0</v>
      </c>
      <c r="D1559" s="6">
        <f>IFERROR(__xludf.DUMMYFUNCTION("""COMPUTED_VALUE"""),45705.0)</f>
        <v>45705</v>
      </c>
      <c r="E1559" s="7" t="str">
        <f>IFERROR(__xludf.DUMMYFUNCTION("""COMPUTED_VALUE"""),"FRANQUIA_D&amp;G_SP")</f>
        <v>FRANQUIA_D&amp;G_SP</v>
      </c>
      <c r="F1559" s="7" t="str">
        <f>IFERROR(__xludf.DUMMYFUNCTION("""COMPUTED_VALUE"""),"MOTORCYCLE")</f>
        <v>MOTORCYCLE</v>
      </c>
      <c r="G1559" s="7" t="str">
        <f>IFERROR(__xludf.DUMMYFUNCTION("""COMPUTED_VALUE"""),"SAO PAULO")</f>
        <v>SAO PAULO</v>
      </c>
    </row>
    <row r="1560">
      <c r="A1560" s="6">
        <f>IFERROR(__xludf.DUMMYFUNCTION("""COMPUTED_VALUE"""),45705.0)</f>
        <v>45705</v>
      </c>
      <c r="B1560" s="7" t="str">
        <f>IFERROR(__xludf.DUMMYFUNCTION("""COMPUTED_VALUE"""),"c8d73a0d-9cfb-432b-b5cd-f3ea8afc0939")</f>
        <v>c8d73a0d-9cfb-432b-b5cd-f3ea8afc0939</v>
      </c>
      <c r="C1560" s="7">
        <f>IFERROR(__xludf.DUMMYFUNCTION("""COMPUTED_VALUE"""),333.0)</f>
        <v>333</v>
      </c>
      <c r="D1560" s="6">
        <f>IFERROR(__xludf.DUMMYFUNCTION("""COMPUTED_VALUE"""),45372.0)</f>
        <v>45372</v>
      </c>
      <c r="E1560" s="7" t="str">
        <f>IFERROR(__xludf.DUMMYFUNCTION("""COMPUTED_VALUE"""),"FRANQUIA_D&amp;G_SP")</f>
        <v>FRANQUIA_D&amp;G_SP</v>
      </c>
      <c r="F1560" s="7" t="str">
        <f>IFERROR(__xludf.DUMMYFUNCTION("""COMPUTED_VALUE"""),"BICYCLE")</f>
        <v>BICYCLE</v>
      </c>
      <c r="G1560" s="7" t="str">
        <f>IFERROR(__xludf.DUMMYFUNCTION("""COMPUTED_VALUE"""),"SAO PAULO")</f>
        <v>SAO PAULO</v>
      </c>
    </row>
    <row r="1561">
      <c r="A1561" s="6">
        <f>IFERROR(__xludf.DUMMYFUNCTION("""COMPUTED_VALUE"""),45705.0)</f>
        <v>45705</v>
      </c>
      <c r="B1561" s="7" t="str">
        <f>IFERROR(__xludf.DUMMYFUNCTION("""COMPUTED_VALUE"""),"a342a38e-44e6-440e-9853-970b858c0597")</f>
        <v>a342a38e-44e6-440e-9853-970b858c0597</v>
      </c>
      <c r="C1561" s="7">
        <f>IFERROR(__xludf.DUMMYFUNCTION("""COMPUTED_VALUE"""),3.0)</f>
        <v>3</v>
      </c>
      <c r="D1561" s="6">
        <f>IFERROR(__xludf.DUMMYFUNCTION("""COMPUTED_VALUE"""),45702.0)</f>
        <v>45702</v>
      </c>
      <c r="E1561" s="7" t="str">
        <f>IFERROR(__xludf.DUMMYFUNCTION("""COMPUTED_VALUE"""),"FRANQUIA_D&amp;G_SP")</f>
        <v>FRANQUIA_D&amp;G_SP</v>
      </c>
      <c r="F1561" s="7" t="str">
        <f>IFERROR(__xludf.DUMMYFUNCTION("""COMPUTED_VALUE"""),"MOTORCYCLE")</f>
        <v>MOTORCYCLE</v>
      </c>
      <c r="G1561" s="7" t="str">
        <f>IFERROR(__xludf.DUMMYFUNCTION("""COMPUTED_VALUE"""),"SAO PAULO")</f>
        <v>SAO PAULO</v>
      </c>
    </row>
    <row r="1562">
      <c r="A1562" s="6">
        <f>IFERROR(__xludf.DUMMYFUNCTION("""COMPUTED_VALUE"""),45705.0)</f>
        <v>45705</v>
      </c>
      <c r="B1562" s="7" t="str">
        <f>IFERROR(__xludf.DUMMYFUNCTION("""COMPUTED_VALUE"""),"ed0a93f1-4c8d-488d-87aa-d3d73d2724ed")</f>
        <v>ed0a93f1-4c8d-488d-87aa-d3d73d2724ed</v>
      </c>
      <c r="C1562" s="7">
        <f>IFERROR(__xludf.DUMMYFUNCTION("""COMPUTED_VALUE"""),0.0)</f>
        <v>0</v>
      </c>
      <c r="D1562" s="6">
        <f>IFERROR(__xludf.DUMMYFUNCTION("""COMPUTED_VALUE"""),45705.0)</f>
        <v>45705</v>
      </c>
      <c r="E1562" s="7" t="str">
        <f>IFERROR(__xludf.DUMMYFUNCTION("""COMPUTED_VALUE"""),"FRANQUIA_D&amp;G_SP")</f>
        <v>FRANQUIA_D&amp;G_SP</v>
      </c>
      <c r="F1562" s="7" t="str">
        <f>IFERROR(__xludf.DUMMYFUNCTION("""COMPUTED_VALUE"""),"BICYCLE")</f>
        <v>BICYCLE</v>
      </c>
      <c r="G1562" s="7" t="str">
        <f>IFERROR(__xludf.DUMMYFUNCTION("""COMPUTED_VALUE"""),"SAO PAULO")</f>
        <v>SAO PAULO</v>
      </c>
    </row>
    <row r="1563">
      <c r="A1563" s="6">
        <f>IFERROR(__xludf.DUMMYFUNCTION("""COMPUTED_VALUE"""),45705.0)</f>
        <v>45705</v>
      </c>
      <c r="B1563" s="7" t="str">
        <f>IFERROR(__xludf.DUMMYFUNCTION("""COMPUTED_VALUE"""),"fe709171-af6f-4eb6-8753-0fd456794007")</f>
        <v>fe709171-af6f-4eb6-8753-0fd456794007</v>
      </c>
      <c r="C1563" s="7">
        <f>IFERROR(__xludf.DUMMYFUNCTION("""COMPUTED_VALUE"""),0.0)</f>
        <v>0</v>
      </c>
      <c r="D1563" s="6">
        <f>IFERROR(__xludf.DUMMYFUNCTION("""COMPUTED_VALUE"""),45705.0)</f>
        <v>45705</v>
      </c>
      <c r="E1563" s="7" t="str">
        <f>IFERROR(__xludf.DUMMYFUNCTION("""COMPUTED_VALUE"""),"FRANQUIA_D&amp;G_SP")</f>
        <v>FRANQUIA_D&amp;G_SP</v>
      </c>
      <c r="F1563" s="7" t="str">
        <f>IFERROR(__xludf.DUMMYFUNCTION("""COMPUTED_VALUE"""),"MOTORCYCLE")</f>
        <v>MOTORCYCLE</v>
      </c>
      <c r="G1563" s="7" t="str">
        <f>IFERROR(__xludf.DUMMYFUNCTION("""COMPUTED_VALUE"""),"SAO PAULO")</f>
        <v>SAO PAULO</v>
      </c>
    </row>
    <row r="1564">
      <c r="A1564" s="6">
        <f>IFERROR(__xludf.DUMMYFUNCTION("""COMPUTED_VALUE"""),45705.0)</f>
        <v>45705</v>
      </c>
      <c r="B1564" s="7" t="str">
        <f>IFERROR(__xludf.DUMMYFUNCTION("""COMPUTED_VALUE"""),"66b1b692-894d-4aee-9aa8-b5c8e1ef3c4b")</f>
        <v>66b1b692-894d-4aee-9aa8-b5c8e1ef3c4b</v>
      </c>
      <c r="C1564" s="7">
        <f>IFERROR(__xludf.DUMMYFUNCTION("""COMPUTED_VALUE"""),1.0)</f>
        <v>1</v>
      </c>
      <c r="D1564" s="6">
        <f>IFERROR(__xludf.DUMMYFUNCTION("""COMPUTED_VALUE"""),45704.0)</f>
        <v>45704</v>
      </c>
      <c r="E1564" s="7" t="str">
        <f>IFERROR(__xludf.DUMMYFUNCTION("""COMPUTED_VALUE"""),"FRANQUIA_D&amp;G_SP")</f>
        <v>FRANQUIA_D&amp;G_SP</v>
      </c>
      <c r="F1564" s="7" t="str">
        <f>IFERROR(__xludf.DUMMYFUNCTION("""COMPUTED_VALUE"""),"BICYCLE")</f>
        <v>BICYCLE</v>
      </c>
      <c r="G1564" s="7" t="str">
        <f>IFERROR(__xludf.DUMMYFUNCTION("""COMPUTED_VALUE"""),"SAO PAULO")</f>
        <v>SAO PAULO</v>
      </c>
    </row>
    <row r="1565">
      <c r="A1565" s="6">
        <f>IFERROR(__xludf.DUMMYFUNCTION("""COMPUTED_VALUE"""),45705.0)</f>
        <v>45705</v>
      </c>
      <c r="B1565" s="7" t="str">
        <f>IFERROR(__xludf.DUMMYFUNCTION("""COMPUTED_VALUE"""),"1bd3b21a-f8d3-4b92-b010-9c9057dc7047")</f>
        <v>1bd3b21a-f8d3-4b92-b010-9c9057dc7047</v>
      </c>
      <c r="C1565" s="7">
        <f>IFERROR(__xludf.DUMMYFUNCTION("""COMPUTED_VALUE"""),1.0)</f>
        <v>1</v>
      </c>
      <c r="D1565" s="6">
        <f>IFERROR(__xludf.DUMMYFUNCTION("""COMPUTED_VALUE"""),45704.0)</f>
        <v>45704</v>
      </c>
      <c r="E1565" s="7" t="str">
        <f>IFERROR(__xludf.DUMMYFUNCTION("""COMPUTED_VALUE"""),"FRANQUIA_D&amp;G_SP")</f>
        <v>FRANQUIA_D&amp;G_SP</v>
      </c>
      <c r="F1565" s="7" t="str">
        <f>IFERROR(__xludf.DUMMYFUNCTION("""COMPUTED_VALUE"""),"BICYCLE")</f>
        <v>BICYCLE</v>
      </c>
      <c r="G1565" s="7" t="str">
        <f>IFERROR(__xludf.DUMMYFUNCTION("""COMPUTED_VALUE"""),"SAO PAULO")</f>
        <v>SAO PAULO</v>
      </c>
    </row>
    <row r="1566">
      <c r="A1566" s="6">
        <f>IFERROR(__xludf.DUMMYFUNCTION("""COMPUTED_VALUE"""),45705.0)</f>
        <v>45705</v>
      </c>
      <c r="B1566" s="7" t="str">
        <f>IFERROR(__xludf.DUMMYFUNCTION("""COMPUTED_VALUE"""),"47dcf746-478c-4eb9-8cac-7c848962becf")</f>
        <v>47dcf746-478c-4eb9-8cac-7c848962becf</v>
      </c>
      <c r="C1566" s="7">
        <f>IFERROR(__xludf.DUMMYFUNCTION("""COMPUTED_VALUE"""),77.0)</f>
        <v>77</v>
      </c>
      <c r="D1566" s="6">
        <f>IFERROR(__xludf.DUMMYFUNCTION("""COMPUTED_VALUE"""),45628.0)</f>
        <v>45628</v>
      </c>
      <c r="E1566" s="7" t="str">
        <f>IFERROR(__xludf.DUMMYFUNCTION("""COMPUTED_VALUE"""),"FRANQUIA_D&amp;G_SP")</f>
        <v>FRANQUIA_D&amp;G_SP</v>
      </c>
      <c r="F1566" s="7" t="str">
        <f>IFERROR(__xludf.DUMMYFUNCTION("""COMPUTED_VALUE"""),"MOTORCYCLE")</f>
        <v>MOTORCYCLE</v>
      </c>
      <c r="G1566" s="7" t="str">
        <f>IFERROR(__xludf.DUMMYFUNCTION("""COMPUTED_VALUE"""),"ABC")</f>
        <v>ABC</v>
      </c>
    </row>
    <row r="1567">
      <c r="A1567" s="6">
        <f>IFERROR(__xludf.DUMMYFUNCTION("""COMPUTED_VALUE"""),45705.0)</f>
        <v>45705</v>
      </c>
      <c r="B1567" s="7" t="str">
        <f>IFERROR(__xludf.DUMMYFUNCTION("""COMPUTED_VALUE"""),"d4218fab-6abd-4fbe-b340-2ed9e3b79fc3")</f>
        <v>d4218fab-6abd-4fbe-b340-2ed9e3b79fc3</v>
      </c>
      <c r="C1567" s="7">
        <f>IFERROR(__xludf.DUMMYFUNCTION("""COMPUTED_VALUE"""),23.0)</f>
        <v>23</v>
      </c>
      <c r="D1567" s="6">
        <f>IFERROR(__xludf.DUMMYFUNCTION("""COMPUTED_VALUE"""),45682.0)</f>
        <v>45682</v>
      </c>
      <c r="E1567" s="7" t="str">
        <f>IFERROR(__xludf.DUMMYFUNCTION("""COMPUTED_VALUE"""),"FRANQUIA_D&amp;G_SP")</f>
        <v>FRANQUIA_D&amp;G_SP</v>
      </c>
      <c r="F1567" s="7" t="str">
        <f>IFERROR(__xludf.DUMMYFUNCTION("""COMPUTED_VALUE"""),"MOTORCYCLE")</f>
        <v>MOTORCYCLE</v>
      </c>
      <c r="G1567" s="7" t="str">
        <f>IFERROR(__xludf.DUMMYFUNCTION("""COMPUTED_VALUE"""),"SAO PAULO")</f>
        <v>SAO PAULO</v>
      </c>
    </row>
    <row r="1568">
      <c r="A1568" s="6">
        <f>IFERROR(__xludf.DUMMYFUNCTION("""COMPUTED_VALUE"""),45705.0)</f>
        <v>45705</v>
      </c>
      <c r="B1568" s="7" t="str">
        <f>IFERROR(__xludf.DUMMYFUNCTION("""COMPUTED_VALUE"""),"e3f32509-6608-4f15-8e0e-f30966ff8433")</f>
        <v>e3f32509-6608-4f15-8e0e-f30966ff8433</v>
      </c>
      <c r="C1568" s="7">
        <f>IFERROR(__xludf.DUMMYFUNCTION("""COMPUTED_VALUE"""),3.0)</f>
        <v>3</v>
      </c>
      <c r="D1568" s="6">
        <f>IFERROR(__xludf.DUMMYFUNCTION("""COMPUTED_VALUE"""),45702.0)</f>
        <v>45702</v>
      </c>
      <c r="E1568" s="7" t="str">
        <f>IFERROR(__xludf.DUMMYFUNCTION("""COMPUTED_VALUE"""),"FRANQUIA_D&amp;G_SP")</f>
        <v>FRANQUIA_D&amp;G_SP</v>
      </c>
      <c r="F1568" s="7" t="str">
        <f>IFERROR(__xludf.DUMMYFUNCTION("""COMPUTED_VALUE"""),"MOTORCYCLE")</f>
        <v>MOTORCYCLE</v>
      </c>
      <c r="G1568" s="7" t="str">
        <f>IFERROR(__xludf.DUMMYFUNCTION("""COMPUTED_VALUE"""),"RESTAURANTE PARCEIRO")</f>
        <v>RESTAURANTE PARCEIRO</v>
      </c>
    </row>
    <row r="1569">
      <c r="A1569" s="6">
        <f>IFERROR(__xludf.DUMMYFUNCTION("""COMPUTED_VALUE"""),45705.0)</f>
        <v>45705</v>
      </c>
      <c r="B1569" s="7" t="str">
        <f>IFERROR(__xludf.DUMMYFUNCTION("""COMPUTED_VALUE"""),"54e7f471-2e63-449d-b6ba-aef223041920")</f>
        <v>54e7f471-2e63-449d-b6ba-aef223041920</v>
      </c>
      <c r="C1569" s="7">
        <f>IFERROR(__xludf.DUMMYFUNCTION("""COMPUTED_VALUE"""),397.0)</f>
        <v>397</v>
      </c>
      <c r="D1569" s="6">
        <f>IFERROR(__xludf.DUMMYFUNCTION("""COMPUTED_VALUE"""),45308.0)</f>
        <v>45308</v>
      </c>
      <c r="E1569" s="7" t="str">
        <f>IFERROR(__xludf.DUMMYFUNCTION("""COMPUTED_VALUE"""),"FRANQUIA_D&amp;G_SP")</f>
        <v>FRANQUIA_D&amp;G_SP</v>
      </c>
      <c r="F1569" s="7" t="str">
        <f>IFERROR(__xludf.DUMMYFUNCTION("""COMPUTED_VALUE"""),"BICYCLE")</f>
        <v>BICYCLE</v>
      </c>
      <c r="G1569" s="7" t="str">
        <f>IFERROR(__xludf.DUMMYFUNCTION("""COMPUTED_VALUE"""),"SAO PAULO")</f>
        <v>SAO PAULO</v>
      </c>
    </row>
    <row r="1570">
      <c r="A1570" s="6">
        <f>IFERROR(__xludf.DUMMYFUNCTION("""COMPUTED_VALUE"""),45705.0)</f>
        <v>45705</v>
      </c>
      <c r="B1570" s="7" t="str">
        <f>IFERROR(__xludf.DUMMYFUNCTION("""COMPUTED_VALUE"""),"bea8bb09-b2f6-456c-bf9c-4838adfcff2b")</f>
        <v>bea8bb09-b2f6-456c-bf9c-4838adfcff2b</v>
      </c>
      <c r="C1570" s="7">
        <f>IFERROR(__xludf.DUMMYFUNCTION("""COMPUTED_VALUE"""),0.0)</f>
        <v>0</v>
      </c>
      <c r="D1570" s="6">
        <f>IFERROR(__xludf.DUMMYFUNCTION("""COMPUTED_VALUE"""),45705.0)</f>
        <v>45705</v>
      </c>
      <c r="E1570" s="7" t="str">
        <f>IFERROR(__xludf.DUMMYFUNCTION("""COMPUTED_VALUE"""),"FRANQUIA_D&amp;G_SP")</f>
        <v>FRANQUIA_D&amp;G_SP</v>
      </c>
      <c r="F1570" s="7" t="str">
        <f>IFERROR(__xludf.DUMMYFUNCTION("""COMPUTED_VALUE"""),"MOTORCYCLE")</f>
        <v>MOTORCYCLE</v>
      </c>
      <c r="G1570" s="7" t="str">
        <f>IFERROR(__xludf.DUMMYFUNCTION("""COMPUTED_VALUE"""),"SAO PAULO")</f>
        <v>SAO PAULO</v>
      </c>
    </row>
    <row r="1571">
      <c r="A1571" s="6">
        <f>IFERROR(__xludf.DUMMYFUNCTION("""COMPUTED_VALUE"""),45705.0)</f>
        <v>45705</v>
      </c>
      <c r="B1571" s="7" t="str">
        <f>IFERROR(__xludf.DUMMYFUNCTION("""COMPUTED_VALUE"""),"00fe087f-24e0-4024-aeca-07b2c236adac")</f>
        <v>00fe087f-24e0-4024-aeca-07b2c236adac</v>
      </c>
      <c r="C1571" s="7">
        <f>IFERROR(__xludf.DUMMYFUNCTION("""COMPUTED_VALUE"""),0.0)</f>
        <v>0</v>
      </c>
      <c r="D1571" s="6">
        <f>IFERROR(__xludf.DUMMYFUNCTION("""COMPUTED_VALUE"""),45705.0)</f>
        <v>45705</v>
      </c>
      <c r="E1571" s="7" t="str">
        <f>IFERROR(__xludf.DUMMYFUNCTION("""COMPUTED_VALUE"""),"FRANQUIA_D&amp;G_SP")</f>
        <v>FRANQUIA_D&amp;G_SP</v>
      </c>
      <c r="F1571" s="7" t="str">
        <f>IFERROR(__xludf.DUMMYFUNCTION("""COMPUTED_VALUE"""),"BIKE_IFOOD_PEDAL")</f>
        <v>BIKE_IFOOD_PEDAL</v>
      </c>
      <c r="G1571" s="7" t="str">
        <f>IFERROR(__xludf.DUMMYFUNCTION("""COMPUTED_VALUE"""),"SAO PAULO")</f>
        <v>SAO PAULO</v>
      </c>
    </row>
    <row r="1572">
      <c r="A1572" s="6">
        <f>IFERROR(__xludf.DUMMYFUNCTION("""COMPUTED_VALUE"""),45705.0)</f>
        <v>45705</v>
      </c>
      <c r="B1572" s="7" t="str">
        <f>IFERROR(__xludf.DUMMYFUNCTION("""COMPUTED_VALUE"""),"220f018a-7627-4c93-9fd1-2f0246c64817")</f>
        <v>220f018a-7627-4c93-9fd1-2f0246c64817</v>
      </c>
      <c r="C1572" s="7">
        <f>IFERROR(__xludf.DUMMYFUNCTION("""COMPUTED_VALUE"""),1.0)</f>
        <v>1</v>
      </c>
      <c r="D1572" s="6">
        <f>IFERROR(__xludf.DUMMYFUNCTION("""COMPUTED_VALUE"""),45704.0)</f>
        <v>45704</v>
      </c>
      <c r="E1572" s="7" t="str">
        <f>IFERROR(__xludf.DUMMYFUNCTION("""COMPUTED_VALUE"""),"FRANQUIA_D&amp;G_SP")</f>
        <v>FRANQUIA_D&amp;G_SP</v>
      </c>
      <c r="F1572" s="7" t="str">
        <f>IFERROR(__xludf.DUMMYFUNCTION("""COMPUTED_VALUE"""),"MOTORCYCLE")</f>
        <v>MOTORCYCLE</v>
      </c>
      <c r="G1572" s="7" t="str">
        <f>IFERROR(__xludf.DUMMYFUNCTION("""COMPUTED_VALUE"""),"SAO PAULO")</f>
        <v>SAO PAULO</v>
      </c>
    </row>
    <row r="1573">
      <c r="A1573" s="6">
        <f>IFERROR(__xludf.DUMMYFUNCTION("""COMPUTED_VALUE"""),45705.0)</f>
        <v>45705</v>
      </c>
      <c r="B1573" s="7" t="str">
        <f>IFERROR(__xludf.DUMMYFUNCTION("""COMPUTED_VALUE"""),"2e0c6063-1caa-4405-ac94-c7b9f6511262")</f>
        <v>2e0c6063-1caa-4405-ac94-c7b9f6511262</v>
      </c>
      <c r="C1573" s="7">
        <f>IFERROR(__xludf.DUMMYFUNCTION("""COMPUTED_VALUE"""),52.0)</f>
        <v>52</v>
      </c>
      <c r="D1573" s="6">
        <f>IFERROR(__xludf.DUMMYFUNCTION("""COMPUTED_VALUE"""),45653.0)</f>
        <v>45653</v>
      </c>
      <c r="E1573" s="7" t="str">
        <f>IFERROR(__xludf.DUMMYFUNCTION("""COMPUTED_VALUE"""),"FRANQUIA_D&amp;G_SP")</f>
        <v>FRANQUIA_D&amp;G_SP</v>
      </c>
      <c r="F1573" s="7" t="str">
        <f>IFERROR(__xludf.DUMMYFUNCTION("""COMPUTED_VALUE"""),"MOTORCYCLE")</f>
        <v>MOTORCYCLE</v>
      </c>
      <c r="G1573" s="7" t="str">
        <f>IFERROR(__xludf.DUMMYFUNCTION("""COMPUTED_VALUE"""),"SAO PAULO")</f>
        <v>SAO PAULO</v>
      </c>
    </row>
    <row r="1574">
      <c r="A1574" s="6">
        <f>IFERROR(__xludf.DUMMYFUNCTION("""COMPUTED_VALUE"""),45705.0)</f>
        <v>45705</v>
      </c>
      <c r="B1574" s="7" t="str">
        <f>IFERROR(__xludf.DUMMYFUNCTION("""COMPUTED_VALUE"""),"9a5ac584-a109-4769-93e5-fa3b438b2eed")</f>
        <v>9a5ac584-a109-4769-93e5-fa3b438b2eed</v>
      </c>
      <c r="C1574" s="7">
        <f>IFERROR(__xludf.DUMMYFUNCTION("""COMPUTED_VALUE"""),0.0)</f>
        <v>0</v>
      </c>
      <c r="D1574" s="6">
        <f>IFERROR(__xludf.DUMMYFUNCTION("""COMPUTED_VALUE"""),0.0)</f>
        <v>0</v>
      </c>
      <c r="E1574" s="7" t="str">
        <f>IFERROR(__xludf.DUMMYFUNCTION("""COMPUTED_VALUE"""),"FRANQUIA_D&amp;G_SP")</f>
        <v>FRANQUIA_D&amp;G_SP</v>
      </c>
      <c r="F1574" s="7" t="str">
        <f>IFERROR(__xludf.DUMMYFUNCTION("""COMPUTED_VALUE"""),"BICYCLE")</f>
        <v>BICYCLE</v>
      </c>
      <c r="G1574" s="7" t="str">
        <f>IFERROR(__xludf.DUMMYFUNCTION("""COMPUTED_VALUE"""),"0")</f>
        <v>0</v>
      </c>
    </row>
    <row r="1575">
      <c r="A1575" s="6">
        <f>IFERROR(__xludf.DUMMYFUNCTION("""COMPUTED_VALUE"""),45705.0)</f>
        <v>45705</v>
      </c>
      <c r="B1575" s="7" t="str">
        <f>IFERROR(__xludf.DUMMYFUNCTION("""COMPUTED_VALUE"""),"43f93cd0-e52d-4bb1-a414-93847f395e55")</f>
        <v>43f93cd0-e52d-4bb1-a414-93847f395e55</v>
      </c>
      <c r="C1575" s="7">
        <f>IFERROR(__xludf.DUMMYFUNCTION("""COMPUTED_VALUE"""),578.0)</f>
        <v>578</v>
      </c>
      <c r="D1575" s="6">
        <f>IFERROR(__xludf.DUMMYFUNCTION("""COMPUTED_VALUE"""),45127.0)</f>
        <v>45127</v>
      </c>
      <c r="E1575" s="7" t="str">
        <f>IFERROR(__xludf.DUMMYFUNCTION("""COMPUTED_VALUE"""),"FRANQUIA_D&amp;G_SP")</f>
        <v>FRANQUIA_D&amp;G_SP</v>
      </c>
      <c r="F1575" s="7" t="str">
        <f>IFERROR(__xludf.DUMMYFUNCTION("""COMPUTED_VALUE"""),"MOTORCYCLE")</f>
        <v>MOTORCYCLE</v>
      </c>
      <c r="G1575" s="7" t="str">
        <f>IFERROR(__xludf.DUMMYFUNCTION("""COMPUTED_VALUE"""),"SAO PAULO")</f>
        <v>SAO PAULO</v>
      </c>
    </row>
    <row r="1576">
      <c r="A1576" s="6">
        <f>IFERROR(__xludf.DUMMYFUNCTION("""COMPUTED_VALUE"""),45705.0)</f>
        <v>45705</v>
      </c>
      <c r="B1576" s="7" t="str">
        <f>IFERROR(__xludf.DUMMYFUNCTION("""COMPUTED_VALUE"""),"27b573b2-8b39-4483-a9d7-85a3bfd5a3d7")</f>
        <v>27b573b2-8b39-4483-a9d7-85a3bfd5a3d7</v>
      </c>
      <c r="C1576" s="7">
        <f>IFERROR(__xludf.DUMMYFUNCTION("""COMPUTED_VALUE"""),150.0)</f>
        <v>150</v>
      </c>
      <c r="D1576" s="6">
        <f>IFERROR(__xludf.DUMMYFUNCTION("""COMPUTED_VALUE"""),45555.0)</f>
        <v>45555</v>
      </c>
      <c r="E1576" s="7" t="str">
        <f>IFERROR(__xludf.DUMMYFUNCTION("""COMPUTED_VALUE"""),"FRANQUIA_D&amp;G_SP")</f>
        <v>FRANQUIA_D&amp;G_SP</v>
      </c>
      <c r="F1576" s="7" t="str">
        <f>IFERROR(__xludf.DUMMYFUNCTION("""COMPUTED_VALUE"""),"MOTORCYCLE")</f>
        <v>MOTORCYCLE</v>
      </c>
      <c r="G1576" s="7" t="str">
        <f>IFERROR(__xludf.DUMMYFUNCTION("""COMPUTED_VALUE"""),"SAO PAULO")</f>
        <v>SAO PAULO</v>
      </c>
    </row>
    <row r="1577">
      <c r="A1577" s="6">
        <f>IFERROR(__xludf.DUMMYFUNCTION("""COMPUTED_VALUE"""),45705.0)</f>
        <v>45705</v>
      </c>
      <c r="B1577" s="7" t="str">
        <f>IFERROR(__xludf.DUMMYFUNCTION("""COMPUTED_VALUE"""),"b0535a54-69ee-4b89-93a5-657bbe5cce2f")</f>
        <v>b0535a54-69ee-4b89-93a5-657bbe5cce2f</v>
      </c>
      <c r="C1577" s="7">
        <f>IFERROR(__xludf.DUMMYFUNCTION("""COMPUTED_VALUE"""),57.0)</f>
        <v>57</v>
      </c>
      <c r="D1577" s="6">
        <f>IFERROR(__xludf.DUMMYFUNCTION("""COMPUTED_VALUE"""),45648.0)</f>
        <v>45648</v>
      </c>
      <c r="E1577" s="7" t="str">
        <f>IFERROR(__xludf.DUMMYFUNCTION("""COMPUTED_VALUE"""),"FRANQUIA_D&amp;G_SP")</f>
        <v>FRANQUIA_D&amp;G_SP</v>
      </c>
      <c r="F1577" s="7" t="str">
        <f>IFERROR(__xludf.DUMMYFUNCTION("""COMPUTED_VALUE"""),"MOTORCYCLE")</f>
        <v>MOTORCYCLE</v>
      </c>
      <c r="G1577" s="7" t="str">
        <f>IFERROR(__xludf.DUMMYFUNCTION("""COMPUTED_VALUE"""),"SAO PAULO")</f>
        <v>SAO PAULO</v>
      </c>
    </row>
    <row r="1578">
      <c r="A1578" s="6">
        <f>IFERROR(__xludf.DUMMYFUNCTION("""COMPUTED_VALUE"""),45705.0)</f>
        <v>45705</v>
      </c>
      <c r="B1578" s="7" t="str">
        <f>IFERROR(__xludf.DUMMYFUNCTION("""COMPUTED_VALUE"""),"83ee6c91-a393-4142-b9fb-02a7b5fbd1fa")</f>
        <v>83ee6c91-a393-4142-b9fb-02a7b5fbd1fa</v>
      </c>
      <c r="C1578" s="7">
        <f>IFERROR(__xludf.DUMMYFUNCTION("""COMPUTED_VALUE"""),347.0)</f>
        <v>347</v>
      </c>
      <c r="D1578" s="6">
        <f>IFERROR(__xludf.DUMMYFUNCTION("""COMPUTED_VALUE"""),45358.0)</f>
        <v>45358</v>
      </c>
      <c r="E1578" s="7" t="str">
        <f>IFERROR(__xludf.DUMMYFUNCTION("""COMPUTED_VALUE"""),"FRANQUIA_D&amp;G_SP")</f>
        <v>FRANQUIA_D&amp;G_SP</v>
      </c>
      <c r="F1578" s="7" t="str">
        <f>IFERROR(__xludf.DUMMYFUNCTION("""COMPUTED_VALUE"""),"MOTORCYCLE")</f>
        <v>MOTORCYCLE</v>
      </c>
      <c r="G1578" s="7" t="str">
        <f>IFERROR(__xludf.DUMMYFUNCTION("""COMPUTED_VALUE"""),"SAO PAULO")</f>
        <v>SAO PAULO</v>
      </c>
    </row>
    <row r="1579">
      <c r="A1579" s="6">
        <f>IFERROR(__xludf.DUMMYFUNCTION("""COMPUTED_VALUE"""),45705.0)</f>
        <v>45705</v>
      </c>
      <c r="B1579" s="7" t="str">
        <f>IFERROR(__xludf.DUMMYFUNCTION("""COMPUTED_VALUE"""),"71be742a-30da-4b0a-b691-84ee00a2539e")</f>
        <v>71be742a-30da-4b0a-b691-84ee00a2539e</v>
      </c>
      <c r="C1579" s="7">
        <f>IFERROR(__xludf.DUMMYFUNCTION("""COMPUTED_VALUE"""),0.0)</f>
        <v>0</v>
      </c>
      <c r="D1579" s="6">
        <f>IFERROR(__xludf.DUMMYFUNCTION("""COMPUTED_VALUE"""),45705.0)</f>
        <v>45705</v>
      </c>
      <c r="E1579" s="7" t="str">
        <f>IFERROR(__xludf.DUMMYFUNCTION("""COMPUTED_VALUE"""),"FRANQUIA_D&amp;G_SP")</f>
        <v>FRANQUIA_D&amp;G_SP</v>
      </c>
      <c r="F1579" s="7" t="str">
        <f>IFERROR(__xludf.DUMMYFUNCTION("""COMPUTED_VALUE"""),"BICYCLE")</f>
        <v>BICYCLE</v>
      </c>
      <c r="G1579" s="7" t="str">
        <f>IFERROR(__xludf.DUMMYFUNCTION("""COMPUTED_VALUE"""),"SUZANO")</f>
        <v>SUZANO</v>
      </c>
    </row>
    <row r="1580">
      <c r="A1580" s="6">
        <f>IFERROR(__xludf.DUMMYFUNCTION("""COMPUTED_VALUE"""),45705.0)</f>
        <v>45705</v>
      </c>
      <c r="B1580" s="7" t="str">
        <f>IFERROR(__xludf.DUMMYFUNCTION("""COMPUTED_VALUE"""),"ab357ee5-2094-4fda-afbe-c61bb9944d86")</f>
        <v>ab357ee5-2094-4fda-afbe-c61bb9944d86</v>
      </c>
      <c r="C1580" s="7">
        <f>IFERROR(__xludf.DUMMYFUNCTION("""COMPUTED_VALUE"""),0.0)</f>
        <v>0</v>
      </c>
      <c r="D1580" s="6">
        <f>IFERROR(__xludf.DUMMYFUNCTION("""COMPUTED_VALUE"""),45705.0)</f>
        <v>45705</v>
      </c>
      <c r="E1580" s="7" t="str">
        <f>IFERROR(__xludf.DUMMYFUNCTION("""COMPUTED_VALUE"""),"FRANQUIA_D&amp;G_SP")</f>
        <v>FRANQUIA_D&amp;G_SP</v>
      </c>
      <c r="F1580" s="7" t="str">
        <f>IFERROR(__xludf.DUMMYFUNCTION("""COMPUTED_VALUE"""),"MOTORCYCLE")</f>
        <v>MOTORCYCLE</v>
      </c>
      <c r="G1580" s="7" t="str">
        <f>IFERROR(__xludf.DUMMYFUNCTION("""COMPUTED_VALUE"""),"SAO PAULO")</f>
        <v>SAO PAULO</v>
      </c>
    </row>
    <row r="1581">
      <c r="A1581" s="6">
        <f>IFERROR(__xludf.DUMMYFUNCTION("""COMPUTED_VALUE"""),45705.0)</f>
        <v>45705</v>
      </c>
      <c r="B1581" s="7" t="str">
        <f>IFERROR(__xludf.DUMMYFUNCTION("""COMPUTED_VALUE"""),"f3c9e97e-0ec3-4bad-aea0-a466f92042b0")</f>
        <v>f3c9e97e-0ec3-4bad-aea0-a466f92042b0</v>
      </c>
      <c r="C1581" s="7">
        <f>IFERROR(__xludf.DUMMYFUNCTION("""COMPUTED_VALUE"""),282.0)</f>
        <v>282</v>
      </c>
      <c r="D1581" s="6">
        <f>IFERROR(__xludf.DUMMYFUNCTION("""COMPUTED_VALUE"""),45423.0)</f>
        <v>45423</v>
      </c>
      <c r="E1581" s="7" t="str">
        <f>IFERROR(__xludf.DUMMYFUNCTION("""COMPUTED_VALUE"""),"FRANQUIA_D&amp;G_SP")</f>
        <v>FRANQUIA_D&amp;G_SP</v>
      </c>
      <c r="F1581" s="7" t="str">
        <f>IFERROR(__xludf.DUMMYFUNCTION("""COMPUTED_VALUE"""),"BICYCLE")</f>
        <v>BICYCLE</v>
      </c>
      <c r="G1581" s="7" t="str">
        <f>IFERROR(__xludf.DUMMYFUNCTION("""COMPUTED_VALUE"""),"SAO PAULO")</f>
        <v>SAO PAULO</v>
      </c>
    </row>
    <row r="1582">
      <c r="A1582" s="6">
        <f>IFERROR(__xludf.DUMMYFUNCTION("""COMPUTED_VALUE"""),45705.0)</f>
        <v>45705</v>
      </c>
      <c r="B1582" s="7" t="str">
        <f>IFERROR(__xludf.DUMMYFUNCTION("""COMPUTED_VALUE"""),"1e62678d-84d7-4b8d-88e4-5167db58278c")</f>
        <v>1e62678d-84d7-4b8d-88e4-5167db58278c</v>
      </c>
      <c r="C1582" s="7">
        <f>IFERROR(__xludf.DUMMYFUNCTION("""COMPUTED_VALUE"""),45.0)</f>
        <v>45</v>
      </c>
      <c r="D1582" s="6">
        <f>IFERROR(__xludf.DUMMYFUNCTION("""COMPUTED_VALUE"""),45660.0)</f>
        <v>45660</v>
      </c>
      <c r="E1582" s="7" t="str">
        <f>IFERROR(__xludf.DUMMYFUNCTION("""COMPUTED_VALUE"""),"FRANQUIA_D&amp;G_SP")</f>
        <v>FRANQUIA_D&amp;G_SP</v>
      </c>
      <c r="F1582" s="7" t="str">
        <f>IFERROR(__xludf.DUMMYFUNCTION("""COMPUTED_VALUE"""),"MOTORCYCLE")</f>
        <v>MOTORCYCLE</v>
      </c>
      <c r="G1582" s="7" t="str">
        <f>IFERROR(__xludf.DUMMYFUNCTION("""COMPUTED_VALUE"""),"SAO PAULO")</f>
        <v>SAO PAULO</v>
      </c>
    </row>
    <row r="1583">
      <c r="A1583" s="6">
        <f>IFERROR(__xludf.DUMMYFUNCTION("""COMPUTED_VALUE"""),45705.0)</f>
        <v>45705</v>
      </c>
      <c r="B1583" s="7" t="str">
        <f>IFERROR(__xludf.DUMMYFUNCTION("""COMPUTED_VALUE"""),"e1d6e43d-81f5-4e6e-a535-5e482d2f863a")</f>
        <v>e1d6e43d-81f5-4e6e-a535-5e482d2f863a</v>
      </c>
      <c r="C1583" s="7">
        <f>IFERROR(__xludf.DUMMYFUNCTION("""COMPUTED_VALUE"""),16.0)</f>
        <v>16</v>
      </c>
      <c r="D1583" s="6">
        <f>IFERROR(__xludf.DUMMYFUNCTION("""COMPUTED_VALUE"""),45689.0)</f>
        <v>45689</v>
      </c>
      <c r="E1583" s="7" t="str">
        <f>IFERROR(__xludf.DUMMYFUNCTION("""COMPUTED_VALUE"""),"FRANQUIA_D&amp;G_SP")</f>
        <v>FRANQUIA_D&amp;G_SP</v>
      </c>
      <c r="F1583" s="7" t="str">
        <f>IFERROR(__xludf.DUMMYFUNCTION("""COMPUTED_VALUE"""),"MOTORCYCLE")</f>
        <v>MOTORCYCLE</v>
      </c>
      <c r="G1583" s="7" t="str">
        <f>IFERROR(__xludf.DUMMYFUNCTION("""COMPUTED_VALUE"""),"SAO PAULO")</f>
        <v>SAO PAULO</v>
      </c>
    </row>
    <row r="1584">
      <c r="A1584" s="6">
        <f>IFERROR(__xludf.DUMMYFUNCTION("""COMPUTED_VALUE"""),45705.0)</f>
        <v>45705</v>
      </c>
      <c r="B1584" s="7" t="str">
        <f>IFERROR(__xludf.DUMMYFUNCTION("""COMPUTED_VALUE"""),"391830cc-44bc-4e0a-a182-a9014de04ffd")</f>
        <v>391830cc-44bc-4e0a-a182-a9014de04ffd</v>
      </c>
      <c r="C1584" s="7">
        <f>IFERROR(__xludf.DUMMYFUNCTION("""COMPUTED_VALUE"""),3.0)</f>
        <v>3</v>
      </c>
      <c r="D1584" s="6">
        <f>IFERROR(__xludf.DUMMYFUNCTION("""COMPUTED_VALUE"""),45702.0)</f>
        <v>45702</v>
      </c>
      <c r="E1584" s="7" t="str">
        <f>IFERROR(__xludf.DUMMYFUNCTION("""COMPUTED_VALUE"""),"FRANQUIA_D&amp;G_SP")</f>
        <v>FRANQUIA_D&amp;G_SP</v>
      </c>
      <c r="F1584" s="7" t="str">
        <f>IFERROR(__xludf.DUMMYFUNCTION("""COMPUTED_VALUE"""),"MOTORCYCLE")</f>
        <v>MOTORCYCLE</v>
      </c>
      <c r="G1584" s="7" t="str">
        <f>IFERROR(__xludf.DUMMYFUNCTION("""COMPUTED_VALUE"""),"SAO PAULO")</f>
        <v>SAO PAULO</v>
      </c>
    </row>
    <row r="1585">
      <c r="A1585" s="6">
        <f>IFERROR(__xludf.DUMMYFUNCTION("""COMPUTED_VALUE"""),45705.0)</f>
        <v>45705</v>
      </c>
      <c r="B1585" s="7" t="str">
        <f>IFERROR(__xludf.DUMMYFUNCTION("""COMPUTED_VALUE"""),"54aad6a2-d405-41bd-b18c-6f7c79c687ef")</f>
        <v>54aad6a2-d405-41bd-b18c-6f7c79c687ef</v>
      </c>
      <c r="C1585" s="7">
        <f>IFERROR(__xludf.DUMMYFUNCTION("""COMPUTED_VALUE"""),7.0)</f>
        <v>7</v>
      </c>
      <c r="D1585" s="6">
        <f>IFERROR(__xludf.DUMMYFUNCTION("""COMPUTED_VALUE"""),45698.0)</f>
        <v>45698</v>
      </c>
      <c r="E1585" s="7" t="str">
        <f>IFERROR(__xludf.DUMMYFUNCTION("""COMPUTED_VALUE"""),"FRANQUIA_D&amp;G_SP")</f>
        <v>FRANQUIA_D&amp;G_SP</v>
      </c>
      <c r="F1585" s="7" t="str">
        <f>IFERROR(__xludf.DUMMYFUNCTION("""COMPUTED_VALUE"""),"MOTORCYCLE")</f>
        <v>MOTORCYCLE</v>
      </c>
      <c r="G1585" s="7" t="str">
        <f>IFERROR(__xludf.DUMMYFUNCTION("""COMPUTED_VALUE"""),"SAO PAULO")</f>
        <v>SAO PAULO</v>
      </c>
    </row>
    <row r="1586">
      <c r="A1586" s="6">
        <f>IFERROR(__xludf.DUMMYFUNCTION("""COMPUTED_VALUE"""),45705.0)</f>
        <v>45705</v>
      </c>
      <c r="B1586" s="7" t="str">
        <f>IFERROR(__xludf.DUMMYFUNCTION("""COMPUTED_VALUE"""),"8203fa0d-e547-4dac-b0bb-defe2bf6fc0d")</f>
        <v>8203fa0d-e547-4dac-b0bb-defe2bf6fc0d</v>
      </c>
      <c r="C1586" s="7">
        <f>IFERROR(__xludf.DUMMYFUNCTION("""COMPUTED_VALUE"""),3.0)</f>
        <v>3</v>
      </c>
      <c r="D1586" s="6">
        <f>IFERROR(__xludf.DUMMYFUNCTION("""COMPUTED_VALUE"""),45702.0)</f>
        <v>45702</v>
      </c>
      <c r="E1586" s="7" t="str">
        <f>IFERROR(__xludf.DUMMYFUNCTION("""COMPUTED_VALUE"""),"FRANQUIA_D&amp;G_SP")</f>
        <v>FRANQUIA_D&amp;G_SP</v>
      </c>
      <c r="F1586" s="7" t="str">
        <f>IFERROR(__xludf.DUMMYFUNCTION("""COMPUTED_VALUE"""),"EMOTORCYCLE")</f>
        <v>EMOTORCYCLE</v>
      </c>
      <c r="G1586" s="7" t="str">
        <f>IFERROR(__xludf.DUMMYFUNCTION("""COMPUTED_VALUE"""),"SAO PAULO")</f>
        <v>SAO PAULO</v>
      </c>
    </row>
    <row r="1587">
      <c r="A1587" s="6">
        <f>IFERROR(__xludf.DUMMYFUNCTION("""COMPUTED_VALUE"""),45705.0)</f>
        <v>45705</v>
      </c>
      <c r="B1587" s="7" t="str">
        <f>IFERROR(__xludf.DUMMYFUNCTION("""COMPUTED_VALUE"""),"8701a6b5-06ac-48a6-9670-19b8e979bc2a")</f>
        <v>8701a6b5-06ac-48a6-9670-19b8e979bc2a</v>
      </c>
      <c r="C1587" s="7">
        <f>IFERROR(__xludf.DUMMYFUNCTION("""COMPUTED_VALUE"""),0.0)</f>
        <v>0</v>
      </c>
      <c r="D1587" s="6">
        <f>IFERROR(__xludf.DUMMYFUNCTION("""COMPUTED_VALUE"""),45705.0)</f>
        <v>45705</v>
      </c>
      <c r="E1587" s="7" t="str">
        <f>IFERROR(__xludf.DUMMYFUNCTION("""COMPUTED_VALUE"""),"FRANQUIA_D&amp;G_SP")</f>
        <v>FRANQUIA_D&amp;G_SP</v>
      </c>
      <c r="F1587" s="7" t="str">
        <f>IFERROR(__xludf.DUMMYFUNCTION("""COMPUTED_VALUE"""),"BICYCLE")</f>
        <v>BICYCLE</v>
      </c>
      <c r="G1587" s="7" t="str">
        <f>IFERROR(__xludf.DUMMYFUNCTION("""COMPUTED_VALUE"""),"SAO PAULO")</f>
        <v>SAO PAULO</v>
      </c>
    </row>
    <row r="1588">
      <c r="A1588" s="6">
        <f>IFERROR(__xludf.DUMMYFUNCTION("""COMPUTED_VALUE"""),45705.0)</f>
        <v>45705</v>
      </c>
      <c r="B1588" s="7" t="str">
        <f>IFERROR(__xludf.DUMMYFUNCTION("""COMPUTED_VALUE"""),"4d608741-e076-4cb0-bd8d-33b16d51eaa8")</f>
        <v>4d608741-e076-4cb0-bd8d-33b16d51eaa8</v>
      </c>
      <c r="C1588" s="7">
        <f>IFERROR(__xludf.DUMMYFUNCTION("""COMPUTED_VALUE"""),0.0)</f>
        <v>0</v>
      </c>
      <c r="D1588" s="6">
        <f>IFERROR(__xludf.DUMMYFUNCTION("""COMPUTED_VALUE"""),45705.0)</f>
        <v>45705</v>
      </c>
      <c r="E1588" s="7" t="str">
        <f>IFERROR(__xludf.DUMMYFUNCTION("""COMPUTED_VALUE"""),"FRANQUIA_D&amp;G_SP")</f>
        <v>FRANQUIA_D&amp;G_SP</v>
      </c>
      <c r="F1588" s="7" t="str">
        <f>IFERROR(__xludf.DUMMYFUNCTION("""COMPUTED_VALUE"""),"MOTORCYCLE")</f>
        <v>MOTORCYCLE</v>
      </c>
      <c r="G1588" s="7" t="str">
        <f>IFERROR(__xludf.DUMMYFUNCTION("""COMPUTED_VALUE"""),"ABC")</f>
        <v>ABC</v>
      </c>
    </row>
    <row r="1589">
      <c r="A1589" s="6">
        <f>IFERROR(__xludf.DUMMYFUNCTION("""COMPUTED_VALUE"""),45705.0)</f>
        <v>45705</v>
      </c>
      <c r="B1589" s="7" t="str">
        <f>IFERROR(__xludf.DUMMYFUNCTION("""COMPUTED_VALUE"""),"f1cbcf83-6e87-49b6-8739-3eac8abd62dc")</f>
        <v>f1cbcf83-6e87-49b6-8739-3eac8abd62dc</v>
      </c>
      <c r="C1589" s="7">
        <f>IFERROR(__xludf.DUMMYFUNCTION("""COMPUTED_VALUE"""),35.0)</f>
        <v>35</v>
      </c>
      <c r="D1589" s="6">
        <f>IFERROR(__xludf.DUMMYFUNCTION("""COMPUTED_VALUE"""),45670.0)</f>
        <v>45670</v>
      </c>
      <c r="E1589" s="7" t="str">
        <f>IFERROR(__xludf.DUMMYFUNCTION("""COMPUTED_VALUE"""),"FRANQUIA_D&amp;G_SP")</f>
        <v>FRANQUIA_D&amp;G_SP</v>
      </c>
      <c r="F1589" s="7" t="str">
        <f>IFERROR(__xludf.DUMMYFUNCTION("""COMPUTED_VALUE"""),"BICYCLE")</f>
        <v>BICYCLE</v>
      </c>
      <c r="G1589" s="7" t="str">
        <f>IFERROR(__xludf.DUMMYFUNCTION("""COMPUTED_VALUE"""),"SAO PAULO")</f>
        <v>SAO PAULO</v>
      </c>
    </row>
    <row r="1590">
      <c r="A1590" s="6">
        <f>IFERROR(__xludf.DUMMYFUNCTION("""COMPUTED_VALUE"""),45705.0)</f>
        <v>45705</v>
      </c>
      <c r="B1590" s="7" t="str">
        <f>IFERROR(__xludf.DUMMYFUNCTION("""COMPUTED_VALUE"""),"7b3916c4-c781-49f6-8ee3-b31d0dd804ee")</f>
        <v>7b3916c4-c781-49f6-8ee3-b31d0dd804ee</v>
      </c>
      <c r="C1590" s="7">
        <f>IFERROR(__xludf.DUMMYFUNCTION("""COMPUTED_VALUE"""),239.0)</f>
        <v>239</v>
      </c>
      <c r="D1590" s="6">
        <f>IFERROR(__xludf.DUMMYFUNCTION("""COMPUTED_VALUE"""),45466.0)</f>
        <v>45466</v>
      </c>
      <c r="E1590" s="7" t="str">
        <f>IFERROR(__xludf.DUMMYFUNCTION("""COMPUTED_VALUE"""),"FRANQUIA_D&amp;G_SP")</f>
        <v>FRANQUIA_D&amp;G_SP</v>
      </c>
      <c r="F1590" s="7" t="str">
        <f>IFERROR(__xludf.DUMMYFUNCTION("""COMPUTED_VALUE"""),"MOTORCYCLE")</f>
        <v>MOTORCYCLE</v>
      </c>
      <c r="G1590" s="7" t="str">
        <f>IFERROR(__xludf.DUMMYFUNCTION("""COMPUTED_VALUE"""),"TABOAO DA SERRA")</f>
        <v>TABOAO DA SERRA</v>
      </c>
    </row>
    <row r="1591">
      <c r="A1591" s="6">
        <f>IFERROR(__xludf.DUMMYFUNCTION("""COMPUTED_VALUE"""),45705.0)</f>
        <v>45705</v>
      </c>
      <c r="B1591" s="7" t="str">
        <f>IFERROR(__xludf.DUMMYFUNCTION("""COMPUTED_VALUE"""),"6d95cb2a-3181-4709-b49e-77da23f69140")</f>
        <v>6d95cb2a-3181-4709-b49e-77da23f69140</v>
      </c>
      <c r="C1591" s="7">
        <f>IFERROR(__xludf.DUMMYFUNCTION("""COMPUTED_VALUE"""),469.0)</f>
        <v>469</v>
      </c>
      <c r="D1591" s="6">
        <f>IFERROR(__xludf.DUMMYFUNCTION("""COMPUTED_VALUE"""),45236.0)</f>
        <v>45236</v>
      </c>
      <c r="E1591" s="7" t="str">
        <f>IFERROR(__xludf.DUMMYFUNCTION("""COMPUTED_VALUE"""),"FRANQUIA_D&amp;G_SP")</f>
        <v>FRANQUIA_D&amp;G_SP</v>
      </c>
      <c r="F1591" s="7" t="str">
        <f>IFERROR(__xludf.DUMMYFUNCTION("""COMPUTED_VALUE"""),"BICYCLE")</f>
        <v>BICYCLE</v>
      </c>
      <c r="G1591" s="7" t="str">
        <f>IFERROR(__xludf.DUMMYFUNCTION("""COMPUTED_VALUE"""),"SAO PAULO")</f>
        <v>SAO PAULO</v>
      </c>
    </row>
    <row r="1592">
      <c r="A1592" s="6">
        <f>IFERROR(__xludf.DUMMYFUNCTION("""COMPUTED_VALUE"""),45705.0)</f>
        <v>45705</v>
      </c>
      <c r="B1592" s="7" t="str">
        <f>IFERROR(__xludf.DUMMYFUNCTION("""COMPUTED_VALUE"""),"95ec36ce-041f-4824-a95e-f38ca2395945")</f>
        <v>95ec36ce-041f-4824-a95e-f38ca2395945</v>
      </c>
      <c r="C1592" s="7">
        <f>IFERROR(__xludf.DUMMYFUNCTION("""COMPUTED_VALUE"""),0.0)</f>
        <v>0</v>
      </c>
      <c r="D1592" s="6">
        <f>IFERROR(__xludf.DUMMYFUNCTION("""COMPUTED_VALUE"""),45705.0)</f>
        <v>45705</v>
      </c>
      <c r="E1592" s="7" t="str">
        <f>IFERROR(__xludf.DUMMYFUNCTION("""COMPUTED_VALUE"""),"FRANQUIA_D&amp;G_SP")</f>
        <v>FRANQUIA_D&amp;G_SP</v>
      </c>
      <c r="F1592" s="7" t="str">
        <f>IFERROR(__xludf.DUMMYFUNCTION("""COMPUTED_VALUE"""),"MOTORCYCLE")</f>
        <v>MOTORCYCLE</v>
      </c>
      <c r="G1592" s="7" t="str">
        <f>IFERROR(__xludf.DUMMYFUNCTION("""COMPUTED_VALUE"""),"SAO PAULO")</f>
        <v>SAO PAULO</v>
      </c>
    </row>
    <row r="1593">
      <c r="A1593" s="6">
        <f>IFERROR(__xludf.DUMMYFUNCTION("""COMPUTED_VALUE"""),45705.0)</f>
        <v>45705</v>
      </c>
      <c r="B1593" s="7" t="str">
        <f>IFERROR(__xludf.DUMMYFUNCTION("""COMPUTED_VALUE"""),"a5200049-65db-4bd8-a4fa-15d7560d9d0f")</f>
        <v>a5200049-65db-4bd8-a4fa-15d7560d9d0f</v>
      </c>
      <c r="C1593" s="7">
        <f>IFERROR(__xludf.DUMMYFUNCTION("""COMPUTED_VALUE"""),0.0)</f>
        <v>0</v>
      </c>
      <c r="D1593" s="6">
        <f>IFERROR(__xludf.DUMMYFUNCTION("""COMPUTED_VALUE"""),45705.0)</f>
        <v>45705</v>
      </c>
      <c r="E1593" s="7" t="str">
        <f>IFERROR(__xludf.DUMMYFUNCTION("""COMPUTED_VALUE"""),"FRANQUIA_D&amp;G_SP")</f>
        <v>FRANQUIA_D&amp;G_SP</v>
      </c>
      <c r="F1593" s="7" t="str">
        <f>IFERROR(__xludf.DUMMYFUNCTION("""COMPUTED_VALUE"""),"MOTORCYCLE")</f>
        <v>MOTORCYCLE</v>
      </c>
      <c r="G1593" s="7" t="str">
        <f>IFERROR(__xludf.DUMMYFUNCTION("""COMPUTED_VALUE"""),"SAO PAULO")</f>
        <v>SAO PAULO</v>
      </c>
    </row>
    <row r="1594">
      <c r="A1594" s="6">
        <f>IFERROR(__xludf.DUMMYFUNCTION("""COMPUTED_VALUE"""),45705.0)</f>
        <v>45705</v>
      </c>
      <c r="B1594" s="7" t="str">
        <f>IFERROR(__xludf.DUMMYFUNCTION("""COMPUTED_VALUE"""),"f16bd784-44c2-4b75-8d94-c486ba235b83")</f>
        <v>f16bd784-44c2-4b75-8d94-c486ba235b83</v>
      </c>
      <c r="C1594" s="7">
        <f>IFERROR(__xludf.DUMMYFUNCTION("""COMPUTED_VALUE"""),1.0)</f>
        <v>1</v>
      </c>
      <c r="D1594" s="6">
        <f>IFERROR(__xludf.DUMMYFUNCTION("""COMPUTED_VALUE"""),45704.0)</f>
        <v>45704</v>
      </c>
      <c r="E1594" s="7" t="str">
        <f>IFERROR(__xludf.DUMMYFUNCTION("""COMPUTED_VALUE"""),"FRANQUIA_D&amp;G_SP")</f>
        <v>FRANQUIA_D&amp;G_SP</v>
      </c>
      <c r="F1594" s="7" t="str">
        <f>IFERROR(__xludf.DUMMYFUNCTION("""COMPUTED_VALUE"""),"BICYCLE")</f>
        <v>BICYCLE</v>
      </c>
      <c r="G1594" s="7" t="str">
        <f>IFERROR(__xludf.DUMMYFUNCTION("""COMPUTED_VALUE"""),"SAO PAULO")</f>
        <v>SAO PAULO</v>
      </c>
    </row>
    <row r="1595">
      <c r="A1595" s="6">
        <f>IFERROR(__xludf.DUMMYFUNCTION("""COMPUTED_VALUE"""),45705.0)</f>
        <v>45705</v>
      </c>
      <c r="B1595" s="7" t="str">
        <f>IFERROR(__xludf.DUMMYFUNCTION("""COMPUTED_VALUE"""),"a1996875-fdb6-4b24-a1c9-a8dfc165aa05")</f>
        <v>a1996875-fdb6-4b24-a1c9-a8dfc165aa05</v>
      </c>
      <c r="C1595" s="7">
        <f>IFERROR(__xludf.DUMMYFUNCTION("""COMPUTED_VALUE"""),1.0)</f>
        <v>1</v>
      </c>
      <c r="D1595" s="6">
        <f>IFERROR(__xludf.DUMMYFUNCTION("""COMPUTED_VALUE"""),45704.0)</f>
        <v>45704</v>
      </c>
      <c r="E1595" s="7" t="str">
        <f>IFERROR(__xludf.DUMMYFUNCTION("""COMPUTED_VALUE"""),"FRANQUIA_D&amp;G_SP")</f>
        <v>FRANQUIA_D&amp;G_SP</v>
      </c>
      <c r="F1595" s="7" t="str">
        <f>IFERROR(__xludf.DUMMYFUNCTION("""COMPUTED_VALUE"""),"EMOTORCYCLE")</f>
        <v>EMOTORCYCLE</v>
      </c>
      <c r="G1595" s="7" t="str">
        <f>IFERROR(__xludf.DUMMYFUNCTION("""COMPUTED_VALUE"""),"SAO PAULO")</f>
        <v>SAO PAULO</v>
      </c>
    </row>
    <row r="1596">
      <c r="A1596" s="6">
        <f>IFERROR(__xludf.DUMMYFUNCTION("""COMPUTED_VALUE"""),45705.0)</f>
        <v>45705</v>
      </c>
      <c r="B1596" s="7" t="str">
        <f>IFERROR(__xludf.DUMMYFUNCTION("""COMPUTED_VALUE"""),"5c6d323d-b64f-4244-894b-d53c18434ce3")</f>
        <v>5c6d323d-b64f-4244-894b-d53c18434ce3</v>
      </c>
      <c r="C1596" s="7">
        <f>IFERROR(__xludf.DUMMYFUNCTION("""COMPUTED_VALUE"""),8.0)</f>
        <v>8</v>
      </c>
      <c r="D1596" s="6">
        <f>IFERROR(__xludf.DUMMYFUNCTION("""COMPUTED_VALUE"""),45697.0)</f>
        <v>45697</v>
      </c>
      <c r="E1596" s="7" t="str">
        <f>IFERROR(__xludf.DUMMYFUNCTION("""COMPUTED_VALUE"""),"FRANQUIA_D&amp;G_SP")</f>
        <v>FRANQUIA_D&amp;G_SP</v>
      </c>
      <c r="F1596" s="7" t="str">
        <f>IFERROR(__xludf.DUMMYFUNCTION("""COMPUTED_VALUE"""),"MOTORCYCLE")</f>
        <v>MOTORCYCLE</v>
      </c>
      <c r="G1596" s="7" t="str">
        <f>IFERROR(__xludf.DUMMYFUNCTION("""COMPUTED_VALUE"""),"SAO PAULO")</f>
        <v>SAO PAULO</v>
      </c>
    </row>
    <row r="1597">
      <c r="A1597" s="6">
        <f>IFERROR(__xludf.DUMMYFUNCTION("""COMPUTED_VALUE"""),45705.0)</f>
        <v>45705</v>
      </c>
      <c r="B1597" s="7" t="str">
        <f>IFERROR(__xludf.DUMMYFUNCTION("""COMPUTED_VALUE"""),"a9ca7fb0-b7ed-42e4-826e-9fb9776caf41")</f>
        <v>a9ca7fb0-b7ed-42e4-826e-9fb9776caf41</v>
      </c>
      <c r="C1597" s="7">
        <f>IFERROR(__xludf.DUMMYFUNCTION("""COMPUTED_VALUE"""),0.0)</f>
        <v>0</v>
      </c>
      <c r="D1597" s="6">
        <f>IFERROR(__xludf.DUMMYFUNCTION("""COMPUTED_VALUE"""),45705.0)</f>
        <v>45705</v>
      </c>
      <c r="E1597" s="7" t="str">
        <f>IFERROR(__xludf.DUMMYFUNCTION("""COMPUTED_VALUE"""),"FRANQUIA_D&amp;G_SP")</f>
        <v>FRANQUIA_D&amp;G_SP</v>
      </c>
      <c r="F1597" s="7" t="str">
        <f>IFERROR(__xludf.DUMMYFUNCTION("""COMPUTED_VALUE"""),"MOTORCYCLE")</f>
        <v>MOTORCYCLE</v>
      </c>
      <c r="G1597" s="7" t="str">
        <f>IFERROR(__xludf.DUMMYFUNCTION("""COMPUTED_VALUE"""),"SAO PAULO")</f>
        <v>SAO PAULO</v>
      </c>
    </row>
    <row r="1598">
      <c r="A1598" s="6">
        <f>IFERROR(__xludf.DUMMYFUNCTION("""COMPUTED_VALUE"""),45705.0)</f>
        <v>45705</v>
      </c>
      <c r="B1598" s="7" t="str">
        <f>IFERROR(__xludf.DUMMYFUNCTION("""COMPUTED_VALUE"""),"402e6581-5bb5-4ca7-b5e9-e065daaf6f40")</f>
        <v>402e6581-5bb5-4ca7-b5e9-e065daaf6f40</v>
      </c>
      <c r="C1598" s="7">
        <f>IFERROR(__xludf.DUMMYFUNCTION("""COMPUTED_VALUE"""),4.0)</f>
        <v>4</v>
      </c>
      <c r="D1598" s="6">
        <f>IFERROR(__xludf.DUMMYFUNCTION("""COMPUTED_VALUE"""),45701.0)</f>
        <v>45701</v>
      </c>
      <c r="E1598" s="7" t="str">
        <f>IFERROR(__xludf.DUMMYFUNCTION("""COMPUTED_VALUE"""),"FRANQUIA_D&amp;G_SP")</f>
        <v>FRANQUIA_D&amp;G_SP</v>
      </c>
      <c r="F1598" s="7" t="str">
        <f>IFERROR(__xludf.DUMMYFUNCTION("""COMPUTED_VALUE"""),"MOTORCYCLE")</f>
        <v>MOTORCYCLE</v>
      </c>
      <c r="G1598" s="7" t="str">
        <f>IFERROR(__xludf.DUMMYFUNCTION("""COMPUTED_VALUE"""),"SAO PAULO")</f>
        <v>SAO PAULO</v>
      </c>
    </row>
    <row r="1599">
      <c r="A1599" s="6">
        <f>IFERROR(__xludf.DUMMYFUNCTION("""COMPUTED_VALUE"""),45705.0)</f>
        <v>45705</v>
      </c>
      <c r="B1599" s="7" t="str">
        <f>IFERROR(__xludf.DUMMYFUNCTION("""COMPUTED_VALUE"""),"e0896545-ecfe-420b-a1d2-21b1c9e0211e")</f>
        <v>e0896545-ecfe-420b-a1d2-21b1c9e0211e</v>
      </c>
      <c r="C1599" s="7">
        <f>IFERROR(__xludf.DUMMYFUNCTION("""COMPUTED_VALUE"""),0.0)</f>
        <v>0</v>
      </c>
      <c r="D1599" s="6">
        <f>IFERROR(__xludf.DUMMYFUNCTION("""COMPUTED_VALUE"""),45705.0)</f>
        <v>45705</v>
      </c>
      <c r="E1599" s="7" t="str">
        <f>IFERROR(__xludf.DUMMYFUNCTION("""COMPUTED_VALUE"""),"FRANQUIA_D&amp;G_SP")</f>
        <v>FRANQUIA_D&amp;G_SP</v>
      </c>
      <c r="F1599" s="7" t="str">
        <f>IFERROR(__xludf.DUMMYFUNCTION("""COMPUTED_VALUE"""),"MOTORCYCLE")</f>
        <v>MOTORCYCLE</v>
      </c>
      <c r="G1599" s="7" t="str">
        <f>IFERROR(__xludf.DUMMYFUNCTION("""COMPUTED_VALUE"""),"SAO PAULO")</f>
        <v>SAO PAULO</v>
      </c>
    </row>
    <row r="1600">
      <c r="A1600" s="6">
        <f>IFERROR(__xludf.DUMMYFUNCTION("""COMPUTED_VALUE"""),45705.0)</f>
        <v>45705</v>
      </c>
      <c r="B1600" s="7" t="str">
        <f>IFERROR(__xludf.DUMMYFUNCTION("""COMPUTED_VALUE"""),"20767c8e-bf01-47c4-af3a-d9e7967b5d97")</f>
        <v>20767c8e-bf01-47c4-af3a-d9e7967b5d97</v>
      </c>
      <c r="C1600" s="7">
        <f>IFERROR(__xludf.DUMMYFUNCTION("""COMPUTED_VALUE"""),635.0)</f>
        <v>635</v>
      </c>
      <c r="D1600" s="6">
        <f>IFERROR(__xludf.DUMMYFUNCTION("""COMPUTED_VALUE"""),45070.0)</f>
        <v>45070</v>
      </c>
      <c r="E1600" s="7" t="str">
        <f>IFERROR(__xludf.DUMMYFUNCTION("""COMPUTED_VALUE"""),"FRANQUIA_D&amp;G_SP")</f>
        <v>FRANQUIA_D&amp;G_SP</v>
      </c>
      <c r="F1600" s="7" t="str">
        <f>IFERROR(__xludf.DUMMYFUNCTION("""COMPUTED_VALUE"""),"BICYCLE")</f>
        <v>BICYCLE</v>
      </c>
      <c r="G1600" s="7" t="str">
        <f>IFERROR(__xludf.DUMMYFUNCTION("""COMPUTED_VALUE"""),"SAO PAULO")</f>
        <v>SAO PAULO</v>
      </c>
    </row>
    <row r="1601">
      <c r="A1601" s="6">
        <f>IFERROR(__xludf.DUMMYFUNCTION("""COMPUTED_VALUE"""),45705.0)</f>
        <v>45705</v>
      </c>
      <c r="B1601" s="7" t="str">
        <f>IFERROR(__xludf.DUMMYFUNCTION("""COMPUTED_VALUE"""),"c21bc225-92ca-4011-a4e3-d745568b50f4")</f>
        <v>c21bc225-92ca-4011-a4e3-d745568b50f4</v>
      </c>
      <c r="C1601" s="7">
        <f>IFERROR(__xludf.DUMMYFUNCTION("""COMPUTED_VALUE"""),0.0)</f>
        <v>0</v>
      </c>
      <c r="D1601" s="6">
        <f>IFERROR(__xludf.DUMMYFUNCTION("""COMPUTED_VALUE"""),0.0)</f>
        <v>0</v>
      </c>
      <c r="E1601" s="7" t="str">
        <f>IFERROR(__xludf.DUMMYFUNCTION("""COMPUTED_VALUE"""),"FRANQUIA_D&amp;G_SP")</f>
        <v>FRANQUIA_D&amp;G_SP</v>
      </c>
      <c r="F1601" s="7" t="str">
        <f>IFERROR(__xludf.DUMMYFUNCTION("""COMPUTED_VALUE"""),"BICYCLE")</f>
        <v>BICYCLE</v>
      </c>
      <c r="G1601" s="7" t="str">
        <f>IFERROR(__xludf.DUMMYFUNCTION("""COMPUTED_VALUE"""),"0")</f>
        <v>0</v>
      </c>
    </row>
    <row r="1602">
      <c r="A1602" s="6">
        <f>IFERROR(__xludf.DUMMYFUNCTION("""COMPUTED_VALUE"""),45705.0)</f>
        <v>45705</v>
      </c>
      <c r="B1602" s="7" t="str">
        <f>IFERROR(__xludf.DUMMYFUNCTION("""COMPUTED_VALUE"""),"b616c1de-a033-4270-97e9-e3644b6d87df")</f>
        <v>b616c1de-a033-4270-97e9-e3644b6d87df</v>
      </c>
      <c r="C1602" s="7">
        <f>IFERROR(__xludf.DUMMYFUNCTION("""COMPUTED_VALUE"""),0.0)</f>
        <v>0</v>
      </c>
      <c r="D1602" s="6">
        <f>IFERROR(__xludf.DUMMYFUNCTION("""COMPUTED_VALUE"""),45705.0)</f>
        <v>45705</v>
      </c>
      <c r="E1602" s="7" t="str">
        <f>IFERROR(__xludf.DUMMYFUNCTION("""COMPUTED_VALUE"""),"FRANQUIA_D&amp;G_SP")</f>
        <v>FRANQUIA_D&amp;G_SP</v>
      </c>
      <c r="F1602" s="7" t="str">
        <f>IFERROR(__xludf.DUMMYFUNCTION("""COMPUTED_VALUE"""),"MOTORCYCLE")</f>
        <v>MOTORCYCLE</v>
      </c>
      <c r="G1602" s="7" t="str">
        <f>IFERROR(__xludf.DUMMYFUNCTION("""COMPUTED_VALUE"""),"SAO PAULO")</f>
        <v>SAO PAULO</v>
      </c>
    </row>
    <row r="1603">
      <c r="A1603" s="6">
        <f>IFERROR(__xludf.DUMMYFUNCTION("""COMPUTED_VALUE"""),45705.0)</f>
        <v>45705</v>
      </c>
      <c r="B1603" s="7" t="str">
        <f>IFERROR(__xludf.DUMMYFUNCTION("""COMPUTED_VALUE"""),"5d3bacbb-7282-4f76-be86-aafa164d7e0b")</f>
        <v>5d3bacbb-7282-4f76-be86-aafa164d7e0b</v>
      </c>
      <c r="C1603" s="7">
        <f>IFERROR(__xludf.DUMMYFUNCTION("""COMPUTED_VALUE"""),18.0)</f>
        <v>18</v>
      </c>
      <c r="D1603" s="6">
        <f>IFERROR(__xludf.DUMMYFUNCTION("""COMPUTED_VALUE"""),45687.0)</f>
        <v>45687</v>
      </c>
      <c r="E1603" s="7" t="str">
        <f>IFERROR(__xludf.DUMMYFUNCTION("""COMPUTED_VALUE"""),"FRANQUIA_D&amp;G_SP")</f>
        <v>FRANQUIA_D&amp;G_SP</v>
      </c>
      <c r="F1603" s="7" t="str">
        <f>IFERROR(__xludf.DUMMYFUNCTION("""COMPUTED_VALUE"""),"MOTORCYCLE")</f>
        <v>MOTORCYCLE</v>
      </c>
      <c r="G1603" s="7" t="str">
        <f>IFERROR(__xludf.DUMMYFUNCTION("""COMPUTED_VALUE"""),"SAO PAULO")</f>
        <v>SAO PAULO</v>
      </c>
    </row>
    <row r="1604">
      <c r="A1604" s="6">
        <f>IFERROR(__xludf.DUMMYFUNCTION("""COMPUTED_VALUE"""),45705.0)</f>
        <v>45705</v>
      </c>
      <c r="B1604" s="7" t="str">
        <f>IFERROR(__xludf.DUMMYFUNCTION("""COMPUTED_VALUE"""),"8281711b-040e-43db-9bf3-01c11f480453")</f>
        <v>8281711b-040e-43db-9bf3-01c11f480453</v>
      </c>
      <c r="C1604" s="7">
        <f>IFERROR(__xludf.DUMMYFUNCTION("""COMPUTED_VALUE"""),0.0)</f>
        <v>0</v>
      </c>
      <c r="D1604" s="6">
        <f>IFERROR(__xludf.DUMMYFUNCTION("""COMPUTED_VALUE"""),0.0)</f>
        <v>0</v>
      </c>
      <c r="E1604" s="7" t="str">
        <f>IFERROR(__xludf.DUMMYFUNCTION("""COMPUTED_VALUE"""),"FRANQUIA_D&amp;G_SP")</f>
        <v>FRANQUIA_D&amp;G_SP</v>
      </c>
      <c r="F1604" s="7" t="str">
        <f>IFERROR(__xludf.DUMMYFUNCTION("""COMPUTED_VALUE"""),"MOTORCYCLE")</f>
        <v>MOTORCYCLE</v>
      </c>
      <c r="G1604" s="7" t="str">
        <f>IFERROR(__xludf.DUMMYFUNCTION("""COMPUTED_VALUE"""),"0")</f>
        <v>0</v>
      </c>
    </row>
    <row r="1605">
      <c r="A1605" s="6">
        <f>IFERROR(__xludf.DUMMYFUNCTION("""COMPUTED_VALUE"""),45705.0)</f>
        <v>45705</v>
      </c>
      <c r="B1605" s="7" t="str">
        <f>IFERROR(__xludf.DUMMYFUNCTION("""COMPUTED_VALUE"""),"60e5c9b1-b0d7-4f70-9103-0df8d1df835f")</f>
        <v>60e5c9b1-b0d7-4f70-9103-0df8d1df835f</v>
      </c>
      <c r="C1605" s="7">
        <f>IFERROR(__xludf.DUMMYFUNCTION("""COMPUTED_VALUE"""),313.0)</f>
        <v>313</v>
      </c>
      <c r="D1605" s="6">
        <f>IFERROR(__xludf.DUMMYFUNCTION("""COMPUTED_VALUE"""),45392.0)</f>
        <v>45392</v>
      </c>
      <c r="E1605" s="7" t="str">
        <f>IFERROR(__xludf.DUMMYFUNCTION("""COMPUTED_VALUE"""),"FRANQUIA_D&amp;G_SP")</f>
        <v>FRANQUIA_D&amp;G_SP</v>
      </c>
      <c r="F1605" s="7" t="str">
        <f>IFERROR(__xludf.DUMMYFUNCTION("""COMPUTED_VALUE"""),"BICYCLE")</f>
        <v>BICYCLE</v>
      </c>
      <c r="G1605" s="7" t="str">
        <f>IFERROR(__xludf.DUMMYFUNCTION("""COMPUTED_VALUE"""),"SAO PAULO")</f>
        <v>SAO PAULO</v>
      </c>
    </row>
    <row r="1606">
      <c r="A1606" s="6">
        <f>IFERROR(__xludf.DUMMYFUNCTION("""COMPUTED_VALUE"""),45705.0)</f>
        <v>45705</v>
      </c>
      <c r="B1606" s="7" t="str">
        <f>IFERROR(__xludf.DUMMYFUNCTION("""COMPUTED_VALUE"""),"ad390677-772c-4676-af8d-3cfd040e88b0")</f>
        <v>ad390677-772c-4676-af8d-3cfd040e88b0</v>
      </c>
      <c r="C1606" s="7">
        <f>IFERROR(__xludf.DUMMYFUNCTION("""COMPUTED_VALUE"""),0.0)</f>
        <v>0</v>
      </c>
      <c r="D1606" s="6">
        <f>IFERROR(__xludf.DUMMYFUNCTION("""COMPUTED_VALUE"""),45705.0)</f>
        <v>45705</v>
      </c>
      <c r="E1606" s="7" t="str">
        <f>IFERROR(__xludf.DUMMYFUNCTION("""COMPUTED_VALUE"""),"FRANQUIA_D&amp;G_SP")</f>
        <v>FRANQUIA_D&amp;G_SP</v>
      </c>
      <c r="F1606" s="7" t="str">
        <f>IFERROR(__xludf.DUMMYFUNCTION("""COMPUTED_VALUE"""),"MOTORCYCLE")</f>
        <v>MOTORCYCLE</v>
      </c>
      <c r="G1606" s="7" t="str">
        <f>IFERROR(__xludf.DUMMYFUNCTION("""COMPUTED_VALUE"""),"SAO PAULO")</f>
        <v>SAO PAULO</v>
      </c>
    </row>
    <row r="1607">
      <c r="A1607" s="6">
        <f>IFERROR(__xludf.DUMMYFUNCTION("""COMPUTED_VALUE"""),45705.0)</f>
        <v>45705</v>
      </c>
      <c r="B1607" s="7" t="str">
        <f>IFERROR(__xludf.DUMMYFUNCTION("""COMPUTED_VALUE"""),"baeab602-e1e5-45d6-a9a7-411e9e15ea11")</f>
        <v>baeab602-e1e5-45d6-a9a7-411e9e15ea11</v>
      </c>
      <c r="C1607" s="7">
        <f>IFERROR(__xludf.DUMMYFUNCTION("""COMPUTED_VALUE"""),0.0)</f>
        <v>0</v>
      </c>
      <c r="D1607" s="6">
        <f>IFERROR(__xludf.DUMMYFUNCTION("""COMPUTED_VALUE"""),45705.0)</f>
        <v>45705</v>
      </c>
      <c r="E1607" s="7" t="str">
        <f>IFERROR(__xludf.DUMMYFUNCTION("""COMPUTED_VALUE"""),"FRANQUIA_D&amp;G_SP")</f>
        <v>FRANQUIA_D&amp;G_SP</v>
      </c>
      <c r="F1607" s="7" t="str">
        <f>IFERROR(__xludf.DUMMYFUNCTION("""COMPUTED_VALUE"""),"MOTORCYCLE")</f>
        <v>MOTORCYCLE</v>
      </c>
      <c r="G1607" s="7" t="str">
        <f>IFERROR(__xludf.DUMMYFUNCTION("""COMPUTED_VALUE"""),"SAO PAULO")</f>
        <v>SAO PAULO</v>
      </c>
    </row>
    <row r="1608">
      <c r="A1608" s="6">
        <f>IFERROR(__xludf.DUMMYFUNCTION("""COMPUTED_VALUE"""),45705.0)</f>
        <v>45705</v>
      </c>
      <c r="B1608" s="7" t="str">
        <f>IFERROR(__xludf.DUMMYFUNCTION("""COMPUTED_VALUE"""),"64303357-5d34-4d78-81b8-eb3da82f9457")</f>
        <v>64303357-5d34-4d78-81b8-eb3da82f9457</v>
      </c>
      <c r="C1608" s="7">
        <f>IFERROR(__xludf.DUMMYFUNCTION("""COMPUTED_VALUE"""),118.0)</f>
        <v>118</v>
      </c>
      <c r="D1608" s="6">
        <f>IFERROR(__xludf.DUMMYFUNCTION("""COMPUTED_VALUE"""),45587.0)</f>
        <v>45587</v>
      </c>
      <c r="E1608" s="7" t="str">
        <f>IFERROR(__xludf.DUMMYFUNCTION("""COMPUTED_VALUE"""),"FRANQUIA_D&amp;G_SP")</f>
        <v>FRANQUIA_D&amp;G_SP</v>
      </c>
      <c r="F1608" s="7" t="str">
        <f>IFERROR(__xludf.DUMMYFUNCTION("""COMPUTED_VALUE"""),"MOTORCYCLE")</f>
        <v>MOTORCYCLE</v>
      </c>
      <c r="G1608" s="7" t="str">
        <f>IFERROR(__xludf.DUMMYFUNCTION("""COMPUTED_VALUE"""),"SUZANO")</f>
        <v>SUZANO</v>
      </c>
    </row>
    <row r="1609">
      <c r="A1609" s="6">
        <f>IFERROR(__xludf.DUMMYFUNCTION("""COMPUTED_VALUE"""),45705.0)</f>
        <v>45705</v>
      </c>
      <c r="B1609" s="7" t="str">
        <f>IFERROR(__xludf.DUMMYFUNCTION("""COMPUTED_VALUE"""),"f46e32bb-d8be-4a82-8ba6-359eb3460109")</f>
        <v>f46e32bb-d8be-4a82-8ba6-359eb3460109</v>
      </c>
      <c r="C1609" s="7">
        <f>IFERROR(__xludf.DUMMYFUNCTION("""COMPUTED_VALUE"""),0.0)</f>
        <v>0</v>
      </c>
      <c r="D1609" s="6">
        <f>IFERROR(__xludf.DUMMYFUNCTION("""COMPUTED_VALUE"""),45705.0)</f>
        <v>45705</v>
      </c>
      <c r="E1609" s="7" t="str">
        <f>IFERROR(__xludf.DUMMYFUNCTION("""COMPUTED_VALUE"""),"FRANQUIA_D&amp;G_SP")</f>
        <v>FRANQUIA_D&amp;G_SP</v>
      </c>
      <c r="F1609" s="7" t="str">
        <f>IFERROR(__xludf.DUMMYFUNCTION("""COMPUTED_VALUE"""),"MOTORCYCLE")</f>
        <v>MOTORCYCLE</v>
      </c>
      <c r="G1609" s="7" t="str">
        <f>IFERROR(__xludf.DUMMYFUNCTION("""COMPUTED_VALUE"""),"SAO PAULO")</f>
        <v>SAO PAULO</v>
      </c>
    </row>
    <row r="1610">
      <c r="A1610" s="6">
        <f>IFERROR(__xludf.DUMMYFUNCTION("""COMPUTED_VALUE"""),45705.0)</f>
        <v>45705</v>
      </c>
      <c r="B1610" s="7" t="str">
        <f>IFERROR(__xludf.DUMMYFUNCTION("""COMPUTED_VALUE"""),"11ae5905-84db-46e8-96c9-facdff9e06ad")</f>
        <v>11ae5905-84db-46e8-96c9-facdff9e06ad</v>
      </c>
      <c r="C1610" s="7">
        <f>IFERROR(__xludf.DUMMYFUNCTION("""COMPUTED_VALUE"""),0.0)</f>
        <v>0</v>
      </c>
      <c r="D1610" s="6">
        <f>IFERROR(__xludf.DUMMYFUNCTION("""COMPUTED_VALUE"""),45705.0)</f>
        <v>45705</v>
      </c>
      <c r="E1610" s="7" t="str">
        <f>IFERROR(__xludf.DUMMYFUNCTION("""COMPUTED_VALUE"""),"FRANQUIA_D&amp;G_SP")</f>
        <v>FRANQUIA_D&amp;G_SP</v>
      </c>
      <c r="F1610" s="7" t="str">
        <f>IFERROR(__xludf.DUMMYFUNCTION("""COMPUTED_VALUE"""),"MOTORCYCLE")</f>
        <v>MOTORCYCLE</v>
      </c>
      <c r="G1610" s="7" t="str">
        <f>IFERROR(__xludf.DUMMYFUNCTION("""COMPUTED_VALUE"""),"ABC")</f>
        <v>ABC</v>
      </c>
    </row>
    <row r="1611">
      <c r="A1611" s="6">
        <f>IFERROR(__xludf.DUMMYFUNCTION("""COMPUTED_VALUE"""),45705.0)</f>
        <v>45705</v>
      </c>
      <c r="B1611" s="7" t="str">
        <f>IFERROR(__xludf.DUMMYFUNCTION("""COMPUTED_VALUE"""),"c3e9f220-69b3-4526-be02-b15218da4fca")</f>
        <v>c3e9f220-69b3-4526-be02-b15218da4fca</v>
      </c>
      <c r="C1611" s="7">
        <f>IFERROR(__xludf.DUMMYFUNCTION("""COMPUTED_VALUE"""),144.0)</f>
        <v>144</v>
      </c>
      <c r="D1611" s="6">
        <f>IFERROR(__xludf.DUMMYFUNCTION("""COMPUTED_VALUE"""),45561.0)</f>
        <v>45561</v>
      </c>
      <c r="E1611" s="7" t="str">
        <f>IFERROR(__xludf.DUMMYFUNCTION("""COMPUTED_VALUE"""),"FRANQUIA_D&amp;G_SP")</f>
        <v>FRANQUIA_D&amp;G_SP</v>
      </c>
      <c r="F1611" s="7" t="str">
        <f>IFERROR(__xludf.DUMMYFUNCTION("""COMPUTED_VALUE"""),"BICYCLE")</f>
        <v>BICYCLE</v>
      </c>
      <c r="G1611" s="7" t="str">
        <f>IFERROR(__xludf.DUMMYFUNCTION("""COMPUTED_VALUE"""),"SAO PAULO")</f>
        <v>SAO PAULO</v>
      </c>
    </row>
    <row r="1612">
      <c r="A1612" s="6">
        <f>IFERROR(__xludf.DUMMYFUNCTION("""COMPUTED_VALUE"""),45705.0)</f>
        <v>45705</v>
      </c>
      <c r="B1612" s="7" t="str">
        <f>IFERROR(__xludf.DUMMYFUNCTION("""COMPUTED_VALUE"""),"12b6809b-0359-4c34-a9b2-cfdec38d28e1")</f>
        <v>12b6809b-0359-4c34-a9b2-cfdec38d28e1</v>
      </c>
      <c r="C1612" s="7">
        <f>IFERROR(__xludf.DUMMYFUNCTION("""COMPUTED_VALUE"""),74.0)</f>
        <v>74</v>
      </c>
      <c r="D1612" s="6">
        <f>IFERROR(__xludf.DUMMYFUNCTION("""COMPUTED_VALUE"""),45631.0)</f>
        <v>45631</v>
      </c>
      <c r="E1612" s="7" t="str">
        <f>IFERROR(__xludf.DUMMYFUNCTION("""COMPUTED_VALUE"""),"FRANQUIA_D&amp;G_SP")</f>
        <v>FRANQUIA_D&amp;G_SP</v>
      </c>
      <c r="F1612" s="7" t="str">
        <f>IFERROR(__xludf.DUMMYFUNCTION("""COMPUTED_VALUE"""),"MOTORCYCLE")</f>
        <v>MOTORCYCLE</v>
      </c>
      <c r="G1612" s="7" t="str">
        <f>IFERROR(__xludf.DUMMYFUNCTION("""COMPUTED_VALUE"""),"SAO PAULO")</f>
        <v>SAO PAULO</v>
      </c>
    </row>
    <row r="1613">
      <c r="A1613" s="6">
        <f>IFERROR(__xludf.DUMMYFUNCTION("""COMPUTED_VALUE"""),45705.0)</f>
        <v>45705</v>
      </c>
      <c r="B1613" s="7" t="str">
        <f>IFERROR(__xludf.DUMMYFUNCTION("""COMPUTED_VALUE"""),"6e5ccd61-b0df-404e-9e7b-125100d18bce")</f>
        <v>6e5ccd61-b0df-404e-9e7b-125100d18bce</v>
      </c>
      <c r="C1613" s="7">
        <f>IFERROR(__xludf.DUMMYFUNCTION("""COMPUTED_VALUE"""),145.0)</f>
        <v>145</v>
      </c>
      <c r="D1613" s="6">
        <f>IFERROR(__xludf.DUMMYFUNCTION("""COMPUTED_VALUE"""),45560.0)</f>
        <v>45560</v>
      </c>
      <c r="E1613" s="7" t="str">
        <f>IFERROR(__xludf.DUMMYFUNCTION("""COMPUTED_VALUE"""),"FRANQUIA_D&amp;G_SP")</f>
        <v>FRANQUIA_D&amp;G_SP</v>
      </c>
      <c r="F1613" s="7" t="str">
        <f>IFERROR(__xludf.DUMMYFUNCTION("""COMPUTED_VALUE"""),"BICYCLE")</f>
        <v>BICYCLE</v>
      </c>
      <c r="G1613" s="7" t="str">
        <f>IFERROR(__xludf.DUMMYFUNCTION("""COMPUTED_VALUE"""),"SAO PAULO")</f>
        <v>SAO PAULO</v>
      </c>
    </row>
    <row r="1614">
      <c r="A1614" s="6">
        <f>IFERROR(__xludf.DUMMYFUNCTION("""COMPUTED_VALUE"""),45705.0)</f>
        <v>45705</v>
      </c>
      <c r="B1614" s="7" t="str">
        <f>IFERROR(__xludf.DUMMYFUNCTION("""COMPUTED_VALUE"""),"a6cf061d-3c3e-46ae-9430-6bb4dae510b7")</f>
        <v>a6cf061d-3c3e-46ae-9430-6bb4dae510b7</v>
      </c>
      <c r="C1614" s="7">
        <f>IFERROR(__xludf.DUMMYFUNCTION("""COMPUTED_VALUE"""),0.0)</f>
        <v>0</v>
      </c>
      <c r="D1614" s="6">
        <f>IFERROR(__xludf.DUMMYFUNCTION("""COMPUTED_VALUE"""),0.0)</f>
        <v>0</v>
      </c>
      <c r="E1614" s="7" t="str">
        <f>IFERROR(__xludf.DUMMYFUNCTION("""COMPUTED_VALUE"""),"FRANQUIA_D&amp;G_SP")</f>
        <v>FRANQUIA_D&amp;G_SP</v>
      </c>
      <c r="F1614" s="7" t="str">
        <f>IFERROR(__xludf.DUMMYFUNCTION("""COMPUTED_VALUE"""),"MOTORCYCLE")</f>
        <v>MOTORCYCLE</v>
      </c>
      <c r="G1614" s="7" t="str">
        <f>IFERROR(__xludf.DUMMYFUNCTION("""COMPUTED_VALUE"""),"0")</f>
        <v>0</v>
      </c>
    </row>
    <row r="1615">
      <c r="A1615" s="6">
        <f>IFERROR(__xludf.DUMMYFUNCTION("""COMPUTED_VALUE"""),45705.0)</f>
        <v>45705</v>
      </c>
      <c r="B1615" s="7" t="str">
        <f>IFERROR(__xludf.DUMMYFUNCTION("""COMPUTED_VALUE"""),"4ffb0bd9-4ade-403c-b287-1a60b9de43e6")</f>
        <v>4ffb0bd9-4ade-403c-b287-1a60b9de43e6</v>
      </c>
      <c r="C1615" s="7">
        <f>IFERROR(__xludf.DUMMYFUNCTION("""COMPUTED_VALUE"""),1.0)</f>
        <v>1</v>
      </c>
      <c r="D1615" s="6">
        <f>IFERROR(__xludf.DUMMYFUNCTION("""COMPUTED_VALUE"""),45704.0)</f>
        <v>45704</v>
      </c>
      <c r="E1615" s="7" t="str">
        <f>IFERROR(__xludf.DUMMYFUNCTION("""COMPUTED_VALUE"""),"FRANQUIA_D&amp;G_SP")</f>
        <v>FRANQUIA_D&amp;G_SP</v>
      </c>
      <c r="F1615" s="7" t="str">
        <f>IFERROR(__xludf.DUMMYFUNCTION("""COMPUTED_VALUE"""),"MOTORCYCLE")</f>
        <v>MOTORCYCLE</v>
      </c>
      <c r="G1615" s="7" t="str">
        <f>IFERROR(__xludf.DUMMYFUNCTION("""COMPUTED_VALUE"""),"SAO PAULO")</f>
        <v>SAO PAULO</v>
      </c>
    </row>
    <row r="1616">
      <c r="A1616" s="6">
        <f>IFERROR(__xludf.DUMMYFUNCTION("""COMPUTED_VALUE"""),45705.0)</f>
        <v>45705</v>
      </c>
      <c r="B1616" s="7" t="str">
        <f>IFERROR(__xludf.DUMMYFUNCTION("""COMPUTED_VALUE"""),"1b875bb3-a379-4d48-bacb-1751ed37c4a4")</f>
        <v>1b875bb3-a379-4d48-bacb-1751ed37c4a4</v>
      </c>
      <c r="C1616" s="7">
        <f>IFERROR(__xludf.DUMMYFUNCTION("""COMPUTED_VALUE"""),200.0)</f>
        <v>200</v>
      </c>
      <c r="D1616" s="6">
        <f>IFERROR(__xludf.DUMMYFUNCTION("""COMPUTED_VALUE"""),45505.0)</f>
        <v>45505</v>
      </c>
      <c r="E1616" s="7" t="str">
        <f>IFERROR(__xludf.DUMMYFUNCTION("""COMPUTED_VALUE"""),"FRANQUIA_D&amp;G_SP")</f>
        <v>FRANQUIA_D&amp;G_SP</v>
      </c>
      <c r="F1616" s="7" t="str">
        <f>IFERROR(__xludf.DUMMYFUNCTION("""COMPUTED_VALUE"""),"MOTORCYCLE")</f>
        <v>MOTORCYCLE</v>
      </c>
      <c r="G1616" s="7" t="str">
        <f>IFERROR(__xludf.DUMMYFUNCTION("""COMPUTED_VALUE"""),"SAO PAULO")</f>
        <v>SAO PAULO</v>
      </c>
    </row>
    <row r="1617">
      <c r="A1617" s="6">
        <f>IFERROR(__xludf.DUMMYFUNCTION("""COMPUTED_VALUE"""),45705.0)</f>
        <v>45705</v>
      </c>
      <c r="B1617" s="7" t="str">
        <f>IFERROR(__xludf.DUMMYFUNCTION("""COMPUTED_VALUE"""),"9d2129ca-de8f-4e5a-88e6-6d2b5dd85a52")</f>
        <v>9d2129ca-de8f-4e5a-88e6-6d2b5dd85a52</v>
      </c>
      <c r="C1617" s="7">
        <f>IFERROR(__xludf.DUMMYFUNCTION("""COMPUTED_VALUE"""),9.0)</f>
        <v>9</v>
      </c>
      <c r="D1617" s="6">
        <f>IFERROR(__xludf.DUMMYFUNCTION("""COMPUTED_VALUE"""),45696.0)</f>
        <v>45696</v>
      </c>
      <c r="E1617" s="7" t="str">
        <f>IFERROR(__xludf.DUMMYFUNCTION("""COMPUTED_VALUE"""),"FRANQUIA_D&amp;G_SP")</f>
        <v>FRANQUIA_D&amp;G_SP</v>
      </c>
      <c r="F1617" s="7" t="str">
        <f>IFERROR(__xludf.DUMMYFUNCTION("""COMPUTED_VALUE"""),"BICYCLE")</f>
        <v>BICYCLE</v>
      </c>
      <c r="G1617" s="7" t="str">
        <f>IFERROR(__xludf.DUMMYFUNCTION("""COMPUTED_VALUE"""),"SAO PAULO")</f>
        <v>SAO PAULO</v>
      </c>
    </row>
    <row r="1618">
      <c r="A1618" s="6">
        <f>IFERROR(__xludf.DUMMYFUNCTION("""COMPUTED_VALUE"""),45705.0)</f>
        <v>45705</v>
      </c>
      <c r="B1618" s="7" t="str">
        <f>IFERROR(__xludf.DUMMYFUNCTION("""COMPUTED_VALUE"""),"b583f8c9-6e40-4f80-bd4a-edfb91fe2491")</f>
        <v>b583f8c9-6e40-4f80-bd4a-edfb91fe2491</v>
      </c>
      <c r="C1618" s="7">
        <f>IFERROR(__xludf.DUMMYFUNCTION("""COMPUTED_VALUE"""),71.0)</f>
        <v>71</v>
      </c>
      <c r="D1618" s="6">
        <f>IFERROR(__xludf.DUMMYFUNCTION("""COMPUTED_VALUE"""),45634.0)</f>
        <v>45634</v>
      </c>
      <c r="E1618" s="7" t="str">
        <f>IFERROR(__xludf.DUMMYFUNCTION("""COMPUTED_VALUE"""),"FRANQUIA_D&amp;G_SP")</f>
        <v>FRANQUIA_D&amp;G_SP</v>
      </c>
      <c r="F1618" s="7" t="str">
        <f>IFERROR(__xludf.DUMMYFUNCTION("""COMPUTED_VALUE"""),"BICYCLE")</f>
        <v>BICYCLE</v>
      </c>
      <c r="G1618" s="7" t="str">
        <f>IFERROR(__xludf.DUMMYFUNCTION("""COMPUTED_VALUE"""),"SAO PAULO")</f>
        <v>SAO PAULO</v>
      </c>
    </row>
    <row r="1619">
      <c r="A1619" s="6">
        <f>IFERROR(__xludf.DUMMYFUNCTION("""COMPUTED_VALUE"""),45705.0)</f>
        <v>45705</v>
      </c>
      <c r="B1619" s="7" t="str">
        <f>IFERROR(__xludf.DUMMYFUNCTION("""COMPUTED_VALUE"""),"42df245f-2151-4e08-849b-73d9e383ecac")</f>
        <v>42df245f-2151-4e08-849b-73d9e383ecac</v>
      </c>
      <c r="C1619" s="7">
        <f>IFERROR(__xludf.DUMMYFUNCTION("""COMPUTED_VALUE"""),19.0)</f>
        <v>19</v>
      </c>
      <c r="D1619" s="6">
        <f>IFERROR(__xludf.DUMMYFUNCTION("""COMPUTED_VALUE"""),45686.0)</f>
        <v>45686</v>
      </c>
      <c r="E1619" s="7" t="str">
        <f>IFERROR(__xludf.DUMMYFUNCTION("""COMPUTED_VALUE"""),"FRANQUIA_D&amp;G_SP")</f>
        <v>FRANQUIA_D&amp;G_SP</v>
      </c>
      <c r="F1619" s="7" t="str">
        <f>IFERROR(__xludf.DUMMYFUNCTION("""COMPUTED_VALUE"""),"MOTORCYCLE")</f>
        <v>MOTORCYCLE</v>
      </c>
      <c r="G1619" s="7" t="str">
        <f>IFERROR(__xludf.DUMMYFUNCTION("""COMPUTED_VALUE"""),"SAO PAULO")</f>
        <v>SAO PAULO</v>
      </c>
    </row>
    <row r="1620">
      <c r="A1620" s="6">
        <f>IFERROR(__xludf.DUMMYFUNCTION("""COMPUTED_VALUE"""),45705.0)</f>
        <v>45705</v>
      </c>
      <c r="B1620" s="7" t="str">
        <f>IFERROR(__xludf.DUMMYFUNCTION("""COMPUTED_VALUE"""),"1892020e-abc1-4fe2-8324-c7f3b354e23a")</f>
        <v>1892020e-abc1-4fe2-8324-c7f3b354e23a</v>
      </c>
      <c r="C1620" s="7">
        <f>IFERROR(__xludf.DUMMYFUNCTION("""COMPUTED_VALUE"""),0.0)</f>
        <v>0</v>
      </c>
      <c r="D1620" s="6">
        <f>IFERROR(__xludf.DUMMYFUNCTION("""COMPUTED_VALUE"""),45705.0)</f>
        <v>45705</v>
      </c>
      <c r="E1620" s="7" t="str">
        <f>IFERROR(__xludf.DUMMYFUNCTION("""COMPUTED_VALUE"""),"FRANQUIA_D&amp;G_SP")</f>
        <v>FRANQUIA_D&amp;G_SP</v>
      </c>
      <c r="F1620" s="7" t="str">
        <f>IFERROR(__xludf.DUMMYFUNCTION("""COMPUTED_VALUE"""),"BICYCLE")</f>
        <v>BICYCLE</v>
      </c>
      <c r="G1620" s="7" t="str">
        <f>IFERROR(__xludf.DUMMYFUNCTION("""COMPUTED_VALUE"""),"SAO PAULO")</f>
        <v>SAO PAULO</v>
      </c>
    </row>
    <row r="1621">
      <c r="A1621" s="6">
        <f>IFERROR(__xludf.DUMMYFUNCTION("""COMPUTED_VALUE"""),45705.0)</f>
        <v>45705</v>
      </c>
      <c r="B1621" s="7" t="str">
        <f>IFERROR(__xludf.DUMMYFUNCTION("""COMPUTED_VALUE"""),"41ada387-3f68-468e-81c3-754bd64b7ee7")</f>
        <v>41ada387-3f68-468e-81c3-754bd64b7ee7</v>
      </c>
      <c r="C1621" s="7">
        <f>IFERROR(__xludf.DUMMYFUNCTION("""COMPUTED_VALUE"""),0.0)</f>
        <v>0</v>
      </c>
      <c r="D1621" s="6">
        <f>IFERROR(__xludf.DUMMYFUNCTION("""COMPUTED_VALUE"""),45705.0)</f>
        <v>45705</v>
      </c>
      <c r="E1621" s="7" t="str">
        <f>IFERROR(__xludf.DUMMYFUNCTION("""COMPUTED_VALUE"""),"FRANQUIA_D&amp;G_SP")</f>
        <v>FRANQUIA_D&amp;G_SP</v>
      </c>
      <c r="F1621" s="7" t="str">
        <f>IFERROR(__xludf.DUMMYFUNCTION("""COMPUTED_VALUE"""),"MOTORCYCLE")</f>
        <v>MOTORCYCLE</v>
      </c>
      <c r="G1621" s="7" t="str">
        <f>IFERROR(__xludf.DUMMYFUNCTION("""COMPUTED_VALUE"""),"SAO PAULO")</f>
        <v>SAO PAULO</v>
      </c>
    </row>
    <row r="1622">
      <c r="A1622" s="6">
        <f>IFERROR(__xludf.DUMMYFUNCTION("""COMPUTED_VALUE"""),45705.0)</f>
        <v>45705</v>
      </c>
      <c r="B1622" s="7" t="str">
        <f>IFERROR(__xludf.DUMMYFUNCTION("""COMPUTED_VALUE"""),"9fe38a8a-216b-40ee-846c-61ab843e30f3")</f>
        <v>9fe38a8a-216b-40ee-846c-61ab843e30f3</v>
      </c>
      <c r="C1622" s="7">
        <f>IFERROR(__xludf.DUMMYFUNCTION("""COMPUTED_VALUE"""),68.0)</f>
        <v>68</v>
      </c>
      <c r="D1622" s="6">
        <f>IFERROR(__xludf.DUMMYFUNCTION("""COMPUTED_VALUE"""),45637.0)</f>
        <v>45637</v>
      </c>
      <c r="E1622" s="7" t="str">
        <f>IFERROR(__xludf.DUMMYFUNCTION("""COMPUTED_VALUE"""),"FRANQUIA_D&amp;G_SP")</f>
        <v>FRANQUIA_D&amp;G_SP</v>
      </c>
      <c r="F1622" s="7" t="str">
        <f>IFERROR(__xludf.DUMMYFUNCTION("""COMPUTED_VALUE"""),"BICYCLE")</f>
        <v>BICYCLE</v>
      </c>
      <c r="G1622" s="7" t="str">
        <f>IFERROR(__xludf.DUMMYFUNCTION("""COMPUTED_VALUE"""),"SAO PAULO")</f>
        <v>SAO PAULO</v>
      </c>
    </row>
    <row r="1623">
      <c r="A1623" s="6">
        <f>IFERROR(__xludf.DUMMYFUNCTION("""COMPUTED_VALUE"""),45705.0)</f>
        <v>45705</v>
      </c>
      <c r="B1623" s="7" t="str">
        <f>IFERROR(__xludf.DUMMYFUNCTION("""COMPUTED_VALUE"""),"5547e2cd-870b-4d47-ad05-b9f542c4d593")</f>
        <v>5547e2cd-870b-4d47-ad05-b9f542c4d593</v>
      </c>
      <c r="C1623" s="7">
        <f>IFERROR(__xludf.DUMMYFUNCTION("""COMPUTED_VALUE"""),1.0)</f>
        <v>1</v>
      </c>
      <c r="D1623" s="6">
        <f>IFERROR(__xludf.DUMMYFUNCTION("""COMPUTED_VALUE"""),45704.0)</f>
        <v>45704</v>
      </c>
      <c r="E1623" s="7" t="str">
        <f>IFERROR(__xludf.DUMMYFUNCTION("""COMPUTED_VALUE"""),"FRANQUIA_D&amp;G_SP")</f>
        <v>FRANQUIA_D&amp;G_SP</v>
      </c>
      <c r="F1623" s="7" t="str">
        <f>IFERROR(__xludf.DUMMYFUNCTION("""COMPUTED_VALUE"""),"MOTORCYCLE")</f>
        <v>MOTORCYCLE</v>
      </c>
      <c r="G1623" s="7" t="str">
        <f>IFERROR(__xludf.DUMMYFUNCTION("""COMPUTED_VALUE"""),"SAO PAULO")</f>
        <v>SAO PAULO</v>
      </c>
    </row>
    <row r="1624">
      <c r="A1624" s="6">
        <f>IFERROR(__xludf.DUMMYFUNCTION("""COMPUTED_VALUE"""),45705.0)</f>
        <v>45705</v>
      </c>
      <c r="B1624" s="7" t="str">
        <f>IFERROR(__xludf.DUMMYFUNCTION("""COMPUTED_VALUE"""),"b8f13d62-bd1f-4e46-9f48-3b321fd6d935")</f>
        <v>b8f13d62-bd1f-4e46-9f48-3b321fd6d935</v>
      </c>
      <c r="C1624" s="7">
        <f>IFERROR(__xludf.DUMMYFUNCTION("""COMPUTED_VALUE"""),0.0)</f>
        <v>0</v>
      </c>
      <c r="D1624" s="6">
        <f>IFERROR(__xludf.DUMMYFUNCTION("""COMPUTED_VALUE"""),45705.0)</f>
        <v>45705</v>
      </c>
      <c r="E1624" s="7" t="str">
        <f>IFERROR(__xludf.DUMMYFUNCTION("""COMPUTED_VALUE"""),"FRANQUIA_D&amp;G_SP")</f>
        <v>FRANQUIA_D&amp;G_SP</v>
      </c>
      <c r="F1624" s="7" t="str">
        <f>IFERROR(__xludf.DUMMYFUNCTION("""COMPUTED_VALUE"""),"MOTORCYCLE")</f>
        <v>MOTORCYCLE</v>
      </c>
      <c r="G1624" s="7" t="str">
        <f>IFERROR(__xludf.DUMMYFUNCTION("""COMPUTED_VALUE"""),"SAO PAULO")</f>
        <v>SAO PAULO</v>
      </c>
    </row>
    <row r="1625">
      <c r="A1625" s="6">
        <f>IFERROR(__xludf.DUMMYFUNCTION("""COMPUTED_VALUE"""),45705.0)</f>
        <v>45705</v>
      </c>
      <c r="B1625" s="7" t="str">
        <f>IFERROR(__xludf.DUMMYFUNCTION("""COMPUTED_VALUE"""),"52db01ef-f889-4b82-81da-d1524a2083fa")</f>
        <v>52db01ef-f889-4b82-81da-d1524a2083fa</v>
      </c>
      <c r="C1625" s="7">
        <f>IFERROR(__xludf.DUMMYFUNCTION("""COMPUTED_VALUE"""),85.0)</f>
        <v>85</v>
      </c>
      <c r="D1625" s="6">
        <f>IFERROR(__xludf.DUMMYFUNCTION("""COMPUTED_VALUE"""),45620.0)</f>
        <v>45620</v>
      </c>
      <c r="E1625" s="7" t="str">
        <f>IFERROR(__xludf.DUMMYFUNCTION("""COMPUTED_VALUE"""),"FRANQUIA_D&amp;G_SP")</f>
        <v>FRANQUIA_D&amp;G_SP</v>
      </c>
      <c r="F1625" s="7" t="str">
        <f>IFERROR(__xludf.DUMMYFUNCTION("""COMPUTED_VALUE"""),"MOTORCYCLE")</f>
        <v>MOTORCYCLE</v>
      </c>
      <c r="G1625" s="7" t="str">
        <f>IFERROR(__xludf.DUMMYFUNCTION("""COMPUTED_VALUE"""),"SAO PAULO")</f>
        <v>SAO PAULO</v>
      </c>
    </row>
    <row r="1626">
      <c r="A1626" s="6">
        <f>IFERROR(__xludf.DUMMYFUNCTION("""COMPUTED_VALUE"""),45705.0)</f>
        <v>45705</v>
      </c>
      <c r="B1626" s="7" t="str">
        <f>IFERROR(__xludf.DUMMYFUNCTION("""COMPUTED_VALUE"""),"c28d43e4-9d38-45a7-b968-b0392eaeeefd")</f>
        <v>c28d43e4-9d38-45a7-b968-b0392eaeeefd</v>
      </c>
      <c r="C1626" s="7">
        <f>IFERROR(__xludf.DUMMYFUNCTION("""COMPUTED_VALUE"""),0.0)</f>
        <v>0</v>
      </c>
      <c r="D1626" s="6">
        <f>IFERROR(__xludf.DUMMYFUNCTION("""COMPUTED_VALUE"""),45705.0)</f>
        <v>45705</v>
      </c>
      <c r="E1626" s="7" t="str">
        <f>IFERROR(__xludf.DUMMYFUNCTION("""COMPUTED_VALUE"""),"FRANQUIA_D&amp;G_SP")</f>
        <v>FRANQUIA_D&amp;G_SP</v>
      </c>
      <c r="F1626" s="7" t="str">
        <f>IFERROR(__xludf.DUMMYFUNCTION("""COMPUTED_VALUE"""),"MOTORCYCLE")</f>
        <v>MOTORCYCLE</v>
      </c>
      <c r="G1626" s="7" t="str">
        <f>IFERROR(__xludf.DUMMYFUNCTION("""COMPUTED_VALUE"""),"SAO PAULO")</f>
        <v>SAO PAULO</v>
      </c>
    </row>
    <row r="1627">
      <c r="A1627" s="6">
        <f>IFERROR(__xludf.DUMMYFUNCTION("""COMPUTED_VALUE"""),45705.0)</f>
        <v>45705</v>
      </c>
      <c r="B1627" s="7" t="str">
        <f>IFERROR(__xludf.DUMMYFUNCTION("""COMPUTED_VALUE"""),"1fd7d1b7-c50a-4295-ad55-014ea0fc2efd")</f>
        <v>1fd7d1b7-c50a-4295-ad55-014ea0fc2efd</v>
      </c>
      <c r="C1627" s="7">
        <f>IFERROR(__xludf.DUMMYFUNCTION("""COMPUTED_VALUE"""),0.0)</f>
        <v>0</v>
      </c>
      <c r="D1627" s="6">
        <f>IFERROR(__xludf.DUMMYFUNCTION("""COMPUTED_VALUE"""),45705.0)</f>
        <v>45705</v>
      </c>
      <c r="E1627" s="7" t="str">
        <f>IFERROR(__xludf.DUMMYFUNCTION("""COMPUTED_VALUE"""),"FRANQUIA_D&amp;G_SP")</f>
        <v>FRANQUIA_D&amp;G_SP</v>
      </c>
      <c r="F1627" s="7" t="str">
        <f>IFERROR(__xludf.DUMMYFUNCTION("""COMPUTED_VALUE"""),"MOTORCYCLE")</f>
        <v>MOTORCYCLE</v>
      </c>
      <c r="G1627" s="7" t="str">
        <f>IFERROR(__xludf.DUMMYFUNCTION("""COMPUTED_VALUE"""),"ABC")</f>
        <v>ABC</v>
      </c>
    </row>
    <row r="1628">
      <c r="A1628" s="6">
        <f>IFERROR(__xludf.DUMMYFUNCTION("""COMPUTED_VALUE"""),45705.0)</f>
        <v>45705</v>
      </c>
      <c r="B1628" s="7" t="str">
        <f>IFERROR(__xludf.DUMMYFUNCTION("""COMPUTED_VALUE"""),"45e0feeb-e80d-4c40-856d-ae2350e59a8f")</f>
        <v>45e0feeb-e80d-4c40-856d-ae2350e59a8f</v>
      </c>
      <c r="C1628" s="7">
        <f>IFERROR(__xludf.DUMMYFUNCTION("""COMPUTED_VALUE"""),1.0)</f>
        <v>1</v>
      </c>
      <c r="D1628" s="6">
        <f>IFERROR(__xludf.DUMMYFUNCTION("""COMPUTED_VALUE"""),45704.0)</f>
        <v>45704</v>
      </c>
      <c r="E1628" s="7" t="str">
        <f>IFERROR(__xludf.DUMMYFUNCTION("""COMPUTED_VALUE"""),"FRANQUIA_D&amp;G_SP")</f>
        <v>FRANQUIA_D&amp;G_SP</v>
      </c>
      <c r="F1628" s="7" t="str">
        <f>IFERROR(__xludf.DUMMYFUNCTION("""COMPUTED_VALUE"""),"MOTORCYCLE")</f>
        <v>MOTORCYCLE</v>
      </c>
      <c r="G1628" s="7" t="str">
        <f>IFERROR(__xludf.DUMMYFUNCTION("""COMPUTED_VALUE"""),"SAO PAULO")</f>
        <v>SAO PAULO</v>
      </c>
    </row>
    <row r="1629">
      <c r="A1629" s="6">
        <f>IFERROR(__xludf.DUMMYFUNCTION("""COMPUTED_VALUE"""),45705.0)</f>
        <v>45705</v>
      </c>
      <c r="B1629" s="7" t="str">
        <f>IFERROR(__xludf.DUMMYFUNCTION("""COMPUTED_VALUE"""),"13d4f5b4-2d0c-43dc-a91f-87c29d80e4df")</f>
        <v>13d4f5b4-2d0c-43dc-a91f-87c29d80e4df</v>
      </c>
      <c r="C1629" s="7">
        <f>IFERROR(__xludf.DUMMYFUNCTION("""COMPUTED_VALUE"""),0.0)</f>
        <v>0</v>
      </c>
      <c r="D1629" s="6">
        <f>IFERROR(__xludf.DUMMYFUNCTION("""COMPUTED_VALUE"""),45705.0)</f>
        <v>45705</v>
      </c>
      <c r="E1629" s="7" t="str">
        <f>IFERROR(__xludf.DUMMYFUNCTION("""COMPUTED_VALUE"""),"FRANQUIA_D&amp;G_SP")</f>
        <v>FRANQUIA_D&amp;G_SP</v>
      </c>
      <c r="F1629" s="7" t="str">
        <f>IFERROR(__xludf.DUMMYFUNCTION("""COMPUTED_VALUE"""),"MOTORCYCLE")</f>
        <v>MOTORCYCLE</v>
      </c>
      <c r="G1629" s="7" t="str">
        <f>IFERROR(__xludf.DUMMYFUNCTION("""COMPUTED_VALUE"""),"SAO PAULO")</f>
        <v>SAO PAULO</v>
      </c>
    </row>
    <row r="1630">
      <c r="A1630" s="6">
        <f>IFERROR(__xludf.DUMMYFUNCTION("""COMPUTED_VALUE"""),45705.0)</f>
        <v>45705</v>
      </c>
      <c r="B1630" s="7" t="str">
        <f>IFERROR(__xludf.DUMMYFUNCTION("""COMPUTED_VALUE"""),"7337743b-62c6-4085-be37-81fda209e48a")</f>
        <v>7337743b-62c6-4085-be37-81fda209e48a</v>
      </c>
      <c r="C1630" s="7">
        <f>IFERROR(__xludf.DUMMYFUNCTION("""COMPUTED_VALUE"""),489.0)</f>
        <v>489</v>
      </c>
      <c r="D1630" s="6">
        <f>IFERROR(__xludf.DUMMYFUNCTION("""COMPUTED_VALUE"""),45216.0)</f>
        <v>45216</v>
      </c>
      <c r="E1630" s="7" t="str">
        <f>IFERROR(__xludf.DUMMYFUNCTION("""COMPUTED_VALUE"""),"FRANQUIA_D&amp;G_SP")</f>
        <v>FRANQUIA_D&amp;G_SP</v>
      </c>
      <c r="F1630" s="7" t="str">
        <f>IFERROR(__xludf.DUMMYFUNCTION("""COMPUTED_VALUE"""),"BICYCLE")</f>
        <v>BICYCLE</v>
      </c>
      <c r="G1630" s="7" t="str">
        <f>IFERROR(__xludf.DUMMYFUNCTION("""COMPUTED_VALUE"""),"SAO PAULO")</f>
        <v>SAO PAULO</v>
      </c>
    </row>
    <row r="1631">
      <c r="A1631" s="6">
        <f>IFERROR(__xludf.DUMMYFUNCTION("""COMPUTED_VALUE"""),45705.0)</f>
        <v>45705</v>
      </c>
      <c r="B1631" s="7" t="str">
        <f>IFERROR(__xludf.DUMMYFUNCTION("""COMPUTED_VALUE"""),"a69747c2-8a58-4d14-b818-edaf5f865c5a")</f>
        <v>a69747c2-8a58-4d14-b818-edaf5f865c5a</v>
      </c>
      <c r="C1631" s="7">
        <f>IFERROR(__xludf.DUMMYFUNCTION("""COMPUTED_VALUE"""),0.0)</f>
        <v>0</v>
      </c>
      <c r="D1631" s="6">
        <f>IFERROR(__xludf.DUMMYFUNCTION("""COMPUTED_VALUE"""),45705.0)</f>
        <v>45705</v>
      </c>
      <c r="E1631" s="7" t="str">
        <f>IFERROR(__xludf.DUMMYFUNCTION("""COMPUTED_VALUE"""),"FRANQUIA_D&amp;G_SP")</f>
        <v>FRANQUIA_D&amp;G_SP</v>
      </c>
      <c r="F1631" s="7" t="str">
        <f>IFERROR(__xludf.DUMMYFUNCTION("""COMPUTED_VALUE"""),"BICYCLE")</f>
        <v>BICYCLE</v>
      </c>
      <c r="G1631" s="7" t="str">
        <f>IFERROR(__xludf.DUMMYFUNCTION("""COMPUTED_VALUE"""),"SAO PAULO")</f>
        <v>SAO PAULO</v>
      </c>
    </row>
    <row r="1632">
      <c r="A1632" s="6">
        <f>IFERROR(__xludf.DUMMYFUNCTION("""COMPUTED_VALUE"""),45705.0)</f>
        <v>45705</v>
      </c>
      <c r="B1632" s="7" t="str">
        <f>IFERROR(__xludf.DUMMYFUNCTION("""COMPUTED_VALUE"""),"167ea070-8937-4852-8b11-3faee7749115")</f>
        <v>167ea070-8937-4852-8b11-3faee7749115</v>
      </c>
      <c r="C1632" s="7">
        <f>IFERROR(__xludf.DUMMYFUNCTION("""COMPUTED_VALUE"""),0.0)</f>
        <v>0</v>
      </c>
      <c r="D1632" s="6">
        <f>IFERROR(__xludf.DUMMYFUNCTION("""COMPUTED_VALUE"""),45705.0)</f>
        <v>45705</v>
      </c>
      <c r="E1632" s="7" t="str">
        <f>IFERROR(__xludf.DUMMYFUNCTION("""COMPUTED_VALUE"""),"FRANQUIA_D&amp;G_SP")</f>
        <v>FRANQUIA_D&amp;G_SP</v>
      </c>
      <c r="F1632" s="7" t="str">
        <f>IFERROR(__xludf.DUMMYFUNCTION("""COMPUTED_VALUE"""),"BICYCLE")</f>
        <v>BICYCLE</v>
      </c>
      <c r="G1632" s="7" t="str">
        <f>IFERROR(__xludf.DUMMYFUNCTION("""COMPUTED_VALUE"""),"SAO PAULO")</f>
        <v>SAO PAULO</v>
      </c>
    </row>
    <row r="1633">
      <c r="A1633" s="6">
        <f>IFERROR(__xludf.DUMMYFUNCTION("""COMPUTED_VALUE"""),45705.0)</f>
        <v>45705</v>
      </c>
      <c r="B1633" s="7" t="str">
        <f>IFERROR(__xludf.DUMMYFUNCTION("""COMPUTED_VALUE"""),"14250ce8-fe8e-4a72-8094-c4cbd2f59f3a")</f>
        <v>14250ce8-fe8e-4a72-8094-c4cbd2f59f3a</v>
      </c>
      <c r="C1633" s="7">
        <f>IFERROR(__xludf.DUMMYFUNCTION("""COMPUTED_VALUE"""),0.0)</f>
        <v>0</v>
      </c>
      <c r="D1633" s="6">
        <f>IFERROR(__xludf.DUMMYFUNCTION("""COMPUTED_VALUE"""),45705.0)</f>
        <v>45705</v>
      </c>
      <c r="E1633" s="7" t="str">
        <f>IFERROR(__xludf.DUMMYFUNCTION("""COMPUTED_VALUE"""),"FRANQUIA_D&amp;G_SP")</f>
        <v>FRANQUIA_D&amp;G_SP</v>
      </c>
      <c r="F1633" s="7" t="str">
        <f>IFERROR(__xludf.DUMMYFUNCTION("""COMPUTED_VALUE"""),"MOTORCYCLE")</f>
        <v>MOTORCYCLE</v>
      </c>
      <c r="G1633" s="7" t="str">
        <f>IFERROR(__xludf.DUMMYFUNCTION("""COMPUTED_VALUE"""),"SAO PAULO")</f>
        <v>SAO PAULO</v>
      </c>
    </row>
    <row r="1634">
      <c r="A1634" s="6">
        <f>IFERROR(__xludf.DUMMYFUNCTION("""COMPUTED_VALUE"""),45705.0)</f>
        <v>45705</v>
      </c>
      <c r="B1634" s="7" t="str">
        <f>IFERROR(__xludf.DUMMYFUNCTION("""COMPUTED_VALUE"""),"17aa43b6-fb10-4dc6-b065-e8f2c3207af6")</f>
        <v>17aa43b6-fb10-4dc6-b065-e8f2c3207af6</v>
      </c>
      <c r="C1634" s="7">
        <f>IFERROR(__xludf.DUMMYFUNCTION("""COMPUTED_VALUE"""),0.0)</f>
        <v>0</v>
      </c>
      <c r="D1634" s="6">
        <f>IFERROR(__xludf.DUMMYFUNCTION("""COMPUTED_VALUE"""),45705.0)</f>
        <v>45705</v>
      </c>
      <c r="E1634" s="7" t="str">
        <f>IFERROR(__xludf.DUMMYFUNCTION("""COMPUTED_VALUE"""),"FRANQUIA_D&amp;G_SP")</f>
        <v>FRANQUIA_D&amp;G_SP</v>
      </c>
      <c r="F1634" s="7" t="str">
        <f>IFERROR(__xludf.DUMMYFUNCTION("""COMPUTED_VALUE"""),"MOTORCYCLE")</f>
        <v>MOTORCYCLE</v>
      </c>
      <c r="G1634" s="7" t="str">
        <f>IFERROR(__xludf.DUMMYFUNCTION("""COMPUTED_VALUE"""),"SAO PAULO")</f>
        <v>SAO PAULO</v>
      </c>
    </row>
    <row r="1635">
      <c r="A1635" s="6">
        <f>IFERROR(__xludf.DUMMYFUNCTION("""COMPUTED_VALUE"""),45705.0)</f>
        <v>45705</v>
      </c>
      <c r="B1635" s="7" t="str">
        <f>IFERROR(__xludf.DUMMYFUNCTION("""COMPUTED_VALUE"""),"d9f9cd6e-0929-4197-9028-d38ab1da80ad")</f>
        <v>d9f9cd6e-0929-4197-9028-d38ab1da80ad</v>
      </c>
      <c r="C1635" s="7">
        <f>IFERROR(__xludf.DUMMYFUNCTION("""COMPUTED_VALUE"""),1.0)</f>
        <v>1</v>
      </c>
      <c r="D1635" s="6">
        <f>IFERROR(__xludf.DUMMYFUNCTION("""COMPUTED_VALUE"""),45704.0)</f>
        <v>45704</v>
      </c>
      <c r="E1635" s="7" t="str">
        <f>IFERROR(__xludf.DUMMYFUNCTION("""COMPUTED_VALUE"""),"FRANQUIA_D&amp;G_SP")</f>
        <v>FRANQUIA_D&amp;G_SP</v>
      </c>
      <c r="F1635" s="7" t="str">
        <f>IFERROR(__xludf.DUMMYFUNCTION("""COMPUTED_VALUE"""),"MOTORCYCLE")</f>
        <v>MOTORCYCLE</v>
      </c>
      <c r="G1635" s="7" t="str">
        <f>IFERROR(__xludf.DUMMYFUNCTION("""COMPUTED_VALUE"""),"SAO PAULO")</f>
        <v>SAO PAULO</v>
      </c>
    </row>
    <row r="1636">
      <c r="A1636" s="6">
        <f>IFERROR(__xludf.DUMMYFUNCTION("""COMPUTED_VALUE"""),45705.0)</f>
        <v>45705</v>
      </c>
      <c r="B1636" s="7" t="str">
        <f>IFERROR(__xludf.DUMMYFUNCTION("""COMPUTED_VALUE"""),"43ab56f9-1749-4276-bdaa-3c4ec82766f3")</f>
        <v>43ab56f9-1749-4276-bdaa-3c4ec82766f3</v>
      </c>
      <c r="C1636" s="7">
        <f>IFERROR(__xludf.DUMMYFUNCTION("""COMPUTED_VALUE"""),3.0)</f>
        <v>3</v>
      </c>
      <c r="D1636" s="6">
        <f>IFERROR(__xludf.DUMMYFUNCTION("""COMPUTED_VALUE"""),45702.0)</f>
        <v>45702</v>
      </c>
      <c r="E1636" s="7" t="str">
        <f>IFERROR(__xludf.DUMMYFUNCTION("""COMPUTED_VALUE"""),"FRANQUIA_D&amp;G_SP")</f>
        <v>FRANQUIA_D&amp;G_SP</v>
      </c>
      <c r="F1636" s="7" t="str">
        <f>IFERROR(__xludf.DUMMYFUNCTION("""COMPUTED_VALUE"""),"MOTORCYCLE")</f>
        <v>MOTORCYCLE</v>
      </c>
      <c r="G1636" s="7" t="str">
        <f>IFERROR(__xludf.DUMMYFUNCTION("""COMPUTED_VALUE"""),"SAO PAULO")</f>
        <v>SAO PAULO</v>
      </c>
    </row>
    <row r="1637">
      <c r="A1637" s="6">
        <f>IFERROR(__xludf.DUMMYFUNCTION("""COMPUTED_VALUE"""),45705.0)</f>
        <v>45705</v>
      </c>
      <c r="B1637" s="7" t="str">
        <f>IFERROR(__xludf.DUMMYFUNCTION("""COMPUTED_VALUE"""),"a4f26dd4-8f36-48a7-b97d-d94df10535ab")</f>
        <v>a4f26dd4-8f36-48a7-b97d-d94df10535ab</v>
      </c>
      <c r="C1637" s="7">
        <f>IFERROR(__xludf.DUMMYFUNCTION("""COMPUTED_VALUE"""),103.0)</f>
        <v>103</v>
      </c>
      <c r="D1637" s="6">
        <f>IFERROR(__xludf.DUMMYFUNCTION("""COMPUTED_VALUE"""),45602.0)</f>
        <v>45602</v>
      </c>
      <c r="E1637" s="7" t="str">
        <f>IFERROR(__xludf.DUMMYFUNCTION("""COMPUTED_VALUE"""),"FRANQUIA_D&amp;G_SP")</f>
        <v>FRANQUIA_D&amp;G_SP</v>
      </c>
      <c r="F1637" s="7" t="str">
        <f>IFERROR(__xludf.DUMMYFUNCTION("""COMPUTED_VALUE"""),"MOTORCYCLE")</f>
        <v>MOTORCYCLE</v>
      </c>
      <c r="G1637" s="7" t="str">
        <f>IFERROR(__xludf.DUMMYFUNCTION("""COMPUTED_VALUE"""),"SAO PAULO")</f>
        <v>SAO PAULO</v>
      </c>
    </row>
    <row r="1638">
      <c r="A1638" s="6">
        <f>IFERROR(__xludf.DUMMYFUNCTION("""COMPUTED_VALUE"""),45705.0)</f>
        <v>45705</v>
      </c>
      <c r="B1638" s="7" t="str">
        <f>IFERROR(__xludf.DUMMYFUNCTION("""COMPUTED_VALUE"""),"b43ed0fc-54b9-4531-9910-6ebdc78749ff")</f>
        <v>b43ed0fc-54b9-4531-9910-6ebdc78749ff</v>
      </c>
      <c r="C1638" s="7">
        <f>IFERROR(__xludf.DUMMYFUNCTION("""COMPUTED_VALUE"""),2.0)</f>
        <v>2</v>
      </c>
      <c r="D1638" s="6">
        <f>IFERROR(__xludf.DUMMYFUNCTION("""COMPUTED_VALUE"""),45703.0)</f>
        <v>45703</v>
      </c>
      <c r="E1638" s="7" t="str">
        <f>IFERROR(__xludf.DUMMYFUNCTION("""COMPUTED_VALUE"""),"FRANQUIA_D&amp;G_SP")</f>
        <v>FRANQUIA_D&amp;G_SP</v>
      </c>
      <c r="F1638" s="7" t="str">
        <f>IFERROR(__xludf.DUMMYFUNCTION("""COMPUTED_VALUE"""),"MOTORCYCLE")</f>
        <v>MOTORCYCLE</v>
      </c>
      <c r="G1638" s="7" t="str">
        <f>IFERROR(__xludf.DUMMYFUNCTION("""COMPUTED_VALUE"""),"SAO PAULO")</f>
        <v>SAO PAULO</v>
      </c>
    </row>
    <row r="1639">
      <c r="A1639" s="6">
        <f>IFERROR(__xludf.DUMMYFUNCTION("""COMPUTED_VALUE"""),45705.0)</f>
        <v>45705</v>
      </c>
      <c r="B1639" s="7" t="str">
        <f>IFERROR(__xludf.DUMMYFUNCTION("""COMPUTED_VALUE"""),"3f183e6a-ad22-4c8b-baad-7d7f44ad7495")</f>
        <v>3f183e6a-ad22-4c8b-baad-7d7f44ad7495</v>
      </c>
      <c r="C1639" s="7">
        <f>IFERROR(__xludf.DUMMYFUNCTION("""COMPUTED_VALUE"""),1.0)</f>
        <v>1</v>
      </c>
      <c r="D1639" s="6">
        <f>IFERROR(__xludf.DUMMYFUNCTION("""COMPUTED_VALUE"""),45704.0)</f>
        <v>45704</v>
      </c>
      <c r="E1639" s="7" t="str">
        <f>IFERROR(__xludf.DUMMYFUNCTION("""COMPUTED_VALUE"""),"FRANQUIA_D&amp;G_SP")</f>
        <v>FRANQUIA_D&amp;G_SP</v>
      </c>
      <c r="F1639" s="7" t="str">
        <f>IFERROR(__xludf.DUMMYFUNCTION("""COMPUTED_VALUE"""),"MOTORCYCLE")</f>
        <v>MOTORCYCLE</v>
      </c>
      <c r="G1639" s="7" t="str">
        <f>IFERROR(__xludf.DUMMYFUNCTION("""COMPUTED_VALUE"""),"SAO PAULO")</f>
        <v>SAO PAULO</v>
      </c>
    </row>
    <row r="1640">
      <c r="A1640" s="6">
        <f>IFERROR(__xludf.DUMMYFUNCTION("""COMPUTED_VALUE"""),45705.0)</f>
        <v>45705</v>
      </c>
      <c r="B1640" s="7" t="str">
        <f>IFERROR(__xludf.DUMMYFUNCTION("""COMPUTED_VALUE"""),"d0ffc2bf-d0e4-402e-b648-e415186ee051")</f>
        <v>d0ffc2bf-d0e4-402e-b648-e415186ee051</v>
      </c>
      <c r="C1640" s="7">
        <f>IFERROR(__xludf.DUMMYFUNCTION("""COMPUTED_VALUE"""),301.0)</f>
        <v>301</v>
      </c>
      <c r="D1640" s="6">
        <f>IFERROR(__xludf.DUMMYFUNCTION("""COMPUTED_VALUE"""),45404.0)</f>
        <v>45404</v>
      </c>
      <c r="E1640" s="7" t="str">
        <f>IFERROR(__xludf.DUMMYFUNCTION("""COMPUTED_VALUE"""),"FRANQUIA_D&amp;G_SP")</f>
        <v>FRANQUIA_D&amp;G_SP</v>
      </c>
      <c r="F1640" s="7" t="str">
        <f>IFERROR(__xludf.DUMMYFUNCTION("""COMPUTED_VALUE"""),"MOTORCYCLE")</f>
        <v>MOTORCYCLE</v>
      </c>
      <c r="G1640" s="7" t="str">
        <f>IFERROR(__xludf.DUMMYFUNCTION("""COMPUTED_VALUE"""),"SAO PAULO")</f>
        <v>SAO PAULO</v>
      </c>
    </row>
    <row r="1641">
      <c r="A1641" s="6">
        <f>IFERROR(__xludf.DUMMYFUNCTION("""COMPUTED_VALUE"""),45705.0)</f>
        <v>45705</v>
      </c>
      <c r="B1641" s="7" t="str">
        <f>IFERROR(__xludf.DUMMYFUNCTION("""COMPUTED_VALUE"""),"cb736d90-30d8-49c9-aa88-477f7456bc30")</f>
        <v>cb736d90-30d8-49c9-aa88-477f7456bc30</v>
      </c>
      <c r="C1641" s="7">
        <f>IFERROR(__xludf.DUMMYFUNCTION("""COMPUTED_VALUE"""),0.0)</f>
        <v>0</v>
      </c>
      <c r="D1641" s="6">
        <f>IFERROR(__xludf.DUMMYFUNCTION("""COMPUTED_VALUE"""),45705.0)</f>
        <v>45705</v>
      </c>
      <c r="E1641" s="7" t="str">
        <f>IFERROR(__xludf.DUMMYFUNCTION("""COMPUTED_VALUE"""),"FRANQUIA_D&amp;G_SP")</f>
        <v>FRANQUIA_D&amp;G_SP</v>
      </c>
      <c r="F1641" s="7" t="str">
        <f>IFERROR(__xludf.DUMMYFUNCTION("""COMPUTED_VALUE"""),"MOTORCYCLE")</f>
        <v>MOTORCYCLE</v>
      </c>
      <c r="G1641" s="7" t="str">
        <f>IFERROR(__xludf.DUMMYFUNCTION("""COMPUTED_VALUE"""),"SAO PAULO")</f>
        <v>SAO PAULO</v>
      </c>
    </row>
    <row r="1642">
      <c r="A1642" s="6">
        <f>IFERROR(__xludf.DUMMYFUNCTION("""COMPUTED_VALUE"""),45705.0)</f>
        <v>45705</v>
      </c>
      <c r="B1642" s="7" t="str">
        <f>IFERROR(__xludf.DUMMYFUNCTION("""COMPUTED_VALUE"""),"9d650903-50f3-4d9b-9ccb-3896198d6b53")</f>
        <v>9d650903-50f3-4d9b-9ccb-3896198d6b53</v>
      </c>
      <c r="C1642" s="7">
        <f>IFERROR(__xludf.DUMMYFUNCTION("""COMPUTED_VALUE"""),2.0)</f>
        <v>2</v>
      </c>
      <c r="D1642" s="6">
        <f>IFERROR(__xludf.DUMMYFUNCTION("""COMPUTED_VALUE"""),45703.0)</f>
        <v>45703</v>
      </c>
      <c r="E1642" s="7" t="str">
        <f>IFERROR(__xludf.DUMMYFUNCTION("""COMPUTED_VALUE"""),"FRANQUIA_D&amp;G_SP")</f>
        <v>FRANQUIA_D&amp;G_SP</v>
      </c>
      <c r="F1642" s="7" t="str">
        <f>IFERROR(__xludf.DUMMYFUNCTION("""COMPUTED_VALUE"""),"EMOTORCYCLE")</f>
        <v>EMOTORCYCLE</v>
      </c>
      <c r="G1642" s="7" t="str">
        <f>IFERROR(__xludf.DUMMYFUNCTION("""COMPUTED_VALUE"""),"SAO PAULO")</f>
        <v>SAO PAULO</v>
      </c>
    </row>
    <row r="1643">
      <c r="A1643" s="6">
        <f>IFERROR(__xludf.DUMMYFUNCTION("""COMPUTED_VALUE"""),45705.0)</f>
        <v>45705</v>
      </c>
      <c r="B1643" s="7" t="str">
        <f>IFERROR(__xludf.DUMMYFUNCTION("""COMPUTED_VALUE"""),"45ba7566-bda0-4810-abc3-5300f6d8b206")</f>
        <v>45ba7566-bda0-4810-abc3-5300f6d8b206</v>
      </c>
      <c r="C1643" s="7">
        <f>IFERROR(__xludf.DUMMYFUNCTION("""COMPUTED_VALUE"""),61.0)</f>
        <v>61</v>
      </c>
      <c r="D1643" s="6">
        <f>IFERROR(__xludf.DUMMYFUNCTION("""COMPUTED_VALUE"""),45644.0)</f>
        <v>45644</v>
      </c>
      <c r="E1643" s="7" t="str">
        <f>IFERROR(__xludf.DUMMYFUNCTION("""COMPUTED_VALUE"""),"FRANQUIA_D&amp;G_SP")</f>
        <v>FRANQUIA_D&amp;G_SP</v>
      </c>
      <c r="F1643" s="7" t="str">
        <f>IFERROR(__xludf.DUMMYFUNCTION("""COMPUTED_VALUE"""),"BICYCLE")</f>
        <v>BICYCLE</v>
      </c>
      <c r="G1643" s="7" t="str">
        <f>IFERROR(__xludf.DUMMYFUNCTION("""COMPUTED_VALUE"""),"SAO PAULO")</f>
        <v>SAO PAULO</v>
      </c>
    </row>
    <row r="1644">
      <c r="A1644" s="6">
        <f>IFERROR(__xludf.DUMMYFUNCTION("""COMPUTED_VALUE"""),45705.0)</f>
        <v>45705</v>
      </c>
      <c r="B1644" s="7" t="str">
        <f>IFERROR(__xludf.DUMMYFUNCTION("""COMPUTED_VALUE"""),"e5c043d7-fb5f-448d-91f8-123c67bff7e5")</f>
        <v>e5c043d7-fb5f-448d-91f8-123c67bff7e5</v>
      </c>
      <c r="C1644" s="7">
        <f>IFERROR(__xludf.DUMMYFUNCTION("""COMPUTED_VALUE"""),0.0)</f>
        <v>0</v>
      </c>
      <c r="D1644" s="6">
        <f>IFERROR(__xludf.DUMMYFUNCTION("""COMPUTED_VALUE"""),45705.0)</f>
        <v>45705</v>
      </c>
      <c r="E1644" s="7" t="str">
        <f>IFERROR(__xludf.DUMMYFUNCTION("""COMPUTED_VALUE"""),"FRANQUIA_D&amp;G_SP")</f>
        <v>FRANQUIA_D&amp;G_SP</v>
      </c>
      <c r="F1644" s="7" t="str">
        <f>IFERROR(__xludf.DUMMYFUNCTION("""COMPUTED_VALUE"""),"EBIKE")</f>
        <v>EBIKE</v>
      </c>
      <c r="G1644" s="7" t="str">
        <f>IFERROR(__xludf.DUMMYFUNCTION("""COMPUTED_VALUE"""),"SAO PAULO")</f>
        <v>SAO PAULO</v>
      </c>
    </row>
    <row r="1645">
      <c r="A1645" s="6">
        <f>IFERROR(__xludf.DUMMYFUNCTION("""COMPUTED_VALUE"""),45705.0)</f>
        <v>45705</v>
      </c>
      <c r="B1645" s="7" t="str">
        <f>IFERROR(__xludf.DUMMYFUNCTION("""COMPUTED_VALUE"""),"f97d77fd-d8f9-4680-8e1c-748aab527d52")</f>
        <v>f97d77fd-d8f9-4680-8e1c-748aab527d52</v>
      </c>
      <c r="C1645" s="7">
        <f>IFERROR(__xludf.DUMMYFUNCTION("""COMPUTED_VALUE"""),0.0)</f>
        <v>0</v>
      </c>
      <c r="D1645" s="6">
        <f>IFERROR(__xludf.DUMMYFUNCTION("""COMPUTED_VALUE"""),45705.0)</f>
        <v>45705</v>
      </c>
      <c r="E1645" s="7" t="str">
        <f>IFERROR(__xludf.DUMMYFUNCTION("""COMPUTED_VALUE"""),"FRANQUIA_D&amp;G_SP")</f>
        <v>FRANQUIA_D&amp;G_SP</v>
      </c>
      <c r="F1645" s="7" t="str">
        <f>IFERROR(__xludf.DUMMYFUNCTION("""COMPUTED_VALUE"""),"BICYCLE")</f>
        <v>BICYCLE</v>
      </c>
      <c r="G1645" s="7" t="str">
        <f>IFERROR(__xludf.DUMMYFUNCTION("""COMPUTED_VALUE"""),"SAO PAULO")</f>
        <v>SAO PAULO</v>
      </c>
    </row>
    <row r="1646">
      <c r="A1646" s="6">
        <f>IFERROR(__xludf.DUMMYFUNCTION("""COMPUTED_VALUE"""),45705.0)</f>
        <v>45705</v>
      </c>
      <c r="B1646" s="7" t="str">
        <f>IFERROR(__xludf.DUMMYFUNCTION("""COMPUTED_VALUE"""),"a5e0f007-bed2-4eab-9792-d1f6a6fff9f1")</f>
        <v>a5e0f007-bed2-4eab-9792-d1f6a6fff9f1</v>
      </c>
      <c r="C1646" s="7">
        <f>IFERROR(__xludf.DUMMYFUNCTION("""COMPUTED_VALUE"""),0.0)</f>
        <v>0</v>
      </c>
      <c r="D1646" s="6">
        <f>IFERROR(__xludf.DUMMYFUNCTION("""COMPUTED_VALUE"""),45705.0)</f>
        <v>45705</v>
      </c>
      <c r="E1646" s="7" t="str">
        <f>IFERROR(__xludf.DUMMYFUNCTION("""COMPUTED_VALUE"""),"FRANQUIA_D&amp;G_SP")</f>
        <v>FRANQUIA_D&amp;G_SP</v>
      </c>
      <c r="F1646" s="7" t="str">
        <f>IFERROR(__xludf.DUMMYFUNCTION("""COMPUTED_VALUE"""),"BICYCLE")</f>
        <v>BICYCLE</v>
      </c>
      <c r="G1646" s="7" t="str">
        <f>IFERROR(__xludf.DUMMYFUNCTION("""COMPUTED_VALUE"""),"SAO PAULO")</f>
        <v>SAO PAULO</v>
      </c>
    </row>
    <row r="1647">
      <c r="A1647" s="6">
        <f>IFERROR(__xludf.DUMMYFUNCTION("""COMPUTED_VALUE"""),45705.0)</f>
        <v>45705</v>
      </c>
      <c r="B1647" s="7" t="str">
        <f>IFERROR(__xludf.DUMMYFUNCTION("""COMPUTED_VALUE"""),"27ea4fba-e0c3-40fd-a519-2f3d7367eeb2")</f>
        <v>27ea4fba-e0c3-40fd-a519-2f3d7367eeb2</v>
      </c>
      <c r="C1647" s="7">
        <f>IFERROR(__xludf.DUMMYFUNCTION("""COMPUTED_VALUE"""),0.0)</f>
        <v>0</v>
      </c>
      <c r="D1647" s="6">
        <f>IFERROR(__xludf.DUMMYFUNCTION("""COMPUTED_VALUE"""),45705.0)</f>
        <v>45705</v>
      </c>
      <c r="E1647" s="7" t="str">
        <f>IFERROR(__xludf.DUMMYFUNCTION("""COMPUTED_VALUE"""),"FRANQUIA_D&amp;G_SP")</f>
        <v>FRANQUIA_D&amp;G_SP</v>
      </c>
      <c r="F1647" s="7" t="str">
        <f>IFERROR(__xludf.DUMMYFUNCTION("""COMPUTED_VALUE"""),"BICYCLE")</f>
        <v>BICYCLE</v>
      </c>
      <c r="G1647" s="7" t="str">
        <f>IFERROR(__xludf.DUMMYFUNCTION("""COMPUTED_VALUE"""),"SAO PAULO")</f>
        <v>SAO PAULO</v>
      </c>
    </row>
    <row r="1648">
      <c r="A1648" s="6">
        <f>IFERROR(__xludf.DUMMYFUNCTION("""COMPUTED_VALUE"""),45705.0)</f>
        <v>45705</v>
      </c>
      <c r="B1648" s="7" t="str">
        <f>IFERROR(__xludf.DUMMYFUNCTION("""COMPUTED_VALUE"""),"00faacc6-a99c-43f4-9742-3b128faab657")</f>
        <v>00faacc6-a99c-43f4-9742-3b128faab657</v>
      </c>
      <c r="C1648" s="7">
        <f>IFERROR(__xludf.DUMMYFUNCTION("""COMPUTED_VALUE"""),0.0)</f>
        <v>0</v>
      </c>
      <c r="D1648" s="6">
        <f>IFERROR(__xludf.DUMMYFUNCTION("""COMPUTED_VALUE"""),0.0)</f>
        <v>0</v>
      </c>
      <c r="E1648" s="7" t="str">
        <f>IFERROR(__xludf.DUMMYFUNCTION("""COMPUTED_VALUE"""),"FRANQUIA_D&amp;G_SP")</f>
        <v>FRANQUIA_D&amp;G_SP</v>
      </c>
      <c r="F1648" s="7" t="str">
        <f>IFERROR(__xludf.DUMMYFUNCTION("""COMPUTED_VALUE"""),"BICYCLE")</f>
        <v>BICYCLE</v>
      </c>
      <c r="G1648" s="7" t="str">
        <f>IFERROR(__xludf.DUMMYFUNCTION("""COMPUTED_VALUE"""),"0")</f>
        <v>0</v>
      </c>
    </row>
    <row r="1649">
      <c r="A1649" s="6">
        <f>IFERROR(__xludf.DUMMYFUNCTION("""COMPUTED_VALUE"""),45705.0)</f>
        <v>45705</v>
      </c>
      <c r="B1649" s="7" t="str">
        <f>IFERROR(__xludf.DUMMYFUNCTION("""COMPUTED_VALUE"""),"23ca7f51-66c0-4531-b9bf-93ca30f7f65c")</f>
        <v>23ca7f51-66c0-4531-b9bf-93ca30f7f65c</v>
      </c>
      <c r="C1649" s="7">
        <f>IFERROR(__xludf.DUMMYFUNCTION("""COMPUTED_VALUE"""),0.0)</f>
        <v>0</v>
      </c>
      <c r="D1649" s="6">
        <f>IFERROR(__xludf.DUMMYFUNCTION("""COMPUTED_VALUE"""),0.0)</f>
        <v>0</v>
      </c>
      <c r="E1649" s="7" t="str">
        <f>IFERROR(__xludf.DUMMYFUNCTION("""COMPUTED_VALUE"""),"FRANQUIA_D&amp;G_SP")</f>
        <v>FRANQUIA_D&amp;G_SP</v>
      </c>
      <c r="F1649" s="7" t="str">
        <f>IFERROR(__xludf.DUMMYFUNCTION("""COMPUTED_VALUE"""),"MOTORCYCLE")</f>
        <v>MOTORCYCLE</v>
      </c>
      <c r="G1649" s="7" t="str">
        <f>IFERROR(__xludf.DUMMYFUNCTION("""COMPUTED_VALUE"""),"0")</f>
        <v>0</v>
      </c>
    </row>
    <row r="1650">
      <c r="A1650" s="6">
        <f>IFERROR(__xludf.DUMMYFUNCTION("""COMPUTED_VALUE"""),45705.0)</f>
        <v>45705</v>
      </c>
      <c r="B1650" s="7" t="str">
        <f>IFERROR(__xludf.DUMMYFUNCTION("""COMPUTED_VALUE"""),"c30a0965-d9f4-49a4-959b-438ee335725a")</f>
        <v>c30a0965-d9f4-49a4-959b-438ee335725a</v>
      </c>
      <c r="C1650" s="7">
        <f>IFERROR(__xludf.DUMMYFUNCTION("""COMPUTED_VALUE"""),228.0)</f>
        <v>228</v>
      </c>
      <c r="D1650" s="6">
        <f>IFERROR(__xludf.DUMMYFUNCTION("""COMPUTED_VALUE"""),45477.0)</f>
        <v>45477</v>
      </c>
      <c r="E1650" s="7" t="str">
        <f>IFERROR(__xludf.DUMMYFUNCTION("""COMPUTED_VALUE"""),"FRANQUIA_D&amp;G_SP")</f>
        <v>FRANQUIA_D&amp;G_SP</v>
      </c>
      <c r="F1650" s="7" t="str">
        <f>IFERROR(__xludf.DUMMYFUNCTION("""COMPUTED_VALUE"""),"MOTORCYCLE")</f>
        <v>MOTORCYCLE</v>
      </c>
      <c r="G1650" s="7" t="str">
        <f>IFERROR(__xludf.DUMMYFUNCTION("""COMPUTED_VALUE"""),"SAO PAULO")</f>
        <v>SAO PAULO</v>
      </c>
    </row>
    <row r="1651">
      <c r="A1651" s="6">
        <f>IFERROR(__xludf.DUMMYFUNCTION("""COMPUTED_VALUE"""),45705.0)</f>
        <v>45705</v>
      </c>
      <c r="B1651" s="7" t="str">
        <f>IFERROR(__xludf.DUMMYFUNCTION("""COMPUTED_VALUE"""),"c0c240b1-a22d-43fd-9283-7802862102c8")</f>
        <v>c0c240b1-a22d-43fd-9283-7802862102c8</v>
      </c>
      <c r="C1651" s="7">
        <f>IFERROR(__xludf.DUMMYFUNCTION("""COMPUTED_VALUE"""),0.0)</f>
        <v>0</v>
      </c>
      <c r="D1651" s="6">
        <f>IFERROR(__xludf.DUMMYFUNCTION("""COMPUTED_VALUE"""),45705.0)</f>
        <v>45705</v>
      </c>
      <c r="E1651" s="7" t="str">
        <f>IFERROR(__xludf.DUMMYFUNCTION("""COMPUTED_VALUE"""),"FRANQUIA_D&amp;G_SP")</f>
        <v>FRANQUIA_D&amp;G_SP</v>
      </c>
      <c r="F1651" s="7" t="str">
        <f>IFERROR(__xludf.DUMMYFUNCTION("""COMPUTED_VALUE"""),"MOTORCYCLE")</f>
        <v>MOTORCYCLE</v>
      </c>
      <c r="G1651" s="7" t="str">
        <f>IFERROR(__xludf.DUMMYFUNCTION("""COMPUTED_VALUE"""),"SAO PAULO")</f>
        <v>SAO PAULO</v>
      </c>
    </row>
    <row r="1652">
      <c r="A1652" s="6">
        <f>IFERROR(__xludf.DUMMYFUNCTION("""COMPUTED_VALUE"""),45705.0)</f>
        <v>45705</v>
      </c>
      <c r="B1652" s="7" t="str">
        <f>IFERROR(__xludf.DUMMYFUNCTION("""COMPUTED_VALUE"""),"fa010dcf-3035-418a-89e3-0f37f7114883")</f>
        <v>fa010dcf-3035-418a-89e3-0f37f7114883</v>
      </c>
      <c r="C1652" s="7">
        <f>IFERROR(__xludf.DUMMYFUNCTION("""COMPUTED_VALUE"""),0.0)</f>
        <v>0</v>
      </c>
      <c r="D1652" s="6">
        <f>IFERROR(__xludf.DUMMYFUNCTION("""COMPUTED_VALUE"""),45705.0)</f>
        <v>45705</v>
      </c>
      <c r="E1652" s="7" t="str">
        <f>IFERROR(__xludf.DUMMYFUNCTION("""COMPUTED_VALUE"""),"FRANQUIA_D&amp;G_SP")</f>
        <v>FRANQUIA_D&amp;G_SP</v>
      </c>
      <c r="F1652" s="7" t="str">
        <f>IFERROR(__xludf.DUMMYFUNCTION("""COMPUTED_VALUE"""),"MOTORCYCLE")</f>
        <v>MOTORCYCLE</v>
      </c>
      <c r="G1652" s="7" t="str">
        <f>IFERROR(__xludf.DUMMYFUNCTION("""COMPUTED_VALUE"""),"SAO PAULO")</f>
        <v>SAO PAULO</v>
      </c>
    </row>
    <row r="1653">
      <c r="A1653" s="6">
        <f>IFERROR(__xludf.DUMMYFUNCTION("""COMPUTED_VALUE"""),45705.0)</f>
        <v>45705</v>
      </c>
      <c r="B1653" s="7" t="str">
        <f>IFERROR(__xludf.DUMMYFUNCTION("""COMPUTED_VALUE"""),"2340278b-c0c2-4108-a65f-2931495a7356")</f>
        <v>2340278b-c0c2-4108-a65f-2931495a7356</v>
      </c>
      <c r="C1653" s="7">
        <f>IFERROR(__xludf.DUMMYFUNCTION("""COMPUTED_VALUE"""),180.0)</f>
        <v>180</v>
      </c>
      <c r="D1653" s="6">
        <f>IFERROR(__xludf.DUMMYFUNCTION("""COMPUTED_VALUE"""),45525.0)</f>
        <v>45525</v>
      </c>
      <c r="E1653" s="7" t="str">
        <f>IFERROR(__xludf.DUMMYFUNCTION("""COMPUTED_VALUE"""),"FRANQUIA_D&amp;G_SP")</f>
        <v>FRANQUIA_D&amp;G_SP</v>
      </c>
      <c r="F1653" s="7" t="str">
        <f>IFERROR(__xludf.DUMMYFUNCTION("""COMPUTED_VALUE"""),"MOTORCYCLE")</f>
        <v>MOTORCYCLE</v>
      </c>
      <c r="G1653" s="7" t="str">
        <f>IFERROR(__xludf.DUMMYFUNCTION("""COMPUTED_VALUE"""),"SAO PAULO")</f>
        <v>SAO PAULO</v>
      </c>
    </row>
    <row r="1654">
      <c r="A1654" s="6">
        <f>IFERROR(__xludf.DUMMYFUNCTION("""COMPUTED_VALUE"""),45705.0)</f>
        <v>45705</v>
      </c>
      <c r="B1654" s="7" t="str">
        <f>IFERROR(__xludf.DUMMYFUNCTION("""COMPUTED_VALUE"""),"58f62734-7ed8-4663-b673-c9c726b1bf00")</f>
        <v>58f62734-7ed8-4663-b673-c9c726b1bf00</v>
      </c>
      <c r="C1654" s="7">
        <f>IFERROR(__xludf.DUMMYFUNCTION("""COMPUTED_VALUE"""),0.0)</f>
        <v>0</v>
      </c>
      <c r="D1654" s="6">
        <f>IFERROR(__xludf.DUMMYFUNCTION("""COMPUTED_VALUE"""),45705.0)</f>
        <v>45705</v>
      </c>
      <c r="E1654" s="7" t="str">
        <f>IFERROR(__xludf.DUMMYFUNCTION("""COMPUTED_VALUE"""),"FRANQUIA_D&amp;G_SP")</f>
        <v>FRANQUIA_D&amp;G_SP</v>
      </c>
      <c r="F1654" s="7" t="str">
        <f>IFERROR(__xludf.DUMMYFUNCTION("""COMPUTED_VALUE"""),"MOTORCYCLE")</f>
        <v>MOTORCYCLE</v>
      </c>
      <c r="G1654" s="7" t="str">
        <f>IFERROR(__xludf.DUMMYFUNCTION("""COMPUTED_VALUE"""),"ABC")</f>
        <v>ABC</v>
      </c>
    </row>
    <row r="1655">
      <c r="A1655" s="6">
        <f>IFERROR(__xludf.DUMMYFUNCTION("""COMPUTED_VALUE"""),45705.0)</f>
        <v>45705</v>
      </c>
      <c r="B1655" s="7" t="str">
        <f>IFERROR(__xludf.DUMMYFUNCTION("""COMPUTED_VALUE"""),"6a851f5e-604e-4ae0-b246-a04cf727a6e5")</f>
        <v>6a851f5e-604e-4ae0-b246-a04cf727a6e5</v>
      </c>
      <c r="C1655" s="7">
        <f>IFERROR(__xludf.DUMMYFUNCTION("""COMPUTED_VALUE"""),18.0)</f>
        <v>18</v>
      </c>
      <c r="D1655" s="6">
        <f>IFERROR(__xludf.DUMMYFUNCTION("""COMPUTED_VALUE"""),45687.0)</f>
        <v>45687</v>
      </c>
      <c r="E1655" s="7" t="str">
        <f>IFERROR(__xludf.DUMMYFUNCTION("""COMPUTED_VALUE"""),"FRANQUIA_D&amp;G_SP")</f>
        <v>FRANQUIA_D&amp;G_SP</v>
      </c>
      <c r="F1655" s="7" t="str">
        <f>IFERROR(__xludf.DUMMYFUNCTION("""COMPUTED_VALUE"""),"BICYCLE")</f>
        <v>BICYCLE</v>
      </c>
      <c r="G1655" s="7" t="str">
        <f>IFERROR(__xludf.DUMMYFUNCTION("""COMPUTED_VALUE"""),"SAO PAULO")</f>
        <v>SAO PAULO</v>
      </c>
    </row>
    <row r="1656">
      <c r="A1656" s="6">
        <f>IFERROR(__xludf.DUMMYFUNCTION("""COMPUTED_VALUE"""),45705.0)</f>
        <v>45705</v>
      </c>
      <c r="B1656" s="7" t="str">
        <f>IFERROR(__xludf.DUMMYFUNCTION("""COMPUTED_VALUE"""),"7a59c99f-aea9-4d6e-b5e0-61680697f0ed")</f>
        <v>7a59c99f-aea9-4d6e-b5e0-61680697f0ed</v>
      </c>
      <c r="C1656" s="7">
        <f>IFERROR(__xludf.DUMMYFUNCTION("""COMPUTED_VALUE"""),2.0)</f>
        <v>2</v>
      </c>
      <c r="D1656" s="6">
        <f>IFERROR(__xludf.DUMMYFUNCTION("""COMPUTED_VALUE"""),45703.0)</f>
        <v>45703</v>
      </c>
      <c r="E1656" s="7" t="str">
        <f>IFERROR(__xludf.DUMMYFUNCTION("""COMPUTED_VALUE"""),"FRANQUIA_D&amp;G_SP")</f>
        <v>FRANQUIA_D&amp;G_SP</v>
      </c>
      <c r="F1656" s="7" t="str">
        <f>IFERROR(__xludf.DUMMYFUNCTION("""COMPUTED_VALUE"""),"MOTORCYCLE")</f>
        <v>MOTORCYCLE</v>
      </c>
      <c r="G1656" s="7" t="str">
        <f>IFERROR(__xludf.DUMMYFUNCTION("""COMPUTED_VALUE"""),"SAO PAULO")</f>
        <v>SAO PAULO</v>
      </c>
    </row>
    <row r="1657">
      <c r="A1657" s="6">
        <f>IFERROR(__xludf.DUMMYFUNCTION("""COMPUTED_VALUE"""),45705.0)</f>
        <v>45705</v>
      </c>
      <c r="B1657" s="7" t="str">
        <f>IFERROR(__xludf.DUMMYFUNCTION("""COMPUTED_VALUE"""),"94856eaf-e191-48d9-a22e-b65cab0ba48e")</f>
        <v>94856eaf-e191-48d9-a22e-b65cab0ba48e</v>
      </c>
      <c r="C1657" s="7">
        <f>IFERROR(__xludf.DUMMYFUNCTION("""COMPUTED_VALUE"""),0.0)</f>
        <v>0</v>
      </c>
      <c r="D1657" s="6">
        <f>IFERROR(__xludf.DUMMYFUNCTION("""COMPUTED_VALUE"""),45705.0)</f>
        <v>45705</v>
      </c>
      <c r="E1657" s="7" t="str">
        <f>IFERROR(__xludf.DUMMYFUNCTION("""COMPUTED_VALUE"""),"FRANQUIA_D&amp;G_SP")</f>
        <v>FRANQUIA_D&amp;G_SP</v>
      </c>
      <c r="F1657" s="7" t="str">
        <f>IFERROR(__xludf.DUMMYFUNCTION("""COMPUTED_VALUE"""),"BICYCLE")</f>
        <v>BICYCLE</v>
      </c>
      <c r="G1657" s="7" t="str">
        <f>IFERROR(__xludf.DUMMYFUNCTION("""COMPUTED_VALUE"""),"SAO PAULO")</f>
        <v>SAO PAULO</v>
      </c>
    </row>
    <row r="1658">
      <c r="A1658" s="6">
        <f>IFERROR(__xludf.DUMMYFUNCTION("""COMPUTED_VALUE"""),45705.0)</f>
        <v>45705</v>
      </c>
      <c r="B1658" s="7" t="str">
        <f>IFERROR(__xludf.DUMMYFUNCTION("""COMPUTED_VALUE"""),"b98770a4-ab16-45a8-9556-a251d2ea4cef")</f>
        <v>b98770a4-ab16-45a8-9556-a251d2ea4cef</v>
      </c>
      <c r="C1658" s="7">
        <f>IFERROR(__xludf.DUMMYFUNCTION("""COMPUTED_VALUE"""),117.0)</f>
        <v>117</v>
      </c>
      <c r="D1658" s="6">
        <f>IFERROR(__xludf.DUMMYFUNCTION("""COMPUTED_VALUE"""),45588.0)</f>
        <v>45588</v>
      </c>
      <c r="E1658" s="7" t="str">
        <f>IFERROR(__xludf.DUMMYFUNCTION("""COMPUTED_VALUE"""),"FRANQUIA_D&amp;G_SP")</f>
        <v>FRANQUIA_D&amp;G_SP</v>
      </c>
      <c r="F1658" s="7" t="str">
        <f>IFERROR(__xludf.DUMMYFUNCTION("""COMPUTED_VALUE"""),"BICYCLE")</f>
        <v>BICYCLE</v>
      </c>
      <c r="G1658" s="7" t="str">
        <f>IFERROR(__xludf.DUMMYFUNCTION("""COMPUTED_VALUE"""),"SAO PAULO")</f>
        <v>SAO PAULO</v>
      </c>
    </row>
    <row r="1659">
      <c r="A1659" s="6">
        <f>IFERROR(__xludf.DUMMYFUNCTION("""COMPUTED_VALUE"""),45705.0)</f>
        <v>45705</v>
      </c>
      <c r="B1659" s="7" t="str">
        <f>IFERROR(__xludf.DUMMYFUNCTION("""COMPUTED_VALUE"""),"4f18db6a-22d8-4bf1-8392-6272b8486049")</f>
        <v>4f18db6a-22d8-4bf1-8392-6272b8486049</v>
      </c>
      <c r="C1659" s="7">
        <f>IFERROR(__xludf.DUMMYFUNCTION("""COMPUTED_VALUE"""),0.0)</f>
        <v>0</v>
      </c>
      <c r="D1659" s="6">
        <f>IFERROR(__xludf.DUMMYFUNCTION("""COMPUTED_VALUE"""),45705.0)</f>
        <v>45705</v>
      </c>
      <c r="E1659" s="7" t="str">
        <f>IFERROR(__xludf.DUMMYFUNCTION("""COMPUTED_VALUE"""),"FRANQUIA_D&amp;G_SP")</f>
        <v>FRANQUIA_D&amp;G_SP</v>
      </c>
      <c r="F1659" s="7" t="str">
        <f>IFERROR(__xludf.DUMMYFUNCTION("""COMPUTED_VALUE"""),"MOTORCYCLE")</f>
        <v>MOTORCYCLE</v>
      </c>
      <c r="G1659" s="7" t="str">
        <f>IFERROR(__xludf.DUMMYFUNCTION("""COMPUTED_VALUE"""),"SAO PAULO")</f>
        <v>SAO PAULO</v>
      </c>
    </row>
    <row r="1660">
      <c r="A1660" s="6">
        <f>IFERROR(__xludf.DUMMYFUNCTION("""COMPUTED_VALUE"""),45705.0)</f>
        <v>45705</v>
      </c>
      <c r="B1660" s="7" t="str">
        <f>IFERROR(__xludf.DUMMYFUNCTION("""COMPUTED_VALUE"""),"020dcc37-2499-452a-86e4-b6afe9092b8a")</f>
        <v>020dcc37-2499-452a-86e4-b6afe9092b8a</v>
      </c>
      <c r="C1660" s="7">
        <f>IFERROR(__xludf.DUMMYFUNCTION("""COMPUTED_VALUE"""),0.0)</f>
        <v>0</v>
      </c>
      <c r="D1660" s="6">
        <f>IFERROR(__xludf.DUMMYFUNCTION("""COMPUTED_VALUE"""),45705.0)</f>
        <v>45705</v>
      </c>
      <c r="E1660" s="7" t="str">
        <f>IFERROR(__xludf.DUMMYFUNCTION("""COMPUTED_VALUE"""),"FRANQUIA_D&amp;G_SP")</f>
        <v>FRANQUIA_D&amp;G_SP</v>
      </c>
      <c r="F1660" s="7" t="str">
        <f>IFERROR(__xludf.DUMMYFUNCTION("""COMPUTED_VALUE"""),"MOTORCYCLE")</f>
        <v>MOTORCYCLE</v>
      </c>
      <c r="G1660" s="7" t="str">
        <f>IFERROR(__xludf.DUMMYFUNCTION("""COMPUTED_VALUE"""),"SAO PAULO")</f>
        <v>SAO PAULO</v>
      </c>
    </row>
    <row r="1661">
      <c r="A1661" s="6">
        <f>IFERROR(__xludf.DUMMYFUNCTION("""COMPUTED_VALUE"""),45705.0)</f>
        <v>45705</v>
      </c>
      <c r="B1661" s="7" t="str">
        <f>IFERROR(__xludf.DUMMYFUNCTION("""COMPUTED_VALUE"""),"2aca6402-5cb6-4656-9a26-3dabd4e2d490")</f>
        <v>2aca6402-5cb6-4656-9a26-3dabd4e2d490</v>
      </c>
      <c r="C1661" s="7">
        <f>IFERROR(__xludf.DUMMYFUNCTION("""COMPUTED_VALUE"""),0.0)</f>
        <v>0</v>
      </c>
      <c r="D1661" s="6">
        <f>IFERROR(__xludf.DUMMYFUNCTION("""COMPUTED_VALUE"""),0.0)</f>
        <v>0</v>
      </c>
      <c r="E1661" s="7" t="str">
        <f>IFERROR(__xludf.DUMMYFUNCTION("""COMPUTED_VALUE"""),"FRANQUIA_D&amp;G_SP")</f>
        <v>FRANQUIA_D&amp;G_SP</v>
      </c>
      <c r="F1661" s="7" t="str">
        <f>IFERROR(__xludf.DUMMYFUNCTION("""COMPUTED_VALUE"""),"MOTORCYCLE")</f>
        <v>MOTORCYCLE</v>
      </c>
      <c r="G1661" s="7" t="str">
        <f>IFERROR(__xludf.DUMMYFUNCTION("""COMPUTED_VALUE"""),"0")</f>
        <v>0</v>
      </c>
    </row>
    <row r="1662">
      <c r="A1662" s="6">
        <f>IFERROR(__xludf.DUMMYFUNCTION("""COMPUTED_VALUE"""),45705.0)</f>
        <v>45705</v>
      </c>
      <c r="B1662" s="7" t="str">
        <f>IFERROR(__xludf.DUMMYFUNCTION("""COMPUTED_VALUE"""),"36fb86d9-a5fe-4459-a445-1bc4337ee1f6")</f>
        <v>36fb86d9-a5fe-4459-a445-1bc4337ee1f6</v>
      </c>
      <c r="C1662" s="7">
        <f>IFERROR(__xludf.DUMMYFUNCTION("""COMPUTED_VALUE"""),7.0)</f>
        <v>7</v>
      </c>
      <c r="D1662" s="6">
        <f>IFERROR(__xludf.DUMMYFUNCTION("""COMPUTED_VALUE"""),45698.0)</f>
        <v>45698</v>
      </c>
      <c r="E1662" s="7" t="str">
        <f>IFERROR(__xludf.DUMMYFUNCTION("""COMPUTED_VALUE"""),"FRANQUIA_D&amp;G_SP")</f>
        <v>FRANQUIA_D&amp;G_SP</v>
      </c>
      <c r="F1662" s="7" t="str">
        <f>IFERROR(__xludf.DUMMYFUNCTION("""COMPUTED_VALUE"""),"BICYCLE")</f>
        <v>BICYCLE</v>
      </c>
      <c r="G1662" s="7" t="str">
        <f>IFERROR(__xludf.DUMMYFUNCTION("""COMPUTED_VALUE"""),"SUZANO")</f>
        <v>SUZANO</v>
      </c>
    </row>
    <row r="1663">
      <c r="A1663" s="6">
        <f>IFERROR(__xludf.DUMMYFUNCTION("""COMPUTED_VALUE"""),45705.0)</f>
        <v>45705</v>
      </c>
      <c r="B1663" s="7" t="str">
        <f>IFERROR(__xludf.DUMMYFUNCTION("""COMPUTED_VALUE"""),"3d817512-23cf-4744-b20e-92f7089be4ec")</f>
        <v>3d817512-23cf-4744-b20e-92f7089be4ec</v>
      </c>
      <c r="C1663" s="7">
        <f>IFERROR(__xludf.DUMMYFUNCTION("""COMPUTED_VALUE"""),60.0)</f>
        <v>60</v>
      </c>
      <c r="D1663" s="6">
        <f>IFERROR(__xludf.DUMMYFUNCTION("""COMPUTED_VALUE"""),45645.0)</f>
        <v>45645</v>
      </c>
      <c r="E1663" s="7" t="str">
        <f>IFERROR(__xludf.DUMMYFUNCTION("""COMPUTED_VALUE"""),"FRANQUIA_D&amp;G_SP")</f>
        <v>FRANQUIA_D&amp;G_SP</v>
      </c>
      <c r="F1663" s="7" t="str">
        <f>IFERROR(__xludf.DUMMYFUNCTION("""COMPUTED_VALUE"""),"BICYCLE")</f>
        <v>BICYCLE</v>
      </c>
      <c r="G1663" s="7" t="str">
        <f>IFERROR(__xludf.DUMMYFUNCTION("""COMPUTED_VALUE"""),"SAO PAULO")</f>
        <v>SAO PAULO</v>
      </c>
    </row>
    <row r="1664">
      <c r="A1664" s="6">
        <f>IFERROR(__xludf.DUMMYFUNCTION("""COMPUTED_VALUE"""),45705.0)</f>
        <v>45705</v>
      </c>
      <c r="B1664" s="7" t="str">
        <f>IFERROR(__xludf.DUMMYFUNCTION("""COMPUTED_VALUE"""),"1668e323-846a-48e7-8c43-65c40206da4f")</f>
        <v>1668e323-846a-48e7-8c43-65c40206da4f</v>
      </c>
      <c r="C1664" s="7">
        <f>IFERROR(__xludf.DUMMYFUNCTION("""COMPUTED_VALUE"""),564.0)</f>
        <v>564</v>
      </c>
      <c r="D1664" s="6">
        <f>IFERROR(__xludf.DUMMYFUNCTION("""COMPUTED_VALUE"""),45141.0)</f>
        <v>45141</v>
      </c>
      <c r="E1664" s="7" t="str">
        <f>IFERROR(__xludf.DUMMYFUNCTION("""COMPUTED_VALUE"""),"FRANQUIA_D&amp;G_SP")</f>
        <v>FRANQUIA_D&amp;G_SP</v>
      </c>
      <c r="F1664" s="7" t="str">
        <f>IFERROR(__xludf.DUMMYFUNCTION("""COMPUTED_VALUE"""),"MOTORCYCLE")</f>
        <v>MOTORCYCLE</v>
      </c>
      <c r="G1664" s="7" t="str">
        <f>IFERROR(__xludf.DUMMYFUNCTION("""COMPUTED_VALUE"""),"SAO PAULO")</f>
        <v>SAO PAULO</v>
      </c>
    </row>
    <row r="1665">
      <c r="A1665" s="6">
        <f>IFERROR(__xludf.DUMMYFUNCTION("""COMPUTED_VALUE"""),45705.0)</f>
        <v>45705</v>
      </c>
      <c r="B1665" s="7" t="str">
        <f>IFERROR(__xludf.DUMMYFUNCTION("""COMPUTED_VALUE"""),"26d99510-27e4-4d86-bda4-ac8ff1a25cd1")</f>
        <v>26d99510-27e4-4d86-bda4-ac8ff1a25cd1</v>
      </c>
      <c r="C1665" s="7">
        <f>IFERROR(__xludf.DUMMYFUNCTION("""COMPUTED_VALUE"""),2.0)</f>
        <v>2</v>
      </c>
      <c r="D1665" s="6">
        <f>IFERROR(__xludf.DUMMYFUNCTION("""COMPUTED_VALUE"""),45703.0)</f>
        <v>45703</v>
      </c>
      <c r="E1665" s="7" t="str">
        <f>IFERROR(__xludf.DUMMYFUNCTION("""COMPUTED_VALUE"""),"FRANQUIA_D&amp;G_SP")</f>
        <v>FRANQUIA_D&amp;G_SP</v>
      </c>
      <c r="F1665" s="7" t="str">
        <f>IFERROR(__xludf.DUMMYFUNCTION("""COMPUTED_VALUE"""),"BICYCLE")</f>
        <v>BICYCLE</v>
      </c>
      <c r="G1665" s="7" t="str">
        <f>IFERROR(__xludf.DUMMYFUNCTION("""COMPUTED_VALUE"""),"SAO PAULO")</f>
        <v>SAO PAULO</v>
      </c>
    </row>
    <row r="1666">
      <c r="A1666" s="6">
        <f>IFERROR(__xludf.DUMMYFUNCTION("""COMPUTED_VALUE"""),45705.0)</f>
        <v>45705</v>
      </c>
      <c r="B1666" s="7" t="str">
        <f>IFERROR(__xludf.DUMMYFUNCTION("""COMPUTED_VALUE"""),"81c5ea28-06dd-417c-8aff-07c8f2f825b6")</f>
        <v>81c5ea28-06dd-417c-8aff-07c8f2f825b6</v>
      </c>
      <c r="C1666" s="7">
        <f>IFERROR(__xludf.DUMMYFUNCTION("""COMPUTED_VALUE"""),3.0)</f>
        <v>3</v>
      </c>
      <c r="D1666" s="6">
        <f>IFERROR(__xludf.DUMMYFUNCTION("""COMPUTED_VALUE"""),45702.0)</f>
        <v>45702</v>
      </c>
      <c r="E1666" s="7" t="str">
        <f>IFERROR(__xludf.DUMMYFUNCTION("""COMPUTED_VALUE"""),"FRANQUIA_D&amp;G_SP")</f>
        <v>FRANQUIA_D&amp;G_SP</v>
      </c>
      <c r="F1666" s="7" t="str">
        <f>IFERROR(__xludf.DUMMYFUNCTION("""COMPUTED_VALUE"""),"MOTORCYCLE")</f>
        <v>MOTORCYCLE</v>
      </c>
      <c r="G1666" s="7" t="str">
        <f>IFERROR(__xludf.DUMMYFUNCTION("""COMPUTED_VALUE"""),"SAO PAULO")</f>
        <v>SAO PAULO</v>
      </c>
    </row>
    <row r="1667">
      <c r="A1667" s="6">
        <f>IFERROR(__xludf.DUMMYFUNCTION("""COMPUTED_VALUE"""),45705.0)</f>
        <v>45705</v>
      </c>
      <c r="B1667" s="7" t="str">
        <f>IFERROR(__xludf.DUMMYFUNCTION("""COMPUTED_VALUE"""),"090a017c-99dc-4482-816c-5a965d24bdc8")</f>
        <v>090a017c-99dc-4482-816c-5a965d24bdc8</v>
      </c>
      <c r="C1667" s="7">
        <f>IFERROR(__xludf.DUMMYFUNCTION("""COMPUTED_VALUE"""),327.0)</f>
        <v>327</v>
      </c>
      <c r="D1667" s="6">
        <f>IFERROR(__xludf.DUMMYFUNCTION("""COMPUTED_VALUE"""),45378.0)</f>
        <v>45378</v>
      </c>
      <c r="E1667" s="7" t="str">
        <f>IFERROR(__xludf.DUMMYFUNCTION("""COMPUTED_VALUE"""),"FRANQUIA_D&amp;G_SP")</f>
        <v>FRANQUIA_D&amp;G_SP</v>
      </c>
      <c r="F1667" s="7" t="str">
        <f>IFERROR(__xludf.DUMMYFUNCTION("""COMPUTED_VALUE"""),"MOTORCYCLE")</f>
        <v>MOTORCYCLE</v>
      </c>
      <c r="G1667" s="7" t="str">
        <f>IFERROR(__xludf.DUMMYFUNCTION("""COMPUTED_VALUE"""),"SAO PAULO")</f>
        <v>SAO PAULO</v>
      </c>
    </row>
    <row r="1668">
      <c r="A1668" s="6">
        <f>IFERROR(__xludf.DUMMYFUNCTION("""COMPUTED_VALUE"""),45705.0)</f>
        <v>45705</v>
      </c>
      <c r="B1668" s="7" t="str">
        <f>IFERROR(__xludf.DUMMYFUNCTION("""COMPUTED_VALUE"""),"a41bd96f-11a8-4111-ac73-74d1ce018d0c")</f>
        <v>a41bd96f-11a8-4111-ac73-74d1ce018d0c</v>
      </c>
      <c r="C1668" s="7">
        <f>IFERROR(__xludf.DUMMYFUNCTION("""COMPUTED_VALUE"""),14.0)</f>
        <v>14</v>
      </c>
      <c r="D1668" s="6">
        <f>IFERROR(__xludf.DUMMYFUNCTION("""COMPUTED_VALUE"""),45691.0)</f>
        <v>45691</v>
      </c>
      <c r="E1668" s="7" t="str">
        <f>IFERROR(__xludf.DUMMYFUNCTION("""COMPUTED_VALUE"""),"FRANQUIA_D&amp;G_SP")</f>
        <v>FRANQUIA_D&amp;G_SP</v>
      </c>
      <c r="F1668" s="7" t="str">
        <f>IFERROR(__xludf.DUMMYFUNCTION("""COMPUTED_VALUE"""),"BICYCLE")</f>
        <v>BICYCLE</v>
      </c>
      <c r="G1668" s="7" t="str">
        <f>IFERROR(__xludf.DUMMYFUNCTION("""COMPUTED_VALUE"""),"SAO PAULO")</f>
        <v>SAO PAULO</v>
      </c>
    </row>
    <row r="1669">
      <c r="A1669" s="6">
        <f>IFERROR(__xludf.DUMMYFUNCTION("""COMPUTED_VALUE"""),45705.0)</f>
        <v>45705</v>
      </c>
      <c r="B1669" s="7" t="str">
        <f>IFERROR(__xludf.DUMMYFUNCTION("""COMPUTED_VALUE"""),"4aef6027-6860-4fad-a894-fa3353183dca")</f>
        <v>4aef6027-6860-4fad-a894-fa3353183dca</v>
      </c>
      <c r="C1669" s="7">
        <f>IFERROR(__xludf.DUMMYFUNCTION("""COMPUTED_VALUE"""),262.0)</f>
        <v>262</v>
      </c>
      <c r="D1669" s="6">
        <f>IFERROR(__xludf.DUMMYFUNCTION("""COMPUTED_VALUE"""),45443.0)</f>
        <v>45443</v>
      </c>
      <c r="E1669" s="7" t="str">
        <f>IFERROR(__xludf.DUMMYFUNCTION("""COMPUTED_VALUE"""),"FRANQUIA_D&amp;G_SP")</f>
        <v>FRANQUIA_D&amp;G_SP</v>
      </c>
      <c r="F1669" s="7" t="str">
        <f>IFERROR(__xludf.DUMMYFUNCTION("""COMPUTED_VALUE"""),"MOTORCYCLE")</f>
        <v>MOTORCYCLE</v>
      </c>
      <c r="G1669" s="7" t="str">
        <f>IFERROR(__xludf.DUMMYFUNCTION("""COMPUTED_VALUE"""),"SAO PAULO")</f>
        <v>SAO PAULO</v>
      </c>
    </row>
    <row r="1670">
      <c r="A1670" s="6">
        <f>IFERROR(__xludf.DUMMYFUNCTION("""COMPUTED_VALUE"""),45705.0)</f>
        <v>45705</v>
      </c>
      <c r="B1670" s="7" t="str">
        <f>IFERROR(__xludf.DUMMYFUNCTION("""COMPUTED_VALUE"""),"235c8258-01d3-4201-af33-1e33ad3cfbdf")</f>
        <v>235c8258-01d3-4201-af33-1e33ad3cfbdf</v>
      </c>
      <c r="C1670" s="7">
        <f>IFERROR(__xludf.DUMMYFUNCTION("""COMPUTED_VALUE"""),0.0)</f>
        <v>0</v>
      </c>
      <c r="D1670" s="6">
        <f>IFERROR(__xludf.DUMMYFUNCTION("""COMPUTED_VALUE"""),0.0)</f>
        <v>0</v>
      </c>
      <c r="E1670" s="7" t="str">
        <f>IFERROR(__xludf.DUMMYFUNCTION("""COMPUTED_VALUE"""),"FRANQUIA_D&amp;G_SP")</f>
        <v>FRANQUIA_D&amp;G_SP</v>
      </c>
      <c r="F1670" s="7" t="str">
        <f>IFERROR(__xludf.DUMMYFUNCTION("""COMPUTED_VALUE"""),"BICYCLE")</f>
        <v>BICYCLE</v>
      </c>
      <c r="G1670" s="7" t="str">
        <f>IFERROR(__xludf.DUMMYFUNCTION("""COMPUTED_VALUE"""),"0")</f>
        <v>0</v>
      </c>
    </row>
    <row r="1671">
      <c r="A1671" s="6">
        <f>IFERROR(__xludf.DUMMYFUNCTION("""COMPUTED_VALUE"""),45705.0)</f>
        <v>45705</v>
      </c>
      <c r="B1671" s="7" t="str">
        <f>IFERROR(__xludf.DUMMYFUNCTION("""COMPUTED_VALUE"""),"2d134024-8e1d-46d9-92c7-a593c98a884d")</f>
        <v>2d134024-8e1d-46d9-92c7-a593c98a884d</v>
      </c>
      <c r="C1671" s="7">
        <f>IFERROR(__xludf.DUMMYFUNCTION("""COMPUTED_VALUE"""),12.0)</f>
        <v>12</v>
      </c>
      <c r="D1671" s="6">
        <f>IFERROR(__xludf.DUMMYFUNCTION("""COMPUTED_VALUE"""),45693.0)</f>
        <v>45693</v>
      </c>
      <c r="E1671" s="7" t="str">
        <f>IFERROR(__xludf.DUMMYFUNCTION("""COMPUTED_VALUE"""),"FRANQUIA_D&amp;G_SP")</f>
        <v>FRANQUIA_D&amp;G_SP</v>
      </c>
      <c r="F1671" s="7" t="str">
        <f>IFERROR(__xludf.DUMMYFUNCTION("""COMPUTED_VALUE"""),"MOTORCYCLE")</f>
        <v>MOTORCYCLE</v>
      </c>
      <c r="G1671" s="7" t="str">
        <f>IFERROR(__xludf.DUMMYFUNCTION("""COMPUTED_VALUE"""),"SAO PAULO")</f>
        <v>SAO PAULO</v>
      </c>
    </row>
    <row r="1672">
      <c r="A1672" s="6">
        <f>IFERROR(__xludf.DUMMYFUNCTION("""COMPUTED_VALUE"""),45705.0)</f>
        <v>45705</v>
      </c>
      <c r="B1672" s="7" t="str">
        <f>IFERROR(__xludf.DUMMYFUNCTION("""COMPUTED_VALUE"""),"14ebe86c-b3a0-43f6-8fae-bb9e8583419f")</f>
        <v>14ebe86c-b3a0-43f6-8fae-bb9e8583419f</v>
      </c>
      <c r="C1672" s="7">
        <f>IFERROR(__xludf.DUMMYFUNCTION("""COMPUTED_VALUE"""),0.0)</f>
        <v>0</v>
      </c>
      <c r="D1672" s="6">
        <f>IFERROR(__xludf.DUMMYFUNCTION("""COMPUTED_VALUE"""),45705.0)</f>
        <v>45705</v>
      </c>
      <c r="E1672" s="7" t="str">
        <f>IFERROR(__xludf.DUMMYFUNCTION("""COMPUTED_VALUE"""),"FRANQUIA_D&amp;G_SP")</f>
        <v>FRANQUIA_D&amp;G_SP</v>
      </c>
      <c r="F1672" s="7" t="str">
        <f>IFERROR(__xludf.DUMMYFUNCTION("""COMPUTED_VALUE"""),"MOTORCYCLE")</f>
        <v>MOTORCYCLE</v>
      </c>
      <c r="G1672" s="7" t="str">
        <f>IFERROR(__xludf.DUMMYFUNCTION("""COMPUTED_VALUE"""),"SAO PAULO")</f>
        <v>SAO PAULO</v>
      </c>
    </row>
    <row r="1673">
      <c r="A1673" s="6">
        <f>IFERROR(__xludf.DUMMYFUNCTION("""COMPUTED_VALUE"""),45705.0)</f>
        <v>45705</v>
      </c>
      <c r="B1673" s="7" t="str">
        <f>IFERROR(__xludf.DUMMYFUNCTION("""COMPUTED_VALUE"""),"ec492066-dac7-4911-b713-7edb5059adb9")</f>
        <v>ec492066-dac7-4911-b713-7edb5059adb9</v>
      </c>
      <c r="C1673" s="7">
        <f>IFERROR(__xludf.DUMMYFUNCTION("""COMPUTED_VALUE"""),0.0)</f>
        <v>0</v>
      </c>
      <c r="D1673" s="6">
        <f>IFERROR(__xludf.DUMMYFUNCTION("""COMPUTED_VALUE"""),45705.0)</f>
        <v>45705</v>
      </c>
      <c r="E1673" s="7" t="str">
        <f>IFERROR(__xludf.DUMMYFUNCTION("""COMPUTED_VALUE"""),"FRANQUIA_D&amp;G_SP")</f>
        <v>FRANQUIA_D&amp;G_SP</v>
      </c>
      <c r="F1673" s="7" t="str">
        <f>IFERROR(__xludf.DUMMYFUNCTION("""COMPUTED_VALUE"""),"EBIKE")</f>
        <v>EBIKE</v>
      </c>
      <c r="G1673" s="7" t="str">
        <f>IFERROR(__xludf.DUMMYFUNCTION("""COMPUTED_VALUE"""),"SAO PAULO")</f>
        <v>SAO PAULO</v>
      </c>
    </row>
    <row r="1674">
      <c r="A1674" s="6">
        <f>IFERROR(__xludf.DUMMYFUNCTION("""COMPUTED_VALUE"""),45705.0)</f>
        <v>45705</v>
      </c>
      <c r="B1674" s="7" t="str">
        <f>IFERROR(__xludf.DUMMYFUNCTION("""COMPUTED_VALUE"""),"c36c3f7b-32f5-4529-a455-e427323ac75f")</f>
        <v>c36c3f7b-32f5-4529-a455-e427323ac75f</v>
      </c>
      <c r="C1674" s="7">
        <f>IFERROR(__xludf.DUMMYFUNCTION("""COMPUTED_VALUE"""),8.0)</f>
        <v>8</v>
      </c>
      <c r="D1674" s="6">
        <f>IFERROR(__xludf.DUMMYFUNCTION("""COMPUTED_VALUE"""),45697.0)</f>
        <v>45697</v>
      </c>
      <c r="E1674" s="7" t="str">
        <f>IFERROR(__xludf.DUMMYFUNCTION("""COMPUTED_VALUE"""),"FRANQUIA_D&amp;G_SP")</f>
        <v>FRANQUIA_D&amp;G_SP</v>
      </c>
      <c r="F1674" s="7" t="str">
        <f>IFERROR(__xludf.DUMMYFUNCTION("""COMPUTED_VALUE"""),"BICYCLE")</f>
        <v>BICYCLE</v>
      </c>
      <c r="G1674" s="7" t="str">
        <f>IFERROR(__xludf.DUMMYFUNCTION("""COMPUTED_VALUE"""),"SAO PAULO")</f>
        <v>SAO PAULO</v>
      </c>
    </row>
    <row r="1675">
      <c r="A1675" s="6">
        <f>IFERROR(__xludf.DUMMYFUNCTION("""COMPUTED_VALUE"""),45705.0)</f>
        <v>45705</v>
      </c>
      <c r="B1675" s="7" t="str">
        <f>IFERROR(__xludf.DUMMYFUNCTION("""COMPUTED_VALUE"""),"d31f4101-a08f-4443-920f-290610b5ac7e")</f>
        <v>d31f4101-a08f-4443-920f-290610b5ac7e</v>
      </c>
      <c r="C1675" s="7">
        <f>IFERROR(__xludf.DUMMYFUNCTION("""COMPUTED_VALUE"""),0.0)</f>
        <v>0</v>
      </c>
      <c r="D1675" s="6">
        <f>IFERROR(__xludf.DUMMYFUNCTION("""COMPUTED_VALUE"""),0.0)</f>
        <v>0</v>
      </c>
      <c r="E1675" s="7" t="str">
        <f>IFERROR(__xludf.DUMMYFUNCTION("""COMPUTED_VALUE"""),"FRANQUIA_D&amp;G_SP")</f>
        <v>FRANQUIA_D&amp;G_SP</v>
      </c>
      <c r="F1675" s="7" t="str">
        <f>IFERROR(__xludf.DUMMYFUNCTION("""COMPUTED_VALUE"""),"BICYCLE")</f>
        <v>BICYCLE</v>
      </c>
      <c r="G1675" s="7" t="str">
        <f>IFERROR(__xludf.DUMMYFUNCTION("""COMPUTED_VALUE"""),"0")</f>
        <v>0</v>
      </c>
    </row>
    <row r="1676">
      <c r="A1676" s="6">
        <f>IFERROR(__xludf.DUMMYFUNCTION("""COMPUTED_VALUE"""),45705.0)</f>
        <v>45705</v>
      </c>
      <c r="B1676" s="7" t="str">
        <f>IFERROR(__xludf.DUMMYFUNCTION("""COMPUTED_VALUE"""),"5ed730a0-ce5f-4942-8fc8-25bdf7675384")</f>
        <v>5ed730a0-ce5f-4942-8fc8-25bdf7675384</v>
      </c>
      <c r="C1676" s="7">
        <f>IFERROR(__xludf.DUMMYFUNCTION("""COMPUTED_VALUE"""),0.0)</f>
        <v>0</v>
      </c>
      <c r="D1676" s="6">
        <f>IFERROR(__xludf.DUMMYFUNCTION("""COMPUTED_VALUE"""),45705.0)</f>
        <v>45705</v>
      </c>
      <c r="E1676" s="7" t="str">
        <f>IFERROR(__xludf.DUMMYFUNCTION("""COMPUTED_VALUE"""),"FRANQUIA_D&amp;G_SP")</f>
        <v>FRANQUIA_D&amp;G_SP</v>
      </c>
      <c r="F1676" s="7" t="str">
        <f>IFERROR(__xludf.DUMMYFUNCTION("""COMPUTED_VALUE"""),"MOTORCYCLE")</f>
        <v>MOTORCYCLE</v>
      </c>
      <c r="G1676" s="7" t="str">
        <f>IFERROR(__xludf.DUMMYFUNCTION("""COMPUTED_VALUE"""),"SAO PAULO")</f>
        <v>SAO PAULO</v>
      </c>
    </row>
    <row r="1677">
      <c r="A1677" s="6">
        <f>IFERROR(__xludf.DUMMYFUNCTION("""COMPUTED_VALUE"""),45705.0)</f>
        <v>45705</v>
      </c>
      <c r="B1677" s="7" t="str">
        <f>IFERROR(__xludf.DUMMYFUNCTION("""COMPUTED_VALUE"""),"553d5fe9-973b-42f3-b0d9-41a3d6b6c80d")</f>
        <v>553d5fe9-973b-42f3-b0d9-41a3d6b6c80d</v>
      </c>
      <c r="C1677" s="7">
        <f>IFERROR(__xludf.DUMMYFUNCTION("""COMPUTED_VALUE"""),5.0)</f>
        <v>5</v>
      </c>
      <c r="D1677" s="6">
        <f>IFERROR(__xludf.DUMMYFUNCTION("""COMPUTED_VALUE"""),45700.0)</f>
        <v>45700</v>
      </c>
      <c r="E1677" s="7" t="str">
        <f>IFERROR(__xludf.DUMMYFUNCTION("""COMPUTED_VALUE"""),"FRANQUIA_D&amp;G_SP")</f>
        <v>FRANQUIA_D&amp;G_SP</v>
      </c>
      <c r="F1677" s="7" t="str">
        <f>IFERROR(__xludf.DUMMYFUNCTION("""COMPUTED_VALUE"""),"EBIKE")</f>
        <v>EBIKE</v>
      </c>
      <c r="G1677" s="7" t="str">
        <f>IFERROR(__xludf.DUMMYFUNCTION("""COMPUTED_VALUE"""),"SAO PAULO")</f>
        <v>SAO PAULO</v>
      </c>
    </row>
    <row r="1678">
      <c r="A1678" s="6">
        <f>IFERROR(__xludf.DUMMYFUNCTION("""COMPUTED_VALUE"""),45705.0)</f>
        <v>45705</v>
      </c>
      <c r="B1678" s="7" t="str">
        <f>IFERROR(__xludf.DUMMYFUNCTION("""COMPUTED_VALUE"""),"17bb7f22-9de8-494a-b9f0-d7a8124b0a3d")</f>
        <v>17bb7f22-9de8-494a-b9f0-d7a8124b0a3d</v>
      </c>
      <c r="C1678" s="7">
        <f>IFERROR(__xludf.DUMMYFUNCTION("""COMPUTED_VALUE"""),3.0)</f>
        <v>3</v>
      </c>
      <c r="D1678" s="6">
        <f>IFERROR(__xludf.DUMMYFUNCTION("""COMPUTED_VALUE"""),45702.0)</f>
        <v>45702</v>
      </c>
      <c r="E1678" s="7" t="str">
        <f>IFERROR(__xludf.DUMMYFUNCTION("""COMPUTED_VALUE"""),"FRANQUIA_D&amp;G_SP")</f>
        <v>FRANQUIA_D&amp;G_SP</v>
      </c>
      <c r="F1678" s="7" t="str">
        <f>IFERROR(__xludf.DUMMYFUNCTION("""COMPUTED_VALUE"""),"BICYCLE")</f>
        <v>BICYCLE</v>
      </c>
      <c r="G1678" s="7" t="str">
        <f>IFERROR(__xludf.DUMMYFUNCTION("""COMPUTED_VALUE"""),"SAO PAULO")</f>
        <v>SAO PAULO</v>
      </c>
    </row>
    <row r="1679">
      <c r="A1679" s="6">
        <f>IFERROR(__xludf.DUMMYFUNCTION("""COMPUTED_VALUE"""),45705.0)</f>
        <v>45705</v>
      </c>
      <c r="B1679" s="7" t="str">
        <f>IFERROR(__xludf.DUMMYFUNCTION("""COMPUTED_VALUE"""),"1fc2ed85-31a2-4331-a789-9fcd2be21309")</f>
        <v>1fc2ed85-31a2-4331-a789-9fcd2be21309</v>
      </c>
      <c r="C1679" s="7">
        <f>IFERROR(__xludf.DUMMYFUNCTION("""COMPUTED_VALUE"""),0.0)</f>
        <v>0</v>
      </c>
      <c r="D1679" s="6">
        <f>IFERROR(__xludf.DUMMYFUNCTION("""COMPUTED_VALUE"""),45705.0)</f>
        <v>45705</v>
      </c>
      <c r="E1679" s="7" t="str">
        <f>IFERROR(__xludf.DUMMYFUNCTION("""COMPUTED_VALUE"""),"FRANQUIA_D&amp;G_SP")</f>
        <v>FRANQUIA_D&amp;G_SP</v>
      </c>
      <c r="F1679" s="7" t="str">
        <f>IFERROR(__xludf.DUMMYFUNCTION("""COMPUTED_VALUE"""),"MOTORCYCLE")</f>
        <v>MOTORCYCLE</v>
      </c>
      <c r="G1679" s="7" t="str">
        <f>IFERROR(__xludf.DUMMYFUNCTION("""COMPUTED_VALUE"""),"SAO PAULO")</f>
        <v>SAO PAULO</v>
      </c>
    </row>
    <row r="1680">
      <c r="A1680" s="6">
        <f>IFERROR(__xludf.DUMMYFUNCTION("""COMPUTED_VALUE"""),45705.0)</f>
        <v>45705</v>
      </c>
      <c r="B1680" s="7" t="str">
        <f>IFERROR(__xludf.DUMMYFUNCTION("""COMPUTED_VALUE"""),"a0cb6256-0e09-4bc5-bec2-a954406ef715")</f>
        <v>a0cb6256-0e09-4bc5-bec2-a954406ef715</v>
      </c>
      <c r="C1680" s="7">
        <f>IFERROR(__xludf.DUMMYFUNCTION("""COMPUTED_VALUE"""),62.0)</f>
        <v>62</v>
      </c>
      <c r="D1680" s="6">
        <f>IFERROR(__xludf.DUMMYFUNCTION("""COMPUTED_VALUE"""),45643.0)</f>
        <v>45643</v>
      </c>
      <c r="E1680" s="7" t="str">
        <f>IFERROR(__xludf.DUMMYFUNCTION("""COMPUTED_VALUE"""),"FRANQUIA_D&amp;G_SP")</f>
        <v>FRANQUIA_D&amp;G_SP</v>
      </c>
      <c r="F1680" s="7" t="str">
        <f>IFERROR(__xludf.DUMMYFUNCTION("""COMPUTED_VALUE"""),"MOTORCYCLE")</f>
        <v>MOTORCYCLE</v>
      </c>
      <c r="G1680" s="7" t="str">
        <f>IFERROR(__xludf.DUMMYFUNCTION("""COMPUTED_VALUE"""),"SAO PAULO")</f>
        <v>SAO PAULO</v>
      </c>
    </row>
    <row r="1681">
      <c r="A1681" s="6">
        <f>IFERROR(__xludf.DUMMYFUNCTION("""COMPUTED_VALUE"""),45705.0)</f>
        <v>45705</v>
      </c>
      <c r="B1681" s="7" t="str">
        <f>IFERROR(__xludf.DUMMYFUNCTION("""COMPUTED_VALUE"""),"e564dbe3-0171-40e4-9995-8742f1af3c44")</f>
        <v>e564dbe3-0171-40e4-9995-8742f1af3c44</v>
      </c>
      <c r="C1681" s="7">
        <f>IFERROR(__xludf.DUMMYFUNCTION("""COMPUTED_VALUE"""),389.0)</f>
        <v>389</v>
      </c>
      <c r="D1681" s="6">
        <f>IFERROR(__xludf.DUMMYFUNCTION("""COMPUTED_VALUE"""),45316.0)</f>
        <v>45316</v>
      </c>
      <c r="E1681" s="7" t="str">
        <f>IFERROR(__xludf.DUMMYFUNCTION("""COMPUTED_VALUE"""),"FRANQUIA_D&amp;G_SP")</f>
        <v>FRANQUIA_D&amp;G_SP</v>
      </c>
      <c r="F1681" s="7" t="str">
        <f>IFERROR(__xludf.DUMMYFUNCTION("""COMPUTED_VALUE"""),"MOTORCYCLE")</f>
        <v>MOTORCYCLE</v>
      </c>
      <c r="G1681" s="7" t="str">
        <f>IFERROR(__xludf.DUMMYFUNCTION("""COMPUTED_VALUE"""),"SAO PAULO")</f>
        <v>SAO PAULO</v>
      </c>
    </row>
    <row r="1682">
      <c r="A1682" s="6">
        <f>IFERROR(__xludf.DUMMYFUNCTION("""COMPUTED_VALUE"""),45705.0)</f>
        <v>45705</v>
      </c>
      <c r="B1682" s="7" t="str">
        <f>IFERROR(__xludf.DUMMYFUNCTION("""COMPUTED_VALUE"""),"427ee356-6147-418a-8d80-a9f336dc4ef3")</f>
        <v>427ee356-6147-418a-8d80-a9f336dc4ef3</v>
      </c>
      <c r="C1682" s="7">
        <f>IFERROR(__xludf.DUMMYFUNCTION("""COMPUTED_VALUE"""),11.0)</f>
        <v>11</v>
      </c>
      <c r="D1682" s="6">
        <f>IFERROR(__xludf.DUMMYFUNCTION("""COMPUTED_VALUE"""),45694.0)</f>
        <v>45694</v>
      </c>
      <c r="E1682" s="7" t="str">
        <f>IFERROR(__xludf.DUMMYFUNCTION("""COMPUTED_VALUE"""),"FRANQUIA_D&amp;G_SP")</f>
        <v>FRANQUIA_D&amp;G_SP</v>
      </c>
      <c r="F1682" s="7" t="str">
        <f>IFERROR(__xludf.DUMMYFUNCTION("""COMPUTED_VALUE"""),"MOTORCYCLE")</f>
        <v>MOTORCYCLE</v>
      </c>
      <c r="G1682" s="7" t="str">
        <f>IFERROR(__xludf.DUMMYFUNCTION("""COMPUTED_VALUE"""),"SAO GONCALO")</f>
        <v>SAO GONCALO</v>
      </c>
    </row>
    <row r="1683">
      <c r="A1683" s="6">
        <f>IFERROR(__xludf.DUMMYFUNCTION("""COMPUTED_VALUE"""),45705.0)</f>
        <v>45705</v>
      </c>
      <c r="B1683" s="7" t="str">
        <f>IFERROR(__xludf.DUMMYFUNCTION("""COMPUTED_VALUE"""),"a84dcb9c-7256-48f7-9040-60eecea723b5")</f>
        <v>a84dcb9c-7256-48f7-9040-60eecea723b5</v>
      </c>
      <c r="C1683" s="7">
        <f>IFERROR(__xludf.DUMMYFUNCTION("""COMPUTED_VALUE"""),0.0)</f>
        <v>0</v>
      </c>
      <c r="D1683" s="6">
        <f>IFERROR(__xludf.DUMMYFUNCTION("""COMPUTED_VALUE"""),45705.0)</f>
        <v>45705</v>
      </c>
      <c r="E1683" s="7" t="str">
        <f>IFERROR(__xludf.DUMMYFUNCTION("""COMPUTED_VALUE"""),"FRANQUIA_D&amp;G_SP")</f>
        <v>FRANQUIA_D&amp;G_SP</v>
      </c>
      <c r="F1683" s="7" t="str">
        <f>IFERROR(__xludf.DUMMYFUNCTION("""COMPUTED_VALUE"""),"MOTORCYCLE")</f>
        <v>MOTORCYCLE</v>
      </c>
      <c r="G1683" s="7" t="str">
        <f>IFERROR(__xludf.DUMMYFUNCTION("""COMPUTED_VALUE"""),"SAO PAULO")</f>
        <v>SAO PAULO</v>
      </c>
    </row>
    <row r="1684">
      <c r="A1684" s="6">
        <f>IFERROR(__xludf.DUMMYFUNCTION("""COMPUTED_VALUE"""),45705.0)</f>
        <v>45705</v>
      </c>
      <c r="B1684" s="7" t="str">
        <f>IFERROR(__xludf.DUMMYFUNCTION("""COMPUTED_VALUE"""),"d5730ef6-01d3-4acd-b64e-552274e3d6ff")</f>
        <v>d5730ef6-01d3-4acd-b64e-552274e3d6ff</v>
      </c>
      <c r="C1684" s="7">
        <f>IFERROR(__xludf.DUMMYFUNCTION("""COMPUTED_VALUE"""),0.0)</f>
        <v>0</v>
      </c>
      <c r="D1684" s="6">
        <f>IFERROR(__xludf.DUMMYFUNCTION("""COMPUTED_VALUE"""),45705.0)</f>
        <v>45705</v>
      </c>
      <c r="E1684" s="7" t="str">
        <f>IFERROR(__xludf.DUMMYFUNCTION("""COMPUTED_VALUE"""),"FRANQUIA_D&amp;G_SP")</f>
        <v>FRANQUIA_D&amp;G_SP</v>
      </c>
      <c r="F1684" s="7" t="str">
        <f>IFERROR(__xludf.DUMMYFUNCTION("""COMPUTED_VALUE"""),"BICYCLE")</f>
        <v>BICYCLE</v>
      </c>
      <c r="G1684" s="7" t="str">
        <f>IFERROR(__xludf.DUMMYFUNCTION("""COMPUTED_VALUE"""),"SAO PAULO")</f>
        <v>SAO PAULO</v>
      </c>
    </row>
    <row r="1685">
      <c r="A1685" s="6">
        <f>IFERROR(__xludf.DUMMYFUNCTION("""COMPUTED_VALUE"""),45705.0)</f>
        <v>45705</v>
      </c>
      <c r="B1685" s="7" t="str">
        <f>IFERROR(__xludf.DUMMYFUNCTION("""COMPUTED_VALUE"""),"48797ee2-aad2-42a9-a6d8-37e5b4ed4367")</f>
        <v>48797ee2-aad2-42a9-a6d8-37e5b4ed4367</v>
      </c>
      <c r="C1685" s="7">
        <f>IFERROR(__xludf.DUMMYFUNCTION("""COMPUTED_VALUE"""),6.0)</f>
        <v>6</v>
      </c>
      <c r="D1685" s="6">
        <f>IFERROR(__xludf.DUMMYFUNCTION("""COMPUTED_VALUE"""),45699.0)</f>
        <v>45699</v>
      </c>
      <c r="E1685" s="7" t="str">
        <f>IFERROR(__xludf.DUMMYFUNCTION("""COMPUTED_VALUE"""),"FRANQUIA_D&amp;G_SP")</f>
        <v>FRANQUIA_D&amp;G_SP</v>
      </c>
      <c r="F1685" s="7" t="str">
        <f>IFERROR(__xludf.DUMMYFUNCTION("""COMPUTED_VALUE"""),"MOTORCYCLE")</f>
        <v>MOTORCYCLE</v>
      </c>
      <c r="G1685" s="7" t="str">
        <f>IFERROR(__xludf.DUMMYFUNCTION("""COMPUTED_VALUE"""),"SAO PAULO")</f>
        <v>SAO PAULO</v>
      </c>
    </row>
    <row r="1686">
      <c r="A1686" s="6">
        <f>IFERROR(__xludf.DUMMYFUNCTION("""COMPUTED_VALUE"""),45705.0)</f>
        <v>45705</v>
      </c>
      <c r="B1686" s="7" t="str">
        <f>IFERROR(__xludf.DUMMYFUNCTION("""COMPUTED_VALUE"""),"93afca98-54a1-426e-b8ce-1d003ff840c0")</f>
        <v>93afca98-54a1-426e-b8ce-1d003ff840c0</v>
      </c>
      <c r="C1686" s="7">
        <f>IFERROR(__xludf.DUMMYFUNCTION("""COMPUTED_VALUE"""),0.0)</f>
        <v>0</v>
      </c>
      <c r="D1686" s="6">
        <f>IFERROR(__xludf.DUMMYFUNCTION("""COMPUTED_VALUE"""),0.0)</f>
        <v>0</v>
      </c>
      <c r="E1686" s="7" t="str">
        <f>IFERROR(__xludf.DUMMYFUNCTION("""COMPUTED_VALUE"""),"FRANQUIA_D&amp;G_SP")</f>
        <v>FRANQUIA_D&amp;G_SP</v>
      </c>
      <c r="F1686" s="7" t="str">
        <f>IFERROR(__xludf.DUMMYFUNCTION("""COMPUTED_VALUE"""),"Bicicleta")</f>
        <v>Bicicleta</v>
      </c>
      <c r="G1686" s="7" t="str">
        <f>IFERROR(__xludf.DUMMYFUNCTION("""COMPUTED_VALUE"""),"0")</f>
        <v>0</v>
      </c>
    </row>
    <row r="1687">
      <c r="A1687" s="6">
        <f>IFERROR(__xludf.DUMMYFUNCTION("""COMPUTED_VALUE"""),45705.0)</f>
        <v>45705</v>
      </c>
      <c r="B1687" s="7" t="str">
        <f>IFERROR(__xludf.DUMMYFUNCTION("""COMPUTED_VALUE"""),"f4df78b7-d09a-4472-bb82-e506edc813bd")</f>
        <v>f4df78b7-d09a-4472-bb82-e506edc813bd</v>
      </c>
      <c r="C1687" s="7">
        <f>IFERROR(__xludf.DUMMYFUNCTION("""COMPUTED_VALUE"""),20.0)</f>
        <v>20</v>
      </c>
      <c r="D1687" s="6">
        <f>IFERROR(__xludf.DUMMYFUNCTION("""COMPUTED_VALUE"""),45685.0)</f>
        <v>45685</v>
      </c>
      <c r="E1687" s="7" t="str">
        <f>IFERROR(__xludf.DUMMYFUNCTION("""COMPUTED_VALUE"""),"FRANQUIA_D&amp;G_SP")</f>
        <v>FRANQUIA_D&amp;G_SP</v>
      </c>
      <c r="F1687" s="7" t="str">
        <f>IFERROR(__xludf.DUMMYFUNCTION("""COMPUTED_VALUE"""),"BICYCLE")</f>
        <v>BICYCLE</v>
      </c>
      <c r="G1687" s="7" t="str">
        <f>IFERROR(__xludf.DUMMYFUNCTION("""COMPUTED_VALUE"""),"SAO PAULO")</f>
        <v>SAO PAULO</v>
      </c>
    </row>
    <row r="1688">
      <c r="A1688" s="6">
        <f>IFERROR(__xludf.DUMMYFUNCTION("""COMPUTED_VALUE"""),45705.0)</f>
        <v>45705</v>
      </c>
      <c r="B1688" s="7" t="str">
        <f>IFERROR(__xludf.DUMMYFUNCTION("""COMPUTED_VALUE"""),"d9c9bcfc-92c0-4216-8d13-f2e7554d4532")</f>
        <v>d9c9bcfc-92c0-4216-8d13-f2e7554d4532</v>
      </c>
      <c r="C1688" s="7">
        <f>IFERROR(__xludf.DUMMYFUNCTION("""COMPUTED_VALUE"""),15.0)</f>
        <v>15</v>
      </c>
      <c r="D1688" s="6">
        <f>IFERROR(__xludf.DUMMYFUNCTION("""COMPUTED_VALUE"""),45690.0)</f>
        <v>45690</v>
      </c>
      <c r="E1688" s="7" t="str">
        <f>IFERROR(__xludf.DUMMYFUNCTION("""COMPUTED_VALUE"""),"FRANQUIA_D&amp;G_SP")</f>
        <v>FRANQUIA_D&amp;G_SP</v>
      </c>
      <c r="F1688" s="7" t="str">
        <f>IFERROR(__xludf.DUMMYFUNCTION("""COMPUTED_VALUE"""),"BICYCLE")</f>
        <v>BICYCLE</v>
      </c>
      <c r="G1688" s="7" t="str">
        <f>IFERROR(__xludf.DUMMYFUNCTION("""COMPUTED_VALUE"""),"SAO PAULO")</f>
        <v>SAO PAULO</v>
      </c>
    </row>
    <row r="1689">
      <c r="A1689" s="6">
        <f>IFERROR(__xludf.DUMMYFUNCTION("""COMPUTED_VALUE"""),45705.0)</f>
        <v>45705</v>
      </c>
      <c r="B1689" s="7" t="str">
        <f>IFERROR(__xludf.DUMMYFUNCTION("""COMPUTED_VALUE"""),"23a910a3-7d44-45c1-b3ac-0e898c3333fd")</f>
        <v>23a910a3-7d44-45c1-b3ac-0e898c3333fd</v>
      </c>
      <c r="C1689" s="7">
        <f>IFERROR(__xludf.DUMMYFUNCTION("""COMPUTED_VALUE"""),185.0)</f>
        <v>185</v>
      </c>
      <c r="D1689" s="6">
        <f>IFERROR(__xludf.DUMMYFUNCTION("""COMPUTED_VALUE"""),45520.0)</f>
        <v>45520</v>
      </c>
      <c r="E1689" s="7" t="str">
        <f>IFERROR(__xludf.DUMMYFUNCTION("""COMPUTED_VALUE"""),"FRANQUIA_D&amp;G_SP")</f>
        <v>FRANQUIA_D&amp;G_SP</v>
      </c>
      <c r="F1689" s="7" t="str">
        <f>IFERROR(__xludf.DUMMYFUNCTION("""COMPUTED_VALUE"""),"MOTORCYCLE")</f>
        <v>MOTORCYCLE</v>
      </c>
      <c r="G1689" s="7" t="str">
        <f>IFERROR(__xludf.DUMMYFUNCTION("""COMPUTED_VALUE"""),"SAO PAULO")</f>
        <v>SAO PAULO</v>
      </c>
    </row>
    <row r="1690">
      <c r="A1690" s="6">
        <f>IFERROR(__xludf.DUMMYFUNCTION("""COMPUTED_VALUE"""),45705.0)</f>
        <v>45705</v>
      </c>
      <c r="B1690" s="7" t="str">
        <f>IFERROR(__xludf.DUMMYFUNCTION("""COMPUTED_VALUE"""),"986391a1-11c2-4879-a385-5ac95b76f087")</f>
        <v>986391a1-11c2-4879-a385-5ac95b76f087</v>
      </c>
      <c r="C1690" s="7">
        <f>IFERROR(__xludf.DUMMYFUNCTION("""COMPUTED_VALUE"""),0.0)</f>
        <v>0</v>
      </c>
      <c r="D1690" s="6">
        <f>IFERROR(__xludf.DUMMYFUNCTION("""COMPUTED_VALUE"""),45705.0)</f>
        <v>45705</v>
      </c>
      <c r="E1690" s="7" t="str">
        <f>IFERROR(__xludf.DUMMYFUNCTION("""COMPUTED_VALUE"""),"FRANQUIA_D&amp;G_SP")</f>
        <v>FRANQUIA_D&amp;G_SP</v>
      </c>
      <c r="F1690" s="7" t="str">
        <f>IFERROR(__xludf.DUMMYFUNCTION("""COMPUTED_VALUE"""),"MOTORCYCLE")</f>
        <v>MOTORCYCLE</v>
      </c>
      <c r="G1690" s="7" t="str">
        <f>IFERROR(__xludf.DUMMYFUNCTION("""COMPUTED_VALUE"""),"SAO PAULO")</f>
        <v>SAO PAULO</v>
      </c>
    </row>
    <row r="1691">
      <c r="A1691" s="6">
        <f>IFERROR(__xludf.DUMMYFUNCTION("""COMPUTED_VALUE"""),45705.0)</f>
        <v>45705</v>
      </c>
      <c r="B1691" s="7" t="str">
        <f>IFERROR(__xludf.DUMMYFUNCTION("""COMPUTED_VALUE"""),"853a4f0d-4ca1-4f07-99cd-dcb897101efa")</f>
        <v>853a4f0d-4ca1-4f07-99cd-dcb897101efa</v>
      </c>
      <c r="C1691" s="7">
        <f>IFERROR(__xludf.DUMMYFUNCTION("""COMPUTED_VALUE"""),217.0)</f>
        <v>217</v>
      </c>
      <c r="D1691" s="6">
        <f>IFERROR(__xludf.DUMMYFUNCTION("""COMPUTED_VALUE"""),45488.0)</f>
        <v>45488</v>
      </c>
      <c r="E1691" s="7" t="str">
        <f>IFERROR(__xludf.DUMMYFUNCTION("""COMPUTED_VALUE"""),"FRANQUIA_D&amp;G_SP")</f>
        <v>FRANQUIA_D&amp;G_SP</v>
      </c>
      <c r="F1691" s="7" t="str">
        <f>IFERROR(__xludf.DUMMYFUNCTION("""COMPUTED_VALUE"""),"BICYCLE")</f>
        <v>BICYCLE</v>
      </c>
      <c r="G1691" s="7" t="str">
        <f>IFERROR(__xludf.DUMMYFUNCTION("""COMPUTED_VALUE"""),"SAO PAULO")</f>
        <v>SAO PAULO</v>
      </c>
    </row>
    <row r="1692">
      <c r="A1692" s="6">
        <f>IFERROR(__xludf.DUMMYFUNCTION("""COMPUTED_VALUE"""),45705.0)</f>
        <v>45705</v>
      </c>
      <c r="B1692" s="7" t="str">
        <f>IFERROR(__xludf.DUMMYFUNCTION("""COMPUTED_VALUE"""),"24e854ee-c1de-4781-9386-04183cf1f6f4")</f>
        <v>24e854ee-c1de-4781-9386-04183cf1f6f4</v>
      </c>
      <c r="C1692" s="7">
        <f>IFERROR(__xludf.DUMMYFUNCTION("""COMPUTED_VALUE"""),216.0)</f>
        <v>216</v>
      </c>
      <c r="D1692" s="6">
        <f>IFERROR(__xludf.DUMMYFUNCTION("""COMPUTED_VALUE"""),45489.0)</f>
        <v>45489</v>
      </c>
      <c r="E1692" s="7" t="str">
        <f>IFERROR(__xludf.DUMMYFUNCTION("""COMPUTED_VALUE"""),"FRANQUIA_D&amp;G_SP")</f>
        <v>FRANQUIA_D&amp;G_SP</v>
      </c>
      <c r="F1692" s="7" t="str">
        <f>IFERROR(__xludf.DUMMYFUNCTION("""COMPUTED_VALUE"""),"MOTORCYCLE")</f>
        <v>MOTORCYCLE</v>
      </c>
      <c r="G1692" s="7" t="str">
        <f>IFERROR(__xludf.DUMMYFUNCTION("""COMPUTED_VALUE"""),"SAO PAULO")</f>
        <v>SAO PAULO</v>
      </c>
    </row>
    <row r="1693">
      <c r="A1693" s="6">
        <f>IFERROR(__xludf.DUMMYFUNCTION("""COMPUTED_VALUE"""),45705.0)</f>
        <v>45705</v>
      </c>
      <c r="B1693" s="7" t="str">
        <f>IFERROR(__xludf.DUMMYFUNCTION("""COMPUTED_VALUE"""),"a6223fd3-88a8-45de-bbba-64e29d733fa2")</f>
        <v>a6223fd3-88a8-45de-bbba-64e29d733fa2</v>
      </c>
      <c r="C1693" s="7">
        <f>IFERROR(__xludf.DUMMYFUNCTION("""COMPUTED_VALUE"""),0.0)</f>
        <v>0</v>
      </c>
      <c r="D1693" s="6">
        <f>IFERROR(__xludf.DUMMYFUNCTION("""COMPUTED_VALUE"""),45705.0)</f>
        <v>45705</v>
      </c>
      <c r="E1693" s="7" t="str">
        <f>IFERROR(__xludf.DUMMYFUNCTION("""COMPUTED_VALUE"""),"FRANQUIA_D&amp;G_SP")</f>
        <v>FRANQUIA_D&amp;G_SP</v>
      </c>
      <c r="F1693" s="7" t="str">
        <f>IFERROR(__xludf.DUMMYFUNCTION("""COMPUTED_VALUE"""),"EMOTORCYCLE")</f>
        <v>EMOTORCYCLE</v>
      </c>
      <c r="G1693" s="7" t="str">
        <f>IFERROR(__xludf.DUMMYFUNCTION("""COMPUTED_VALUE"""),"SAO PAULO")</f>
        <v>SAO PAULO</v>
      </c>
    </row>
    <row r="1694">
      <c r="A1694" s="6">
        <f>IFERROR(__xludf.DUMMYFUNCTION("""COMPUTED_VALUE"""),45705.0)</f>
        <v>45705</v>
      </c>
      <c r="B1694" s="7" t="str">
        <f>IFERROR(__xludf.DUMMYFUNCTION("""COMPUTED_VALUE"""),"87e0efe1-583c-4806-8a93-3d7294777f95")</f>
        <v>87e0efe1-583c-4806-8a93-3d7294777f95</v>
      </c>
      <c r="C1694" s="7">
        <f>IFERROR(__xludf.DUMMYFUNCTION("""COMPUTED_VALUE"""),1.0)</f>
        <v>1</v>
      </c>
      <c r="D1694" s="6">
        <f>IFERROR(__xludf.DUMMYFUNCTION("""COMPUTED_VALUE"""),45704.0)</f>
        <v>45704</v>
      </c>
      <c r="E1694" s="7" t="str">
        <f>IFERROR(__xludf.DUMMYFUNCTION("""COMPUTED_VALUE"""),"FRANQUIA_D&amp;G_SP")</f>
        <v>FRANQUIA_D&amp;G_SP</v>
      </c>
      <c r="F1694" s="7" t="str">
        <f>IFERROR(__xludf.DUMMYFUNCTION("""COMPUTED_VALUE"""),"MOTORCYCLE")</f>
        <v>MOTORCYCLE</v>
      </c>
      <c r="G1694" s="7" t="str">
        <f>IFERROR(__xludf.DUMMYFUNCTION("""COMPUTED_VALUE"""),"SAO PAULO")</f>
        <v>SAO PAULO</v>
      </c>
    </row>
    <row r="1695">
      <c r="A1695" s="6">
        <f>IFERROR(__xludf.DUMMYFUNCTION("""COMPUTED_VALUE"""),45705.0)</f>
        <v>45705</v>
      </c>
      <c r="B1695" s="7" t="str">
        <f>IFERROR(__xludf.DUMMYFUNCTION("""COMPUTED_VALUE"""),"9c166ce1-9128-4d3e-91a0-897873d73a20")</f>
        <v>9c166ce1-9128-4d3e-91a0-897873d73a20</v>
      </c>
      <c r="C1695" s="7">
        <f>IFERROR(__xludf.DUMMYFUNCTION("""COMPUTED_VALUE"""),0.0)</f>
        <v>0</v>
      </c>
      <c r="D1695" s="6">
        <f>IFERROR(__xludf.DUMMYFUNCTION("""COMPUTED_VALUE"""),45705.0)</f>
        <v>45705</v>
      </c>
      <c r="E1695" s="7" t="str">
        <f>IFERROR(__xludf.DUMMYFUNCTION("""COMPUTED_VALUE"""),"FRANQUIA_D&amp;G_SP")</f>
        <v>FRANQUIA_D&amp;G_SP</v>
      </c>
      <c r="F1695" s="7" t="str">
        <f>IFERROR(__xludf.DUMMYFUNCTION("""COMPUTED_VALUE"""),"MOTORCYCLE")</f>
        <v>MOTORCYCLE</v>
      </c>
      <c r="G1695" s="7" t="str">
        <f>IFERROR(__xludf.DUMMYFUNCTION("""COMPUTED_VALUE"""),"SAO PAULO")</f>
        <v>SAO PAULO</v>
      </c>
    </row>
    <row r="1696">
      <c r="A1696" s="6">
        <f>IFERROR(__xludf.DUMMYFUNCTION("""COMPUTED_VALUE"""),45705.0)</f>
        <v>45705</v>
      </c>
      <c r="B1696" s="7" t="str">
        <f>IFERROR(__xludf.DUMMYFUNCTION("""COMPUTED_VALUE"""),"842dae5e-ee7d-4a88-b050-937414f3175a")</f>
        <v>842dae5e-ee7d-4a88-b050-937414f3175a</v>
      </c>
      <c r="C1696" s="7">
        <f>IFERROR(__xludf.DUMMYFUNCTION("""COMPUTED_VALUE"""),1.0)</f>
        <v>1</v>
      </c>
      <c r="D1696" s="6">
        <f>IFERROR(__xludf.DUMMYFUNCTION("""COMPUTED_VALUE"""),45704.0)</f>
        <v>45704</v>
      </c>
      <c r="E1696" s="7" t="str">
        <f>IFERROR(__xludf.DUMMYFUNCTION("""COMPUTED_VALUE"""),"FRANQUIA_D&amp;G_SP")</f>
        <v>FRANQUIA_D&amp;G_SP</v>
      </c>
      <c r="F1696" s="7" t="str">
        <f>IFERROR(__xludf.DUMMYFUNCTION("""COMPUTED_VALUE"""),"MOTORCYCLE")</f>
        <v>MOTORCYCLE</v>
      </c>
      <c r="G1696" s="7" t="str">
        <f>IFERROR(__xludf.DUMMYFUNCTION("""COMPUTED_VALUE"""),"SAO PAULO")</f>
        <v>SAO PAULO</v>
      </c>
    </row>
    <row r="1697">
      <c r="A1697" s="6">
        <f>IFERROR(__xludf.DUMMYFUNCTION("""COMPUTED_VALUE"""),45705.0)</f>
        <v>45705</v>
      </c>
      <c r="B1697" s="7" t="str">
        <f>IFERROR(__xludf.DUMMYFUNCTION("""COMPUTED_VALUE"""),"f217d1e3-76f7-4e3a-8cd4-bb3fe59414c1")</f>
        <v>f217d1e3-76f7-4e3a-8cd4-bb3fe59414c1</v>
      </c>
      <c r="C1697" s="7">
        <f>IFERROR(__xludf.DUMMYFUNCTION("""COMPUTED_VALUE"""),81.0)</f>
        <v>81</v>
      </c>
      <c r="D1697" s="6">
        <f>IFERROR(__xludf.DUMMYFUNCTION("""COMPUTED_VALUE"""),45624.0)</f>
        <v>45624</v>
      </c>
      <c r="E1697" s="7" t="str">
        <f>IFERROR(__xludf.DUMMYFUNCTION("""COMPUTED_VALUE"""),"FRANQUIA_D&amp;G_SP")</f>
        <v>FRANQUIA_D&amp;G_SP</v>
      </c>
      <c r="F1697" s="7" t="str">
        <f>IFERROR(__xludf.DUMMYFUNCTION("""COMPUTED_VALUE"""),"BICYCLE")</f>
        <v>BICYCLE</v>
      </c>
      <c r="G1697" s="7" t="str">
        <f>IFERROR(__xludf.DUMMYFUNCTION("""COMPUTED_VALUE"""),"SAO PAULO")</f>
        <v>SAO PAULO</v>
      </c>
    </row>
    <row r="1698">
      <c r="A1698" s="6">
        <f>IFERROR(__xludf.DUMMYFUNCTION("""COMPUTED_VALUE"""),45705.0)</f>
        <v>45705</v>
      </c>
      <c r="B1698" s="7" t="str">
        <f>IFERROR(__xludf.DUMMYFUNCTION("""COMPUTED_VALUE"""),"d7253426-f299-4c0e-869c-9a993d8376a4")</f>
        <v>d7253426-f299-4c0e-869c-9a993d8376a4</v>
      </c>
      <c r="C1698" s="7">
        <f>IFERROR(__xludf.DUMMYFUNCTION("""COMPUTED_VALUE"""),68.0)</f>
        <v>68</v>
      </c>
      <c r="D1698" s="6">
        <f>IFERROR(__xludf.DUMMYFUNCTION("""COMPUTED_VALUE"""),45637.0)</f>
        <v>45637</v>
      </c>
      <c r="E1698" s="7" t="str">
        <f>IFERROR(__xludf.DUMMYFUNCTION("""COMPUTED_VALUE"""),"FRANQUIA_D&amp;G_SP")</f>
        <v>FRANQUIA_D&amp;G_SP</v>
      </c>
      <c r="F1698" s="7" t="str">
        <f>IFERROR(__xludf.DUMMYFUNCTION("""COMPUTED_VALUE"""),"BICYCLE")</f>
        <v>BICYCLE</v>
      </c>
      <c r="G1698" s="7" t="str">
        <f>IFERROR(__xludf.DUMMYFUNCTION("""COMPUTED_VALUE"""),"SAO PAULO")</f>
        <v>SAO PAULO</v>
      </c>
    </row>
    <row r="1699">
      <c r="A1699" s="6">
        <f>IFERROR(__xludf.DUMMYFUNCTION("""COMPUTED_VALUE"""),45705.0)</f>
        <v>45705</v>
      </c>
      <c r="B1699" s="7" t="str">
        <f>IFERROR(__xludf.DUMMYFUNCTION("""COMPUTED_VALUE"""),"395a7013-1999-4f86-96ed-a3eaadcf155f")</f>
        <v>395a7013-1999-4f86-96ed-a3eaadcf155f</v>
      </c>
      <c r="C1699" s="7">
        <f>IFERROR(__xludf.DUMMYFUNCTION("""COMPUTED_VALUE"""),0.0)</f>
        <v>0</v>
      </c>
      <c r="D1699" s="6">
        <f>IFERROR(__xludf.DUMMYFUNCTION("""COMPUTED_VALUE"""),45705.0)</f>
        <v>45705</v>
      </c>
      <c r="E1699" s="7" t="str">
        <f>IFERROR(__xludf.DUMMYFUNCTION("""COMPUTED_VALUE"""),"FRANQUIA_D&amp;G_SP")</f>
        <v>FRANQUIA_D&amp;G_SP</v>
      </c>
      <c r="F1699" s="7" t="str">
        <f>IFERROR(__xludf.DUMMYFUNCTION("""COMPUTED_VALUE"""),"BICYCLE")</f>
        <v>BICYCLE</v>
      </c>
      <c r="G1699" s="7" t="str">
        <f>IFERROR(__xludf.DUMMYFUNCTION("""COMPUTED_VALUE"""),"SAO PAULO")</f>
        <v>SAO PAULO</v>
      </c>
    </row>
    <row r="1700">
      <c r="A1700" s="6">
        <f>IFERROR(__xludf.DUMMYFUNCTION("""COMPUTED_VALUE"""),45705.0)</f>
        <v>45705</v>
      </c>
      <c r="B1700" s="7" t="str">
        <f>IFERROR(__xludf.DUMMYFUNCTION("""COMPUTED_VALUE"""),"96a3978a-f15d-419e-875f-a3e8ab933c82")</f>
        <v>96a3978a-f15d-419e-875f-a3e8ab933c82</v>
      </c>
      <c r="C1700" s="7">
        <f>IFERROR(__xludf.DUMMYFUNCTION("""COMPUTED_VALUE"""),0.0)</f>
        <v>0</v>
      </c>
      <c r="D1700" s="6">
        <f>IFERROR(__xludf.DUMMYFUNCTION("""COMPUTED_VALUE"""),45705.0)</f>
        <v>45705</v>
      </c>
      <c r="E1700" s="7" t="str">
        <f>IFERROR(__xludf.DUMMYFUNCTION("""COMPUTED_VALUE"""),"FRANQUIA_D&amp;G_SP")</f>
        <v>FRANQUIA_D&amp;G_SP</v>
      </c>
      <c r="F1700" s="7" t="str">
        <f>IFERROR(__xludf.DUMMYFUNCTION("""COMPUTED_VALUE"""),"MOTORCYCLE")</f>
        <v>MOTORCYCLE</v>
      </c>
      <c r="G1700" s="7" t="str">
        <f>IFERROR(__xludf.DUMMYFUNCTION("""COMPUTED_VALUE"""),"SAO PAULO")</f>
        <v>SAO PAULO</v>
      </c>
    </row>
    <row r="1701">
      <c r="A1701" s="6">
        <f>IFERROR(__xludf.DUMMYFUNCTION("""COMPUTED_VALUE"""),45705.0)</f>
        <v>45705</v>
      </c>
      <c r="B1701" s="7" t="str">
        <f>IFERROR(__xludf.DUMMYFUNCTION("""COMPUTED_VALUE"""),"67cda57e-4b1a-49fd-bb4d-7a7331fd173b")</f>
        <v>67cda57e-4b1a-49fd-bb4d-7a7331fd173b</v>
      </c>
      <c r="C1701" s="7">
        <f>IFERROR(__xludf.DUMMYFUNCTION("""COMPUTED_VALUE"""),2.0)</f>
        <v>2</v>
      </c>
      <c r="D1701" s="6">
        <f>IFERROR(__xludf.DUMMYFUNCTION("""COMPUTED_VALUE"""),45703.0)</f>
        <v>45703</v>
      </c>
      <c r="E1701" s="7" t="str">
        <f>IFERROR(__xludf.DUMMYFUNCTION("""COMPUTED_VALUE"""),"FRANQUIA_D&amp;G_SP")</f>
        <v>FRANQUIA_D&amp;G_SP</v>
      </c>
      <c r="F1701" s="7" t="str">
        <f>IFERROR(__xludf.DUMMYFUNCTION("""COMPUTED_VALUE"""),"MOTORCYCLE")</f>
        <v>MOTORCYCLE</v>
      </c>
      <c r="G1701" s="7" t="str">
        <f>IFERROR(__xludf.DUMMYFUNCTION("""COMPUTED_VALUE"""),"SAO PAULO")</f>
        <v>SAO PAULO</v>
      </c>
    </row>
    <row r="1702">
      <c r="A1702" s="6">
        <f>IFERROR(__xludf.DUMMYFUNCTION("""COMPUTED_VALUE"""),45705.0)</f>
        <v>45705</v>
      </c>
      <c r="B1702" s="7" t="str">
        <f>IFERROR(__xludf.DUMMYFUNCTION("""COMPUTED_VALUE"""),"3eb55fbe-4e5d-4695-963e-a46d972e9a1e")</f>
        <v>3eb55fbe-4e5d-4695-963e-a46d972e9a1e</v>
      </c>
      <c r="C1702" s="7">
        <f>IFERROR(__xludf.DUMMYFUNCTION("""COMPUTED_VALUE"""),0.0)</f>
        <v>0</v>
      </c>
      <c r="D1702" s="6">
        <f>IFERROR(__xludf.DUMMYFUNCTION("""COMPUTED_VALUE"""),0.0)</f>
        <v>0</v>
      </c>
      <c r="E1702" s="7" t="str">
        <f>IFERROR(__xludf.DUMMYFUNCTION("""COMPUTED_VALUE"""),"FRANQUIA_D&amp;G_SP")</f>
        <v>FRANQUIA_D&amp;G_SP</v>
      </c>
      <c r="F1702" s="7" t="str">
        <f>IFERROR(__xludf.DUMMYFUNCTION("""COMPUTED_VALUE"""),"BICYCLE")</f>
        <v>BICYCLE</v>
      </c>
      <c r="G1702" s="7" t="str">
        <f>IFERROR(__xludf.DUMMYFUNCTION("""COMPUTED_VALUE"""),"0")</f>
        <v>0</v>
      </c>
    </row>
    <row r="1703">
      <c r="A1703" s="6">
        <f>IFERROR(__xludf.DUMMYFUNCTION("""COMPUTED_VALUE"""),45705.0)</f>
        <v>45705</v>
      </c>
      <c r="B1703" s="7" t="str">
        <f>IFERROR(__xludf.DUMMYFUNCTION("""COMPUTED_VALUE"""),"bb1190ff-8d5e-489d-88ae-075c970e00e6")</f>
        <v>bb1190ff-8d5e-489d-88ae-075c970e00e6</v>
      </c>
      <c r="C1703" s="7">
        <f>IFERROR(__xludf.DUMMYFUNCTION("""COMPUTED_VALUE"""),0.0)</f>
        <v>0</v>
      </c>
      <c r="D1703" s="6">
        <f>IFERROR(__xludf.DUMMYFUNCTION("""COMPUTED_VALUE"""),45705.0)</f>
        <v>45705</v>
      </c>
      <c r="E1703" s="7" t="str">
        <f>IFERROR(__xludf.DUMMYFUNCTION("""COMPUTED_VALUE"""),"FRANQUIA_D&amp;G_SP")</f>
        <v>FRANQUIA_D&amp;G_SP</v>
      </c>
      <c r="F1703" s="7" t="str">
        <f>IFERROR(__xludf.DUMMYFUNCTION("""COMPUTED_VALUE"""),"MOTORCYCLE")</f>
        <v>MOTORCYCLE</v>
      </c>
      <c r="G1703" s="7" t="str">
        <f>IFERROR(__xludf.DUMMYFUNCTION("""COMPUTED_VALUE"""),"RECIFE")</f>
        <v>RECIFE</v>
      </c>
    </row>
    <row r="1704">
      <c r="A1704" s="6">
        <f>IFERROR(__xludf.DUMMYFUNCTION("""COMPUTED_VALUE"""),45705.0)</f>
        <v>45705</v>
      </c>
      <c r="B1704" s="7" t="str">
        <f>IFERROR(__xludf.DUMMYFUNCTION("""COMPUTED_VALUE"""),"af23a1b6-9432-4c15-b126-1eb9cab296fd")</f>
        <v>af23a1b6-9432-4c15-b126-1eb9cab296fd</v>
      </c>
      <c r="C1704" s="7">
        <f>IFERROR(__xludf.DUMMYFUNCTION("""COMPUTED_VALUE"""),75.0)</f>
        <v>75</v>
      </c>
      <c r="D1704" s="6">
        <f>IFERROR(__xludf.DUMMYFUNCTION("""COMPUTED_VALUE"""),45630.0)</f>
        <v>45630</v>
      </c>
      <c r="E1704" s="7" t="str">
        <f>IFERROR(__xludf.DUMMYFUNCTION("""COMPUTED_VALUE"""),"FRANQUIA_D&amp;G_SP")</f>
        <v>FRANQUIA_D&amp;G_SP</v>
      </c>
      <c r="F1704" s="7" t="str">
        <f>IFERROR(__xludf.DUMMYFUNCTION("""COMPUTED_VALUE"""),"BICYCLE")</f>
        <v>BICYCLE</v>
      </c>
      <c r="G1704" s="7" t="str">
        <f>IFERROR(__xludf.DUMMYFUNCTION("""COMPUTED_VALUE"""),"SAO PAULO")</f>
        <v>SAO PAULO</v>
      </c>
    </row>
    <row r="1705">
      <c r="A1705" s="6">
        <f>IFERROR(__xludf.DUMMYFUNCTION("""COMPUTED_VALUE"""),45705.0)</f>
        <v>45705</v>
      </c>
      <c r="B1705" s="7" t="str">
        <f>IFERROR(__xludf.DUMMYFUNCTION("""COMPUTED_VALUE"""),"e94ac285-38b5-45f4-a0ce-77f867d4d1e1")</f>
        <v>e94ac285-38b5-45f4-a0ce-77f867d4d1e1</v>
      </c>
      <c r="C1705" s="7">
        <f>IFERROR(__xludf.DUMMYFUNCTION("""COMPUTED_VALUE"""),0.0)</f>
        <v>0</v>
      </c>
      <c r="D1705" s="6">
        <f>IFERROR(__xludf.DUMMYFUNCTION("""COMPUTED_VALUE"""),45705.0)</f>
        <v>45705</v>
      </c>
      <c r="E1705" s="7" t="str">
        <f>IFERROR(__xludf.DUMMYFUNCTION("""COMPUTED_VALUE"""),"FRANQUIA_D&amp;G_SP")</f>
        <v>FRANQUIA_D&amp;G_SP</v>
      </c>
      <c r="F1705" s="7" t="str">
        <f>IFERROR(__xludf.DUMMYFUNCTION("""COMPUTED_VALUE"""),"BICYCLE")</f>
        <v>BICYCLE</v>
      </c>
      <c r="G1705" s="7" t="str">
        <f>IFERROR(__xludf.DUMMYFUNCTION("""COMPUTED_VALUE"""),"SAO PAULO")</f>
        <v>SAO PAULO</v>
      </c>
    </row>
    <row r="1706">
      <c r="A1706" s="6">
        <f>IFERROR(__xludf.DUMMYFUNCTION("""COMPUTED_VALUE"""),45705.0)</f>
        <v>45705</v>
      </c>
      <c r="B1706" s="7" t="str">
        <f>IFERROR(__xludf.DUMMYFUNCTION("""COMPUTED_VALUE"""),"70fd1444-057c-4f1e-b96c-45535295c2ce")</f>
        <v>70fd1444-057c-4f1e-b96c-45535295c2ce</v>
      </c>
      <c r="C1706" s="7">
        <f>IFERROR(__xludf.DUMMYFUNCTION("""COMPUTED_VALUE"""),17.0)</f>
        <v>17</v>
      </c>
      <c r="D1706" s="6">
        <f>IFERROR(__xludf.DUMMYFUNCTION("""COMPUTED_VALUE"""),45688.0)</f>
        <v>45688</v>
      </c>
      <c r="E1706" s="7" t="str">
        <f>IFERROR(__xludf.DUMMYFUNCTION("""COMPUTED_VALUE"""),"FRANQUIA_D&amp;G_SP")</f>
        <v>FRANQUIA_D&amp;G_SP</v>
      </c>
      <c r="F1706" s="7" t="str">
        <f>IFERROR(__xludf.DUMMYFUNCTION("""COMPUTED_VALUE"""),"MOTORCYCLE")</f>
        <v>MOTORCYCLE</v>
      </c>
      <c r="G1706" s="7" t="str">
        <f>IFERROR(__xludf.DUMMYFUNCTION("""COMPUTED_VALUE"""),"TABOAO DA SERRA")</f>
        <v>TABOAO DA SERRA</v>
      </c>
    </row>
    <row r="1707">
      <c r="A1707" s="6">
        <f>IFERROR(__xludf.DUMMYFUNCTION("""COMPUTED_VALUE"""),45705.0)</f>
        <v>45705</v>
      </c>
      <c r="B1707" s="7" t="str">
        <f>IFERROR(__xludf.DUMMYFUNCTION("""COMPUTED_VALUE"""),"197e28ed-23d2-43ea-991d-5b6ae2c3c83a")</f>
        <v>197e28ed-23d2-43ea-991d-5b6ae2c3c83a</v>
      </c>
      <c r="C1707" s="7">
        <f>IFERROR(__xludf.DUMMYFUNCTION("""COMPUTED_VALUE"""),4.0)</f>
        <v>4</v>
      </c>
      <c r="D1707" s="6">
        <f>IFERROR(__xludf.DUMMYFUNCTION("""COMPUTED_VALUE"""),45701.0)</f>
        <v>45701</v>
      </c>
      <c r="E1707" s="7" t="str">
        <f>IFERROR(__xludf.DUMMYFUNCTION("""COMPUTED_VALUE"""),"FRANQUIA_D&amp;G_SP")</f>
        <v>FRANQUIA_D&amp;G_SP</v>
      </c>
      <c r="F1707" s="7" t="str">
        <f>IFERROR(__xludf.DUMMYFUNCTION("""COMPUTED_VALUE"""),"CARRO LP")</f>
        <v>CARRO LP</v>
      </c>
      <c r="G1707" s="7" t="str">
        <f>IFERROR(__xludf.DUMMYFUNCTION("""COMPUTED_VALUE"""),"SAO PAULO")</f>
        <v>SAO PAULO</v>
      </c>
    </row>
    <row r="1708">
      <c r="A1708" s="6">
        <f>IFERROR(__xludf.DUMMYFUNCTION("""COMPUTED_VALUE"""),45705.0)</f>
        <v>45705</v>
      </c>
      <c r="B1708" s="7" t="str">
        <f>IFERROR(__xludf.DUMMYFUNCTION("""COMPUTED_VALUE"""),"e9fb7680-8c91-44d2-82b5-d9d1e68e8286")</f>
        <v>e9fb7680-8c91-44d2-82b5-d9d1e68e8286</v>
      </c>
      <c r="C1708" s="7">
        <f>IFERROR(__xludf.DUMMYFUNCTION("""COMPUTED_VALUE"""),0.0)</f>
        <v>0</v>
      </c>
      <c r="D1708" s="6">
        <f>IFERROR(__xludf.DUMMYFUNCTION("""COMPUTED_VALUE"""),45705.0)</f>
        <v>45705</v>
      </c>
      <c r="E1708" s="7" t="str">
        <f>IFERROR(__xludf.DUMMYFUNCTION("""COMPUTED_VALUE"""),"FRANQUIA_D&amp;G_SP")</f>
        <v>FRANQUIA_D&amp;G_SP</v>
      </c>
      <c r="F1708" s="7" t="str">
        <f>IFERROR(__xludf.DUMMYFUNCTION("""COMPUTED_VALUE"""),"MOTORCYCLE")</f>
        <v>MOTORCYCLE</v>
      </c>
      <c r="G1708" s="7" t="str">
        <f>IFERROR(__xludf.DUMMYFUNCTION("""COMPUTED_VALUE"""),"SAO PAULO")</f>
        <v>SAO PAULO</v>
      </c>
    </row>
    <row r="1709">
      <c r="A1709" s="6">
        <f>IFERROR(__xludf.DUMMYFUNCTION("""COMPUTED_VALUE"""),45705.0)</f>
        <v>45705</v>
      </c>
      <c r="B1709" s="7" t="str">
        <f>IFERROR(__xludf.DUMMYFUNCTION("""COMPUTED_VALUE"""),"00d878ec-0ec9-4bc3-a717-b49ef6898166")</f>
        <v>00d878ec-0ec9-4bc3-a717-b49ef6898166</v>
      </c>
      <c r="C1709" s="7">
        <f>IFERROR(__xludf.DUMMYFUNCTION("""COMPUTED_VALUE"""),31.0)</f>
        <v>31</v>
      </c>
      <c r="D1709" s="6">
        <f>IFERROR(__xludf.DUMMYFUNCTION("""COMPUTED_VALUE"""),45674.0)</f>
        <v>45674</v>
      </c>
      <c r="E1709" s="7" t="str">
        <f>IFERROR(__xludf.DUMMYFUNCTION("""COMPUTED_VALUE"""),"FRANQUIA_D&amp;G_SP")</f>
        <v>FRANQUIA_D&amp;G_SP</v>
      </c>
      <c r="F1709" s="7" t="str">
        <f>IFERROR(__xludf.DUMMYFUNCTION("""COMPUTED_VALUE"""),"BICYCLE")</f>
        <v>BICYCLE</v>
      </c>
      <c r="G1709" s="7" t="str">
        <f>IFERROR(__xludf.DUMMYFUNCTION("""COMPUTED_VALUE"""),"SAO PAULO")</f>
        <v>SAO PAULO</v>
      </c>
    </row>
    <row r="1710">
      <c r="A1710" s="6">
        <f>IFERROR(__xludf.DUMMYFUNCTION("""COMPUTED_VALUE"""),45705.0)</f>
        <v>45705</v>
      </c>
      <c r="B1710" s="7" t="str">
        <f>IFERROR(__xludf.DUMMYFUNCTION("""COMPUTED_VALUE"""),"9faf2f7f-c1ae-43e7-9d13-240aaab91ab3")</f>
        <v>9faf2f7f-c1ae-43e7-9d13-240aaab91ab3</v>
      </c>
      <c r="C1710" s="7">
        <f>IFERROR(__xludf.DUMMYFUNCTION("""COMPUTED_VALUE"""),51.0)</f>
        <v>51</v>
      </c>
      <c r="D1710" s="6">
        <f>IFERROR(__xludf.DUMMYFUNCTION("""COMPUTED_VALUE"""),45654.0)</f>
        <v>45654</v>
      </c>
      <c r="E1710" s="7" t="str">
        <f>IFERROR(__xludf.DUMMYFUNCTION("""COMPUTED_VALUE"""),"FRANQUIA_D&amp;G_SP")</f>
        <v>FRANQUIA_D&amp;G_SP</v>
      </c>
      <c r="F1710" s="7" t="str">
        <f>IFERROR(__xludf.DUMMYFUNCTION("""COMPUTED_VALUE"""),"BICYCLE")</f>
        <v>BICYCLE</v>
      </c>
      <c r="G1710" s="7" t="str">
        <f>IFERROR(__xludf.DUMMYFUNCTION("""COMPUTED_VALUE"""),"GUARULHOS")</f>
        <v>GUARULHOS</v>
      </c>
    </row>
    <row r="1711">
      <c r="A1711" s="6">
        <f>IFERROR(__xludf.DUMMYFUNCTION("""COMPUTED_VALUE"""),45705.0)</f>
        <v>45705</v>
      </c>
      <c r="B1711" s="7" t="str">
        <f>IFERROR(__xludf.DUMMYFUNCTION("""COMPUTED_VALUE"""),"c2a5acf7-a621-48c2-98a3-712c70290322")</f>
        <v>c2a5acf7-a621-48c2-98a3-712c70290322</v>
      </c>
      <c r="C1711" s="7">
        <f>IFERROR(__xludf.DUMMYFUNCTION("""COMPUTED_VALUE"""),0.0)</f>
        <v>0</v>
      </c>
      <c r="D1711" s="6">
        <f>IFERROR(__xludf.DUMMYFUNCTION("""COMPUTED_VALUE"""),45705.0)</f>
        <v>45705</v>
      </c>
      <c r="E1711" s="7" t="str">
        <f>IFERROR(__xludf.DUMMYFUNCTION("""COMPUTED_VALUE"""),"FRANQUIA_D&amp;G_SP")</f>
        <v>FRANQUIA_D&amp;G_SP</v>
      </c>
      <c r="F1711" s="7" t="str">
        <f>IFERROR(__xludf.DUMMYFUNCTION("""COMPUTED_VALUE"""),"MOTORCYCLE")</f>
        <v>MOTORCYCLE</v>
      </c>
      <c r="G1711" s="7" t="str">
        <f>IFERROR(__xludf.DUMMYFUNCTION("""COMPUTED_VALUE"""),"SAO PAULO")</f>
        <v>SAO PAULO</v>
      </c>
    </row>
    <row r="1712">
      <c r="A1712" s="6">
        <f>IFERROR(__xludf.DUMMYFUNCTION("""COMPUTED_VALUE"""),45705.0)</f>
        <v>45705</v>
      </c>
      <c r="B1712" s="7" t="str">
        <f>IFERROR(__xludf.DUMMYFUNCTION("""COMPUTED_VALUE"""),"da4ab3eb-0098-4d82-a7bc-7d4e86d4c214")</f>
        <v>da4ab3eb-0098-4d82-a7bc-7d4e86d4c214</v>
      </c>
      <c r="C1712" s="7">
        <f>IFERROR(__xludf.DUMMYFUNCTION("""COMPUTED_VALUE"""),0.0)</f>
        <v>0</v>
      </c>
      <c r="D1712" s="6">
        <f>IFERROR(__xludf.DUMMYFUNCTION("""COMPUTED_VALUE"""),45705.0)</f>
        <v>45705</v>
      </c>
      <c r="E1712" s="7" t="str">
        <f>IFERROR(__xludf.DUMMYFUNCTION("""COMPUTED_VALUE"""),"FRANQUIA_D&amp;G_SP")</f>
        <v>FRANQUIA_D&amp;G_SP</v>
      </c>
      <c r="F1712" s="7" t="str">
        <f>IFERROR(__xludf.DUMMYFUNCTION("""COMPUTED_VALUE"""),"BICYCLE")</f>
        <v>BICYCLE</v>
      </c>
      <c r="G1712" s="7" t="str">
        <f>IFERROR(__xludf.DUMMYFUNCTION("""COMPUTED_VALUE"""),"SAO PAULO")</f>
        <v>SAO PAULO</v>
      </c>
    </row>
    <row r="1713">
      <c r="A1713" s="6">
        <f>IFERROR(__xludf.DUMMYFUNCTION("""COMPUTED_VALUE"""),45705.0)</f>
        <v>45705</v>
      </c>
      <c r="B1713" s="7" t="str">
        <f>IFERROR(__xludf.DUMMYFUNCTION("""COMPUTED_VALUE"""),"a3809735-f4aa-4151-8530-2c23589fe1f8")</f>
        <v>a3809735-f4aa-4151-8530-2c23589fe1f8</v>
      </c>
      <c r="C1713" s="7">
        <f>IFERROR(__xludf.DUMMYFUNCTION("""COMPUTED_VALUE"""),6.0)</f>
        <v>6</v>
      </c>
      <c r="D1713" s="6">
        <f>IFERROR(__xludf.DUMMYFUNCTION("""COMPUTED_VALUE"""),45699.0)</f>
        <v>45699</v>
      </c>
      <c r="E1713" s="7" t="str">
        <f>IFERROR(__xludf.DUMMYFUNCTION("""COMPUTED_VALUE"""),"FRANQUIA_D&amp;G_SP")</f>
        <v>FRANQUIA_D&amp;G_SP</v>
      </c>
      <c r="F1713" s="7" t="str">
        <f>IFERROR(__xludf.DUMMYFUNCTION("""COMPUTED_VALUE"""),"MOTORCYCLE")</f>
        <v>MOTORCYCLE</v>
      </c>
      <c r="G1713" s="7" t="str">
        <f>IFERROR(__xludf.DUMMYFUNCTION("""COMPUTED_VALUE"""),"SAO PAULO")</f>
        <v>SAO PAULO</v>
      </c>
    </row>
    <row r="1714">
      <c r="A1714" s="6">
        <f>IFERROR(__xludf.DUMMYFUNCTION("""COMPUTED_VALUE"""),45705.0)</f>
        <v>45705</v>
      </c>
      <c r="B1714" s="7" t="str">
        <f>IFERROR(__xludf.DUMMYFUNCTION("""COMPUTED_VALUE"""),"e46a7a75-1d8b-4b9f-b953-ff172132a427")</f>
        <v>e46a7a75-1d8b-4b9f-b953-ff172132a427</v>
      </c>
      <c r="C1714" s="7">
        <f>IFERROR(__xludf.DUMMYFUNCTION("""COMPUTED_VALUE"""),0.0)</f>
        <v>0</v>
      </c>
      <c r="D1714" s="6">
        <f>IFERROR(__xludf.DUMMYFUNCTION("""COMPUTED_VALUE"""),45705.0)</f>
        <v>45705</v>
      </c>
      <c r="E1714" s="7" t="str">
        <f>IFERROR(__xludf.DUMMYFUNCTION("""COMPUTED_VALUE"""),"FRANQUIA_D&amp;G_SP")</f>
        <v>FRANQUIA_D&amp;G_SP</v>
      </c>
      <c r="F1714" s="7" t="str">
        <f>IFERROR(__xludf.DUMMYFUNCTION("""COMPUTED_VALUE"""),"BICYCLE")</f>
        <v>BICYCLE</v>
      </c>
      <c r="G1714" s="7" t="str">
        <f>IFERROR(__xludf.DUMMYFUNCTION("""COMPUTED_VALUE"""),"SAO PAULO")</f>
        <v>SAO PAULO</v>
      </c>
    </row>
    <row r="1715">
      <c r="A1715" s="6">
        <f>IFERROR(__xludf.DUMMYFUNCTION("""COMPUTED_VALUE"""),45705.0)</f>
        <v>45705</v>
      </c>
      <c r="B1715" s="7" t="str">
        <f>IFERROR(__xludf.DUMMYFUNCTION("""COMPUTED_VALUE"""),"38eeefc0-9283-4baa-8660-5d2fe38e75af")</f>
        <v>38eeefc0-9283-4baa-8660-5d2fe38e75af</v>
      </c>
      <c r="C1715" s="7">
        <f>IFERROR(__xludf.DUMMYFUNCTION("""COMPUTED_VALUE"""),121.0)</f>
        <v>121</v>
      </c>
      <c r="D1715" s="6">
        <f>IFERROR(__xludf.DUMMYFUNCTION("""COMPUTED_VALUE"""),45584.0)</f>
        <v>45584</v>
      </c>
      <c r="E1715" s="7" t="str">
        <f>IFERROR(__xludf.DUMMYFUNCTION("""COMPUTED_VALUE"""),"FRANQUIA_D&amp;G_SP")</f>
        <v>FRANQUIA_D&amp;G_SP</v>
      </c>
      <c r="F1715" s="7" t="str">
        <f>IFERROR(__xludf.DUMMYFUNCTION("""COMPUTED_VALUE"""),"BICYCLE")</f>
        <v>BICYCLE</v>
      </c>
      <c r="G1715" s="7" t="str">
        <f>IFERROR(__xludf.DUMMYFUNCTION("""COMPUTED_VALUE"""),"SAO PAULO")</f>
        <v>SAO PAULO</v>
      </c>
    </row>
    <row r="1716">
      <c r="A1716" s="6">
        <f>IFERROR(__xludf.DUMMYFUNCTION("""COMPUTED_VALUE"""),45705.0)</f>
        <v>45705</v>
      </c>
      <c r="B1716" s="7" t="str">
        <f>IFERROR(__xludf.DUMMYFUNCTION("""COMPUTED_VALUE"""),"5c648520-3960-4bac-805a-e9ef7d74fc71")</f>
        <v>5c648520-3960-4bac-805a-e9ef7d74fc71</v>
      </c>
      <c r="C1716" s="7">
        <f>IFERROR(__xludf.DUMMYFUNCTION("""COMPUTED_VALUE"""),7.0)</f>
        <v>7</v>
      </c>
      <c r="D1716" s="6">
        <f>IFERROR(__xludf.DUMMYFUNCTION("""COMPUTED_VALUE"""),45698.0)</f>
        <v>45698</v>
      </c>
      <c r="E1716" s="7" t="str">
        <f>IFERROR(__xludf.DUMMYFUNCTION("""COMPUTED_VALUE"""),"FRANQUIA_D&amp;G_SP")</f>
        <v>FRANQUIA_D&amp;G_SP</v>
      </c>
      <c r="F1716" s="7" t="str">
        <f>IFERROR(__xludf.DUMMYFUNCTION("""COMPUTED_VALUE"""),"MOTORCYCLE")</f>
        <v>MOTORCYCLE</v>
      </c>
      <c r="G1716" s="7" t="str">
        <f>IFERROR(__xludf.DUMMYFUNCTION("""COMPUTED_VALUE"""),"SAO PAULO")</f>
        <v>SAO PAULO</v>
      </c>
    </row>
    <row r="1717">
      <c r="A1717" s="6">
        <f>IFERROR(__xludf.DUMMYFUNCTION("""COMPUTED_VALUE"""),45705.0)</f>
        <v>45705</v>
      </c>
      <c r="B1717" s="7" t="str">
        <f>IFERROR(__xludf.DUMMYFUNCTION("""COMPUTED_VALUE"""),"09a99312-8dd0-4ef1-bb90-a988097b3102")</f>
        <v>09a99312-8dd0-4ef1-bb90-a988097b3102</v>
      </c>
      <c r="C1717" s="7">
        <f>IFERROR(__xludf.DUMMYFUNCTION("""COMPUTED_VALUE"""),1170.0)</f>
        <v>1170</v>
      </c>
      <c r="D1717" s="6">
        <f>IFERROR(__xludf.DUMMYFUNCTION("""COMPUTED_VALUE"""),44535.0)</f>
        <v>44535</v>
      </c>
      <c r="E1717" s="7" t="str">
        <f>IFERROR(__xludf.DUMMYFUNCTION("""COMPUTED_VALUE"""),"FRANQUIA_D&amp;G_SP")</f>
        <v>FRANQUIA_D&amp;G_SP</v>
      </c>
      <c r="F1717" s="7" t="str">
        <f>IFERROR(__xludf.DUMMYFUNCTION("""COMPUTED_VALUE"""),"MOTORCYCLE")</f>
        <v>MOTORCYCLE</v>
      </c>
      <c r="G1717" s="7" t="str">
        <f>IFERROR(__xludf.DUMMYFUNCTION("""COMPUTED_VALUE"""),"TABOAO DA SERRA")</f>
        <v>TABOAO DA SERRA</v>
      </c>
    </row>
    <row r="1718">
      <c r="A1718" s="6">
        <f>IFERROR(__xludf.DUMMYFUNCTION("""COMPUTED_VALUE"""),45705.0)</f>
        <v>45705</v>
      </c>
      <c r="B1718" s="7" t="str">
        <f>IFERROR(__xludf.DUMMYFUNCTION("""COMPUTED_VALUE"""),"d2f1a8f6-537e-4dc5-b7f3-aa3be0d42591")</f>
        <v>d2f1a8f6-537e-4dc5-b7f3-aa3be0d42591</v>
      </c>
      <c r="C1718" s="7">
        <f>IFERROR(__xludf.DUMMYFUNCTION("""COMPUTED_VALUE"""),0.0)</f>
        <v>0</v>
      </c>
      <c r="D1718" s="6">
        <f>IFERROR(__xludf.DUMMYFUNCTION("""COMPUTED_VALUE"""),45705.0)</f>
        <v>45705</v>
      </c>
      <c r="E1718" s="7" t="str">
        <f>IFERROR(__xludf.DUMMYFUNCTION("""COMPUTED_VALUE"""),"FRANQUIA_D&amp;G_SP")</f>
        <v>FRANQUIA_D&amp;G_SP</v>
      </c>
      <c r="F1718" s="7" t="str">
        <f>IFERROR(__xludf.DUMMYFUNCTION("""COMPUTED_VALUE"""),"MOTORCYCLE")</f>
        <v>MOTORCYCLE</v>
      </c>
      <c r="G1718" s="7" t="str">
        <f>IFERROR(__xludf.DUMMYFUNCTION("""COMPUTED_VALUE"""),"SAO PAULO")</f>
        <v>SAO PAULO</v>
      </c>
    </row>
    <row r="1719">
      <c r="A1719" s="6">
        <f>IFERROR(__xludf.DUMMYFUNCTION("""COMPUTED_VALUE"""),45705.0)</f>
        <v>45705</v>
      </c>
      <c r="B1719" s="7" t="str">
        <f>IFERROR(__xludf.DUMMYFUNCTION("""COMPUTED_VALUE"""),"612ae949-3140-4ed7-b2a7-1a2fcb4d1f38")</f>
        <v>612ae949-3140-4ed7-b2a7-1a2fcb4d1f38</v>
      </c>
      <c r="C1719" s="7">
        <f>IFERROR(__xludf.DUMMYFUNCTION("""COMPUTED_VALUE"""),0.0)</f>
        <v>0</v>
      </c>
      <c r="D1719" s="6">
        <f>IFERROR(__xludf.DUMMYFUNCTION("""COMPUTED_VALUE"""),45705.0)</f>
        <v>45705</v>
      </c>
      <c r="E1719" s="7" t="str">
        <f>IFERROR(__xludf.DUMMYFUNCTION("""COMPUTED_VALUE"""),"FRANQUIA_D&amp;G_SP")</f>
        <v>FRANQUIA_D&amp;G_SP</v>
      </c>
      <c r="F1719" s="7" t="str">
        <f>IFERROR(__xludf.DUMMYFUNCTION("""COMPUTED_VALUE"""),"BICYCLE")</f>
        <v>BICYCLE</v>
      </c>
      <c r="G1719" s="7" t="str">
        <f>IFERROR(__xludf.DUMMYFUNCTION("""COMPUTED_VALUE"""),"SAO PAULO")</f>
        <v>SAO PAULO</v>
      </c>
    </row>
    <row r="1720">
      <c r="A1720" s="6">
        <f>IFERROR(__xludf.DUMMYFUNCTION("""COMPUTED_VALUE"""),45705.0)</f>
        <v>45705</v>
      </c>
      <c r="B1720" s="7" t="str">
        <f>IFERROR(__xludf.DUMMYFUNCTION("""COMPUTED_VALUE"""),"0ffb8f5e-a9bf-48d6-b90e-e28b6fb309b3")</f>
        <v>0ffb8f5e-a9bf-48d6-b90e-e28b6fb309b3</v>
      </c>
      <c r="C1720" s="7">
        <f>IFERROR(__xludf.DUMMYFUNCTION("""COMPUTED_VALUE"""),0.0)</f>
        <v>0</v>
      </c>
      <c r="D1720" s="6">
        <f>IFERROR(__xludf.DUMMYFUNCTION("""COMPUTED_VALUE"""),45705.0)</f>
        <v>45705</v>
      </c>
      <c r="E1720" s="7" t="str">
        <f>IFERROR(__xludf.DUMMYFUNCTION("""COMPUTED_VALUE"""),"FRANQUIA_D&amp;G_SP")</f>
        <v>FRANQUIA_D&amp;G_SP</v>
      </c>
      <c r="F1720" s="7" t="str">
        <f>IFERROR(__xludf.DUMMYFUNCTION("""COMPUTED_VALUE"""),"BICYCLE")</f>
        <v>BICYCLE</v>
      </c>
      <c r="G1720" s="7" t="str">
        <f>IFERROR(__xludf.DUMMYFUNCTION("""COMPUTED_VALUE"""),"SAO PAULO")</f>
        <v>SAO PAULO</v>
      </c>
    </row>
    <row r="1721">
      <c r="A1721" s="6">
        <f>IFERROR(__xludf.DUMMYFUNCTION("""COMPUTED_VALUE"""),45705.0)</f>
        <v>45705</v>
      </c>
      <c r="B1721" s="7" t="str">
        <f>IFERROR(__xludf.DUMMYFUNCTION("""COMPUTED_VALUE"""),"8bddb7b2-eafd-46ea-b0da-550e98e2380b")</f>
        <v>8bddb7b2-eafd-46ea-b0da-550e98e2380b</v>
      </c>
      <c r="C1721" s="7">
        <f>IFERROR(__xludf.DUMMYFUNCTION("""COMPUTED_VALUE"""),167.0)</f>
        <v>167</v>
      </c>
      <c r="D1721" s="6">
        <f>IFERROR(__xludf.DUMMYFUNCTION("""COMPUTED_VALUE"""),45538.0)</f>
        <v>45538</v>
      </c>
      <c r="E1721" s="7" t="str">
        <f>IFERROR(__xludf.DUMMYFUNCTION("""COMPUTED_VALUE"""),"FRANQUIA_D&amp;G_SP")</f>
        <v>FRANQUIA_D&amp;G_SP</v>
      </c>
      <c r="F1721" s="7" t="str">
        <f>IFERROR(__xludf.DUMMYFUNCTION("""COMPUTED_VALUE"""),"MOTORCYCLE")</f>
        <v>MOTORCYCLE</v>
      </c>
      <c r="G1721" s="7" t="str">
        <f>IFERROR(__xludf.DUMMYFUNCTION("""COMPUTED_VALUE"""),"SAO PAULO")</f>
        <v>SAO PAULO</v>
      </c>
    </row>
    <row r="1722">
      <c r="A1722" s="6">
        <f>IFERROR(__xludf.DUMMYFUNCTION("""COMPUTED_VALUE"""),45705.0)</f>
        <v>45705</v>
      </c>
      <c r="B1722" s="7" t="str">
        <f>IFERROR(__xludf.DUMMYFUNCTION("""COMPUTED_VALUE"""),"0f921da6-6524-4489-9234-4df6fcc34a76")</f>
        <v>0f921da6-6524-4489-9234-4df6fcc34a76</v>
      </c>
      <c r="C1722" s="7">
        <f>IFERROR(__xludf.DUMMYFUNCTION("""COMPUTED_VALUE"""),0.0)</f>
        <v>0</v>
      </c>
      <c r="D1722" s="6">
        <f>IFERROR(__xludf.DUMMYFUNCTION("""COMPUTED_VALUE"""),45705.0)</f>
        <v>45705</v>
      </c>
      <c r="E1722" s="7" t="str">
        <f>IFERROR(__xludf.DUMMYFUNCTION("""COMPUTED_VALUE"""),"FRANQUIA_D&amp;G_SP")</f>
        <v>FRANQUIA_D&amp;G_SP</v>
      </c>
      <c r="F1722" s="7" t="str">
        <f>IFERROR(__xludf.DUMMYFUNCTION("""COMPUTED_VALUE"""),"BICYCLE")</f>
        <v>BICYCLE</v>
      </c>
      <c r="G1722" s="7" t="str">
        <f>IFERROR(__xludf.DUMMYFUNCTION("""COMPUTED_VALUE"""),"SAO PAULO")</f>
        <v>SAO PAULO</v>
      </c>
    </row>
    <row r="1723">
      <c r="A1723" s="6">
        <f>IFERROR(__xludf.DUMMYFUNCTION("""COMPUTED_VALUE"""),45705.0)</f>
        <v>45705</v>
      </c>
      <c r="B1723" s="7" t="str">
        <f>IFERROR(__xludf.DUMMYFUNCTION("""COMPUTED_VALUE"""),"4f164336-f427-4ca4-918c-07b97b14414a")</f>
        <v>4f164336-f427-4ca4-918c-07b97b14414a</v>
      </c>
      <c r="C1723" s="7">
        <f>IFERROR(__xludf.DUMMYFUNCTION("""COMPUTED_VALUE"""),176.0)</f>
        <v>176</v>
      </c>
      <c r="D1723" s="6">
        <f>IFERROR(__xludf.DUMMYFUNCTION("""COMPUTED_VALUE"""),45529.0)</f>
        <v>45529</v>
      </c>
      <c r="E1723" s="7" t="str">
        <f>IFERROR(__xludf.DUMMYFUNCTION("""COMPUTED_VALUE"""),"FRANQUIA_D&amp;G_SP")</f>
        <v>FRANQUIA_D&amp;G_SP</v>
      </c>
      <c r="F1723" s="7" t="str">
        <f>IFERROR(__xludf.DUMMYFUNCTION("""COMPUTED_VALUE"""),"BICYCLE")</f>
        <v>BICYCLE</v>
      </c>
      <c r="G1723" s="7" t="str">
        <f>IFERROR(__xludf.DUMMYFUNCTION("""COMPUTED_VALUE"""),"SAO PAULO")</f>
        <v>SAO PAULO</v>
      </c>
    </row>
    <row r="1724">
      <c r="A1724" s="6">
        <f>IFERROR(__xludf.DUMMYFUNCTION("""COMPUTED_VALUE"""),45705.0)</f>
        <v>45705</v>
      </c>
      <c r="B1724" s="7" t="str">
        <f>IFERROR(__xludf.DUMMYFUNCTION("""COMPUTED_VALUE"""),"c6868355-92bb-4472-a7d4-97051e085b6f")</f>
        <v>c6868355-92bb-4472-a7d4-97051e085b6f</v>
      </c>
      <c r="C1724" s="7">
        <f>IFERROR(__xludf.DUMMYFUNCTION("""COMPUTED_VALUE"""),0.0)</f>
        <v>0</v>
      </c>
      <c r="D1724" s="6">
        <f>IFERROR(__xludf.DUMMYFUNCTION("""COMPUTED_VALUE"""),45705.0)</f>
        <v>45705</v>
      </c>
      <c r="E1724" s="7" t="str">
        <f>IFERROR(__xludf.DUMMYFUNCTION("""COMPUTED_VALUE"""),"FRANQUIA_D&amp;G_SP")</f>
        <v>FRANQUIA_D&amp;G_SP</v>
      </c>
      <c r="F1724" s="7" t="str">
        <f>IFERROR(__xludf.DUMMYFUNCTION("""COMPUTED_VALUE"""),"MOTORCYCLE")</f>
        <v>MOTORCYCLE</v>
      </c>
      <c r="G1724" s="7" t="str">
        <f>IFERROR(__xludf.DUMMYFUNCTION("""COMPUTED_VALUE"""),"SAO PAULO")</f>
        <v>SAO PAULO</v>
      </c>
    </row>
    <row r="1725">
      <c r="A1725" s="6">
        <f>IFERROR(__xludf.DUMMYFUNCTION("""COMPUTED_VALUE"""),45705.0)</f>
        <v>45705</v>
      </c>
      <c r="B1725" s="7" t="str">
        <f>IFERROR(__xludf.DUMMYFUNCTION("""COMPUTED_VALUE"""),"6166d31f-af01-4547-890e-3eec8b61a701")</f>
        <v>6166d31f-af01-4547-890e-3eec8b61a701</v>
      </c>
      <c r="C1725" s="7">
        <f>IFERROR(__xludf.DUMMYFUNCTION("""COMPUTED_VALUE"""),0.0)</f>
        <v>0</v>
      </c>
      <c r="D1725" s="6">
        <f>IFERROR(__xludf.DUMMYFUNCTION("""COMPUTED_VALUE"""),45705.0)</f>
        <v>45705</v>
      </c>
      <c r="E1725" s="7" t="str">
        <f>IFERROR(__xludf.DUMMYFUNCTION("""COMPUTED_VALUE"""),"FRANQUIA_D&amp;G_SP")</f>
        <v>FRANQUIA_D&amp;G_SP</v>
      </c>
      <c r="F1725" s="7" t="str">
        <f>IFERROR(__xludf.DUMMYFUNCTION("""COMPUTED_VALUE"""),"MOTORCYCLE")</f>
        <v>MOTORCYCLE</v>
      </c>
      <c r="G1725" s="7" t="str">
        <f>IFERROR(__xludf.DUMMYFUNCTION("""COMPUTED_VALUE"""),"SAO PAULO")</f>
        <v>SAO PAULO</v>
      </c>
    </row>
    <row r="1726">
      <c r="A1726" s="6">
        <f>IFERROR(__xludf.DUMMYFUNCTION("""COMPUTED_VALUE"""),45705.0)</f>
        <v>45705</v>
      </c>
      <c r="B1726" s="7" t="str">
        <f>IFERROR(__xludf.DUMMYFUNCTION("""COMPUTED_VALUE"""),"2588d93c-1fcb-4c57-8fe6-2b5f9d725baa")</f>
        <v>2588d93c-1fcb-4c57-8fe6-2b5f9d725baa</v>
      </c>
      <c r="C1726" s="7">
        <f>IFERROR(__xludf.DUMMYFUNCTION("""COMPUTED_VALUE"""),2.0)</f>
        <v>2</v>
      </c>
      <c r="D1726" s="6">
        <f>IFERROR(__xludf.DUMMYFUNCTION("""COMPUTED_VALUE"""),45703.0)</f>
        <v>45703</v>
      </c>
      <c r="E1726" s="7" t="str">
        <f>IFERROR(__xludf.DUMMYFUNCTION("""COMPUTED_VALUE"""),"FRANQUIA_D&amp;G_SP")</f>
        <v>FRANQUIA_D&amp;G_SP</v>
      </c>
      <c r="F1726" s="7" t="str">
        <f>IFERROR(__xludf.DUMMYFUNCTION("""COMPUTED_VALUE"""),"MOTORCYCLE")</f>
        <v>MOTORCYCLE</v>
      </c>
      <c r="G1726" s="7" t="str">
        <f>IFERROR(__xludf.DUMMYFUNCTION("""COMPUTED_VALUE"""),"SAO PAULO")</f>
        <v>SAO PAULO</v>
      </c>
    </row>
    <row r="1727">
      <c r="A1727" s="6">
        <f>IFERROR(__xludf.DUMMYFUNCTION("""COMPUTED_VALUE"""),45705.0)</f>
        <v>45705</v>
      </c>
      <c r="B1727" s="7" t="str">
        <f>IFERROR(__xludf.DUMMYFUNCTION("""COMPUTED_VALUE"""),"a7f522a1-ed69-4c79-9520-fa94177ed982")</f>
        <v>a7f522a1-ed69-4c79-9520-fa94177ed982</v>
      </c>
      <c r="C1727" s="7">
        <f>IFERROR(__xludf.DUMMYFUNCTION("""COMPUTED_VALUE"""),12.0)</f>
        <v>12</v>
      </c>
      <c r="D1727" s="6">
        <f>IFERROR(__xludf.DUMMYFUNCTION("""COMPUTED_VALUE"""),45693.0)</f>
        <v>45693</v>
      </c>
      <c r="E1727" s="7" t="str">
        <f>IFERROR(__xludf.DUMMYFUNCTION("""COMPUTED_VALUE"""),"FRANQUIA_D&amp;G_SP")</f>
        <v>FRANQUIA_D&amp;G_SP</v>
      </c>
      <c r="F1727" s="7" t="str">
        <f>IFERROR(__xludf.DUMMYFUNCTION("""COMPUTED_VALUE"""),"MOTORCYCLE")</f>
        <v>MOTORCYCLE</v>
      </c>
      <c r="G1727" s="7" t="str">
        <f>IFERROR(__xludf.DUMMYFUNCTION("""COMPUTED_VALUE"""),"RESTAURANTE PARCEIRO")</f>
        <v>RESTAURANTE PARCEIRO</v>
      </c>
    </row>
    <row r="1728">
      <c r="A1728" s="6">
        <f>IFERROR(__xludf.DUMMYFUNCTION("""COMPUTED_VALUE"""),45705.0)</f>
        <v>45705</v>
      </c>
      <c r="B1728" s="7" t="str">
        <f>IFERROR(__xludf.DUMMYFUNCTION("""COMPUTED_VALUE"""),"5a887ba2-ee6d-4e3a-bd1c-5b657c1c682d")</f>
        <v>5a887ba2-ee6d-4e3a-bd1c-5b657c1c682d</v>
      </c>
      <c r="C1728" s="7">
        <f>IFERROR(__xludf.DUMMYFUNCTION("""COMPUTED_VALUE"""),28.0)</f>
        <v>28</v>
      </c>
      <c r="D1728" s="6">
        <f>IFERROR(__xludf.DUMMYFUNCTION("""COMPUTED_VALUE"""),45677.0)</f>
        <v>45677</v>
      </c>
      <c r="E1728" s="7" t="str">
        <f>IFERROR(__xludf.DUMMYFUNCTION("""COMPUTED_VALUE"""),"FRANQUIA_D&amp;G_SP")</f>
        <v>FRANQUIA_D&amp;G_SP</v>
      </c>
      <c r="F1728" s="7" t="str">
        <f>IFERROR(__xludf.DUMMYFUNCTION("""COMPUTED_VALUE"""),"MOTORCYCLE")</f>
        <v>MOTORCYCLE</v>
      </c>
      <c r="G1728" s="7" t="str">
        <f>IFERROR(__xludf.DUMMYFUNCTION("""COMPUTED_VALUE"""),"ABC")</f>
        <v>ABC</v>
      </c>
    </row>
    <row r="1729">
      <c r="A1729" s="6">
        <f>IFERROR(__xludf.DUMMYFUNCTION("""COMPUTED_VALUE"""),45705.0)</f>
        <v>45705</v>
      </c>
      <c r="B1729" s="7" t="str">
        <f>IFERROR(__xludf.DUMMYFUNCTION("""COMPUTED_VALUE"""),"94b2a603-2367-48a7-9237-6b9bc4280df6")</f>
        <v>94b2a603-2367-48a7-9237-6b9bc4280df6</v>
      </c>
      <c r="C1729" s="7">
        <f>IFERROR(__xludf.DUMMYFUNCTION("""COMPUTED_VALUE"""),0.0)</f>
        <v>0</v>
      </c>
      <c r="D1729" s="6">
        <f>IFERROR(__xludf.DUMMYFUNCTION("""COMPUTED_VALUE"""),45705.0)</f>
        <v>45705</v>
      </c>
      <c r="E1729" s="7" t="str">
        <f>IFERROR(__xludf.DUMMYFUNCTION("""COMPUTED_VALUE"""),"FRANQUIA_D&amp;G_SP")</f>
        <v>FRANQUIA_D&amp;G_SP</v>
      </c>
      <c r="F1729" s="7" t="str">
        <f>IFERROR(__xludf.DUMMYFUNCTION("""COMPUTED_VALUE"""),"MOTORCYCLE")</f>
        <v>MOTORCYCLE</v>
      </c>
      <c r="G1729" s="7" t="str">
        <f>IFERROR(__xludf.DUMMYFUNCTION("""COMPUTED_VALUE"""),"SAO PAULO")</f>
        <v>SAO PAULO</v>
      </c>
    </row>
    <row r="1730">
      <c r="A1730" s="6">
        <f>IFERROR(__xludf.DUMMYFUNCTION("""COMPUTED_VALUE"""),45705.0)</f>
        <v>45705</v>
      </c>
      <c r="B1730" s="7" t="str">
        <f>IFERROR(__xludf.DUMMYFUNCTION("""COMPUTED_VALUE"""),"50df0d65-feb8-4a2a-896f-5be38f1c3332")</f>
        <v>50df0d65-feb8-4a2a-896f-5be38f1c3332</v>
      </c>
      <c r="C1730" s="7">
        <f>IFERROR(__xludf.DUMMYFUNCTION("""COMPUTED_VALUE"""),0.0)</f>
        <v>0</v>
      </c>
      <c r="D1730" s="6">
        <f>IFERROR(__xludf.DUMMYFUNCTION("""COMPUTED_VALUE"""),45705.0)</f>
        <v>45705</v>
      </c>
      <c r="E1730" s="7" t="str">
        <f>IFERROR(__xludf.DUMMYFUNCTION("""COMPUTED_VALUE"""),"FRANQUIA_D&amp;G_SP")</f>
        <v>FRANQUIA_D&amp;G_SP</v>
      </c>
      <c r="F1730" s="7" t="str">
        <f>IFERROR(__xludf.DUMMYFUNCTION("""COMPUTED_VALUE"""),"MOTORCYCLE")</f>
        <v>MOTORCYCLE</v>
      </c>
      <c r="G1730" s="7" t="str">
        <f>IFERROR(__xludf.DUMMYFUNCTION("""COMPUTED_VALUE"""),"SAO PAULO")</f>
        <v>SAO PAULO</v>
      </c>
    </row>
    <row r="1731">
      <c r="A1731" s="6">
        <f>IFERROR(__xludf.DUMMYFUNCTION("""COMPUTED_VALUE"""),45705.0)</f>
        <v>45705</v>
      </c>
      <c r="B1731" s="7" t="str">
        <f>IFERROR(__xludf.DUMMYFUNCTION("""COMPUTED_VALUE"""),"6562e08a-2017-4c16-9c32-34daf98c7d8c")</f>
        <v>6562e08a-2017-4c16-9c32-34daf98c7d8c</v>
      </c>
      <c r="C1731" s="7">
        <f>IFERROR(__xludf.DUMMYFUNCTION("""COMPUTED_VALUE"""),21.0)</f>
        <v>21</v>
      </c>
      <c r="D1731" s="6">
        <f>IFERROR(__xludf.DUMMYFUNCTION("""COMPUTED_VALUE"""),45684.0)</f>
        <v>45684</v>
      </c>
      <c r="E1731" s="7" t="str">
        <f>IFERROR(__xludf.DUMMYFUNCTION("""COMPUTED_VALUE"""),"FRANQUIA_D&amp;G_SP")</f>
        <v>FRANQUIA_D&amp;G_SP</v>
      </c>
      <c r="F1731" s="7" t="str">
        <f>IFERROR(__xludf.DUMMYFUNCTION("""COMPUTED_VALUE"""),"BICYCLE")</f>
        <v>BICYCLE</v>
      </c>
      <c r="G1731" s="7" t="str">
        <f>IFERROR(__xludf.DUMMYFUNCTION("""COMPUTED_VALUE"""),"SAO PAULO")</f>
        <v>SAO PAULO</v>
      </c>
    </row>
    <row r="1732">
      <c r="A1732" s="6">
        <f>IFERROR(__xludf.DUMMYFUNCTION("""COMPUTED_VALUE"""),45705.0)</f>
        <v>45705</v>
      </c>
      <c r="B1732" s="7" t="str">
        <f>IFERROR(__xludf.DUMMYFUNCTION("""COMPUTED_VALUE"""),"61e08be4-0b8e-45be-8684-48df0ee3c273")</f>
        <v>61e08be4-0b8e-45be-8684-48df0ee3c273</v>
      </c>
      <c r="C1732" s="7">
        <f>IFERROR(__xludf.DUMMYFUNCTION("""COMPUTED_VALUE"""),73.0)</f>
        <v>73</v>
      </c>
      <c r="D1732" s="6">
        <f>IFERROR(__xludf.DUMMYFUNCTION("""COMPUTED_VALUE"""),45632.0)</f>
        <v>45632</v>
      </c>
      <c r="E1732" s="7" t="str">
        <f>IFERROR(__xludf.DUMMYFUNCTION("""COMPUTED_VALUE"""),"FRANQUIA_D&amp;G_SP")</f>
        <v>FRANQUIA_D&amp;G_SP</v>
      </c>
      <c r="F1732" s="7" t="str">
        <f>IFERROR(__xludf.DUMMYFUNCTION("""COMPUTED_VALUE"""),"BICYCLE")</f>
        <v>BICYCLE</v>
      </c>
      <c r="G1732" s="7" t="str">
        <f>IFERROR(__xludf.DUMMYFUNCTION("""COMPUTED_VALUE"""),"SAO PAULO")</f>
        <v>SAO PAULO</v>
      </c>
    </row>
    <row r="1733">
      <c r="A1733" s="6">
        <f>IFERROR(__xludf.DUMMYFUNCTION("""COMPUTED_VALUE"""),45705.0)</f>
        <v>45705</v>
      </c>
      <c r="B1733" s="7" t="str">
        <f>IFERROR(__xludf.DUMMYFUNCTION("""COMPUTED_VALUE"""),"c98ed463-54d9-4013-bef0-5017c7c59da8")</f>
        <v>c98ed463-54d9-4013-bef0-5017c7c59da8</v>
      </c>
      <c r="C1733" s="7">
        <f>IFERROR(__xludf.DUMMYFUNCTION("""COMPUTED_VALUE"""),1.0)</f>
        <v>1</v>
      </c>
      <c r="D1733" s="6">
        <f>IFERROR(__xludf.DUMMYFUNCTION("""COMPUTED_VALUE"""),45704.0)</f>
        <v>45704</v>
      </c>
      <c r="E1733" s="7" t="str">
        <f>IFERROR(__xludf.DUMMYFUNCTION("""COMPUTED_VALUE"""),"FRANQUIA_D&amp;G_SP")</f>
        <v>FRANQUIA_D&amp;G_SP</v>
      </c>
      <c r="F1733" s="7" t="str">
        <f>IFERROR(__xludf.DUMMYFUNCTION("""COMPUTED_VALUE"""),"BICYCLE")</f>
        <v>BICYCLE</v>
      </c>
      <c r="G1733" s="7" t="str">
        <f>IFERROR(__xludf.DUMMYFUNCTION("""COMPUTED_VALUE"""),"SAO PAULO")</f>
        <v>SAO PAULO</v>
      </c>
    </row>
    <row r="1734">
      <c r="A1734" s="6">
        <f>IFERROR(__xludf.DUMMYFUNCTION("""COMPUTED_VALUE"""),45705.0)</f>
        <v>45705</v>
      </c>
      <c r="B1734" s="7" t="str">
        <f>IFERROR(__xludf.DUMMYFUNCTION("""COMPUTED_VALUE"""),"c5ba1a3a-e899-45c0-ae89-0436ac505e63")</f>
        <v>c5ba1a3a-e899-45c0-ae89-0436ac505e63</v>
      </c>
      <c r="C1734" s="7">
        <f>IFERROR(__xludf.DUMMYFUNCTION("""COMPUTED_VALUE"""),756.0)</f>
        <v>756</v>
      </c>
      <c r="D1734" s="6">
        <f>IFERROR(__xludf.DUMMYFUNCTION("""COMPUTED_VALUE"""),44949.0)</f>
        <v>44949</v>
      </c>
      <c r="E1734" s="7" t="str">
        <f>IFERROR(__xludf.DUMMYFUNCTION("""COMPUTED_VALUE"""),"FRANQUIA_D&amp;G_SP")</f>
        <v>FRANQUIA_D&amp;G_SP</v>
      </c>
      <c r="F1734" s="7" t="str">
        <f>IFERROR(__xludf.DUMMYFUNCTION("""COMPUTED_VALUE"""),"MOTORCYCLE")</f>
        <v>MOTORCYCLE</v>
      </c>
      <c r="G1734" s="7" t="str">
        <f>IFERROR(__xludf.DUMMYFUNCTION("""COMPUTED_VALUE"""),"SAO PAULO")</f>
        <v>SAO PAULO</v>
      </c>
    </row>
    <row r="1735">
      <c r="A1735" s="6">
        <f>IFERROR(__xludf.DUMMYFUNCTION("""COMPUTED_VALUE"""),45705.0)</f>
        <v>45705</v>
      </c>
      <c r="B1735" s="7" t="str">
        <f>IFERROR(__xludf.DUMMYFUNCTION("""COMPUTED_VALUE"""),"5dc1bc46-d5cd-4033-9281-89a7c337b9f2")</f>
        <v>5dc1bc46-d5cd-4033-9281-89a7c337b9f2</v>
      </c>
      <c r="C1735" s="7">
        <f>IFERROR(__xludf.DUMMYFUNCTION("""COMPUTED_VALUE"""),0.0)</f>
        <v>0</v>
      </c>
      <c r="D1735" s="6">
        <f>IFERROR(__xludf.DUMMYFUNCTION("""COMPUTED_VALUE"""),45705.0)</f>
        <v>45705</v>
      </c>
      <c r="E1735" s="7" t="str">
        <f>IFERROR(__xludf.DUMMYFUNCTION("""COMPUTED_VALUE"""),"FRANQUIA_D&amp;G_SP")</f>
        <v>FRANQUIA_D&amp;G_SP</v>
      </c>
      <c r="F1735" s="7" t="str">
        <f>IFERROR(__xludf.DUMMYFUNCTION("""COMPUTED_VALUE"""),"MOTORCYCLE")</f>
        <v>MOTORCYCLE</v>
      </c>
      <c r="G1735" s="7" t="str">
        <f>IFERROR(__xludf.DUMMYFUNCTION("""COMPUTED_VALUE"""),"SAO PAULO")</f>
        <v>SAO PAULO</v>
      </c>
    </row>
    <row r="1736">
      <c r="A1736" s="6">
        <f>IFERROR(__xludf.DUMMYFUNCTION("""COMPUTED_VALUE"""),45705.0)</f>
        <v>45705</v>
      </c>
      <c r="B1736" s="7" t="str">
        <f>IFERROR(__xludf.DUMMYFUNCTION("""COMPUTED_VALUE"""),"8ef1e3d9-e3e9-44ad-b876-b0a94f155ff5")</f>
        <v>8ef1e3d9-e3e9-44ad-b876-b0a94f155ff5</v>
      </c>
      <c r="C1736" s="7">
        <f>IFERROR(__xludf.DUMMYFUNCTION("""COMPUTED_VALUE"""),0.0)</f>
        <v>0</v>
      </c>
      <c r="D1736" s="6">
        <f>IFERROR(__xludf.DUMMYFUNCTION("""COMPUTED_VALUE"""),45705.0)</f>
        <v>45705</v>
      </c>
      <c r="E1736" s="7" t="str">
        <f>IFERROR(__xludf.DUMMYFUNCTION("""COMPUTED_VALUE"""),"FRANQUIA_D&amp;G_SP")</f>
        <v>FRANQUIA_D&amp;G_SP</v>
      </c>
      <c r="F1736" s="7" t="str">
        <f>IFERROR(__xludf.DUMMYFUNCTION("""COMPUTED_VALUE"""),"MOTORCYCLE")</f>
        <v>MOTORCYCLE</v>
      </c>
      <c r="G1736" s="7" t="str">
        <f>IFERROR(__xludf.DUMMYFUNCTION("""COMPUTED_VALUE"""),"SAO PAULO")</f>
        <v>SAO PAULO</v>
      </c>
    </row>
    <row r="1737">
      <c r="A1737" s="6">
        <f>IFERROR(__xludf.DUMMYFUNCTION("""COMPUTED_VALUE"""),45705.0)</f>
        <v>45705</v>
      </c>
      <c r="B1737" s="7" t="str">
        <f>IFERROR(__xludf.DUMMYFUNCTION("""COMPUTED_VALUE"""),"7464fd38-3a1e-462e-a2de-7666f04a01f7")</f>
        <v>7464fd38-3a1e-462e-a2de-7666f04a01f7</v>
      </c>
      <c r="C1737" s="7">
        <f>IFERROR(__xludf.DUMMYFUNCTION("""COMPUTED_VALUE"""),2.0)</f>
        <v>2</v>
      </c>
      <c r="D1737" s="6">
        <f>IFERROR(__xludf.DUMMYFUNCTION("""COMPUTED_VALUE"""),45703.0)</f>
        <v>45703</v>
      </c>
      <c r="E1737" s="7" t="str">
        <f>IFERROR(__xludf.DUMMYFUNCTION("""COMPUTED_VALUE"""),"FRANQUIA_D&amp;G_SP")</f>
        <v>FRANQUIA_D&amp;G_SP</v>
      </c>
      <c r="F1737" s="7" t="str">
        <f>IFERROR(__xludf.DUMMYFUNCTION("""COMPUTED_VALUE"""),"BICYCLE")</f>
        <v>BICYCLE</v>
      </c>
      <c r="G1737" s="7" t="str">
        <f>IFERROR(__xludf.DUMMYFUNCTION("""COMPUTED_VALUE"""),"SAO PAULO")</f>
        <v>SAO PAULO</v>
      </c>
    </row>
    <row r="1738">
      <c r="A1738" s="6">
        <f>IFERROR(__xludf.DUMMYFUNCTION("""COMPUTED_VALUE"""),45705.0)</f>
        <v>45705</v>
      </c>
      <c r="B1738" s="7" t="str">
        <f>IFERROR(__xludf.DUMMYFUNCTION("""COMPUTED_VALUE"""),"f7ec3ae5-dc97-4591-b493-a4a92ec6b1ff")</f>
        <v>f7ec3ae5-dc97-4591-b493-a4a92ec6b1ff</v>
      </c>
      <c r="C1738" s="7">
        <f>IFERROR(__xludf.DUMMYFUNCTION("""COMPUTED_VALUE"""),0.0)</f>
        <v>0</v>
      </c>
      <c r="D1738" s="6">
        <f>IFERROR(__xludf.DUMMYFUNCTION("""COMPUTED_VALUE"""),45705.0)</f>
        <v>45705</v>
      </c>
      <c r="E1738" s="7" t="str">
        <f>IFERROR(__xludf.DUMMYFUNCTION("""COMPUTED_VALUE"""),"FRANQUIA_D&amp;G_SP")</f>
        <v>FRANQUIA_D&amp;G_SP</v>
      </c>
      <c r="F1738" s="7" t="str">
        <f>IFERROR(__xludf.DUMMYFUNCTION("""COMPUTED_VALUE"""),"MOTORCYCLE")</f>
        <v>MOTORCYCLE</v>
      </c>
      <c r="G1738" s="7" t="str">
        <f>IFERROR(__xludf.DUMMYFUNCTION("""COMPUTED_VALUE"""),"SAO PAULO")</f>
        <v>SAO PAULO</v>
      </c>
    </row>
    <row r="1739">
      <c r="A1739" s="6">
        <f>IFERROR(__xludf.DUMMYFUNCTION("""COMPUTED_VALUE"""),45705.0)</f>
        <v>45705</v>
      </c>
      <c r="B1739" s="7" t="str">
        <f>IFERROR(__xludf.DUMMYFUNCTION("""COMPUTED_VALUE"""),"25102a88-386c-45c6-b225-8ba115f68725")</f>
        <v>25102a88-386c-45c6-b225-8ba115f68725</v>
      </c>
      <c r="C1739" s="7">
        <f>IFERROR(__xludf.DUMMYFUNCTION("""COMPUTED_VALUE"""),0.0)</f>
        <v>0</v>
      </c>
      <c r="D1739" s="6">
        <f>IFERROR(__xludf.DUMMYFUNCTION("""COMPUTED_VALUE"""),45705.0)</f>
        <v>45705</v>
      </c>
      <c r="E1739" s="7" t="str">
        <f>IFERROR(__xludf.DUMMYFUNCTION("""COMPUTED_VALUE"""),"FRANQUIA_D&amp;G_SP")</f>
        <v>FRANQUIA_D&amp;G_SP</v>
      </c>
      <c r="F1739" s="7" t="str">
        <f>IFERROR(__xludf.DUMMYFUNCTION("""COMPUTED_VALUE"""),"BICYCLE")</f>
        <v>BICYCLE</v>
      </c>
      <c r="G1739" s="7" t="str">
        <f>IFERROR(__xludf.DUMMYFUNCTION("""COMPUTED_VALUE"""),"SAO PAULO")</f>
        <v>SAO PAULO</v>
      </c>
    </row>
    <row r="1740">
      <c r="A1740" s="6">
        <f>IFERROR(__xludf.DUMMYFUNCTION("""COMPUTED_VALUE"""),45705.0)</f>
        <v>45705</v>
      </c>
      <c r="B1740" s="7" t="str">
        <f>IFERROR(__xludf.DUMMYFUNCTION("""COMPUTED_VALUE"""),"19d3db06-c854-4c79-aad2-a6d0c0df313b")</f>
        <v>19d3db06-c854-4c79-aad2-a6d0c0df313b</v>
      </c>
      <c r="C1740" s="7">
        <f>IFERROR(__xludf.DUMMYFUNCTION("""COMPUTED_VALUE"""),1.0)</f>
        <v>1</v>
      </c>
      <c r="D1740" s="6">
        <f>IFERROR(__xludf.DUMMYFUNCTION("""COMPUTED_VALUE"""),45704.0)</f>
        <v>45704</v>
      </c>
      <c r="E1740" s="7" t="str">
        <f>IFERROR(__xludf.DUMMYFUNCTION("""COMPUTED_VALUE"""),"FRANQUIA_D&amp;G_SP")</f>
        <v>FRANQUIA_D&amp;G_SP</v>
      </c>
      <c r="F1740" s="7" t="str">
        <f>IFERROR(__xludf.DUMMYFUNCTION("""COMPUTED_VALUE"""),"MOTORCYCLE")</f>
        <v>MOTORCYCLE</v>
      </c>
      <c r="G1740" s="7" t="str">
        <f>IFERROR(__xludf.DUMMYFUNCTION("""COMPUTED_VALUE"""),"SAO PAULO")</f>
        <v>SAO PAULO</v>
      </c>
    </row>
    <row r="1741">
      <c r="A1741" s="6">
        <f>IFERROR(__xludf.DUMMYFUNCTION("""COMPUTED_VALUE"""),45705.0)</f>
        <v>45705</v>
      </c>
      <c r="B1741" s="7" t="str">
        <f>IFERROR(__xludf.DUMMYFUNCTION("""COMPUTED_VALUE"""),"4f2cd210-6b69-47ac-b477-4fc8595bff79")</f>
        <v>4f2cd210-6b69-47ac-b477-4fc8595bff79</v>
      </c>
      <c r="C1741" s="7">
        <f>IFERROR(__xludf.DUMMYFUNCTION("""COMPUTED_VALUE"""),0.0)</f>
        <v>0</v>
      </c>
      <c r="D1741" s="6">
        <f>IFERROR(__xludf.DUMMYFUNCTION("""COMPUTED_VALUE"""),45705.0)</f>
        <v>45705</v>
      </c>
      <c r="E1741" s="7" t="str">
        <f>IFERROR(__xludf.DUMMYFUNCTION("""COMPUTED_VALUE"""),"FRANQUIA_D&amp;G_SP")</f>
        <v>FRANQUIA_D&amp;G_SP</v>
      </c>
      <c r="F1741" s="7" t="str">
        <f>IFERROR(__xludf.DUMMYFUNCTION("""COMPUTED_VALUE"""),"BICYCLE")</f>
        <v>BICYCLE</v>
      </c>
      <c r="G1741" s="7" t="str">
        <f>IFERROR(__xludf.DUMMYFUNCTION("""COMPUTED_VALUE"""),"SAO PAULO")</f>
        <v>SAO PAULO</v>
      </c>
    </row>
    <row r="1742">
      <c r="A1742" s="6">
        <f>IFERROR(__xludf.DUMMYFUNCTION("""COMPUTED_VALUE"""),45705.0)</f>
        <v>45705</v>
      </c>
      <c r="B1742" s="7" t="str">
        <f>IFERROR(__xludf.DUMMYFUNCTION("""COMPUTED_VALUE"""),"597601fd-3922-4f00-ad0b-b075025a75ec")</f>
        <v>597601fd-3922-4f00-ad0b-b075025a75ec</v>
      </c>
      <c r="C1742" s="7">
        <f>IFERROR(__xludf.DUMMYFUNCTION("""COMPUTED_VALUE"""),245.0)</f>
        <v>245</v>
      </c>
      <c r="D1742" s="6">
        <f>IFERROR(__xludf.DUMMYFUNCTION("""COMPUTED_VALUE"""),45460.0)</f>
        <v>45460</v>
      </c>
      <c r="E1742" s="7" t="str">
        <f>IFERROR(__xludf.DUMMYFUNCTION("""COMPUTED_VALUE"""),"FRANQUIA_D&amp;G_SP")</f>
        <v>FRANQUIA_D&amp;G_SP</v>
      </c>
      <c r="F1742" s="7" t="str">
        <f>IFERROR(__xludf.DUMMYFUNCTION("""COMPUTED_VALUE"""),"MOTORCYCLE")</f>
        <v>MOTORCYCLE</v>
      </c>
      <c r="G1742" s="7" t="str">
        <f>IFERROR(__xludf.DUMMYFUNCTION("""COMPUTED_VALUE"""),"SAO PAULO")</f>
        <v>SAO PAULO</v>
      </c>
    </row>
    <row r="1743">
      <c r="A1743" s="6">
        <f>IFERROR(__xludf.DUMMYFUNCTION("""COMPUTED_VALUE"""),45705.0)</f>
        <v>45705</v>
      </c>
      <c r="B1743" s="7" t="str">
        <f>IFERROR(__xludf.DUMMYFUNCTION("""COMPUTED_VALUE"""),"14f37ff8-edc7-442b-96a7-afe3167961c4")</f>
        <v>14f37ff8-edc7-442b-96a7-afe3167961c4</v>
      </c>
      <c r="C1743" s="7">
        <f>IFERROR(__xludf.DUMMYFUNCTION("""COMPUTED_VALUE"""),0.0)</f>
        <v>0</v>
      </c>
      <c r="D1743" s="6">
        <f>IFERROR(__xludf.DUMMYFUNCTION("""COMPUTED_VALUE"""),45705.0)</f>
        <v>45705</v>
      </c>
      <c r="E1743" s="7" t="str">
        <f>IFERROR(__xludf.DUMMYFUNCTION("""COMPUTED_VALUE"""),"FRANQUIA_D&amp;G_SP")</f>
        <v>FRANQUIA_D&amp;G_SP</v>
      </c>
      <c r="F1743" s="7" t="str">
        <f>IFERROR(__xludf.DUMMYFUNCTION("""COMPUTED_VALUE"""),"MOTORCYCLE")</f>
        <v>MOTORCYCLE</v>
      </c>
      <c r="G1743" s="7" t="str">
        <f>IFERROR(__xludf.DUMMYFUNCTION("""COMPUTED_VALUE"""),"SAO PAULO")</f>
        <v>SAO PAULO</v>
      </c>
    </row>
    <row r="1744">
      <c r="A1744" s="6">
        <f>IFERROR(__xludf.DUMMYFUNCTION("""COMPUTED_VALUE"""),45705.0)</f>
        <v>45705</v>
      </c>
      <c r="B1744" s="7" t="str">
        <f>IFERROR(__xludf.DUMMYFUNCTION("""COMPUTED_VALUE"""),"41183038-fdcd-4f84-bbbb-937da2073d88")</f>
        <v>41183038-fdcd-4f84-bbbb-937da2073d88</v>
      </c>
      <c r="C1744" s="7">
        <f>IFERROR(__xludf.DUMMYFUNCTION("""COMPUTED_VALUE"""),136.0)</f>
        <v>136</v>
      </c>
      <c r="D1744" s="6">
        <f>IFERROR(__xludf.DUMMYFUNCTION("""COMPUTED_VALUE"""),45569.0)</f>
        <v>45569</v>
      </c>
      <c r="E1744" s="7" t="str">
        <f>IFERROR(__xludf.DUMMYFUNCTION("""COMPUTED_VALUE"""),"FRANQUIA_D&amp;G_SP")</f>
        <v>FRANQUIA_D&amp;G_SP</v>
      </c>
      <c r="F1744" s="7" t="str">
        <f>IFERROR(__xludf.DUMMYFUNCTION("""COMPUTED_VALUE"""),"MOTORCYCLE")</f>
        <v>MOTORCYCLE</v>
      </c>
      <c r="G1744" s="7" t="str">
        <f>IFERROR(__xludf.DUMMYFUNCTION("""COMPUTED_VALUE"""),"SAO PAULO")</f>
        <v>SAO PAULO</v>
      </c>
    </row>
    <row r="1745">
      <c r="A1745" s="6">
        <f>IFERROR(__xludf.DUMMYFUNCTION("""COMPUTED_VALUE"""),45705.0)</f>
        <v>45705</v>
      </c>
      <c r="B1745" s="7" t="str">
        <f>IFERROR(__xludf.DUMMYFUNCTION("""COMPUTED_VALUE"""),"4da0beed-e179-41b1-90cc-e1c0f0355656")</f>
        <v>4da0beed-e179-41b1-90cc-e1c0f0355656</v>
      </c>
      <c r="C1745" s="7">
        <f>IFERROR(__xludf.DUMMYFUNCTION("""COMPUTED_VALUE"""),0.0)</f>
        <v>0</v>
      </c>
      <c r="D1745" s="6">
        <f>IFERROR(__xludf.DUMMYFUNCTION("""COMPUTED_VALUE"""),45705.0)</f>
        <v>45705</v>
      </c>
      <c r="E1745" s="7" t="str">
        <f>IFERROR(__xludf.DUMMYFUNCTION("""COMPUTED_VALUE"""),"FRANQUIA_D&amp;G_SP")</f>
        <v>FRANQUIA_D&amp;G_SP</v>
      </c>
      <c r="F1745" s="7" t="str">
        <f>IFERROR(__xludf.DUMMYFUNCTION("""COMPUTED_VALUE"""),"MOTORCYCLE")</f>
        <v>MOTORCYCLE</v>
      </c>
      <c r="G1745" s="7" t="str">
        <f>IFERROR(__xludf.DUMMYFUNCTION("""COMPUTED_VALUE"""),"SAO PAULO")</f>
        <v>SAO PAULO</v>
      </c>
    </row>
    <row r="1746">
      <c r="A1746" s="6">
        <f>IFERROR(__xludf.DUMMYFUNCTION("""COMPUTED_VALUE"""),45705.0)</f>
        <v>45705</v>
      </c>
      <c r="B1746" s="7" t="str">
        <f>IFERROR(__xludf.DUMMYFUNCTION("""COMPUTED_VALUE"""),"a2ec2020-e2a7-401e-ade4-a87501a5aca1")</f>
        <v>a2ec2020-e2a7-401e-ade4-a87501a5aca1</v>
      </c>
      <c r="C1746" s="7">
        <f>IFERROR(__xludf.DUMMYFUNCTION("""COMPUTED_VALUE"""),0.0)</f>
        <v>0</v>
      </c>
      <c r="D1746" s="6">
        <f>IFERROR(__xludf.DUMMYFUNCTION("""COMPUTED_VALUE"""),45705.0)</f>
        <v>45705</v>
      </c>
      <c r="E1746" s="7" t="str">
        <f>IFERROR(__xludf.DUMMYFUNCTION("""COMPUTED_VALUE"""),"FRANQUIA_D&amp;G_SP")</f>
        <v>FRANQUIA_D&amp;G_SP</v>
      </c>
      <c r="F1746" s="7" t="str">
        <f>IFERROR(__xludf.DUMMYFUNCTION("""COMPUTED_VALUE"""),"MOTORCYCLE")</f>
        <v>MOTORCYCLE</v>
      </c>
      <c r="G1746" s="7" t="str">
        <f>IFERROR(__xludf.DUMMYFUNCTION("""COMPUTED_VALUE"""),"SAO PAULO")</f>
        <v>SAO PAULO</v>
      </c>
    </row>
    <row r="1747">
      <c r="A1747" s="6">
        <f>IFERROR(__xludf.DUMMYFUNCTION("""COMPUTED_VALUE"""),45705.0)</f>
        <v>45705</v>
      </c>
      <c r="B1747" s="7" t="str">
        <f>IFERROR(__xludf.DUMMYFUNCTION("""COMPUTED_VALUE"""),"d8d71663-61a6-4338-a380-6908a1a03cdb")</f>
        <v>d8d71663-61a6-4338-a380-6908a1a03cdb</v>
      </c>
      <c r="C1747" s="7">
        <f>IFERROR(__xludf.DUMMYFUNCTION("""COMPUTED_VALUE"""),58.0)</f>
        <v>58</v>
      </c>
      <c r="D1747" s="6">
        <f>IFERROR(__xludf.DUMMYFUNCTION("""COMPUTED_VALUE"""),45647.0)</f>
        <v>45647</v>
      </c>
      <c r="E1747" s="7" t="str">
        <f>IFERROR(__xludf.DUMMYFUNCTION("""COMPUTED_VALUE"""),"FRANQUIA_D&amp;G_SP")</f>
        <v>FRANQUIA_D&amp;G_SP</v>
      </c>
      <c r="F1747" s="7" t="str">
        <f>IFERROR(__xludf.DUMMYFUNCTION("""COMPUTED_VALUE"""),"BICYCLE")</f>
        <v>BICYCLE</v>
      </c>
      <c r="G1747" s="7" t="str">
        <f>IFERROR(__xludf.DUMMYFUNCTION("""COMPUTED_VALUE"""),"SAO PAULO")</f>
        <v>SAO PAULO</v>
      </c>
    </row>
    <row r="1748">
      <c r="A1748" s="6">
        <f>IFERROR(__xludf.DUMMYFUNCTION("""COMPUTED_VALUE"""),45705.0)</f>
        <v>45705</v>
      </c>
      <c r="B1748" s="7" t="str">
        <f>IFERROR(__xludf.DUMMYFUNCTION("""COMPUTED_VALUE"""),"e39b6e06-5be5-45f1-831f-70c8b5ccace2")</f>
        <v>e39b6e06-5be5-45f1-831f-70c8b5ccace2</v>
      </c>
      <c r="C1748" s="7">
        <f>IFERROR(__xludf.DUMMYFUNCTION("""COMPUTED_VALUE"""),513.0)</f>
        <v>513</v>
      </c>
      <c r="D1748" s="6">
        <f>IFERROR(__xludf.DUMMYFUNCTION("""COMPUTED_VALUE"""),45192.0)</f>
        <v>45192</v>
      </c>
      <c r="E1748" s="7" t="str">
        <f>IFERROR(__xludf.DUMMYFUNCTION("""COMPUTED_VALUE"""),"FRANQUIA_D&amp;G_SP")</f>
        <v>FRANQUIA_D&amp;G_SP</v>
      </c>
      <c r="F1748" s="7" t="str">
        <f>IFERROR(__xludf.DUMMYFUNCTION("""COMPUTED_VALUE"""),"MOTORCYCLE")</f>
        <v>MOTORCYCLE</v>
      </c>
      <c r="G1748" s="7" t="str">
        <f>IFERROR(__xludf.DUMMYFUNCTION("""COMPUTED_VALUE"""),"SAO PAULO")</f>
        <v>SAO PAULO</v>
      </c>
    </row>
    <row r="1749">
      <c r="A1749" s="6">
        <f>IFERROR(__xludf.DUMMYFUNCTION("""COMPUTED_VALUE"""),45705.0)</f>
        <v>45705</v>
      </c>
      <c r="B1749" s="7" t="str">
        <f>IFERROR(__xludf.DUMMYFUNCTION("""COMPUTED_VALUE"""),"6cfbaf00-1191-4798-ade4-682875c00892")</f>
        <v>6cfbaf00-1191-4798-ade4-682875c00892</v>
      </c>
      <c r="C1749" s="7">
        <f>IFERROR(__xludf.DUMMYFUNCTION("""COMPUTED_VALUE"""),0.0)</f>
        <v>0</v>
      </c>
      <c r="D1749" s="6">
        <f>IFERROR(__xludf.DUMMYFUNCTION("""COMPUTED_VALUE"""),45705.0)</f>
        <v>45705</v>
      </c>
      <c r="E1749" s="7" t="str">
        <f>IFERROR(__xludf.DUMMYFUNCTION("""COMPUTED_VALUE"""),"FRANQUIA_D&amp;G_SP")</f>
        <v>FRANQUIA_D&amp;G_SP</v>
      </c>
      <c r="F1749" s="7" t="str">
        <f>IFERROR(__xludf.DUMMYFUNCTION("""COMPUTED_VALUE"""),"MOTORCYCLE")</f>
        <v>MOTORCYCLE</v>
      </c>
      <c r="G1749" s="7" t="str">
        <f>IFERROR(__xludf.DUMMYFUNCTION("""COMPUTED_VALUE"""),"SAO PAULO")</f>
        <v>SAO PAULO</v>
      </c>
    </row>
    <row r="1750">
      <c r="A1750" s="6">
        <f>IFERROR(__xludf.DUMMYFUNCTION("""COMPUTED_VALUE"""),45705.0)</f>
        <v>45705</v>
      </c>
      <c r="B1750" s="7" t="str">
        <f>IFERROR(__xludf.DUMMYFUNCTION("""COMPUTED_VALUE"""),"8ea409f6-6453-4982-82ee-6d099a32e371")</f>
        <v>8ea409f6-6453-4982-82ee-6d099a32e371</v>
      </c>
      <c r="C1750" s="7">
        <f>IFERROR(__xludf.DUMMYFUNCTION("""COMPUTED_VALUE"""),12.0)</f>
        <v>12</v>
      </c>
      <c r="D1750" s="6">
        <f>IFERROR(__xludf.DUMMYFUNCTION("""COMPUTED_VALUE"""),45693.0)</f>
        <v>45693</v>
      </c>
      <c r="E1750" s="7" t="str">
        <f>IFERROR(__xludf.DUMMYFUNCTION("""COMPUTED_VALUE"""),"FRANQUIA_D&amp;G_SP")</f>
        <v>FRANQUIA_D&amp;G_SP</v>
      </c>
      <c r="F1750" s="7" t="str">
        <f>IFERROR(__xludf.DUMMYFUNCTION("""COMPUTED_VALUE"""),"BICYCLE")</f>
        <v>BICYCLE</v>
      </c>
      <c r="G1750" s="7" t="str">
        <f>IFERROR(__xludf.DUMMYFUNCTION("""COMPUTED_VALUE"""),"SAO PAULO")</f>
        <v>SAO PAULO</v>
      </c>
    </row>
    <row r="1751">
      <c r="A1751" s="6">
        <f>IFERROR(__xludf.DUMMYFUNCTION("""COMPUTED_VALUE"""),45705.0)</f>
        <v>45705</v>
      </c>
      <c r="B1751" s="7" t="str">
        <f>IFERROR(__xludf.DUMMYFUNCTION("""COMPUTED_VALUE"""),"e10a4836-fcf5-464d-a423-964ad28cb441")</f>
        <v>e10a4836-fcf5-464d-a423-964ad28cb441</v>
      </c>
      <c r="C1751" s="7">
        <f>IFERROR(__xludf.DUMMYFUNCTION("""COMPUTED_VALUE"""),1.0)</f>
        <v>1</v>
      </c>
      <c r="D1751" s="6">
        <f>IFERROR(__xludf.DUMMYFUNCTION("""COMPUTED_VALUE"""),45704.0)</f>
        <v>45704</v>
      </c>
      <c r="E1751" s="7" t="str">
        <f>IFERROR(__xludf.DUMMYFUNCTION("""COMPUTED_VALUE"""),"FRANQUIA_D&amp;G_SP")</f>
        <v>FRANQUIA_D&amp;G_SP</v>
      </c>
      <c r="F1751" s="7" t="str">
        <f>IFERROR(__xludf.DUMMYFUNCTION("""COMPUTED_VALUE"""),"MOTORCYCLE")</f>
        <v>MOTORCYCLE</v>
      </c>
      <c r="G1751" s="7" t="str">
        <f>IFERROR(__xludf.DUMMYFUNCTION("""COMPUTED_VALUE"""),"SAO PAULO")</f>
        <v>SAO PAULO</v>
      </c>
    </row>
    <row r="1752">
      <c r="A1752" s="6">
        <f>IFERROR(__xludf.DUMMYFUNCTION("""COMPUTED_VALUE"""),45705.0)</f>
        <v>45705</v>
      </c>
      <c r="B1752" s="7" t="str">
        <f>IFERROR(__xludf.DUMMYFUNCTION("""COMPUTED_VALUE"""),"bfc95ac4-0977-493b-a1ed-033440bf6516")</f>
        <v>bfc95ac4-0977-493b-a1ed-033440bf6516</v>
      </c>
      <c r="C1752" s="7">
        <f>IFERROR(__xludf.DUMMYFUNCTION("""COMPUTED_VALUE"""),159.0)</f>
        <v>159</v>
      </c>
      <c r="D1752" s="6">
        <f>IFERROR(__xludf.DUMMYFUNCTION("""COMPUTED_VALUE"""),45546.0)</f>
        <v>45546</v>
      </c>
      <c r="E1752" s="7" t="str">
        <f>IFERROR(__xludf.DUMMYFUNCTION("""COMPUTED_VALUE"""),"FRANQUIA_D&amp;G_SP")</f>
        <v>FRANQUIA_D&amp;G_SP</v>
      </c>
      <c r="F1752" s="7" t="str">
        <f>IFERROR(__xludf.DUMMYFUNCTION("""COMPUTED_VALUE"""),"BICYCLE")</f>
        <v>BICYCLE</v>
      </c>
      <c r="G1752" s="7" t="str">
        <f>IFERROR(__xludf.DUMMYFUNCTION("""COMPUTED_VALUE"""),"SAO PAULO")</f>
        <v>SAO PAULO</v>
      </c>
    </row>
    <row r="1753">
      <c r="A1753" s="6">
        <f>IFERROR(__xludf.DUMMYFUNCTION("""COMPUTED_VALUE"""),45705.0)</f>
        <v>45705</v>
      </c>
      <c r="B1753" s="7" t="str">
        <f>IFERROR(__xludf.DUMMYFUNCTION("""COMPUTED_VALUE"""),"41453a90-0904-4238-ba9f-6153bbe037bd")</f>
        <v>41453a90-0904-4238-ba9f-6153bbe037bd</v>
      </c>
      <c r="C1753" s="7">
        <f>IFERROR(__xludf.DUMMYFUNCTION("""COMPUTED_VALUE"""),1.0)</f>
        <v>1</v>
      </c>
      <c r="D1753" s="6">
        <f>IFERROR(__xludf.DUMMYFUNCTION("""COMPUTED_VALUE"""),45704.0)</f>
        <v>45704</v>
      </c>
      <c r="E1753" s="7" t="str">
        <f>IFERROR(__xludf.DUMMYFUNCTION("""COMPUTED_VALUE"""),"FRANQUIA_D&amp;G_SP")</f>
        <v>FRANQUIA_D&amp;G_SP</v>
      </c>
      <c r="F1753" s="7" t="str">
        <f>IFERROR(__xludf.DUMMYFUNCTION("""COMPUTED_VALUE"""),"BICYCLE")</f>
        <v>BICYCLE</v>
      </c>
      <c r="G1753" s="7" t="str">
        <f>IFERROR(__xludf.DUMMYFUNCTION("""COMPUTED_VALUE"""),"SAO PAULO")</f>
        <v>SAO PAULO</v>
      </c>
    </row>
    <row r="1754">
      <c r="A1754" s="6">
        <f>IFERROR(__xludf.DUMMYFUNCTION("""COMPUTED_VALUE"""),45705.0)</f>
        <v>45705</v>
      </c>
      <c r="B1754" s="7" t="str">
        <f>IFERROR(__xludf.DUMMYFUNCTION("""COMPUTED_VALUE"""),"fe4395d4-97cc-40fa-b35a-d04178bba14f")</f>
        <v>fe4395d4-97cc-40fa-b35a-d04178bba14f</v>
      </c>
      <c r="C1754" s="7">
        <f>IFERROR(__xludf.DUMMYFUNCTION("""COMPUTED_VALUE"""),0.0)</f>
        <v>0</v>
      </c>
      <c r="D1754" s="6">
        <f>IFERROR(__xludf.DUMMYFUNCTION("""COMPUTED_VALUE"""),45705.0)</f>
        <v>45705</v>
      </c>
      <c r="E1754" s="7" t="str">
        <f>IFERROR(__xludf.DUMMYFUNCTION("""COMPUTED_VALUE"""),"FRANQUIA_D&amp;G_SP")</f>
        <v>FRANQUIA_D&amp;G_SP</v>
      </c>
      <c r="F1754" s="7" t="str">
        <f>IFERROR(__xludf.DUMMYFUNCTION("""COMPUTED_VALUE"""),"MOTORCYCLE")</f>
        <v>MOTORCYCLE</v>
      </c>
      <c r="G1754" s="7" t="str">
        <f>IFERROR(__xludf.DUMMYFUNCTION("""COMPUTED_VALUE"""),"SAO PAULO")</f>
        <v>SAO PAULO</v>
      </c>
    </row>
    <row r="1755">
      <c r="A1755" s="6">
        <f>IFERROR(__xludf.DUMMYFUNCTION("""COMPUTED_VALUE"""),45705.0)</f>
        <v>45705</v>
      </c>
      <c r="B1755" s="7" t="str">
        <f>IFERROR(__xludf.DUMMYFUNCTION("""COMPUTED_VALUE"""),"b442166a-2393-4b24-b015-24d7dd213c1e")</f>
        <v>b442166a-2393-4b24-b015-24d7dd213c1e</v>
      </c>
      <c r="C1755" s="7">
        <f>IFERROR(__xludf.DUMMYFUNCTION("""COMPUTED_VALUE"""),0.0)</f>
        <v>0</v>
      </c>
      <c r="D1755" s="6">
        <f>IFERROR(__xludf.DUMMYFUNCTION("""COMPUTED_VALUE"""),45705.0)</f>
        <v>45705</v>
      </c>
      <c r="E1755" s="7" t="str">
        <f>IFERROR(__xludf.DUMMYFUNCTION("""COMPUTED_VALUE"""),"FRANQUIA_D&amp;G_SP")</f>
        <v>FRANQUIA_D&amp;G_SP</v>
      </c>
      <c r="F1755" s="7" t="str">
        <f>IFERROR(__xludf.DUMMYFUNCTION("""COMPUTED_VALUE"""),"MOTORCYCLE")</f>
        <v>MOTORCYCLE</v>
      </c>
      <c r="G1755" s="7" t="str">
        <f>IFERROR(__xludf.DUMMYFUNCTION("""COMPUTED_VALUE"""),"SAO PAULO")</f>
        <v>SAO PAULO</v>
      </c>
    </row>
    <row r="1756">
      <c r="A1756" s="6">
        <f>IFERROR(__xludf.DUMMYFUNCTION("""COMPUTED_VALUE"""),45705.0)</f>
        <v>45705</v>
      </c>
      <c r="B1756" s="7" t="str">
        <f>IFERROR(__xludf.DUMMYFUNCTION("""COMPUTED_VALUE"""),"7d6b46d5-feae-4636-b2f0-13329c008658")</f>
        <v>7d6b46d5-feae-4636-b2f0-13329c008658</v>
      </c>
      <c r="C1756" s="7">
        <f>IFERROR(__xludf.DUMMYFUNCTION("""COMPUTED_VALUE"""),14.0)</f>
        <v>14</v>
      </c>
      <c r="D1756" s="6">
        <f>IFERROR(__xludf.DUMMYFUNCTION("""COMPUTED_VALUE"""),45691.0)</f>
        <v>45691</v>
      </c>
      <c r="E1756" s="7" t="str">
        <f>IFERROR(__xludf.DUMMYFUNCTION("""COMPUTED_VALUE"""),"FRANQUIA_D&amp;G_SP")</f>
        <v>FRANQUIA_D&amp;G_SP</v>
      </c>
      <c r="F1756" s="7" t="str">
        <f>IFERROR(__xludf.DUMMYFUNCTION("""COMPUTED_VALUE"""),"MOTORCYCLE")</f>
        <v>MOTORCYCLE</v>
      </c>
      <c r="G1756" s="7" t="str">
        <f>IFERROR(__xludf.DUMMYFUNCTION("""COMPUTED_VALUE"""),"SAO PAULO")</f>
        <v>SAO PAULO</v>
      </c>
    </row>
    <row r="1757">
      <c r="A1757" s="6">
        <f>IFERROR(__xludf.DUMMYFUNCTION("""COMPUTED_VALUE"""),45705.0)</f>
        <v>45705</v>
      </c>
      <c r="B1757" s="7" t="str">
        <f>IFERROR(__xludf.DUMMYFUNCTION("""COMPUTED_VALUE"""),"254e7290-08b5-489f-b785-e8f9375328a0")</f>
        <v>254e7290-08b5-489f-b785-e8f9375328a0</v>
      </c>
      <c r="C1757" s="7">
        <f>IFERROR(__xludf.DUMMYFUNCTION("""COMPUTED_VALUE"""),2.0)</f>
        <v>2</v>
      </c>
      <c r="D1757" s="6">
        <f>IFERROR(__xludf.DUMMYFUNCTION("""COMPUTED_VALUE"""),45703.0)</f>
        <v>45703</v>
      </c>
      <c r="E1757" s="7" t="str">
        <f>IFERROR(__xludf.DUMMYFUNCTION("""COMPUTED_VALUE"""),"FRANQUIA_D&amp;G_SP")</f>
        <v>FRANQUIA_D&amp;G_SP</v>
      </c>
      <c r="F1757" s="7" t="str">
        <f>IFERROR(__xludf.DUMMYFUNCTION("""COMPUTED_VALUE"""),"MOTORCYCLE")</f>
        <v>MOTORCYCLE</v>
      </c>
      <c r="G1757" s="7" t="str">
        <f>IFERROR(__xludf.DUMMYFUNCTION("""COMPUTED_VALUE"""),"SAO PAULO")</f>
        <v>SAO PAULO</v>
      </c>
    </row>
    <row r="1758">
      <c r="A1758" s="6">
        <f>IFERROR(__xludf.DUMMYFUNCTION("""COMPUTED_VALUE"""),45705.0)</f>
        <v>45705</v>
      </c>
      <c r="B1758" s="7" t="str">
        <f>IFERROR(__xludf.DUMMYFUNCTION("""COMPUTED_VALUE"""),"52ed34d0-a228-4e2b-9f3c-b4045da96d20")</f>
        <v>52ed34d0-a228-4e2b-9f3c-b4045da96d20</v>
      </c>
      <c r="C1758" s="7">
        <f>IFERROR(__xludf.DUMMYFUNCTION("""COMPUTED_VALUE"""),0.0)</f>
        <v>0</v>
      </c>
      <c r="D1758" s="6">
        <f>IFERROR(__xludf.DUMMYFUNCTION("""COMPUTED_VALUE"""),45705.0)</f>
        <v>45705</v>
      </c>
      <c r="E1758" s="7" t="str">
        <f>IFERROR(__xludf.DUMMYFUNCTION("""COMPUTED_VALUE"""),"FRANQUIA_D&amp;G_SP")</f>
        <v>FRANQUIA_D&amp;G_SP</v>
      </c>
      <c r="F1758" s="7" t="str">
        <f>IFERROR(__xludf.DUMMYFUNCTION("""COMPUTED_VALUE"""),"EBIKE")</f>
        <v>EBIKE</v>
      </c>
      <c r="G1758" s="7" t="str">
        <f>IFERROR(__xludf.DUMMYFUNCTION("""COMPUTED_VALUE"""),"SAO PAULO")</f>
        <v>SAO PAULO</v>
      </c>
    </row>
    <row r="1759">
      <c r="A1759" s="6">
        <f>IFERROR(__xludf.DUMMYFUNCTION("""COMPUTED_VALUE"""),45705.0)</f>
        <v>45705</v>
      </c>
      <c r="B1759" s="7" t="str">
        <f>IFERROR(__xludf.DUMMYFUNCTION("""COMPUTED_VALUE"""),"73061bd1-836b-4eb7-a00c-275ba5bfb211")</f>
        <v>73061bd1-836b-4eb7-a00c-275ba5bfb211</v>
      </c>
      <c r="C1759" s="7">
        <f>IFERROR(__xludf.DUMMYFUNCTION("""COMPUTED_VALUE"""),0.0)</f>
        <v>0</v>
      </c>
      <c r="D1759" s="6">
        <f>IFERROR(__xludf.DUMMYFUNCTION("""COMPUTED_VALUE"""),45705.0)</f>
        <v>45705</v>
      </c>
      <c r="E1759" s="7" t="str">
        <f>IFERROR(__xludf.DUMMYFUNCTION("""COMPUTED_VALUE"""),"FRANQUIA_D&amp;G_SP")</f>
        <v>FRANQUIA_D&amp;G_SP</v>
      </c>
      <c r="F1759" s="7" t="str">
        <f>IFERROR(__xludf.DUMMYFUNCTION("""COMPUTED_VALUE"""),"EMOTORCYCLE")</f>
        <v>EMOTORCYCLE</v>
      </c>
      <c r="G1759" s="7" t="str">
        <f>IFERROR(__xludf.DUMMYFUNCTION("""COMPUTED_VALUE"""),"SAO PAULO")</f>
        <v>SAO PAULO</v>
      </c>
    </row>
    <row r="1760">
      <c r="A1760" s="6">
        <f>IFERROR(__xludf.DUMMYFUNCTION("""COMPUTED_VALUE"""),45705.0)</f>
        <v>45705</v>
      </c>
      <c r="B1760" s="7" t="str">
        <f>IFERROR(__xludf.DUMMYFUNCTION("""COMPUTED_VALUE"""),"16835865-ebc4-4027-bd70-6d8c85c086f4")</f>
        <v>16835865-ebc4-4027-bd70-6d8c85c086f4</v>
      </c>
      <c r="C1760" s="7">
        <f>IFERROR(__xludf.DUMMYFUNCTION("""COMPUTED_VALUE"""),482.0)</f>
        <v>482</v>
      </c>
      <c r="D1760" s="6">
        <f>IFERROR(__xludf.DUMMYFUNCTION("""COMPUTED_VALUE"""),45223.0)</f>
        <v>45223</v>
      </c>
      <c r="E1760" s="7" t="str">
        <f>IFERROR(__xludf.DUMMYFUNCTION("""COMPUTED_VALUE"""),"FRANQUIA_D&amp;G_SP")</f>
        <v>FRANQUIA_D&amp;G_SP</v>
      </c>
      <c r="F1760" s="7" t="str">
        <f>IFERROR(__xludf.DUMMYFUNCTION("""COMPUTED_VALUE"""),"BICYCLE")</f>
        <v>BICYCLE</v>
      </c>
      <c r="G1760" s="7" t="str">
        <f>IFERROR(__xludf.DUMMYFUNCTION("""COMPUTED_VALUE"""),"SAO PAULO")</f>
        <v>SAO PAULO</v>
      </c>
    </row>
    <row r="1761">
      <c r="A1761" s="6">
        <f>IFERROR(__xludf.DUMMYFUNCTION("""COMPUTED_VALUE"""),45705.0)</f>
        <v>45705</v>
      </c>
      <c r="B1761" s="7" t="str">
        <f>IFERROR(__xludf.DUMMYFUNCTION("""COMPUTED_VALUE"""),"a0966265-5d16-4366-84ac-a55a22964dcd")</f>
        <v>a0966265-5d16-4366-84ac-a55a22964dcd</v>
      </c>
      <c r="C1761" s="7">
        <f>IFERROR(__xludf.DUMMYFUNCTION("""COMPUTED_VALUE"""),0.0)</f>
        <v>0</v>
      </c>
      <c r="D1761" s="6">
        <f>IFERROR(__xludf.DUMMYFUNCTION("""COMPUTED_VALUE"""),45705.0)</f>
        <v>45705</v>
      </c>
      <c r="E1761" s="7" t="str">
        <f>IFERROR(__xludf.DUMMYFUNCTION("""COMPUTED_VALUE"""),"FRANQUIA_D&amp;G_SP")</f>
        <v>FRANQUIA_D&amp;G_SP</v>
      </c>
      <c r="F1761" s="7" t="str">
        <f>IFERROR(__xludf.DUMMYFUNCTION("""COMPUTED_VALUE"""),"BICYCLE")</f>
        <v>BICYCLE</v>
      </c>
      <c r="G1761" s="7" t="str">
        <f>IFERROR(__xludf.DUMMYFUNCTION("""COMPUTED_VALUE"""),"SAO PAULO")</f>
        <v>SAO PAULO</v>
      </c>
    </row>
    <row r="1762">
      <c r="A1762" s="6">
        <f>IFERROR(__xludf.DUMMYFUNCTION("""COMPUTED_VALUE"""),45705.0)</f>
        <v>45705</v>
      </c>
      <c r="B1762" s="7" t="str">
        <f>IFERROR(__xludf.DUMMYFUNCTION("""COMPUTED_VALUE"""),"74f9c9a5-5d32-49ce-9e00-d9f7bf8edd87")</f>
        <v>74f9c9a5-5d32-49ce-9e00-d9f7bf8edd87</v>
      </c>
      <c r="C1762" s="7">
        <f>IFERROR(__xludf.DUMMYFUNCTION("""COMPUTED_VALUE"""),1.0)</f>
        <v>1</v>
      </c>
      <c r="D1762" s="6">
        <f>IFERROR(__xludf.DUMMYFUNCTION("""COMPUTED_VALUE"""),45704.0)</f>
        <v>45704</v>
      </c>
      <c r="E1762" s="7" t="str">
        <f>IFERROR(__xludf.DUMMYFUNCTION("""COMPUTED_VALUE"""),"FRANQUIA_D&amp;G_SP")</f>
        <v>FRANQUIA_D&amp;G_SP</v>
      </c>
      <c r="F1762" s="7" t="str">
        <f>IFERROR(__xludf.DUMMYFUNCTION("""COMPUTED_VALUE"""),"MOTORCYCLE")</f>
        <v>MOTORCYCLE</v>
      </c>
      <c r="G1762" s="7" t="str">
        <f>IFERROR(__xludf.DUMMYFUNCTION("""COMPUTED_VALUE"""),"SAO PAULO")</f>
        <v>SAO PAULO</v>
      </c>
    </row>
    <row r="1763">
      <c r="A1763" s="6">
        <f>IFERROR(__xludf.DUMMYFUNCTION("""COMPUTED_VALUE"""),45705.0)</f>
        <v>45705</v>
      </c>
      <c r="B1763" s="7" t="str">
        <f>IFERROR(__xludf.DUMMYFUNCTION("""COMPUTED_VALUE"""),"45007546-87d3-43c0-a26a-a8e6ae8531b2")</f>
        <v>45007546-87d3-43c0-a26a-a8e6ae8531b2</v>
      </c>
      <c r="C1763" s="7">
        <f>IFERROR(__xludf.DUMMYFUNCTION("""COMPUTED_VALUE"""),1.0)</f>
        <v>1</v>
      </c>
      <c r="D1763" s="6">
        <f>IFERROR(__xludf.DUMMYFUNCTION("""COMPUTED_VALUE"""),45704.0)</f>
        <v>45704</v>
      </c>
      <c r="E1763" s="7" t="str">
        <f>IFERROR(__xludf.DUMMYFUNCTION("""COMPUTED_VALUE"""),"FRANQUIA_D&amp;G_SP")</f>
        <v>FRANQUIA_D&amp;G_SP</v>
      </c>
      <c r="F1763" s="7" t="str">
        <f>IFERROR(__xludf.DUMMYFUNCTION("""COMPUTED_VALUE"""),"EMOTORCYCLE")</f>
        <v>EMOTORCYCLE</v>
      </c>
      <c r="G1763" s="7" t="str">
        <f>IFERROR(__xludf.DUMMYFUNCTION("""COMPUTED_VALUE"""),"GUARULHOS")</f>
        <v>GUARULHOS</v>
      </c>
    </row>
    <row r="1764">
      <c r="A1764" s="6">
        <f>IFERROR(__xludf.DUMMYFUNCTION("""COMPUTED_VALUE"""),45705.0)</f>
        <v>45705</v>
      </c>
      <c r="B1764" s="7" t="str">
        <f>IFERROR(__xludf.DUMMYFUNCTION("""COMPUTED_VALUE"""),"df98f0d9-f0dc-402a-9b3e-c7dc9cdbf5a6")</f>
        <v>df98f0d9-f0dc-402a-9b3e-c7dc9cdbf5a6</v>
      </c>
      <c r="C1764" s="7">
        <f>IFERROR(__xludf.DUMMYFUNCTION("""COMPUTED_VALUE"""),1.0)</f>
        <v>1</v>
      </c>
      <c r="D1764" s="6">
        <f>IFERROR(__xludf.DUMMYFUNCTION("""COMPUTED_VALUE"""),45704.0)</f>
        <v>45704</v>
      </c>
      <c r="E1764" s="7" t="str">
        <f>IFERROR(__xludf.DUMMYFUNCTION("""COMPUTED_VALUE"""),"FRANQUIA_D&amp;G_SP")</f>
        <v>FRANQUIA_D&amp;G_SP</v>
      </c>
      <c r="F1764" s="7" t="str">
        <f>IFERROR(__xludf.DUMMYFUNCTION("""COMPUTED_VALUE"""),"BICYCLE")</f>
        <v>BICYCLE</v>
      </c>
      <c r="G1764" s="7" t="str">
        <f>IFERROR(__xludf.DUMMYFUNCTION("""COMPUTED_VALUE"""),"SAO PAULO")</f>
        <v>SAO PAULO</v>
      </c>
    </row>
    <row r="1765">
      <c r="A1765" s="6">
        <f>IFERROR(__xludf.DUMMYFUNCTION("""COMPUTED_VALUE"""),45705.0)</f>
        <v>45705</v>
      </c>
      <c r="B1765" s="7" t="str">
        <f>IFERROR(__xludf.DUMMYFUNCTION("""COMPUTED_VALUE"""),"3969a5cc-ce99-4193-b64a-7ab37c47333b")</f>
        <v>3969a5cc-ce99-4193-b64a-7ab37c47333b</v>
      </c>
      <c r="C1765" s="7">
        <f>IFERROR(__xludf.DUMMYFUNCTION("""COMPUTED_VALUE"""),3.0)</f>
        <v>3</v>
      </c>
      <c r="D1765" s="6">
        <f>IFERROR(__xludf.DUMMYFUNCTION("""COMPUTED_VALUE"""),45702.0)</f>
        <v>45702</v>
      </c>
      <c r="E1765" s="7" t="str">
        <f>IFERROR(__xludf.DUMMYFUNCTION("""COMPUTED_VALUE"""),"FRANQUIA_D&amp;G_SP")</f>
        <v>FRANQUIA_D&amp;G_SP</v>
      </c>
      <c r="F1765" s="7" t="str">
        <f>IFERROR(__xludf.DUMMYFUNCTION("""COMPUTED_VALUE"""),"BICYCLE")</f>
        <v>BICYCLE</v>
      </c>
      <c r="G1765" s="7" t="str">
        <f>IFERROR(__xludf.DUMMYFUNCTION("""COMPUTED_VALUE"""),"SAO PAULO")</f>
        <v>SAO PAULO</v>
      </c>
    </row>
    <row r="1766">
      <c r="A1766" s="6">
        <f>IFERROR(__xludf.DUMMYFUNCTION("""COMPUTED_VALUE"""),45705.0)</f>
        <v>45705</v>
      </c>
      <c r="B1766" s="7" t="str">
        <f>IFERROR(__xludf.DUMMYFUNCTION("""COMPUTED_VALUE"""),"51a597cc-eda5-4537-ae74-0b511a4284ef")</f>
        <v>51a597cc-eda5-4537-ae74-0b511a4284ef</v>
      </c>
      <c r="C1766" s="7">
        <f>IFERROR(__xludf.DUMMYFUNCTION("""COMPUTED_VALUE"""),1.0)</f>
        <v>1</v>
      </c>
      <c r="D1766" s="6">
        <f>IFERROR(__xludf.DUMMYFUNCTION("""COMPUTED_VALUE"""),45704.0)</f>
        <v>45704</v>
      </c>
      <c r="E1766" s="7" t="str">
        <f>IFERROR(__xludf.DUMMYFUNCTION("""COMPUTED_VALUE"""),"FRANQUIA_D&amp;G_SP")</f>
        <v>FRANQUIA_D&amp;G_SP</v>
      </c>
      <c r="F1766" s="7" t="str">
        <f>IFERROR(__xludf.DUMMYFUNCTION("""COMPUTED_VALUE"""),"BICYCLE")</f>
        <v>BICYCLE</v>
      </c>
      <c r="G1766" s="7" t="str">
        <f>IFERROR(__xludf.DUMMYFUNCTION("""COMPUTED_VALUE"""),"SAO PAULO")</f>
        <v>SAO PAULO</v>
      </c>
    </row>
    <row r="1767">
      <c r="A1767" s="6">
        <f>IFERROR(__xludf.DUMMYFUNCTION("""COMPUTED_VALUE"""),45705.0)</f>
        <v>45705</v>
      </c>
      <c r="B1767" s="7" t="str">
        <f>IFERROR(__xludf.DUMMYFUNCTION("""COMPUTED_VALUE"""),"a35227cb-c840-476a-b1ae-32cdbf8f59b8")</f>
        <v>a35227cb-c840-476a-b1ae-32cdbf8f59b8</v>
      </c>
      <c r="C1767" s="7">
        <f>IFERROR(__xludf.DUMMYFUNCTION("""COMPUTED_VALUE"""),5.0)</f>
        <v>5</v>
      </c>
      <c r="D1767" s="6">
        <f>IFERROR(__xludf.DUMMYFUNCTION("""COMPUTED_VALUE"""),45700.0)</f>
        <v>45700</v>
      </c>
      <c r="E1767" s="7" t="str">
        <f>IFERROR(__xludf.DUMMYFUNCTION("""COMPUTED_VALUE"""),"FRANQUIA_D&amp;G_SP")</f>
        <v>FRANQUIA_D&amp;G_SP</v>
      </c>
      <c r="F1767" s="7" t="str">
        <f>IFERROR(__xludf.DUMMYFUNCTION("""COMPUTED_VALUE"""),"BICYCLE")</f>
        <v>BICYCLE</v>
      </c>
      <c r="G1767" s="7" t="str">
        <f>IFERROR(__xludf.DUMMYFUNCTION("""COMPUTED_VALUE"""),"SAO PAULO")</f>
        <v>SAO PAULO</v>
      </c>
    </row>
    <row r="1768">
      <c r="A1768" s="6">
        <f>IFERROR(__xludf.DUMMYFUNCTION("""COMPUTED_VALUE"""),45705.0)</f>
        <v>45705</v>
      </c>
      <c r="B1768" s="7" t="str">
        <f>IFERROR(__xludf.DUMMYFUNCTION("""COMPUTED_VALUE"""),"1efcdada-b1c2-4df0-9646-cf08261f7c86")</f>
        <v>1efcdada-b1c2-4df0-9646-cf08261f7c86</v>
      </c>
      <c r="C1768" s="7">
        <f>IFERROR(__xludf.DUMMYFUNCTION("""COMPUTED_VALUE"""),2.0)</f>
        <v>2</v>
      </c>
      <c r="D1768" s="6">
        <f>IFERROR(__xludf.DUMMYFUNCTION("""COMPUTED_VALUE"""),45703.0)</f>
        <v>45703</v>
      </c>
      <c r="E1768" s="7" t="str">
        <f>IFERROR(__xludf.DUMMYFUNCTION("""COMPUTED_VALUE"""),"FRANQUIA_D&amp;G_SP")</f>
        <v>FRANQUIA_D&amp;G_SP</v>
      </c>
      <c r="F1768" s="7" t="str">
        <f>IFERROR(__xludf.DUMMYFUNCTION("""COMPUTED_VALUE"""),"BICYCLE")</f>
        <v>BICYCLE</v>
      </c>
      <c r="G1768" s="7" t="str">
        <f>IFERROR(__xludf.DUMMYFUNCTION("""COMPUTED_VALUE"""),"SAO PAULO")</f>
        <v>SAO PAULO</v>
      </c>
    </row>
    <row r="1769">
      <c r="A1769" s="6">
        <f>IFERROR(__xludf.DUMMYFUNCTION("""COMPUTED_VALUE"""),45705.0)</f>
        <v>45705</v>
      </c>
      <c r="B1769" s="7" t="str">
        <f>IFERROR(__xludf.DUMMYFUNCTION("""COMPUTED_VALUE"""),"2f89bf8e-8be0-4a7b-b429-a16a7511bfee")</f>
        <v>2f89bf8e-8be0-4a7b-b429-a16a7511bfee</v>
      </c>
      <c r="C1769" s="7">
        <f>IFERROR(__xludf.DUMMYFUNCTION("""COMPUTED_VALUE"""),0.0)</f>
        <v>0</v>
      </c>
      <c r="D1769" s="6">
        <f>IFERROR(__xludf.DUMMYFUNCTION("""COMPUTED_VALUE"""),45705.0)</f>
        <v>45705</v>
      </c>
      <c r="E1769" s="7" t="str">
        <f>IFERROR(__xludf.DUMMYFUNCTION("""COMPUTED_VALUE"""),"FRANQUIA_D&amp;G_SP")</f>
        <v>FRANQUIA_D&amp;G_SP</v>
      </c>
      <c r="F1769" s="7" t="str">
        <f>IFERROR(__xludf.DUMMYFUNCTION("""COMPUTED_VALUE"""),"MOTORCYCLE")</f>
        <v>MOTORCYCLE</v>
      </c>
      <c r="G1769" s="7" t="str">
        <f>IFERROR(__xludf.DUMMYFUNCTION("""COMPUTED_VALUE"""),"SAO PAULO")</f>
        <v>SAO PAULO</v>
      </c>
    </row>
    <row r="1770">
      <c r="A1770" s="6">
        <f>IFERROR(__xludf.DUMMYFUNCTION("""COMPUTED_VALUE"""),45705.0)</f>
        <v>45705</v>
      </c>
      <c r="B1770" s="7" t="str">
        <f>IFERROR(__xludf.DUMMYFUNCTION("""COMPUTED_VALUE"""),"a7ecf2b9-9266-4f95-a18a-e583b0b94832")</f>
        <v>a7ecf2b9-9266-4f95-a18a-e583b0b94832</v>
      </c>
      <c r="C1770" s="7">
        <f>IFERROR(__xludf.DUMMYFUNCTION("""COMPUTED_VALUE"""),0.0)</f>
        <v>0</v>
      </c>
      <c r="D1770" s="6">
        <f>IFERROR(__xludf.DUMMYFUNCTION("""COMPUTED_VALUE"""),45705.0)</f>
        <v>45705</v>
      </c>
      <c r="E1770" s="7" t="str">
        <f>IFERROR(__xludf.DUMMYFUNCTION("""COMPUTED_VALUE"""),"FRANQUIA_D&amp;G_SP")</f>
        <v>FRANQUIA_D&amp;G_SP</v>
      </c>
      <c r="F1770" s="7" t="str">
        <f>IFERROR(__xludf.DUMMYFUNCTION("""COMPUTED_VALUE"""),"BICYCLE")</f>
        <v>BICYCLE</v>
      </c>
      <c r="G1770" s="7" t="str">
        <f>IFERROR(__xludf.DUMMYFUNCTION("""COMPUTED_VALUE"""),"SAO PAULO")</f>
        <v>SAO PAULO</v>
      </c>
    </row>
    <row r="1771">
      <c r="A1771" s="6">
        <f>IFERROR(__xludf.DUMMYFUNCTION("""COMPUTED_VALUE"""),45705.0)</f>
        <v>45705</v>
      </c>
      <c r="B1771" s="7" t="str">
        <f>IFERROR(__xludf.DUMMYFUNCTION("""COMPUTED_VALUE"""),"2b79ffc8-314c-41c1-9147-ad623cec31c8")</f>
        <v>2b79ffc8-314c-41c1-9147-ad623cec31c8</v>
      </c>
      <c r="C1771" s="7">
        <f>IFERROR(__xludf.DUMMYFUNCTION("""COMPUTED_VALUE"""),0.0)</f>
        <v>0</v>
      </c>
      <c r="D1771" s="6">
        <f>IFERROR(__xludf.DUMMYFUNCTION("""COMPUTED_VALUE"""),45705.0)</f>
        <v>45705</v>
      </c>
      <c r="E1771" s="7" t="str">
        <f>IFERROR(__xludf.DUMMYFUNCTION("""COMPUTED_VALUE"""),"FRANQUIA_D&amp;G_SP")</f>
        <v>FRANQUIA_D&amp;G_SP</v>
      </c>
      <c r="F1771" s="7" t="str">
        <f>IFERROR(__xludf.DUMMYFUNCTION("""COMPUTED_VALUE"""),"MOTORCYCLE")</f>
        <v>MOTORCYCLE</v>
      </c>
      <c r="G1771" s="7" t="str">
        <f>IFERROR(__xludf.DUMMYFUNCTION("""COMPUTED_VALUE"""),"SAO PAULO")</f>
        <v>SAO PAULO</v>
      </c>
    </row>
    <row r="1772">
      <c r="A1772" s="6">
        <f>IFERROR(__xludf.DUMMYFUNCTION("""COMPUTED_VALUE"""),45705.0)</f>
        <v>45705</v>
      </c>
      <c r="B1772" s="7" t="str">
        <f>IFERROR(__xludf.DUMMYFUNCTION("""COMPUTED_VALUE"""),"574c89c4-bc7b-4def-b140-9b6bfd444d78")</f>
        <v>574c89c4-bc7b-4def-b140-9b6bfd444d78</v>
      </c>
      <c r="C1772" s="7">
        <f>IFERROR(__xludf.DUMMYFUNCTION("""COMPUTED_VALUE"""),651.0)</f>
        <v>651</v>
      </c>
      <c r="D1772" s="6">
        <f>IFERROR(__xludf.DUMMYFUNCTION("""COMPUTED_VALUE"""),45054.0)</f>
        <v>45054</v>
      </c>
      <c r="E1772" s="7" t="str">
        <f>IFERROR(__xludf.DUMMYFUNCTION("""COMPUTED_VALUE"""),"FRANQUIA_D&amp;G_SP")</f>
        <v>FRANQUIA_D&amp;G_SP</v>
      </c>
      <c r="F1772" s="7" t="str">
        <f>IFERROR(__xludf.DUMMYFUNCTION("""COMPUTED_VALUE"""),"MOTORCYCLE")</f>
        <v>MOTORCYCLE</v>
      </c>
      <c r="G1772" s="7" t="str">
        <f>IFERROR(__xludf.DUMMYFUNCTION("""COMPUTED_VALUE"""),"SAO PAULO")</f>
        <v>SAO PAULO</v>
      </c>
    </row>
    <row r="1773">
      <c r="A1773" s="6">
        <f>IFERROR(__xludf.DUMMYFUNCTION("""COMPUTED_VALUE"""),45705.0)</f>
        <v>45705</v>
      </c>
      <c r="B1773" s="7" t="str">
        <f>IFERROR(__xludf.DUMMYFUNCTION("""COMPUTED_VALUE"""),"1ffba256-1092-4394-8a51-fab61ca474ce")</f>
        <v>1ffba256-1092-4394-8a51-fab61ca474ce</v>
      </c>
      <c r="C1773" s="7">
        <f>IFERROR(__xludf.DUMMYFUNCTION("""COMPUTED_VALUE"""),0.0)</f>
        <v>0</v>
      </c>
      <c r="D1773" s="6">
        <f>IFERROR(__xludf.DUMMYFUNCTION("""COMPUTED_VALUE"""),45705.0)</f>
        <v>45705</v>
      </c>
      <c r="E1773" s="7" t="str">
        <f>IFERROR(__xludf.DUMMYFUNCTION("""COMPUTED_VALUE"""),"FRANQUIA_D&amp;G_SP")</f>
        <v>FRANQUIA_D&amp;G_SP</v>
      </c>
      <c r="F1773" s="7" t="str">
        <f>IFERROR(__xludf.DUMMYFUNCTION("""COMPUTED_VALUE"""),"BICYCLE")</f>
        <v>BICYCLE</v>
      </c>
      <c r="G1773" s="7" t="str">
        <f>IFERROR(__xludf.DUMMYFUNCTION("""COMPUTED_VALUE"""),"ABC")</f>
        <v>ABC</v>
      </c>
    </row>
    <row r="1774">
      <c r="A1774" s="6">
        <f>IFERROR(__xludf.DUMMYFUNCTION("""COMPUTED_VALUE"""),45705.0)</f>
        <v>45705</v>
      </c>
      <c r="B1774" s="7" t="str">
        <f>IFERROR(__xludf.DUMMYFUNCTION("""COMPUTED_VALUE"""),"4e3f4361-35be-452b-8f08-653a90eec0bb")</f>
        <v>4e3f4361-35be-452b-8f08-653a90eec0bb</v>
      </c>
      <c r="C1774" s="7">
        <f>IFERROR(__xludf.DUMMYFUNCTION("""COMPUTED_VALUE"""),1.0)</f>
        <v>1</v>
      </c>
      <c r="D1774" s="6">
        <f>IFERROR(__xludf.DUMMYFUNCTION("""COMPUTED_VALUE"""),45704.0)</f>
        <v>45704</v>
      </c>
      <c r="E1774" s="7" t="str">
        <f>IFERROR(__xludf.DUMMYFUNCTION("""COMPUTED_VALUE"""),"FRANQUIA_D&amp;G_SP")</f>
        <v>FRANQUIA_D&amp;G_SP</v>
      </c>
      <c r="F1774" s="7" t="str">
        <f>IFERROR(__xludf.DUMMYFUNCTION("""COMPUTED_VALUE"""),"MOTORCYCLE")</f>
        <v>MOTORCYCLE</v>
      </c>
      <c r="G1774" s="7" t="str">
        <f>IFERROR(__xludf.DUMMYFUNCTION("""COMPUTED_VALUE"""),"SAO PAULO")</f>
        <v>SAO PAULO</v>
      </c>
    </row>
    <row r="1775">
      <c r="A1775" s="6">
        <f>IFERROR(__xludf.DUMMYFUNCTION("""COMPUTED_VALUE"""),45705.0)</f>
        <v>45705</v>
      </c>
      <c r="B1775" s="7" t="str">
        <f>IFERROR(__xludf.DUMMYFUNCTION("""COMPUTED_VALUE"""),"0c426142-aa48-4474-be11-e05d095297f7")</f>
        <v>0c426142-aa48-4474-be11-e05d095297f7</v>
      </c>
      <c r="C1775" s="7">
        <f>IFERROR(__xludf.DUMMYFUNCTION("""COMPUTED_VALUE"""),0.0)</f>
        <v>0</v>
      </c>
      <c r="D1775" s="6">
        <f>IFERROR(__xludf.DUMMYFUNCTION("""COMPUTED_VALUE"""),45705.0)</f>
        <v>45705</v>
      </c>
      <c r="E1775" s="7" t="str">
        <f>IFERROR(__xludf.DUMMYFUNCTION("""COMPUTED_VALUE"""),"FRANQUIA_D&amp;G_SP")</f>
        <v>FRANQUIA_D&amp;G_SP</v>
      </c>
      <c r="F1775" s="7" t="str">
        <f>IFERROR(__xludf.DUMMYFUNCTION("""COMPUTED_VALUE"""),"BICYCLE")</f>
        <v>BICYCLE</v>
      </c>
      <c r="G1775" s="7" t="str">
        <f>IFERROR(__xludf.DUMMYFUNCTION("""COMPUTED_VALUE"""),"SAO PAULO")</f>
        <v>SAO PAULO</v>
      </c>
    </row>
    <row r="1776">
      <c r="A1776" s="6">
        <f>IFERROR(__xludf.DUMMYFUNCTION("""COMPUTED_VALUE"""),45705.0)</f>
        <v>45705</v>
      </c>
      <c r="B1776" s="7" t="str">
        <f>IFERROR(__xludf.DUMMYFUNCTION("""COMPUTED_VALUE"""),"5794383e-e839-458c-b7eb-a140b231e6a7")</f>
        <v>5794383e-e839-458c-b7eb-a140b231e6a7</v>
      </c>
      <c r="C1776" s="7">
        <f>IFERROR(__xludf.DUMMYFUNCTION("""COMPUTED_VALUE"""),0.0)</f>
        <v>0</v>
      </c>
      <c r="D1776" s="6">
        <f>IFERROR(__xludf.DUMMYFUNCTION("""COMPUTED_VALUE"""),45705.0)</f>
        <v>45705</v>
      </c>
      <c r="E1776" s="7" t="str">
        <f>IFERROR(__xludf.DUMMYFUNCTION("""COMPUTED_VALUE"""),"FRANQUIA_D&amp;G_SP")</f>
        <v>FRANQUIA_D&amp;G_SP</v>
      </c>
      <c r="F1776" s="7" t="str">
        <f>IFERROR(__xludf.DUMMYFUNCTION("""COMPUTED_VALUE"""),"EMOTORCYCLE")</f>
        <v>EMOTORCYCLE</v>
      </c>
      <c r="G1776" s="7" t="str">
        <f>IFERROR(__xludf.DUMMYFUNCTION("""COMPUTED_VALUE"""),"RESTAURANTE PARCEIRO")</f>
        <v>RESTAURANTE PARCEIRO</v>
      </c>
    </row>
    <row r="1777">
      <c r="A1777" s="6">
        <f>IFERROR(__xludf.DUMMYFUNCTION("""COMPUTED_VALUE"""),45705.0)</f>
        <v>45705</v>
      </c>
      <c r="B1777" s="7" t="str">
        <f>IFERROR(__xludf.DUMMYFUNCTION("""COMPUTED_VALUE"""),"3c08ac3f-55c1-4dbb-b47a-98182e9f79bb")</f>
        <v>3c08ac3f-55c1-4dbb-b47a-98182e9f79bb</v>
      </c>
      <c r="C1777" s="7">
        <f>IFERROR(__xludf.DUMMYFUNCTION("""COMPUTED_VALUE"""),128.0)</f>
        <v>128</v>
      </c>
      <c r="D1777" s="6">
        <f>IFERROR(__xludf.DUMMYFUNCTION("""COMPUTED_VALUE"""),45577.0)</f>
        <v>45577</v>
      </c>
      <c r="E1777" s="7" t="str">
        <f>IFERROR(__xludf.DUMMYFUNCTION("""COMPUTED_VALUE"""),"FRANQUIA_D&amp;G_SP")</f>
        <v>FRANQUIA_D&amp;G_SP</v>
      </c>
      <c r="F1777" s="7" t="str">
        <f>IFERROR(__xludf.DUMMYFUNCTION("""COMPUTED_VALUE"""),"MOTORCYCLE")</f>
        <v>MOTORCYCLE</v>
      </c>
      <c r="G1777" s="7" t="str">
        <f>IFERROR(__xludf.DUMMYFUNCTION("""COMPUTED_VALUE"""),"SAO PAULO")</f>
        <v>SAO PAULO</v>
      </c>
    </row>
    <row r="1778">
      <c r="A1778" s="6">
        <f>IFERROR(__xludf.DUMMYFUNCTION("""COMPUTED_VALUE"""),45705.0)</f>
        <v>45705</v>
      </c>
      <c r="B1778" s="7" t="str">
        <f>IFERROR(__xludf.DUMMYFUNCTION("""COMPUTED_VALUE"""),"5063d5f3-951e-4259-b484-c72e7582bff1")</f>
        <v>5063d5f3-951e-4259-b484-c72e7582bff1</v>
      </c>
      <c r="C1778" s="7">
        <f>IFERROR(__xludf.DUMMYFUNCTION("""COMPUTED_VALUE"""),3.0)</f>
        <v>3</v>
      </c>
      <c r="D1778" s="6">
        <f>IFERROR(__xludf.DUMMYFUNCTION("""COMPUTED_VALUE"""),45702.0)</f>
        <v>45702</v>
      </c>
      <c r="E1778" s="7" t="str">
        <f>IFERROR(__xludf.DUMMYFUNCTION("""COMPUTED_VALUE"""),"FRANQUIA_D&amp;G_SP")</f>
        <v>FRANQUIA_D&amp;G_SP</v>
      </c>
      <c r="F1778" s="7" t="str">
        <f>IFERROR(__xludf.DUMMYFUNCTION("""COMPUTED_VALUE"""),"BICYCLE")</f>
        <v>BICYCLE</v>
      </c>
      <c r="G1778" s="7" t="str">
        <f>IFERROR(__xludf.DUMMYFUNCTION("""COMPUTED_VALUE"""),"SAO PAULO")</f>
        <v>SAO PAULO</v>
      </c>
    </row>
    <row r="1779">
      <c r="A1779" s="6">
        <f>IFERROR(__xludf.DUMMYFUNCTION("""COMPUTED_VALUE"""),45705.0)</f>
        <v>45705</v>
      </c>
      <c r="B1779" s="7" t="str">
        <f>IFERROR(__xludf.DUMMYFUNCTION("""COMPUTED_VALUE"""),"b13db328-3bd9-4b5e-8cd7-a0ace659eb52")</f>
        <v>b13db328-3bd9-4b5e-8cd7-a0ace659eb52</v>
      </c>
      <c r="C1779" s="7">
        <f>IFERROR(__xludf.DUMMYFUNCTION("""COMPUTED_VALUE"""),0.0)</f>
        <v>0</v>
      </c>
      <c r="D1779" s="6">
        <f>IFERROR(__xludf.DUMMYFUNCTION("""COMPUTED_VALUE"""),45705.0)</f>
        <v>45705</v>
      </c>
      <c r="E1779" s="7" t="str">
        <f>IFERROR(__xludf.DUMMYFUNCTION("""COMPUTED_VALUE"""),"FRANQUIA_D&amp;G_SP")</f>
        <v>FRANQUIA_D&amp;G_SP</v>
      </c>
      <c r="F1779" s="7" t="str">
        <f>IFERROR(__xludf.DUMMYFUNCTION("""COMPUTED_VALUE"""),"MOTORCYCLE")</f>
        <v>MOTORCYCLE</v>
      </c>
      <c r="G1779" s="7" t="str">
        <f>IFERROR(__xludf.DUMMYFUNCTION("""COMPUTED_VALUE"""),"SAO PAULO")</f>
        <v>SAO PAULO</v>
      </c>
    </row>
    <row r="1780">
      <c r="A1780" s="6">
        <f>IFERROR(__xludf.DUMMYFUNCTION("""COMPUTED_VALUE"""),45705.0)</f>
        <v>45705</v>
      </c>
      <c r="B1780" s="7" t="str">
        <f>IFERROR(__xludf.DUMMYFUNCTION("""COMPUTED_VALUE"""),"a27f7368-e484-45ce-8fef-1809ba27f475")</f>
        <v>a27f7368-e484-45ce-8fef-1809ba27f475</v>
      </c>
      <c r="C1780" s="7">
        <f>IFERROR(__xludf.DUMMYFUNCTION("""COMPUTED_VALUE"""),0.0)</f>
        <v>0</v>
      </c>
      <c r="D1780" s="6">
        <f>IFERROR(__xludf.DUMMYFUNCTION("""COMPUTED_VALUE"""),45705.0)</f>
        <v>45705</v>
      </c>
      <c r="E1780" s="7" t="str">
        <f>IFERROR(__xludf.DUMMYFUNCTION("""COMPUTED_VALUE"""),"FRANQUIA_D&amp;G_SP")</f>
        <v>FRANQUIA_D&amp;G_SP</v>
      </c>
      <c r="F1780" s="7" t="str">
        <f>IFERROR(__xludf.DUMMYFUNCTION("""COMPUTED_VALUE"""),"MOTORCYCLE")</f>
        <v>MOTORCYCLE</v>
      </c>
      <c r="G1780" s="7" t="str">
        <f>IFERROR(__xludf.DUMMYFUNCTION("""COMPUTED_VALUE"""),"SAO PAULO")</f>
        <v>SAO PAULO</v>
      </c>
    </row>
    <row r="1781">
      <c r="A1781" s="6">
        <f>IFERROR(__xludf.DUMMYFUNCTION("""COMPUTED_VALUE"""),45705.0)</f>
        <v>45705</v>
      </c>
      <c r="B1781" s="7" t="str">
        <f>IFERROR(__xludf.DUMMYFUNCTION("""COMPUTED_VALUE"""),"df0b0d2e-f897-4621-99be-dc7230d6bc87")</f>
        <v>df0b0d2e-f897-4621-99be-dc7230d6bc87</v>
      </c>
      <c r="C1781" s="7">
        <f>IFERROR(__xludf.DUMMYFUNCTION("""COMPUTED_VALUE"""),0.0)</f>
        <v>0</v>
      </c>
      <c r="D1781" s="6">
        <f>IFERROR(__xludf.DUMMYFUNCTION("""COMPUTED_VALUE"""),45705.0)</f>
        <v>45705</v>
      </c>
      <c r="E1781" s="7" t="str">
        <f>IFERROR(__xludf.DUMMYFUNCTION("""COMPUTED_VALUE"""),"FRANQUIA_D&amp;G_SP")</f>
        <v>FRANQUIA_D&amp;G_SP</v>
      </c>
      <c r="F1781" s="7" t="str">
        <f>IFERROR(__xludf.DUMMYFUNCTION("""COMPUTED_VALUE"""),"BICYCLE")</f>
        <v>BICYCLE</v>
      </c>
      <c r="G1781" s="7" t="str">
        <f>IFERROR(__xludf.DUMMYFUNCTION("""COMPUTED_VALUE"""),"SAO PAULO")</f>
        <v>SAO PAULO</v>
      </c>
    </row>
    <row r="1782">
      <c r="A1782" s="6">
        <f>IFERROR(__xludf.DUMMYFUNCTION("""COMPUTED_VALUE"""),45705.0)</f>
        <v>45705</v>
      </c>
      <c r="B1782" s="7" t="str">
        <f>IFERROR(__xludf.DUMMYFUNCTION("""COMPUTED_VALUE"""),"8ff16edd-01db-49ab-9534-47620255d239")</f>
        <v>8ff16edd-01db-49ab-9534-47620255d239</v>
      </c>
      <c r="C1782" s="7">
        <f>IFERROR(__xludf.DUMMYFUNCTION("""COMPUTED_VALUE"""),20.0)</f>
        <v>20</v>
      </c>
      <c r="D1782" s="6">
        <f>IFERROR(__xludf.DUMMYFUNCTION("""COMPUTED_VALUE"""),45685.0)</f>
        <v>45685</v>
      </c>
      <c r="E1782" s="7" t="str">
        <f>IFERROR(__xludf.DUMMYFUNCTION("""COMPUTED_VALUE"""),"FRANQUIA_D&amp;G_SP")</f>
        <v>FRANQUIA_D&amp;G_SP</v>
      </c>
      <c r="F1782" s="7" t="str">
        <f>IFERROR(__xludf.DUMMYFUNCTION("""COMPUTED_VALUE"""),"MOTORCYCLE")</f>
        <v>MOTORCYCLE</v>
      </c>
      <c r="G1782" s="7" t="str">
        <f>IFERROR(__xludf.DUMMYFUNCTION("""COMPUTED_VALUE"""),"SAO PAULO")</f>
        <v>SAO PAULO</v>
      </c>
    </row>
    <row r="1783">
      <c r="A1783" s="6">
        <f>IFERROR(__xludf.DUMMYFUNCTION("""COMPUTED_VALUE"""),45705.0)</f>
        <v>45705</v>
      </c>
      <c r="B1783" s="7" t="str">
        <f>IFERROR(__xludf.DUMMYFUNCTION("""COMPUTED_VALUE"""),"4b07e8d6-d11c-4196-a148-004ed41720df")</f>
        <v>4b07e8d6-d11c-4196-a148-004ed41720df</v>
      </c>
      <c r="C1783" s="7">
        <f>IFERROR(__xludf.DUMMYFUNCTION("""COMPUTED_VALUE"""),0.0)</f>
        <v>0</v>
      </c>
      <c r="D1783" s="6">
        <f>IFERROR(__xludf.DUMMYFUNCTION("""COMPUTED_VALUE"""),0.0)</f>
        <v>0</v>
      </c>
      <c r="E1783" s="7" t="str">
        <f>IFERROR(__xludf.DUMMYFUNCTION("""COMPUTED_VALUE"""),"FRANQUIA_D&amp;G_SP")</f>
        <v>FRANQUIA_D&amp;G_SP</v>
      </c>
      <c r="F1783" s="7" t="str">
        <f>IFERROR(__xludf.DUMMYFUNCTION("""COMPUTED_VALUE"""),"BICYCLE")</f>
        <v>BICYCLE</v>
      </c>
      <c r="G1783" s="7" t="str">
        <f>IFERROR(__xludf.DUMMYFUNCTION("""COMPUTED_VALUE"""),"0")</f>
        <v>0</v>
      </c>
    </row>
    <row r="1784">
      <c r="A1784" s="6">
        <f>IFERROR(__xludf.DUMMYFUNCTION("""COMPUTED_VALUE"""),45705.0)</f>
        <v>45705</v>
      </c>
      <c r="B1784" s="7" t="str">
        <f>IFERROR(__xludf.DUMMYFUNCTION("""COMPUTED_VALUE"""),"171cf9ef-1228-49b7-8a2d-2d064df1d40c")</f>
        <v>171cf9ef-1228-49b7-8a2d-2d064df1d40c</v>
      </c>
      <c r="C1784" s="7">
        <f>IFERROR(__xludf.DUMMYFUNCTION("""COMPUTED_VALUE"""),108.0)</f>
        <v>108</v>
      </c>
      <c r="D1784" s="6">
        <f>IFERROR(__xludf.DUMMYFUNCTION("""COMPUTED_VALUE"""),45597.0)</f>
        <v>45597</v>
      </c>
      <c r="E1784" s="7" t="str">
        <f>IFERROR(__xludf.DUMMYFUNCTION("""COMPUTED_VALUE"""),"FRANQUIA_D&amp;G_SP")</f>
        <v>FRANQUIA_D&amp;G_SP</v>
      </c>
      <c r="F1784" s="7" t="str">
        <f>IFERROR(__xludf.DUMMYFUNCTION("""COMPUTED_VALUE"""),"MOTORCYCLE")</f>
        <v>MOTORCYCLE</v>
      </c>
      <c r="G1784" s="7" t="str">
        <f>IFERROR(__xludf.DUMMYFUNCTION("""COMPUTED_VALUE"""),"SAO PAULO")</f>
        <v>SAO PAULO</v>
      </c>
    </row>
    <row r="1785">
      <c r="A1785" s="6">
        <f>IFERROR(__xludf.DUMMYFUNCTION("""COMPUTED_VALUE"""),45705.0)</f>
        <v>45705</v>
      </c>
      <c r="B1785" s="7" t="str">
        <f>IFERROR(__xludf.DUMMYFUNCTION("""COMPUTED_VALUE"""),"2cf47f2b-82c3-4be3-a0ab-93bcc11e9c09")</f>
        <v>2cf47f2b-82c3-4be3-a0ab-93bcc11e9c09</v>
      </c>
      <c r="C1785" s="7">
        <f>IFERROR(__xludf.DUMMYFUNCTION("""COMPUTED_VALUE"""),0.0)</f>
        <v>0</v>
      </c>
      <c r="D1785" s="6">
        <f>IFERROR(__xludf.DUMMYFUNCTION("""COMPUTED_VALUE"""),45705.0)</f>
        <v>45705</v>
      </c>
      <c r="E1785" s="7" t="str">
        <f>IFERROR(__xludf.DUMMYFUNCTION("""COMPUTED_VALUE"""),"FRANQUIA_D&amp;G_SP")</f>
        <v>FRANQUIA_D&amp;G_SP</v>
      </c>
      <c r="F1785" s="7" t="str">
        <f>IFERROR(__xludf.DUMMYFUNCTION("""COMPUTED_VALUE"""),"MOTORCYCLE")</f>
        <v>MOTORCYCLE</v>
      </c>
      <c r="G1785" s="7" t="str">
        <f>IFERROR(__xludf.DUMMYFUNCTION("""COMPUTED_VALUE"""),"SAO PAULO")</f>
        <v>SAO PAULO</v>
      </c>
    </row>
    <row r="1786">
      <c r="A1786" s="6">
        <f>IFERROR(__xludf.DUMMYFUNCTION("""COMPUTED_VALUE"""),45705.0)</f>
        <v>45705</v>
      </c>
      <c r="B1786" s="7" t="str">
        <f>IFERROR(__xludf.DUMMYFUNCTION("""COMPUTED_VALUE"""),"e797fe1e-83ed-457f-bf9f-672603d6ee94")</f>
        <v>e797fe1e-83ed-457f-bf9f-672603d6ee94</v>
      </c>
      <c r="C1786" s="7">
        <f>IFERROR(__xludf.DUMMYFUNCTION("""COMPUTED_VALUE"""),4.0)</f>
        <v>4</v>
      </c>
      <c r="D1786" s="6">
        <f>IFERROR(__xludf.DUMMYFUNCTION("""COMPUTED_VALUE"""),45701.0)</f>
        <v>45701</v>
      </c>
      <c r="E1786" s="7" t="str">
        <f>IFERROR(__xludf.DUMMYFUNCTION("""COMPUTED_VALUE"""),"FRANQUIA_D&amp;G_SP")</f>
        <v>FRANQUIA_D&amp;G_SP</v>
      </c>
      <c r="F1786" s="7" t="str">
        <f>IFERROR(__xludf.DUMMYFUNCTION("""COMPUTED_VALUE"""),"BICYCLE")</f>
        <v>BICYCLE</v>
      </c>
      <c r="G1786" s="7" t="str">
        <f>IFERROR(__xludf.DUMMYFUNCTION("""COMPUTED_VALUE"""),"SAO PAULO")</f>
        <v>SAO PAULO</v>
      </c>
    </row>
    <row r="1787">
      <c r="A1787" s="6">
        <f>IFERROR(__xludf.DUMMYFUNCTION("""COMPUTED_VALUE"""),45705.0)</f>
        <v>45705</v>
      </c>
      <c r="B1787" s="7" t="str">
        <f>IFERROR(__xludf.DUMMYFUNCTION("""COMPUTED_VALUE"""),"536ffcc1-5e26-4f68-85bc-61594bc1339e")</f>
        <v>536ffcc1-5e26-4f68-85bc-61594bc1339e</v>
      </c>
      <c r="C1787" s="7">
        <f>IFERROR(__xludf.DUMMYFUNCTION("""COMPUTED_VALUE"""),7.0)</f>
        <v>7</v>
      </c>
      <c r="D1787" s="6">
        <f>IFERROR(__xludf.DUMMYFUNCTION("""COMPUTED_VALUE"""),45698.0)</f>
        <v>45698</v>
      </c>
      <c r="E1787" s="7" t="str">
        <f>IFERROR(__xludf.DUMMYFUNCTION("""COMPUTED_VALUE"""),"FRANQUIA_D&amp;G_SP")</f>
        <v>FRANQUIA_D&amp;G_SP</v>
      </c>
      <c r="F1787" s="7" t="str">
        <f>IFERROR(__xludf.DUMMYFUNCTION("""COMPUTED_VALUE"""),"BICYCLE")</f>
        <v>BICYCLE</v>
      </c>
      <c r="G1787" s="7" t="str">
        <f>IFERROR(__xludf.DUMMYFUNCTION("""COMPUTED_VALUE"""),"SAO PAULO")</f>
        <v>SAO PAULO</v>
      </c>
    </row>
    <row r="1788">
      <c r="A1788" s="6">
        <f>IFERROR(__xludf.DUMMYFUNCTION("""COMPUTED_VALUE"""),45705.0)</f>
        <v>45705</v>
      </c>
      <c r="B1788" s="7" t="str">
        <f>IFERROR(__xludf.DUMMYFUNCTION("""COMPUTED_VALUE"""),"950df133-f020-4de2-9e47-0000925ad8b6")</f>
        <v>950df133-f020-4de2-9e47-0000925ad8b6</v>
      </c>
      <c r="C1788" s="7">
        <f>IFERROR(__xludf.DUMMYFUNCTION("""COMPUTED_VALUE"""),188.0)</f>
        <v>188</v>
      </c>
      <c r="D1788" s="6">
        <f>IFERROR(__xludf.DUMMYFUNCTION("""COMPUTED_VALUE"""),45517.0)</f>
        <v>45517</v>
      </c>
      <c r="E1788" s="7" t="str">
        <f>IFERROR(__xludf.DUMMYFUNCTION("""COMPUTED_VALUE"""),"FRANQUIA_D&amp;G_SP")</f>
        <v>FRANQUIA_D&amp;G_SP</v>
      </c>
      <c r="F1788" s="7" t="str">
        <f>IFERROR(__xludf.DUMMYFUNCTION("""COMPUTED_VALUE"""),"MOTORCYCLE")</f>
        <v>MOTORCYCLE</v>
      </c>
      <c r="G1788" s="7" t="str">
        <f>IFERROR(__xludf.DUMMYFUNCTION("""COMPUTED_VALUE"""),"SAO PAULO")</f>
        <v>SAO PAULO</v>
      </c>
    </row>
    <row r="1789">
      <c r="A1789" s="6">
        <f>IFERROR(__xludf.DUMMYFUNCTION("""COMPUTED_VALUE"""),45705.0)</f>
        <v>45705</v>
      </c>
      <c r="B1789" s="7" t="str">
        <f>IFERROR(__xludf.DUMMYFUNCTION("""COMPUTED_VALUE"""),"566a6670-fff0-4138-b7cd-5201a5dfb908")</f>
        <v>566a6670-fff0-4138-b7cd-5201a5dfb908</v>
      </c>
      <c r="C1789" s="7">
        <f>IFERROR(__xludf.DUMMYFUNCTION("""COMPUTED_VALUE"""),0.0)</f>
        <v>0</v>
      </c>
      <c r="D1789" s="6">
        <f>IFERROR(__xludf.DUMMYFUNCTION("""COMPUTED_VALUE"""),0.0)</f>
        <v>0</v>
      </c>
      <c r="E1789" s="7" t="str">
        <f>IFERROR(__xludf.DUMMYFUNCTION("""COMPUTED_VALUE"""),"FRANQUIA_D&amp;G_SP")</f>
        <v>FRANQUIA_D&amp;G_SP</v>
      </c>
      <c r="F1789" s="7" t="str">
        <f>IFERROR(__xludf.DUMMYFUNCTION("""COMPUTED_VALUE"""),"BICYCLE")</f>
        <v>BICYCLE</v>
      </c>
      <c r="G1789" s="7" t="str">
        <f>IFERROR(__xludf.DUMMYFUNCTION("""COMPUTED_VALUE"""),"0")</f>
        <v>0</v>
      </c>
    </row>
    <row r="1790">
      <c r="A1790" s="6">
        <f>IFERROR(__xludf.DUMMYFUNCTION("""COMPUTED_VALUE"""),45705.0)</f>
        <v>45705</v>
      </c>
      <c r="B1790" s="7" t="str">
        <f>IFERROR(__xludf.DUMMYFUNCTION("""COMPUTED_VALUE"""),"8a3a0036-5566-429c-b029-9b75ceae4238")</f>
        <v>8a3a0036-5566-429c-b029-9b75ceae4238</v>
      </c>
      <c r="C1790" s="7">
        <f>IFERROR(__xludf.DUMMYFUNCTION("""COMPUTED_VALUE"""),0.0)</f>
        <v>0</v>
      </c>
      <c r="D1790" s="6">
        <f>IFERROR(__xludf.DUMMYFUNCTION("""COMPUTED_VALUE"""),45705.0)</f>
        <v>45705</v>
      </c>
      <c r="E1790" s="7" t="str">
        <f>IFERROR(__xludf.DUMMYFUNCTION("""COMPUTED_VALUE"""),"FRANQUIA_D&amp;G_SP")</f>
        <v>FRANQUIA_D&amp;G_SP</v>
      </c>
      <c r="F1790" s="7" t="str">
        <f>IFERROR(__xludf.DUMMYFUNCTION("""COMPUTED_VALUE"""),"MOTORCYCLE")</f>
        <v>MOTORCYCLE</v>
      </c>
      <c r="G1790" s="7" t="str">
        <f>IFERROR(__xludf.DUMMYFUNCTION("""COMPUTED_VALUE"""),"SAO PAULO")</f>
        <v>SAO PAULO</v>
      </c>
    </row>
    <row r="1791">
      <c r="A1791" s="6">
        <f>IFERROR(__xludf.DUMMYFUNCTION("""COMPUTED_VALUE"""),45705.0)</f>
        <v>45705</v>
      </c>
      <c r="B1791" s="7" t="str">
        <f>IFERROR(__xludf.DUMMYFUNCTION("""COMPUTED_VALUE"""),"2887e75c-057d-42e5-b6f2-1f7ffc431674")</f>
        <v>2887e75c-057d-42e5-b6f2-1f7ffc431674</v>
      </c>
      <c r="C1791" s="7">
        <f>IFERROR(__xludf.DUMMYFUNCTION("""COMPUTED_VALUE"""),0.0)</f>
        <v>0</v>
      </c>
      <c r="D1791" s="6">
        <f>IFERROR(__xludf.DUMMYFUNCTION("""COMPUTED_VALUE"""),45705.0)</f>
        <v>45705</v>
      </c>
      <c r="E1791" s="7" t="str">
        <f>IFERROR(__xludf.DUMMYFUNCTION("""COMPUTED_VALUE"""),"FRANQUIA_D&amp;G_SP")</f>
        <v>FRANQUIA_D&amp;G_SP</v>
      </c>
      <c r="F1791" s="7" t="str">
        <f>IFERROR(__xludf.DUMMYFUNCTION("""COMPUTED_VALUE"""),"EMOTORCYCLE")</f>
        <v>EMOTORCYCLE</v>
      </c>
      <c r="G1791" s="7" t="str">
        <f>IFERROR(__xludf.DUMMYFUNCTION("""COMPUTED_VALUE"""),"SAO PAULO")</f>
        <v>SAO PAULO</v>
      </c>
    </row>
    <row r="1792">
      <c r="A1792" s="6">
        <f>IFERROR(__xludf.DUMMYFUNCTION("""COMPUTED_VALUE"""),45705.0)</f>
        <v>45705</v>
      </c>
      <c r="B1792" s="7" t="str">
        <f>IFERROR(__xludf.DUMMYFUNCTION("""COMPUTED_VALUE"""),"eeff1635-4f21-468f-ae7f-a9f46d1faa5b")</f>
        <v>eeff1635-4f21-468f-ae7f-a9f46d1faa5b</v>
      </c>
      <c r="C1792" s="7">
        <f>IFERROR(__xludf.DUMMYFUNCTION("""COMPUTED_VALUE"""),2.0)</f>
        <v>2</v>
      </c>
      <c r="D1792" s="6">
        <f>IFERROR(__xludf.DUMMYFUNCTION("""COMPUTED_VALUE"""),45703.0)</f>
        <v>45703</v>
      </c>
      <c r="E1792" s="7" t="str">
        <f>IFERROR(__xludf.DUMMYFUNCTION("""COMPUTED_VALUE"""),"FRANQUIA_D&amp;G_SP")</f>
        <v>FRANQUIA_D&amp;G_SP</v>
      </c>
      <c r="F1792" s="7" t="str">
        <f>IFERROR(__xludf.DUMMYFUNCTION("""COMPUTED_VALUE"""),"MOTORCYCLE")</f>
        <v>MOTORCYCLE</v>
      </c>
      <c r="G1792" s="7" t="str">
        <f>IFERROR(__xludf.DUMMYFUNCTION("""COMPUTED_VALUE"""),"SAO PAULO")</f>
        <v>SAO PAULO</v>
      </c>
    </row>
    <row r="1793">
      <c r="A1793" s="6">
        <f>IFERROR(__xludf.DUMMYFUNCTION("""COMPUTED_VALUE"""),45705.0)</f>
        <v>45705</v>
      </c>
      <c r="B1793" s="7" t="str">
        <f>IFERROR(__xludf.DUMMYFUNCTION("""COMPUTED_VALUE"""),"b0fa14f8-54c5-41b5-9eb8-14ec2761e314")</f>
        <v>b0fa14f8-54c5-41b5-9eb8-14ec2761e314</v>
      </c>
      <c r="C1793" s="7">
        <f>IFERROR(__xludf.DUMMYFUNCTION("""COMPUTED_VALUE"""),94.0)</f>
        <v>94</v>
      </c>
      <c r="D1793" s="6">
        <f>IFERROR(__xludf.DUMMYFUNCTION("""COMPUTED_VALUE"""),45611.0)</f>
        <v>45611</v>
      </c>
      <c r="E1793" s="7" t="str">
        <f>IFERROR(__xludf.DUMMYFUNCTION("""COMPUTED_VALUE"""),"FRANQUIA_D&amp;G_SP")</f>
        <v>FRANQUIA_D&amp;G_SP</v>
      </c>
      <c r="F1793" s="7" t="str">
        <f>IFERROR(__xludf.DUMMYFUNCTION("""COMPUTED_VALUE"""),"BICYCLE")</f>
        <v>BICYCLE</v>
      </c>
      <c r="G1793" s="7" t="str">
        <f>IFERROR(__xludf.DUMMYFUNCTION("""COMPUTED_VALUE"""),"SAO PAULO")</f>
        <v>SAO PAULO</v>
      </c>
    </row>
    <row r="1794">
      <c r="A1794" s="6">
        <f>IFERROR(__xludf.DUMMYFUNCTION("""COMPUTED_VALUE"""),45705.0)</f>
        <v>45705</v>
      </c>
      <c r="B1794" s="7" t="str">
        <f>IFERROR(__xludf.DUMMYFUNCTION("""COMPUTED_VALUE"""),"e3a2a090-6b23-4bb6-aea2-98b67b294910")</f>
        <v>e3a2a090-6b23-4bb6-aea2-98b67b294910</v>
      </c>
      <c r="C1794" s="7">
        <f>IFERROR(__xludf.DUMMYFUNCTION("""COMPUTED_VALUE"""),66.0)</f>
        <v>66</v>
      </c>
      <c r="D1794" s="6">
        <f>IFERROR(__xludf.DUMMYFUNCTION("""COMPUTED_VALUE"""),45639.0)</f>
        <v>45639</v>
      </c>
      <c r="E1794" s="7" t="str">
        <f>IFERROR(__xludf.DUMMYFUNCTION("""COMPUTED_VALUE"""),"FRANQUIA_D&amp;G_SP")</f>
        <v>FRANQUIA_D&amp;G_SP</v>
      </c>
      <c r="F1794" s="7" t="str">
        <f>IFERROR(__xludf.DUMMYFUNCTION("""COMPUTED_VALUE"""),"BICYCLE")</f>
        <v>BICYCLE</v>
      </c>
      <c r="G1794" s="7" t="str">
        <f>IFERROR(__xludf.DUMMYFUNCTION("""COMPUTED_VALUE"""),"SAO PAULO")</f>
        <v>SAO PAULO</v>
      </c>
    </row>
    <row r="1795">
      <c r="A1795" s="6">
        <f>IFERROR(__xludf.DUMMYFUNCTION("""COMPUTED_VALUE"""),45705.0)</f>
        <v>45705</v>
      </c>
      <c r="B1795" s="7" t="str">
        <f>IFERROR(__xludf.DUMMYFUNCTION("""COMPUTED_VALUE"""),"b2343c9b-5184-4a9b-9324-04192aedea2b")</f>
        <v>b2343c9b-5184-4a9b-9324-04192aedea2b</v>
      </c>
      <c r="C1795" s="7">
        <f>IFERROR(__xludf.DUMMYFUNCTION("""COMPUTED_VALUE"""),2.0)</f>
        <v>2</v>
      </c>
      <c r="D1795" s="6">
        <f>IFERROR(__xludf.DUMMYFUNCTION("""COMPUTED_VALUE"""),45703.0)</f>
        <v>45703</v>
      </c>
      <c r="E1795" s="7" t="str">
        <f>IFERROR(__xludf.DUMMYFUNCTION("""COMPUTED_VALUE"""),"FRANQUIA_D&amp;G_SP")</f>
        <v>FRANQUIA_D&amp;G_SP</v>
      </c>
      <c r="F1795" s="7" t="str">
        <f>IFERROR(__xludf.DUMMYFUNCTION("""COMPUTED_VALUE"""),"MOTORCYCLE")</f>
        <v>MOTORCYCLE</v>
      </c>
      <c r="G1795" s="7" t="str">
        <f>IFERROR(__xludf.DUMMYFUNCTION("""COMPUTED_VALUE"""),"SAO PAULO")</f>
        <v>SAO PAULO</v>
      </c>
    </row>
    <row r="1796">
      <c r="A1796" s="6">
        <f>IFERROR(__xludf.DUMMYFUNCTION("""COMPUTED_VALUE"""),45705.0)</f>
        <v>45705</v>
      </c>
      <c r="B1796" s="7" t="str">
        <f>IFERROR(__xludf.DUMMYFUNCTION("""COMPUTED_VALUE"""),"d7fab238-ae0c-4c25-9a69-bb35aa50a8dd")</f>
        <v>d7fab238-ae0c-4c25-9a69-bb35aa50a8dd</v>
      </c>
      <c r="C1796" s="7">
        <f>IFERROR(__xludf.DUMMYFUNCTION("""COMPUTED_VALUE"""),281.0)</f>
        <v>281</v>
      </c>
      <c r="D1796" s="6">
        <f>IFERROR(__xludf.DUMMYFUNCTION("""COMPUTED_VALUE"""),45424.0)</f>
        <v>45424</v>
      </c>
      <c r="E1796" s="7" t="str">
        <f>IFERROR(__xludf.DUMMYFUNCTION("""COMPUTED_VALUE"""),"FRANQUIA_D&amp;G_SP")</f>
        <v>FRANQUIA_D&amp;G_SP</v>
      </c>
      <c r="F1796" s="7" t="str">
        <f>IFERROR(__xludf.DUMMYFUNCTION("""COMPUTED_VALUE"""),"BICYCLE")</f>
        <v>BICYCLE</v>
      </c>
      <c r="G1796" s="7" t="str">
        <f>IFERROR(__xludf.DUMMYFUNCTION("""COMPUTED_VALUE"""),"SAO PAULO")</f>
        <v>SAO PAULO</v>
      </c>
    </row>
    <row r="1797">
      <c r="A1797" s="6">
        <f>IFERROR(__xludf.DUMMYFUNCTION("""COMPUTED_VALUE"""),45705.0)</f>
        <v>45705</v>
      </c>
      <c r="B1797" s="7" t="str">
        <f>IFERROR(__xludf.DUMMYFUNCTION("""COMPUTED_VALUE"""),"44519448-853c-49c7-99b4-cd2bba723dd7")</f>
        <v>44519448-853c-49c7-99b4-cd2bba723dd7</v>
      </c>
      <c r="C1797" s="7">
        <f>IFERROR(__xludf.DUMMYFUNCTION("""COMPUTED_VALUE"""),0.0)</f>
        <v>0</v>
      </c>
      <c r="D1797" s="6">
        <f>IFERROR(__xludf.DUMMYFUNCTION("""COMPUTED_VALUE"""),45705.0)</f>
        <v>45705</v>
      </c>
      <c r="E1797" s="7" t="str">
        <f>IFERROR(__xludf.DUMMYFUNCTION("""COMPUTED_VALUE"""),"FRANQUIA_D&amp;G_SP")</f>
        <v>FRANQUIA_D&amp;G_SP</v>
      </c>
      <c r="F1797" s="7" t="str">
        <f>IFERROR(__xludf.DUMMYFUNCTION("""COMPUTED_VALUE"""),"BICYCLE")</f>
        <v>BICYCLE</v>
      </c>
      <c r="G1797" s="7" t="str">
        <f>IFERROR(__xludf.DUMMYFUNCTION("""COMPUTED_VALUE"""),"SAO PAULO")</f>
        <v>SAO PAULO</v>
      </c>
    </row>
    <row r="1798">
      <c r="A1798" s="6">
        <f>IFERROR(__xludf.DUMMYFUNCTION("""COMPUTED_VALUE"""),45705.0)</f>
        <v>45705</v>
      </c>
      <c r="B1798" s="7" t="str">
        <f>IFERROR(__xludf.DUMMYFUNCTION("""COMPUTED_VALUE"""),"067c304f-d35f-44a3-a37d-641ce34c83c9")</f>
        <v>067c304f-d35f-44a3-a37d-641ce34c83c9</v>
      </c>
      <c r="C1798" s="7">
        <f>IFERROR(__xludf.DUMMYFUNCTION("""COMPUTED_VALUE"""),0.0)</f>
        <v>0</v>
      </c>
      <c r="D1798" s="6">
        <f>IFERROR(__xludf.DUMMYFUNCTION("""COMPUTED_VALUE"""),0.0)</f>
        <v>0</v>
      </c>
      <c r="E1798" s="7" t="str">
        <f>IFERROR(__xludf.DUMMYFUNCTION("""COMPUTED_VALUE"""),"FRANQUIA_D&amp;G_SP")</f>
        <v>FRANQUIA_D&amp;G_SP</v>
      </c>
      <c r="F1798" s="7" t="str">
        <f>IFERROR(__xludf.DUMMYFUNCTION("""COMPUTED_VALUE"""),"BICYCLE")</f>
        <v>BICYCLE</v>
      </c>
      <c r="G1798" s="7" t="str">
        <f>IFERROR(__xludf.DUMMYFUNCTION("""COMPUTED_VALUE"""),"0")</f>
        <v>0</v>
      </c>
    </row>
    <row r="1799">
      <c r="A1799" s="6">
        <f>IFERROR(__xludf.DUMMYFUNCTION("""COMPUTED_VALUE"""),45705.0)</f>
        <v>45705</v>
      </c>
      <c r="B1799" s="7" t="str">
        <f>IFERROR(__xludf.DUMMYFUNCTION("""COMPUTED_VALUE"""),"0fc4fcc7-1a97-4df1-8c13-def71074a464")</f>
        <v>0fc4fcc7-1a97-4df1-8c13-def71074a464</v>
      </c>
      <c r="C1799" s="7">
        <f>IFERROR(__xludf.DUMMYFUNCTION("""COMPUTED_VALUE"""),0.0)</f>
        <v>0</v>
      </c>
      <c r="D1799" s="6">
        <f>IFERROR(__xludf.DUMMYFUNCTION("""COMPUTED_VALUE"""),0.0)</f>
        <v>0</v>
      </c>
      <c r="E1799" s="7" t="str">
        <f>IFERROR(__xludf.DUMMYFUNCTION("""COMPUTED_VALUE"""),"FRANQUIA_D&amp;G_SP")</f>
        <v>FRANQUIA_D&amp;G_SP</v>
      </c>
      <c r="F1799" s="7" t="str">
        <f>IFERROR(__xludf.DUMMYFUNCTION("""COMPUTED_VALUE"""),"BICYCLE")</f>
        <v>BICYCLE</v>
      </c>
      <c r="G1799" s="7" t="str">
        <f>IFERROR(__xludf.DUMMYFUNCTION("""COMPUTED_VALUE"""),"0")</f>
        <v>0</v>
      </c>
    </row>
    <row r="1800">
      <c r="A1800" s="6">
        <f>IFERROR(__xludf.DUMMYFUNCTION("""COMPUTED_VALUE"""),45705.0)</f>
        <v>45705</v>
      </c>
      <c r="B1800" s="7" t="str">
        <f>IFERROR(__xludf.DUMMYFUNCTION("""COMPUTED_VALUE"""),"5d272551-8a69-4e87-8d26-33674d409351")</f>
        <v>5d272551-8a69-4e87-8d26-33674d409351</v>
      </c>
      <c r="C1800" s="7">
        <f>IFERROR(__xludf.DUMMYFUNCTION("""COMPUTED_VALUE"""),0.0)</f>
        <v>0</v>
      </c>
      <c r="D1800" s="6">
        <f>IFERROR(__xludf.DUMMYFUNCTION("""COMPUTED_VALUE"""),45705.0)</f>
        <v>45705</v>
      </c>
      <c r="E1800" s="7" t="str">
        <f>IFERROR(__xludf.DUMMYFUNCTION("""COMPUTED_VALUE"""),"FRANQUIA_D&amp;G_SP")</f>
        <v>FRANQUIA_D&amp;G_SP</v>
      </c>
      <c r="F1800" s="7" t="str">
        <f>IFERROR(__xludf.DUMMYFUNCTION("""COMPUTED_VALUE"""),"MOTORCYCLE")</f>
        <v>MOTORCYCLE</v>
      </c>
      <c r="G1800" s="7" t="str">
        <f>IFERROR(__xludf.DUMMYFUNCTION("""COMPUTED_VALUE"""),"SAO PAULO")</f>
        <v>SAO PAULO</v>
      </c>
    </row>
    <row r="1801">
      <c r="A1801" s="6">
        <f>IFERROR(__xludf.DUMMYFUNCTION("""COMPUTED_VALUE"""),45705.0)</f>
        <v>45705</v>
      </c>
      <c r="B1801" s="7" t="str">
        <f>IFERROR(__xludf.DUMMYFUNCTION("""COMPUTED_VALUE"""),"c55d5e9e-09ed-4fef-aaae-39234c8d62ee")</f>
        <v>c55d5e9e-09ed-4fef-aaae-39234c8d62ee</v>
      </c>
      <c r="C1801" s="7">
        <f>IFERROR(__xludf.DUMMYFUNCTION("""COMPUTED_VALUE"""),3.0)</f>
        <v>3</v>
      </c>
      <c r="D1801" s="6">
        <f>IFERROR(__xludf.DUMMYFUNCTION("""COMPUTED_VALUE"""),45702.0)</f>
        <v>45702</v>
      </c>
      <c r="E1801" s="7" t="str">
        <f>IFERROR(__xludf.DUMMYFUNCTION("""COMPUTED_VALUE"""),"FRANQUIA_D&amp;G_SP")</f>
        <v>FRANQUIA_D&amp;G_SP</v>
      </c>
      <c r="F1801" s="7" t="str">
        <f>IFERROR(__xludf.DUMMYFUNCTION("""COMPUTED_VALUE"""),"MOTORCYCLE")</f>
        <v>MOTORCYCLE</v>
      </c>
      <c r="G1801" s="7" t="str">
        <f>IFERROR(__xludf.DUMMYFUNCTION("""COMPUTED_VALUE"""),"SAO PAULO")</f>
        <v>SAO PAULO</v>
      </c>
    </row>
    <row r="1802">
      <c r="A1802" s="6">
        <f>IFERROR(__xludf.DUMMYFUNCTION("""COMPUTED_VALUE"""),45705.0)</f>
        <v>45705</v>
      </c>
      <c r="B1802" s="7" t="str">
        <f>IFERROR(__xludf.DUMMYFUNCTION("""COMPUTED_VALUE"""),"a8c98e7b-9c0b-4515-a8c4-451e4011c14b")</f>
        <v>a8c98e7b-9c0b-4515-a8c4-451e4011c14b</v>
      </c>
      <c r="C1802" s="7">
        <f>IFERROR(__xludf.DUMMYFUNCTION("""COMPUTED_VALUE"""),0.0)</f>
        <v>0</v>
      </c>
      <c r="D1802" s="6">
        <f>IFERROR(__xludf.DUMMYFUNCTION("""COMPUTED_VALUE"""),45705.0)</f>
        <v>45705</v>
      </c>
      <c r="E1802" s="7" t="str">
        <f>IFERROR(__xludf.DUMMYFUNCTION("""COMPUTED_VALUE"""),"FRANQUIA_D&amp;G_SP")</f>
        <v>FRANQUIA_D&amp;G_SP</v>
      </c>
      <c r="F1802" s="7" t="str">
        <f>IFERROR(__xludf.DUMMYFUNCTION("""COMPUTED_VALUE"""),"BICYCLE")</f>
        <v>BICYCLE</v>
      </c>
      <c r="G1802" s="7" t="str">
        <f>IFERROR(__xludf.DUMMYFUNCTION("""COMPUTED_VALUE"""),"SAO PAULO")</f>
        <v>SAO PAULO</v>
      </c>
    </row>
    <row r="1803">
      <c r="A1803" s="6">
        <f>IFERROR(__xludf.DUMMYFUNCTION("""COMPUTED_VALUE"""),45705.0)</f>
        <v>45705</v>
      </c>
      <c r="B1803" s="7" t="str">
        <f>IFERROR(__xludf.DUMMYFUNCTION("""COMPUTED_VALUE"""),"e8435ecf-16d5-4534-bf0e-121d77e02892")</f>
        <v>e8435ecf-16d5-4534-bf0e-121d77e02892</v>
      </c>
      <c r="C1803" s="7">
        <f>IFERROR(__xludf.DUMMYFUNCTION("""COMPUTED_VALUE"""),161.0)</f>
        <v>161</v>
      </c>
      <c r="D1803" s="6">
        <f>IFERROR(__xludf.DUMMYFUNCTION("""COMPUTED_VALUE"""),45544.0)</f>
        <v>45544</v>
      </c>
      <c r="E1803" s="7" t="str">
        <f>IFERROR(__xludf.DUMMYFUNCTION("""COMPUTED_VALUE"""),"FRANQUIA_D&amp;G_SP")</f>
        <v>FRANQUIA_D&amp;G_SP</v>
      </c>
      <c r="F1803" s="7" t="str">
        <f>IFERROR(__xludf.DUMMYFUNCTION("""COMPUTED_VALUE"""),"BICYCLE")</f>
        <v>BICYCLE</v>
      </c>
      <c r="G1803" s="7" t="str">
        <f>IFERROR(__xludf.DUMMYFUNCTION("""COMPUTED_VALUE"""),"SAO PAULO")</f>
        <v>SAO PAULO</v>
      </c>
    </row>
    <row r="1804">
      <c r="A1804" s="6">
        <f>IFERROR(__xludf.DUMMYFUNCTION("""COMPUTED_VALUE"""),45705.0)</f>
        <v>45705</v>
      </c>
      <c r="B1804" s="7" t="str">
        <f>IFERROR(__xludf.DUMMYFUNCTION("""COMPUTED_VALUE"""),"244202ba-d72f-4f3b-b2de-dc60a15fdc6f")</f>
        <v>244202ba-d72f-4f3b-b2de-dc60a15fdc6f</v>
      </c>
      <c r="C1804" s="7">
        <f>IFERROR(__xludf.DUMMYFUNCTION("""COMPUTED_VALUE"""),0.0)</f>
        <v>0</v>
      </c>
      <c r="D1804" s="6">
        <f>IFERROR(__xludf.DUMMYFUNCTION("""COMPUTED_VALUE"""),45705.0)</f>
        <v>45705</v>
      </c>
      <c r="E1804" s="7" t="str">
        <f>IFERROR(__xludf.DUMMYFUNCTION("""COMPUTED_VALUE"""),"FRANQUIA_D&amp;G_SP")</f>
        <v>FRANQUIA_D&amp;G_SP</v>
      </c>
      <c r="F1804" s="7" t="str">
        <f>IFERROR(__xludf.DUMMYFUNCTION("""COMPUTED_VALUE"""),"MOTORCYCLE")</f>
        <v>MOTORCYCLE</v>
      </c>
      <c r="G1804" s="7" t="str">
        <f>IFERROR(__xludf.DUMMYFUNCTION("""COMPUTED_VALUE"""),"SAO PAULO")</f>
        <v>SAO PAULO</v>
      </c>
    </row>
    <row r="1805">
      <c r="A1805" s="6">
        <f>IFERROR(__xludf.DUMMYFUNCTION("""COMPUTED_VALUE"""),45705.0)</f>
        <v>45705</v>
      </c>
      <c r="B1805" s="7" t="str">
        <f>IFERROR(__xludf.DUMMYFUNCTION("""COMPUTED_VALUE"""),"62762cd9-0051-4281-819e-e20e07e2c3d5")</f>
        <v>62762cd9-0051-4281-819e-e20e07e2c3d5</v>
      </c>
      <c r="C1805" s="7">
        <f>IFERROR(__xludf.DUMMYFUNCTION("""COMPUTED_VALUE"""),5.0)</f>
        <v>5</v>
      </c>
      <c r="D1805" s="6">
        <f>IFERROR(__xludf.DUMMYFUNCTION("""COMPUTED_VALUE"""),45700.0)</f>
        <v>45700</v>
      </c>
      <c r="E1805" s="7" t="str">
        <f>IFERROR(__xludf.DUMMYFUNCTION("""COMPUTED_VALUE"""),"FRANQUIA_D&amp;G_SP")</f>
        <v>FRANQUIA_D&amp;G_SP</v>
      </c>
      <c r="F1805" s="7" t="str">
        <f>IFERROR(__xludf.DUMMYFUNCTION("""COMPUTED_VALUE"""),"BICYCLE")</f>
        <v>BICYCLE</v>
      </c>
      <c r="G1805" s="7" t="str">
        <f>IFERROR(__xludf.DUMMYFUNCTION("""COMPUTED_VALUE"""),"SAO PAULO")</f>
        <v>SAO PAULO</v>
      </c>
    </row>
    <row r="1806">
      <c r="A1806" s="6">
        <f>IFERROR(__xludf.DUMMYFUNCTION("""COMPUTED_VALUE"""),45705.0)</f>
        <v>45705</v>
      </c>
      <c r="B1806" s="7" t="str">
        <f>IFERROR(__xludf.DUMMYFUNCTION("""COMPUTED_VALUE"""),"98e11231-3d30-41fa-ad12-736bda2af701")</f>
        <v>98e11231-3d30-41fa-ad12-736bda2af701</v>
      </c>
      <c r="C1806" s="7">
        <f>IFERROR(__xludf.DUMMYFUNCTION("""COMPUTED_VALUE"""),3.0)</f>
        <v>3</v>
      </c>
      <c r="D1806" s="6">
        <f>IFERROR(__xludf.DUMMYFUNCTION("""COMPUTED_VALUE"""),45702.0)</f>
        <v>45702</v>
      </c>
      <c r="E1806" s="7" t="str">
        <f>IFERROR(__xludf.DUMMYFUNCTION("""COMPUTED_VALUE"""),"FRANQUIA_D&amp;G_SP")</f>
        <v>FRANQUIA_D&amp;G_SP</v>
      </c>
      <c r="F1806" s="7" t="str">
        <f>IFERROR(__xludf.DUMMYFUNCTION("""COMPUTED_VALUE"""),"MOTORCYCLE")</f>
        <v>MOTORCYCLE</v>
      </c>
      <c r="G1806" s="7" t="str">
        <f>IFERROR(__xludf.DUMMYFUNCTION("""COMPUTED_VALUE"""),"SAO PAULO")</f>
        <v>SAO PAULO</v>
      </c>
    </row>
    <row r="1807">
      <c r="A1807" s="6">
        <f>IFERROR(__xludf.DUMMYFUNCTION("""COMPUTED_VALUE"""),45705.0)</f>
        <v>45705</v>
      </c>
      <c r="B1807" s="7" t="str">
        <f>IFERROR(__xludf.DUMMYFUNCTION("""COMPUTED_VALUE"""),"bc53d063-37dc-4520-9aa8-d999c89829ad")</f>
        <v>bc53d063-37dc-4520-9aa8-d999c89829ad</v>
      </c>
      <c r="C1807" s="7">
        <f>IFERROR(__xludf.DUMMYFUNCTION("""COMPUTED_VALUE"""),97.0)</f>
        <v>97</v>
      </c>
      <c r="D1807" s="6">
        <f>IFERROR(__xludf.DUMMYFUNCTION("""COMPUTED_VALUE"""),45608.0)</f>
        <v>45608</v>
      </c>
      <c r="E1807" s="7" t="str">
        <f>IFERROR(__xludf.DUMMYFUNCTION("""COMPUTED_VALUE"""),"FRANQUIA_D&amp;G_SP")</f>
        <v>FRANQUIA_D&amp;G_SP</v>
      </c>
      <c r="F1807" s="7" t="str">
        <f>IFERROR(__xludf.DUMMYFUNCTION("""COMPUTED_VALUE"""),"BICYCLE")</f>
        <v>BICYCLE</v>
      </c>
      <c r="G1807" s="7" t="str">
        <f>IFERROR(__xludf.DUMMYFUNCTION("""COMPUTED_VALUE"""),"SAO PAULO")</f>
        <v>SAO PAULO</v>
      </c>
    </row>
    <row r="1808">
      <c r="A1808" s="6">
        <f>IFERROR(__xludf.DUMMYFUNCTION("""COMPUTED_VALUE"""),45705.0)</f>
        <v>45705</v>
      </c>
      <c r="B1808" s="7" t="str">
        <f>IFERROR(__xludf.DUMMYFUNCTION("""COMPUTED_VALUE"""),"c6b8f463-1715-4316-b8a3-12ae62ce3e2c")</f>
        <v>c6b8f463-1715-4316-b8a3-12ae62ce3e2c</v>
      </c>
      <c r="C1808" s="7">
        <f>IFERROR(__xludf.DUMMYFUNCTION("""COMPUTED_VALUE"""),0.0)</f>
        <v>0</v>
      </c>
      <c r="D1808" s="6">
        <f>IFERROR(__xludf.DUMMYFUNCTION("""COMPUTED_VALUE"""),45705.0)</f>
        <v>45705</v>
      </c>
      <c r="E1808" s="7" t="str">
        <f>IFERROR(__xludf.DUMMYFUNCTION("""COMPUTED_VALUE"""),"FRANQUIA_D&amp;G_SP")</f>
        <v>FRANQUIA_D&amp;G_SP</v>
      </c>
      <c r="F1808" s="7" t="str">
        <f>IFERROR(__xludf.DUMMYFUNCTION("""COMPUTED_VALUE"""),"MOTORCYCLE")</f>
        <v>MOTORCYCLE</v>
      </c>
      <c r="G1808" s="7" t="str">
        <f>IFERROR(__xludf.DUMMYFUNCTION("""COMPUTED_VALUE"""),"SAO PAULO")</f>
        <v>SAO PAULO</v>
      </c>
    </row>
    <row r="1809">
      <c r="A1809" s="6">
        <f>IFERROR(__xludf.DUMMYFUNCTION("""COMPUTED_VALUE"""),45705.0)</f>
        <v>45705</v>
      </c>
      <c r="B1809" s="7" t="str">
        <f>IFERROR(__xludf.DUMMYFUNCTION("""COMPUTED_VALUE"""),"f845fd81-b44f-416c-8e59-1c4bfa500c8b")</f>
        <v>f845fd81-b44f-416c-8e59-1c4bfa500c8b</v>
      </c>
      <c r="C1809" s="7">
        <f>IFERROR(__xludf.DUMMYFUNCTION("""COMPUTED_VALUE"""),1444.0)</f>
        <v>1444</v>
      </c>
      <c r="D1809" s="6">
        <f>IFERROR(__xludf.DUMMYFUNCTION("""COMPUTED_VALUE"""),44261.0)</f>
        <v>44261</v>
      </c>
      <c r="E1809" s="7" t="str">
        <f>IFERROR(__xludf.DUMMYFUNCTION("""COMPUTED_VALUE"""),"FRANQUIA_D&amp;G_SP")</f>
        <v>FRANQUIA_D&amp;G_SP</v>
      </c>
      <c r="F1809" s="7" t="str">
        <f>IFERROR(__xludf.DUMMYFUNCTION("""COMPUTED_VALUE"""),"BICYCLE")</f>
        <v>BICYCLE</v>
      </c>
      <c r="G1809" s="7" t="str">
        <f>IFERROR(__xludf.DUMMYFUNCTION("""COMPUTED_VALUE"""),"SAO PAULO")</f>
        <v>SAO PAULO</v>
      </c>
    </row>
    <row r="1810">
      <c r="A1810" s="6">
        <f>IFERROR(__xludf.DUMMYFUNCTION("""COMPUTED_VALUE"""),45705.0)</f>
        <v>45705</v>
      </c>
      <c r="B1810" s="7" t="str">
        <f>IFERROR(__xludf.DUMMYFUNCTION("""COMPUTED_VALUE"""),"55a8889f-12a7-493a-aade-51d5d9f237be")</f>
        <v>55a8889f-12a7-493a-aade-51d5d9f237be</v>
      </c>
      <c r="C1810" s="7">
        <f>IFERROR(__xludf.DUMMYFUNCTION("""COMPUTED_VALUE"""),297.0)</f>
        <v>297</v>
      </c>
      <c r="D1810" s="6">
        <f>IFERROR(__xludf.DUMMYFUNCTION("""COMPUTED_VALUE"""),45408.0)</f>
        <v>45408</v>
      </c>
      <c r="E1810" s="7" t="str">
        <f>IFERROR(__xludf.DUMMYFUNCTION("""COMPUTED_VALUE"""),"FRANQUIA_D&amp;G_SP")</f>
        <v>FRANQUIA_D&amp;G_SP</v>
      </c>
      <c r="F1810" s="7" t="str">
        <f>IFERROR(__xludf.DUMMYFUNCTION("""COMPUTED_VALUE"""),"MOTORCYCLE")</f>
        <v>MOTORCYCLE</v>
      </c>
      <c r="G1810" s="7" t="str">
        <f>IFERROR(__xludf.DUMMYFUNCTION("""COMPUTED_VALUE"""),"SAO PAULO")</f>
        <v>SAO PAULO</v>
      </c>
    </row>
    <row r="1811">
      <c r="A1811" s="6">
        <f>IFERROR(__xludf.DUMMYFUNCTION("""COMPUTED_VALUE"""),45705.0)</f>
        <v>45705</v>
      </c>
      <c r="B1811" s="7" t="str">
        <f>IFERROR(__xludf.DUMMYFUNCTION("""COMPUTED_VALUE"""),"90c19387-f1c7-4883-99bb-6962e5067e8e")</f>
        <v>90c19387-f1c7-4883-99bb-6962e5067e8e</v>
      </c>
      <c r="C1811" s="7">
        <f>IFERROR(__xludf.DUMMYFUNCTION("""COMPUTED_VALUE"""),0.0)</f>
        <v>0</v>
      </c>
      <c r="D1811" s="6">
        <f>IFERROR(__xludf.DUMMYFUNCTION("""COMPUTED_VALUE"""),45705.0)</f>
        <v>45705</v>
      </c>
      <c r="E1811" s="7" t="str">
        <f>IFERROR(__xludf.DUMMYFUNCTION("""COMPUTED_VALUE"""),"FRANQUIA_D&amp;G_SP")</f>
        <v>FRANQUIA_D&amp;G_SP</v>
      </c>
      <c r="F1811" s="7" t="str">
        <f>IFERROR(__xludf.DUMMYFUNCTION("""COMPUTED_VALUE"""),"BICYCLE")</f>
        <v>BICYCLE</v>
      </c>
      <c r="G1811" s="7" t="str">
        <f>IFERROR(__xludf.DUMMYFUNCTION("""COMPUTED_VALUE"""),"SAO PAULO")</f>
        <v>SAO PAULO</v>
      </c>
    </row>
    <row r="1812">
      <c r="A1812" s="6">
        <f>IFERROR(__xludf.DUMMYFUNCTION("""COMPUTED_VALUE"""),45705.0)</f>
        <v>45705</v>
      </c>
      <c r="B1812" s="7" t="str">
        <f>IFERROR(__xludf.DUMMYFUNCTION("""COMPUTED_VALUE"""),"a3536f8d-0a06-40c5-b8ea-8374ca798a87")</f>
        <v>a3536f8d-0a06-40c5-b8ea-8374ca798a87</v>
      </c>
      <c r="C1812" s="7">
        <f>IFERROR(__xludf.DUMMYFUNCTION("""COMPUTED_VALUE"""),0.0)</f>
        <v>0</v>
      </c>
      <c r="D1812" s="6">
        <f>IFERROR(__xludf.DUMMYFUNCTION("""COMPUTED_VALUE"""),0.0)</f>
        <v>0</v>
      </c>
      <c r="E1812" s="7" t="str">
        <f>IFERROR(__xludf.DUMMYFUNCTION("""COMPUTED_VALUE"""),"FRANQUIA_D&amp;G_SP")</f>
        <v>FRANQUIA_D&amp;G_SP</v>
      </c>
      <c r="F1812" s="7" t="str">
        <f>IFERROR(__xludf.DUMMYFUNCTION("""COMPUTED_VALUE"""),"BICYCLE")</f>
        <v>BICYCLE</v>
      </c>
      <c r="G1812" s="7" t="str">
        <f>IFERROR(__xludf.DUMMYFUNCTION("""COMPUTED_VALUE"""),"0")</f>
        <v>0</v>
      </c>
    </row>
    <row r="1813">
      <c r="A1813" s="6">
        <f>IFERROR(__xludf.DUMMYFUNCTION("""COMPUTED_VALUE"""),45705.0)</f>
        <v>45705</v>
      </c>
      <c r="B1813" s="7" t="str">
        <f>IFERROR(__xludf.DUMMYFUNCTION("""COMPUTED_VALUE"""),"4968fd09-8667-4d76-9fb8-d87262dc7a85")</f>
        <v>4968fd09-8667-4d76-9fb8-d87262dc7a85</v>
      </c>
      <c r="C1813" s="7">
        <f>IFERROR(__xludf.DUMMYFUNCTION("""COMPUTED_VALUE"""),1.0)</f>
        <v>1</v>
      </c>
      <c r="D1813" s="6">
        <f>IFERROR(__xludf.DUMMYFUNCTION("""COMPUTED_VALUE"""),45704.0)</f>
        <v>45704</v>
      </c>
      <c r="E1813" s="7" t="str">
        <f>IFERROR(__xludf.DUMMYFUNCTION("""COMPUTED_VALUE"""),"FRANQUIA_D&amp;G_SP")</f>
        <v>FRANQUIA_D&amp;G_SP</v>
      </c>
      <c r="F1813" s="7" t="str">
        <f>IFERROR(__xludf.DUMMYFUNCTION("""COMPUTED_VALUE"""),"MOTORCYCLE")</f>
        <v>MOTORCYCLE</v>
      </c>
      <c r="G1813" s="7" t="str">
        <f>IFERROR(__xludf.DUMMYFUNCTION("""COMPUTED_VALUE"""),"SAO PAULO")</f>
        <v>SAO PAULO</v>
      </c>
    </row>
    <row r="1814">
      <c r="A1814" s="6">
        <f>IFERROR(__xludf.DUMMYFUNCTION("""COMPUTED_VALUE"""),45705.0)</f>
        <v>45705</v>
      </c>
      <c r="B1814" s="7" t="str">
        <f>IFERROR(__xludf.DUMMYFUNCTION("""COMPUTED_VALUE"""),"fcc4c858-6a6f-4cbd-98be-e6711dacb691")</f>
        <v>fcc4c858-6a6f-4cbd-98be-e6711dacb691</v>
      </c>
      <c r="C1814" s="7">
        <f>IFERROR(__xludf.DUMMYFUNCTION("""COMPUTED_VALUE"""),0.0)</f>
        <v>0</v>
      </c>
      <c r="D1814" s="6">
        <f>IFERROR(__xludf.DUMMYFUNCTION("""COMPUTED_VALUE"""),45705.0)</f>
        <v>45705</v>
      </c>
      <c r="E1814" s="7" t="str">
        <f>IFERROR(__xludf.DUMMYFUNCTION("""COMPUTED_VALUE"""),"FRANQUIA_D&amp;G_SP")</f>
        <v>FRANQUIA_D&amp;G_SP</v>
      </c>
      <c r="F1814" s="7" t="str">
        <f>IFERROR(__xludf.DUMMYFUNCTION("""COMPUTED_VALUE"""),"MOTORCYCLE")</f>
        <v>MOTORCYCLE</v>
      </c>
      <c r="G1814" s="7" t="str">
        <f>IFERROR(__xludf.DUMMYFUNCTION("""COMPUTED_VALUE"""),"SAO PAULO")</f>
        <v>SAO PAULO</v>
      </c>
    </row>
    <row r="1815">
      <c r="A1815" s="6">
        <f>IFERROR(__xludf.DUMMYFUNCTION("""COMPUTED_VALUE"""),45705.0)</f>
        <v>45705</v>
      </c>
      <c r="B1815" s="7" t="str">
        <f>IFERROR(__xludf.DUMMYFUNCTION("""COMPUTED_VALUE"""),"742b1647-eb26-4fc9-9e87-334447e833ef")</f>
        <v>742b1647-eb26-4fc9-9e87-334447e833ef</v>
      </c>
      <c r="C1815" s="7">
        <f>IFERROR(__xludf.DUMMYFUNCTION("""COMPUTED_VALUE"""),0.0)</f>
        <v>0</v>
      </c>
      <c r="D1815" s="6">
        <f>IFERROR(__xludf.DUMMYFUNCTION("""COMPUTED_VALUE"""),45705.0)</f>
        <v>45705</v>
      </c>
      <c r="E1815" s="7" t="str">
        <f>IFERROR(__xludf.DUMMYFUNCTION("""COMPUTED_VALUE"""),"FRANQUIA_D&amp;G_SP")</f>
        <v>FRANQUIA_D&amp;G_SP</v>
      </c>
      <c r="F1815" s="7" t="str">
        <f>IFERROR(__xludf.DUMMYFUNCTION("""COMPUTED_VALUE"""),"BICYCLE")</f>
        <v>BICYCLE</v>
      </c>
      <c r="G1815" s="7" t="str">
        <f>IFERROR(__xludf.DUMMYFUNCTION("""COMPUTED_VALUE"""),"SAO PAULO")</f>
        <v>SAO PAULO</v>
      </c>
    </row>
    <row r="1816">
      <c r="A1816" s="6">
        <f>IFERROR(__xludf.DUMMYFUNCTION("""COMPUTED_VALUE"""),45705.0)</f>
        <v>45705</v>
      </c>
      <c r="B1816" s="7" t="str">
        <f>IFERROR(__xludf.DUMMYFUNCTION("""COMPUTED_VALUE"""),"02877524-9cc7-47f9-b438-7af4b59c8930")</f>
        <v>02877524-9cc7-47f9-b438-7af4b59c8930</v>
      </c>
      <c r="C1816" s="7">
        <f>IFERROR(__xludf.DUMMYFUNCTION("""COMPUTED_VALUE"""),96.0)</f>
        <v>96</v>
      </c>
      <c r="D1816" s="6">
        <f>IFERROR(__xludf.DUMMYFUNCTION("""COMPUTED_VALUE"""),45609.0)</f>
        <v>45609</v>
      </c>
      <c r="E1816" s="7" t="str">
        <f>IFERROR(__xludf.DUMMYFUNCTION("""COMPUTED_VALUE"""),"FRANQUIA_D&amp;G_SP")</f>
        <v>FRANQUIA_D&amp;G_SP</v>
      </c>
      <c r="F1816" s="7" t="str">
        <f>IFERROR(__xludf.DUMMYFUNCTION("""COMPUTED_VALUE"""),"MOTORCYCLE")</f>
        <v>MOTORCYCLE</v>
      </c>
      <c r="G1816" s="7" t="str">
        <f>IFERROR(__xludf.DUMMYFUNCTION("""COMPUTED_VALUE"""),"SAO PAULO")</f>
        <v>SAO PAULO</v>
      </c>
    </row>
    <row r="1817">
      <c r="A1817" s="6">
        <f>IFERROR(__xludf.DUMMYFUNCTION("""COMPUTED_VALUE"""),45705.0)</f>
        <v>45705</v>
      </c>
      <c r="B1817" s="7" t="str">
        <f>IFERROR(__xludf.DUMMYFUNCTION("""COMPUTED_VALUE"""),"205d7872-2125-4c6e-8a5f-2373bc7c13fa")</f>
        <v>205d7872-2125-4c6e-8a5f-2373bc7c13fa</v>
      </c>
      <c r="C1817" s="7">
        <f>IFERROR(__xludf.DUMMYFUNCTION("""COMPUTED_VALUE"""),1.0)</f>
        <v>1</v>
      </c>
      <c r="D1817" s="6">
        <f>IFERROR(__xludf.DUMMYFUNCTION("""COMPUTED_VALUE"""),45704.0)</f>
        <v>45704</v>
      </c>
      <c r="E1817" s="7" t="str">
        <f>IFERROR(__xludf.DUMMYFUNCTION("""COMPUTED_VALUE"""),"FRANQUIA_D&amp;G_SP")</f>
        <v>FRANQUIA_D&amp;G_SP</v>
      </c>
      <c r="F1817" s="7" t="str">
        <f>IFERROR(__xludf.DUMMYFUNCTION("""COMPUTED_VALUE"""),"MOTORCYCLE")</f>
        <v>MOTORCYCLE</v>
      </c>
      <c r="G1817" s="7" t="str">
        <f>IFERROR(__xludf.DUMMYFUNCTION("""COMPUTED_VALUE"""),"SAO PAULO")</f>
        <v>SAO PAULO</v>
      </c>
    </row>
    <row r="1818">
      <c r="A1818" s="6">
        <f>IFERROR(__xludf.DUMMYFUNCTION("""COMPUTED_VALUE"""),45705.0)</f>
        <v>45705</v>
      </c>
      <c r="B1818" s="7" t="str">
        <f>IFERROR(__xludf.DUMMYFUNCTION("""COMPUTED_VALUE"""),"7fa1f15c-4292-4667-a647-2cbac1824f75")</f>
        <v>7fa1f15c-4292-4667-a647-2cbac1824f75</v>
      </c>
      <c r="C1818" s="7">
        <f>IFERROR(__xludf.DUMMYFUNCTION("""COMPUTED_VALUE"""),1.0)</f>
        <v>1</v>
      </c>
      <c r="D1818" s="6">
        <f>IFERROR(__xludf.DUMMYFUNCTION("""COMPUTED_VALUE"""),45704.0)</f>
        <v>45704</v>
      </c>
      <c r="E1818" s="7" t="str">
        <f>IFERROR(__xludf.DUMMYFUNCTION("""COMPUTED_VALUE"""),"FRANQUIA_D&amp;G_SP")</f>
        <v>FRANQUIA_D&amp;G_SP</v>
      </c>
      <c r="F1818" s="7" t="str">
        <f>IFERROR(__xludf.DUMMYFUNCTION("""COMPUTED_VALUE"""),"MOTORCYCLE")</f>
        <v>MOTORCYCLE</v>
      </c>
      <c r="G1818" s="7" t="str">
        <f>IFERROR(__xludf.DUMMYFUNCTION("""COMPUTED_VALUE"""),"SAO PAULO")</f>
        <v>SAO PAULO</v>
      </c>
    </row>
    <row r="1819">
      <c r="A1819" s="6">
        <f>IFERROR(__xludf.DUMMYFUNCTION("""COMPUTED_VALUE"""),45705.0)</f>
        <v>45705</v>
      </c>
      <c r="B1819" s="7" t="str">
        <f>IFERROR(__xludf.DUMMYFUNCTION("""COMPUTED_VALUE"""),"90ce817f-e6c3-47d1-a531-b4212ce20fc4")</f>
        <v>90ce817f-e6c3-47d1-a531-b4212ce20fc4</v>
      </c>
      <c r="C1819" s="7">
        <f>IFERROR(__xludf.DUMMYFUNCTION("""COMPUTED_VALUE"""),31.0)</f>
        <v>31</v>
      </c>
      <c r="D1819" s="6">
        <f>IFERROR(__xludf.DUMMYFUNCTION("""COMPUTED_VALUE"""),45674.0)</f>
        <v>45674</v>
      </c>
      <c r="E1819" s="7" t="str">
        <f>IFERROR(__xludf.DUMMYFUNCTION("""COMPUTED_VALUE"""),"FRANQUIA_D&amp;G_SP")</f>
        <v>FRANQUIA_D&amp;G_SP</v>
      </c>
      <c r="F1819" s="7" t="str">
        <f>IFERROR(__xludf.DUMMYFUNCTION("""COMPUTED_VALUE"""),"MOTORCYCLE")</f>
        <v>MOTORCYCLE</v>
      </c>
      <c r="G1819" s="7" t="str">
        <f>IFERROR(__xludf.DUMMYFUNCTION("""COMPUTED_VALUE"""),"SAO PAULO")</f>
        <v>SAO PAULO</v>
      </c>
    </row>
    <row r="1820">
      <c r="A1820" s="6">
        <f>IFERROR(__xludf.DUMMYFUNCTION("""COMPUTED_VALUE"""),45705.0)</f>
        <v>45705</v>
      </c>
      <c r="B1820" s="7" t="str">
        <f>IFERROR(__xludf.DUMMYFUNCTION("""COMPUTED_VALUE"""),"6ace5c3c-9046-4737-9b2e-c00602df4add")</f>
        <v>6ace5c3c-9046-4737-9b2e-c00602df4add</v>
      </c>
      <c r="C1820" s="7">
        <f>IFERROR(__xludf.DUMMYFUNCTION("""COMPUTED_VALUE"""),1.0)</f>
        <v>1</v>
      </c>
      <c r="D1820" s="6">
        <f>IFERROR(__xludf.DUMMYFUNCTION("""COMPUTED_VALUE"""),45704.0)</f>
        <v>45704</v>
      </c>
      <c r="E1820" s="7" t="str">
        <f>IFERROR(__xludf.DUMMYFUNCTION("""COMPUTED_VALUE"""),"FRANQUIA_D&amp;G_SP")</f>
        <v>FRANQUIA_D&amp;G_SP</v>
      </c>
      <c r="F1820" s="7" t="str">
        <f>IFERROR(__xludf.DUMMYFUNCTION("""COMPUTED_VALUE"""),"BICYCLE")</f>
        <v>BICYCLE</v>
      </c>
      <c r="G1820" s="7" t="str">
        <f>IFERROR(__xludf.DUMMYFUNCTION("""COMPUTED_VALUE"""),"SAO PAULO")</f>
        <v>SAO PAULO</v>
      </c>
    </row>
    <row r="1821">
      <c r="A1821" s="6">
        <f>IFERROR(__xludf.DUMMYFUNCTION("""COMPUTED_VALUE"""),45705.0)</f>
        <v>45705</v>
      </c>
      <c r="B1821" s="7" t="str">
        <f>IFERROR(__xludf.DUMMYFUNCTION("""COMPUTED_VALUE"""),"33e5c9d5-ea9c-4d0d-b2d6-b3a3e261a95a")</f>
        <v>33e5c9d5-ea9c-4d0d-b2d6-b3a3e261a95a</v>
      </c>
      <c r="C1821" s="7">
        <f>IFERROR(__xludf.DUMMYFUNCTION("""COMPUTED_VALUE"""),1.0)</f>
        <v>1</v>
      </c>
      <c r="D1821" s="6">
        <f>IFERROR(__xludf.DUMMYFUNCTION("""COMPUTED_VALUE"""),45704.0)</f>
        <v>45704</v>
      </c>
      <c r="E1821" s="7" t="str">
        <f>IFERROR(__xludf.DUMMYFUNCTION("""COMPUTED_VALUE"""),"FRANQUIA_D&amp;G_SP")</f>
        <v>FRANQUIA_D&amp;G_SP</v>
      </c>
      <c r="F1821" s="7" t="str">
        <f>IFERROR(__xludf.DUMMYFUNCTION("""COMPUTED_VALUE"""),"EBIKE")</f>
        <v>EBIKE</v>
      </c>
      <c r="G1821" s="7" t="str">
        <f>IFERROR(__xludf.DUMMYFUNCTION("""COMPUTED_VALUE"""),"SAO PAULO")</f>
        <v>SAO PAULO</v>
      </c>
    </row>
    <row r="1822">
      <c r="A1822" s="6">
        <f>IFERROR(__xludf.DUMMYFUNCTION("""COMPUTED_VALUE"""),45705.0)</f>
        <v>45705</v>
      </c>
      <c r="B1822" s="7" t="str">
        <f>IFERROR(__xludf.DUMMYFUNCTION("""COMPUTED_VALUE"""),"7e179e1f-3d8a-4aa2-b337-ec6b82521b24")</f>
        <v>7e179e1f-3d8a-4aa2-b337-ec6b82521b24</v>
      </c>
      <c r="C1822" s="7">
        <f>IFERROR(__xludf.DUMMYFUNCTION("""COMPUTED_VALUE"""),0.0)</f>
        <v>0</v>
      </c>
      <c r="D1822" s="6">
        <f>IFERROR(__xludf.DUMMYFUNCTION("""COMPUTED_VALUE"""),45705.0)</f>
        <v>45705</v>
      </c>
      <c r="E1822" s="7" t="str">
        <f>IFERROR(__xludf.DUMMYFUNCTION("""COMPUTED_VALUE"""),"FRANQUIA_D&amp;G_SP")</f>
        <v>FRANQUIA_D&amp;G_SP</v>
      </c>
      <c r="F1822" s="7" t="str">
        <f>IFERROR(__xludf.DUMMYFUNCTION("""COMPUTED_VALUE"""),"MOTORCYCLE")</f>
        <v>MOTORCYCLE</v>
      </c>
      <c r="G1822" s="7" t="str">
        <f>IFERROR(__xludf.DUMMYFUNCTION("""COMPUTED_VALUE"""),"SAO PAULO")</f>
        <v>SAO PAULO</v>
      </c>
    </row>
    <row r="1823">
      <c r="A1823" s="6">
        <f>IFERROR(__xludf.DUMMYFUNCTION("""COMPUTED_VALUE"""),45705.0)</f>
        <v>45705</v>
      </c>
      <c r="B1823" s="7" t="str">
        <f>IFERROR(__xludf.DUMMYFUNCTION("""COMPUTED_VALUE"""),"a647d109-c6ea-4664-b61b-255ddae22242")</f>
        <v>a647d109-c6ea-4664-b61b-255ddae22242</v>
      </c>
      <c r="C1823" s="7">
        <f>IFERROR(__xludf.DUMMYFUNCTION("""COMPUTED_VALUE"""),0.0)</f>
        <v>0</v>
      </c>
      <c r="D1823" s="6">
        <f>IFERROR(__xludf.DUMMYFUNCTION("""COMPUTED_VALUE"""),45705.0)</f>
        <v>45705</v>
      </c>
      <c r="E1823" s="7" t="str">
        <f>IFERROR(__xludf.DUMMYFUNCTION("""COMPUTED_VALUE"""),"FRANQUIA_D&amp;G_SP")</f>
        <v>FRANQUIA_D&amp;G_SP</v>
      </c>
      <c r="F1823" s="7" t="str">
        <f>IFERROR(__xludf.DUMMYFUNCTION("""COMPUTED_VALUE"""),"BICYCLE")</f>
        <v>BICYCLE</v>
      </c>
      <c r="G1823" s="7" t="str">
        <f>IFERROR(__xludf.DUMMYFUNCTION("""COMPUTED_VALUE"""),"SAO PAULO")</f>
        <v>SAO PAULO</v>
      </c>
    </row>
    <row r="1824">
      <c r="A1824" s="6">
        <f>IFERROR(__xludf.DUMMYFUNCTION("""COMPUTED_VALUE"""),45705.0)</f>
        <v>45705</v>
      </c>
      <c r="B1824" s="7" t="str">
        <f>IFERROR(__xludf.DUMMYFUNCTION("""COMPUTED_VALUE"""),"061170ea-9fad-4fd1-87e9-c53526b6c437")</f>
        <v>061170ea-9fad-4fd1-87e9-c53526b6c437</v>
      </c>
      <c r="C1824" s="7">
        <f>IFERROR(__xludf.DUMMYFUNCTION("""COMPUTED_VALUE"""),2.0)</f>
        <v>2</v>
      </c>
      <c r="D1824" s="6">
        <f>IFERROR(__xludf.DUMMYFUNCTION("""COMPUTED_VALUE"""),45703.0)</f>
        <v>45703</v>
      </c>
      <c r="E1824" s="7" t="str">
        <f>IFERROR(__xludf.DUMMYFUNCTION("""COMPUTED_VALUE"""),"FRANQUIA_D&amp;G_SP")</f>
        <v>FRANQUIA_D&amp;G_SP</v>
      </c>
      <c r="F1824" s="7" t="str">
        <f>IFERROR(__xludf.DUMMYFUNCTION("""COMPUTED_VALUE"""),"MOTORCYCLE")</f>
        <v>MOTORCYCLE</v>
      </c>
      <c r="G1824" s="7" t="str">
        <f>IFERROR(__xludf.DUMMYFUNCTION("""COMPUTED_VALUE"""),"SAO PAULO")</f>
        <v>SAO PAULO</v>
      </c>
    </row>
    <row r="1825">
      <c r="A1825" s="6">
        <f>IFERROR(__xludf.DUMMYFUNCTION("""COMPUTED_VALUE"""),45705.0)</f>
        <v>45705</v>
      </c>
      <c r="B1825" s="7" t="str">
        <f>IFERROR(__xludf.DUMMYFUNCTION("""COMPUTED_VALUE"""),"2f9f22ff-0b84-4c73-988c-c6cf668f8612")</f>
        <v>2f9f22ff-0b84-4c73-988c-c6cf668f8612</v>
      </c>
      <c r="C1825" s="7">
        <f>IFERROR(__xludf.DUMMYFUNCTION("""COMPUTED_VALUE"""),0.0)</f>
        <v>0</v>
      </c>
      <c r="D1825" s="6">
        <f>IFERROR(__xludf.DUMMYFUNCTION("""COMPUTED_VALUE"""),45705.0)</f>
        <v>45705</v>
      </c>
      <c r="E1825" s="7" t="str">
        <f>IFERROR(__xludf.DUMMYFUNCTION("""COMPUTED_VALUE"""),"FRANQUIA_D&amp;G_SP")</f>
        <v>FRANQUIA_D&amp;G_SP</v>
      </c>
      <c r="F1825" s="7" t="str">
        <f>IFERROR(__xludf.DUMMYFUNCTION("""COMPUTED_VALUE"""),"MOTORCYCLE")</f>
        <v>MOTORCYCLE</v>
      </c>
      <c r="G1825" s="7" t="str">
        <f>IFERROR(__xludf.DUMMYFUNCTION("""COMPUTED_VALUE"""),"SAO PAULO")</f>
        <v>SAO PAULO</v>
      </c>
    </row>
    <row r="1826">
      <c r="A1826" s="6">
        <f>IFERROR(__xludf.DUMMYFUNCTION("""COMPUTED_VALUE"""),45705.0)</f>
        <v>45705</v>
      </c>
      <c r="B1826" s="7" t="str">
        <f>IFERROR(__xludf.DUMMYFUNCTION("""COMPUTED_VALUE"""),"3b3b2796-1254-4881-870e-96dec816fd38")</f>
        <v>3b3b2796-1254-4881-870e-96dec816fd38</v>
      </c>
      <c r="C1826" s="7">
        <f>IFERROR(__xludf.DUMMYFUNCTION("""COMPUTED_VALUE"""),0.0)</f>
        <v>0</v>
      </c>
      <c r="D1826" s="6">
        <f>IFERROR(__xludf.DUMMYFUNCTION("""COMPUTED_VALUE"""),45705.0)</f>
        <v>45705</v>
      </c>
      <c r="E1826" s="7" t="str">
        <f>IFERROR(__xludf.DUMMYFUNCTION("""COMPUTED_VALUE"""),"FRANQUIA_D&amp;G_SP")</f>
        <v>FRANQUIA_D&amp;G_SP</v>
      </c>
      <c r="F1826" s="7" t="str">
        <f>IFERROR(__xludf.DUMMYFUNCTION("""COMPUTED_VALUE"""),"EMOTORCYCLE")</f>
        <v>EMOTORCYCLE</v>
      </c>
      <c r="G1826" s="7" t="str">
        <f>IFERROR(__xludf.DUMMYFUNCTION("""COMPUTED_VALUE"""),"SAO PAULO")</f>
        <v>SAO PAULO</v>
      </c>
    </row>
    <row r="1827">
      <c r="A1827" s="6">
        <f>IFERROR(__xludf.DUMMYFUNCTION("""COMPUTED_VALUE"""),45705.0)</f>
        <v>45705</v>
      </c>
      <c r="B1827" s="7" t="str">
        <f>IFERROR(__xludf.DUMMYFUNCTION("""COMPUTED_VALUE"""),"d04d3ebb-78d5-4ad7-8b3c-d2f7231d8bba")</f>
        <v>d04d3ebb-78d5-4ad7-8b3c-d2f7231d8bba</v>
      </c>
      <c r="C1827" s="7">
        <f>IFERROR(__xludf.DUMMYFUNCTION("""COMPUTED_VALUE"""),0.0)</f>
        <v>0</v>
      </c>
      <c r="D1827" s="6">
        <f>IFERROR(__xludf.DUMMYFUNCTION("""COMPUTED_VALUE"""),45705.0)</f>
        <v>45705</v>
      </c>
      <c r="E1827" s="7" t="str">
        <f>IFERROR(__xludf.DUMMYFUNCTION("""COMPUTED_VALUE"""),"FRANQUIA_D&amp;G_SP")</f>
        <v>FRANQUIA_D&amp;G_SP</v>
      </c>
      <c r="F1827" s="7" t="str">
        <f>IFERROR(__xludf.DUMMYFUNCTION("""COMPUTED_VALUE"""),"MOTORCYCLE")</f>
        <v>MOTORCYCLE</v>
      </c>
      <c r="G1827" s="7" t="str">
        <f>IFERROR(__xludf.DUMMYFUNCTION("""COMPUTED_VALUE"""),"SAO PAULO")</f>
        <v>SAO PAULO</v>
      </c>
    </row>
    <row r="1828">
      <c r="A1828" s="6">
        <f>IFERROR(__xludf.DUMMYFUNCTION("""COMPUTED_VALUE"""),45705.0)</f>
        <v>45705</v>
      </c>
      <c r="B1828" s="7" t="str">
        <f>IFERROR(__xludf.DUMMYFUNCTION("""COMPUTED_VALUE"""),"f57fa22c-b791-4f28-8682-f31e93090f6e")</f>
        <v>f57fa22c-b791-4f28-8682-f31e93090f6e</v>
      </c>
      <c r="C1828" s="7">
        <f>IFERROR(__xludf.DUMMYFUNCTION("""COMPUTED_VALUE"""),0.0)</f>
        <v>0</v>
      </c>
      <c r="D1828" s="6">
        <f>IFERROR(__xludf.DUMMYFUNCTION("""COMPUTED_VALUE"""),45705.0)</f>
        <v>45705</v>
      </c>
      <c r="E1828" s="7" t="str">
        <f>IFERROR(__xludf.DUMMYFUNCTION("""COMPUTED_VALUE"""),"FRANQUIA_D&amp;G_SP")</f>
        <v>FRANQUIA_D&amp;G_SP</v>
      </c>
      <c r="F1828" s="7" t="str">
        <f>IFERROR(__xludf.DUMMYFUNCTION("""COMPUTED_VALUE"""),"EMOTORCYCLE")</f>
        <v>EMOTORCYCLE</v>
      </c>
      <c r="G1828" s="7" t="str">
        <f>IFERROR(__xludf.DUMMYFUNCTION("""COMPUTED_VALUE"""),"RESTAURANTE PARCEIRO")</f>
        <v>RESTAURANTE PARCEIRO</v>
      </c>
    </row>
    <row r="1829">
      <c r="A1829" s="6">
        <f>IFERROR(__xludf.DUMMYFUNCTION("""COMPUTED_VALUE"""),45705.0)</f>
        <v>45705</v>
      </c>
      <c r="B1829" s="7" t="str">
        <f>IFERROR(__xludf.DUMMYFUNCTION("""COMPUTED_VALUE"""),"04be10be-bed0-4079-8683-924fc4aeef0f")</f>
        <v>04be10be-bed0-4079-8683-924fc4aeef0f</v>
      </c>
      <c r="C1829" s="7">
        <f>IFERROR(__xludf.DUMMYFUNCTION("""COMPUTED_VALUE"""),1.0)</f>
        <v>1</v>
      </c>
      <c r="D1829" s="6">
        <f>IFERROR(__xludf.DUMMYFUNCTION("""COMPUTED_VALUE"""),45704.0)</f>
        <v>45704</v>
      </c>
      <c r="E1829" s="7" t="str">
        <f>IFERROR(__xludf.DUMMYFUNCTION("""COMPUTED_VALUE"""),"FRANQUIA_D&amp;G_SP")</f>
        <v>FRANQUIA_D&amp;G_SP</v>
      </c>
      <c r="F1829" s="7" t="str">
        <f>IFERROR(__xludf.DUMMYFUNCTION("""COMPUTED_VALUE"""),"MOTORCYCLE")</f>
        <v>MOTORCYCLE</v>
      </c>
      <c r="G1829" s="7" t="str">
        <f>IFERROR(__xludf.DUMMYFUNCTION("""COMPUTED_VALUE"""),"SAO PAULO")</f>
        <v>SAO PAULO</v>
      </c>
    </row>
    <row r="1830">
      <c r="A1830" s="6">
        <f>IFERROR(__xludf.DUMMYFUNCTION("""COMPUTED_VALUE"""),45705.0)</f>
        <v>45705</v>
      </c>
      <c r="B1830" s="7" t="str">
        <f>IFERROR(__xludf.DUMMYFUNCTION("""COMPUTED_VALUE"""),"736b4c06-d5bc-48b5-9231-9d3b0d38bbe3")</f>
        <v>736b4c06-d5bc-48b5-9231-9d3b0d38bbe3</v>
      </c>
      <c r="C1830" s="7">
        <f>IFERROR(__xludf.DUMMYFUNCTION("""COMPUTED_VALUE"""),12.0)</f>
        <v>12</v>
      </c>
      <c r="D1830" s="6">
        <f>IFERROR(__xludf.DUMMYFUNCTION("""COMPUTED_VALUE"""),45693.0)</f>
        <v>45693</v>
      </c>
      <c r="E1830" s="7" t="str">
        <f>IFERROR(__xludf.DUMMYFUNCTION("""COMPUTED_VALUE"""),"FRANQUIA_D&amp;G_SP")</f>
        <v>FRANQUIA_D&amp;G_SP</v>
      </c>
      <c r="F1830" s="7" t="str">
        <f>IFERROR(__xludf.DUMMYFUNCTION("""COMPUTED_VALUE"""),"MOTORCYCLE")</f>
        <v>MOTORCYCLE</v>
      </c>
      <c r="G1830" s="7" t="str">
        <f>IFERROR(__xludf.DUMMYFUNCTION("""COMPUTED_VALUE"""),"ABC")</f>
        <v>ABC</v>
      </c>
    </row>
    <row r="1831">
      <c r="A1831" s="6">
        <f>IFERROR(__xludf.DUMMYFUNCTION("""COMPUTED_VALUE"""),45705.0)</f>
        <v>45705</v>
      </c>
      <c r="B1831" s="7" t="str">
        <f>IFERROR(__xludf.DUMMYFUNCTION("""COMPUTED_VALUE"""),"4c0580d9-175c-40a8-8dbf-e917902368e2")</f>
        <v>4c0580d9-175c-40a8-8dbf-e917902368e2</v>
      </c>
      <c r="C1831" s="7">
        <f>IFERROR(__xludf.DUMMYFUNCTION("""COMPUTED_VALUE"""),185.0)</f>
        <v>185</v>
      </c>
      <c r="D1831" s="6">
        <f>IFERROR(__xludf.DUMMYFUNCTION("""COMPUTED_VALUE"""),45520.0)</f>
        <v>45520</v>
      </c>
      <c r="E1831" s="7" t="str">
        <f>IFERROR(__xludf.DUMMYFUNCTION("""COMPUTED_VALUE"""),"FRANQUIA_D&amp;G_SP")</f>
        <v>FRANQUIA_D&amp;G_SP</v>
      </c>
      <c r="F1831" s="7" t="str">
        <f>IFERROR(__xludf.DUMMYFUNCTION("""COMPUTED_VALUE"""),"BICYCLE")</f>
        <v>BICYCLE</v>
      </c>
      <c r="G1831" s="7" t="str">
        <f>IFERROR(__xludf.DUMMYFUNCTION("""COMPUTED_VALUE"""),"SAO PAULO")</f>
        <v>SAO PAULO</v>
      </c>
    </row>
    <row r="1832">
      <c r="A1832" s="6">
        <f>IFERROR(__xludf.DUMMYFUNCTION("""COMPUTED_VALUE"""),45705.0)</f>
        <v>45705</v>
      </c>
      <c r="B1832" s="7" t="str">
        <f>IFERROR(__xludf.DUMMYFUNCTION("""COMPUTED_VALUE"""),"0c8b3a58-dc95-4cda-a53f-a56aca64e712")</f>
        <v>0c8b3a58-dc95-4cda-a53f-a56aca64e712</v>
      </c>
      <c r="C1832" s="7">
        <f>IFERROR(__xludf.DUMMYFUNCTION("""COMPUTED_VALUE"""),47.0)</f>
        <v>47</v>
      </c>
      <c r="D1832" s="6">
        <f>IFERROR(__xludf.DUMMYFUNCTION("""COMPUTED_VALUE"""),45658.0)</f>
        <v>45658</v>
      </c>
      <c r="E1832" s="7" t="str">
        <f>IFERROR(__xludf.DUMMYFUNCTION("""COMPUTED_VALUE"""),"FRANQUIA_D&amp;G_SP")</f>
        <v>FRANQUIA_D&amp;G_SP</v>
      </c>
      <c r="F1832" s="7" t="str">
        <f>IFERROR(__xludf.DUMMYFUNCTION("""COMPUTED_VALUE"""),"BICYCLE")</f>
        <v>BICYCLE</v>
      </c>
      <c r="G1832" s="7" t="str">
        <f>IFERROR(__xludf.DUMMYFUNCTION("""COMPUTED_VALUE"""),"SAO PAULO")</f>
        <v>SAO PAULO</v>
      </c>
    </row>
    <row r="1833">
      <c r="A1833" s="6">
        <f>IFERROR(__xludf.DUMMYFUNCTION("""COMPUTED_VALUE"""),45705.0)</f>
        <v>45705</v>
      </c>
      <c r="B1833" s="7" t="str">
        <f>IFERROR(__xludf.DUMMYFUNCTION("""COMPUTED_VALUE"""),"6666eaad-3bdc-4856-bd4d-da9d6f457fbc")</f>
        <v>6666eaad-3bdc-4856-bd4d-da9d6f457fbc</v>
      </c>
      <c r="C1833" s="7">
        <f>IFERROR(__xludf.DUMMYFUNCTION("""COMPUTED_VALUE"""),375.0)</f>
        <v>375</v>
      </c>
      <c r="D1833" s="6">
        <f>IFERROR(__xludf.DUMMYFUNCTION("""COMPUTED_VALUE"""),45330.0)</f>
        <v>45330</v>
      </c>
      <c r="E1833" s="7" t="str">
        <f>IFERROR(__xludf.DUMMYFUNCTION("""COMPUTED_VALUE"""),"FRANQUIA_D&amp;G_SP")</f>
        <v>FRANQUIA_D&amp;G_SP</v>
      </c>
      <c r="F1833" s="7" t="str">
        <f>IFERROR(__xludf.DUMMYFUNCTION("""COMPUTED_VALUE"""),"MOTORCYCLE")</f>
        <v>MOTORCYCLE</v>
      </c>
      <c r="G1833" s="7" t="str">
        <f>IFERROR(__xludf.DUMMYFUNCTION("""COMPUTED_VALUE"""),"SAO PAULO")</f>
        <v>SAO PAULO</v>
      </c>
    </row>
    <row r="1834">
      <c r="A1834" s="6">
        <f>IFERROR(__xludf.DUMMYFUNCTION("""COMPUTED_VALUE"""),45705.0)</f>
        <v>45705</v>
      </c>
      <c r="B1834" s="7" t="str">
        <f>IFERROR(__xludf.DUMMYFUNCTION("""COMPUTED_VALUE"""),"97ae9deb-3052-4aec-8203-1aad243aef21")</f>
        <v>97ae9deb-3052-4aec-8203-1aad243aef21</v>
      </c>
      <c r="C1834" s="7">
        <f>IFERROR(__xludf.DUMMYFUNCTION("""COMPUTED_VALUE"""),0.0)</f>
        <v>0</v>
      </c>
      <c r="D1834" s="6">
        <f>IFERROR(__xludf.DUMMYFUNCTION("""COMPUTED_VALUE"""),45705.0)</f>
        <v>45705</v>
      </c>
      <c r="E1834" s="7" t="str">
        <f>IFERROR(__xludf.DUMMYFUNCTION("""COMPUTED_VALUE"""),"FRANQUIA_D&amp;G_SP")</f>
        <v>FRANQUIA_D&amp;G_SP</v>
      </c>
      <c r="F1834" s="7" t="str">
        <f>IFERROR(__xludf.DUMMYFUNCTION("""COMPUTED_VALUE"""),"MOTORCYCLE")</f>
        <v>MOTORCYCLE</v>
      </c>
      <c r="G1834" s="7" t="str">
        <f>IFERROR(__xludf.DUMMYFUNCTION("""COMPUTED_VALUE"""),"SAO PAULO")</f>
        <v>SAO PAULO</v>
      </c>
    </row>
    <row r="1835">
      <c r="A1835" s="6">
        <f>IFERROR(__xludf.DUMMYFUNCTION("""COMPUTED_VALUE"""),45705.0)</f>
        <v>45705</v>
      </c>
      <c r="B1835" s="7" t="str">
        <f>IFERROR(__xludf.DUMMYFUNCTION("""COMPUTED_VALUE"""),"b42601b6-773b-4d8d-a79c-27011760d989")</f>
        <v>b42601b6-773b-4d8d-a79c-27011760d989</v>
      </c>
      <c r="C1835" s="7">
        <f>IFERROR(__xludf.DUMMYFUNCTION("""COMPUTED_VALUE"""),0.0)</f>
        <v>0</v>
      </c>
      <c r="D1835" s="6">
        <f>IFERROR(__xludf.DUMMYFUNCTION("""COMPUTED_VALUE"""),45705.0)</f>
        <v>45705</v>
      </c>
      <c r="E1835" s="7" t="str">
        <f>IFERROR(__xludf.DUMMYFUNCTION("""COMPUTED_VALUE"""),"FRANQUIA_D&amp;G_SP")</f>
        <v>FRANQUIA_D&amp;G_SP</v>
      </c>
      <c r="F1835" s="7" t="str">
        <f>IFERROR(__xludf.DUMMYFUNCTION("""COMPUTED_VALUE"""),"MOTORCYCLE")</f>
        <v>MOTORCYCLE</v>
      </c>
      <c r="G1835" s="7" t="str">
        <f>IFERROR(__xludf.DUMMYFUNCTION("""COMPUTED_VALUE"""),"SAO PAULO")</f>
        <v>SAO PAULO</v>
      </c>
    </row>
    <row r="1836">
      <c r="A1836" s="6">
        <f>IFERROR(__xludf.DUMMYFUNCTION("""COMPUTED_VALUE"""),45705.0)</f>
        <v>45705</v>
      </c>
      <c r="B1836" s="7" t="str">
        <f>IFERROR(__xludf.DUMMYFUNCTION("""COMPUTED_VALUE"""),"4708bdda-016b-4029-8963-e723925bbbd7")</f>
        <v>4708bdda-016b-4029-8963-e723925bbbd7</v>
      </c>
      <c r="C1836" s="7">
        <f>IFERROR(__xludf.DUMMYFUNCTION("""COMPUTED_VALUE"""),0.0)</f>
        <v>0</v>
      </c>
      <c r="D1836" s="6">
        <f>IFERROR(__xludf.DUMMYFUNCTION("""COMPUTED_VALUE"""),45705.0)</f>
        <v>45705</v>
      </c>
      <c r="E1836" s="7" t="str">
        <f>IFERROR(__xludf.DUMMYFUNCTION("""COMPUTED_VALUE"""),"FRANQUIA_D&amp;G_SP")</f>
        <v>FRANQUIA_D&amp;G_SP</v>
      </c>
      <c r="F1836" s="7" t="str">
        <f>IFERROR(__xludf.DUMMYFUNCTION("""COMPUTED_VALUE"""),"MOTORCYCLE")</f>
        <v>MOTORCYCLE</v>
      </c>
      <c r="G1836" s="7" t="str">
        <f>IFERROR(__xludf.DUMMYFUNCTION("""COMPUTED_VALUE"""),"SAO PAULO")</f>
        <v>SAO PAULO</v>
      </c>
    </row>
    <row r="1837">
      <c r="A1837" s="6">
        <f>IFERROR(__xludf.DUMMYFUNCTION("""COMPUTED_VALUE"""),45705.0)</f>
        <v>45705</v>
      </c>
      <c r="B1837" s="7" t="str">
        <f>IFERROR(__xludf.DUMMYFUNCTION("""COMPUTED_VALUE"""),"0a8fad0c-7a9d-4390-81b1-54a6153b784f")</f>
        <v>0a8fad0c-7a9d-4390-81b1-54a6153b784f</v>
      </c>
      <c r="C1837" s="7">
        <f>IFERROR(__xludf.DUMMYFUNCTION("""COMPUTED_VALUE"""),0.0)</f>
        <v>0</v>
      </c>
      <c r="D1837" s="6">
        <f>IFERROR(__xludf.DUMMYFUNCTION("""COMPUTED_VALUE"""),45705.0)</f>
        <v>45705</v>
      </c>
      <c r="E1837" s="7" t="str">
        <f>IFERROR(__xludf.DUMMYFUNCTION("""COMPUTED_VALUE"""),"FRANQUIA_D&amp;G_SP")</f>
        <v>FRANQUIA_D&amp;G_SP</v>
      </c>
      <c r="F1837" s="7" t="str">
        <f>IFERROR(__xludf.DUMMYFUNCTION("""COMPUTED_VALUE"""),"MOTORCYCLE")</f>
        <v>MOTORCYCLE</v>
      </c>
      <c r="G1837" s="7" t="str">
        <f>IFERROR(__xludf.DUMMYFUNCTION("""COMPUTED_VALUE"""),"SAO PAULO")</f>
        <v>SAO PAULO</v>
      </c>
    </row>
    <row r="1838">
      <c r="A1838" s="6">
        <f>IFERROR(__xludf.DUMMYFUNCTION("""COMPUTED_VALUE"""),45705.0)</f>
        <v>45705</v>
      </c>
      <c r="B1838" s="7" t="str">
        <f>IFERROR(__xludf.DUMMYFUNCTION("""COMPUTED_VALUE"""),"839dac66-ed88-4a1b-b612-0dabd74c6f41")</f>
        <v>839dac66-ed88-4a1b-b612-0dabd74c6f41</v>
      </c>
      <c r="C1838" s="7">
        <f>IFERROR(__xludf.DUMMYFUNCTION("""COMPUTED_VALUE"""),116.0)</f>
        <v>116</v>
      </c>
      <c r="D1838" s="6">
        <f>IFERROR(__xludf.DUMMYFUNCTION("""COMPUTED_VALUE"""),45589.0)</f>
        <v>45589</v>
      </c>
      <c r="E1838" s="7" t="str">
        <f>IFERROR(__xludf.DUMMYFUNCTION("""COMPUTED_VALUE"""),"FRANQUIA_D&amp;G_SP")</f>
        <v>FRANQUIA_D&amp;G_SP</v>
      </c>
      <c r="F1838" s="7" t="str">
        <f>IFERROR(__xludf.DUMMYFUNCTION("""COMPUTED_VALUE"""),"MOTORCYCLE")</f>
        <v>MOTORCYCLE</v>
      </c>
      <c r="G1838" s="7" t="str">
        <f>IFERROR(__xludf.DUMMYFUNCTION("""COMPUTED_VALUE"""),"SAO PAULO")</f>
        <v>SAO PAULO</v>
      </c>
    </row>
    <row r="1839">
      <c r="A1839" s="6">
        <f>IFERROR(__xludf.DUMMYFUNCTION("""COMPUTED_VALUE"""),45705.0)</f>
        <v>45705</v>
      </c>
      <c r="B1839" s="7" t="str">
        <f>IFERROR(__xludf.DUMMYFUNCTION("""COMPUTED_VALUE"""),"b50bffe2-929d-4aa8-ba2a-cc57ef749d04")</f>
        <v>b50bffe2-929d-4aa8-ba2a-cc57ef749d04</v>
      </c>
      <c r="C1839" s="7">
        <f>IFERROR(__xludf.DUMMYFUNCTION("""COMPUTED_VALUE"""),1.0)</f>
        <v>1</v>
      </c>
      <c r="D1839" s="6">
        <f>IFERROR(__xludf.DUMMYFUNCTION("""COMPUTED_VALUE"""),45704.0)</f>
        <v>45704</v>
      </c>
      <c r="E1839" s="7" t="str">
        <f>IFERROR(__xludf.DUMMYFUNCTION("""COMPUTED_VALUE"""),"FRANQUIA_D&amp;G_SP")</f>
        <v>FRANQUIA_D&amp;G_SP</v>
      </c>
      <c r="F1839" s="7" t="str">
        <f>IFERROR(__xludf.DUMMYFUNCTION("""COMPUTED_VALUE"""),"MOTORCYCLE")</f>
        <v>MOTORCYCLE</v>
      </c>
      <c r="G1839" s="7" t="str">
        <f>IFERROR(__xludf.DUMMYFUNCTION("""COMPUTED_VALUE"""),"SAO PAULO")</f>
        <v>SAO PAULO</v>
      </c>
    </row>
    <row r="1840">
      <c r="A1840" s="6">
        <f>IFERROR(__xludf.DUMMYFUNCTION("""COMPUTED_VALUE"""),45705.0)</f>
        <v>45705</v>
      </c>
      <c r="B1840" s="7" t="str">
        <f>IFERROR(__xludf.DUMMYFUNCTION("""COMPUTED_VALUE"""),"b0900065-dc56-4826-8d83-f7a5669bf54c")</f>
        <v>b0900065-dc56-4826-8d83-f7a5669bf54c</v>
      </c>
      <c r="C1840" s="7">
        <f>IFERROR(__xludf.DUMMYFUNCTION("""COMPUTED_VALUE"""),54.0)</f>
        <v>54</v>
      </c>
      <c r="D1840" s="6">
        <f>IFERROR(__xludf.DUMMYFUNCTION("""COMPUTED_VALUE"""),45651.0)</f>
        <v>45651</v>
      </c>
      <c r="E1840" s="7" t="str">
        <f>IFERROR(__xludf.DUMMYFUNCTION("""COMPUTED_VALUE"""),"FRANQUIA_D&amp;G_SP")</f>
        <v>FRANQUIA_D&amp;G_SP</v>
      </c>
      <c r="F1840" s="7" t="str">
        <f>IFERROR(__xludf.DUMMYFUNCTION("""COMPUTED_VALUE"""),"BICYCLE")</f>
        <v>BICYCLE</v>
      </c>
      <c r="G1840" s="7" t="str">
        <f>IFERROR(__xludf.DUMMYFUNCTION("""COMPUTED_VALUE"""),"SAO PAULO")</f>
        <v>SAO PAULO</v>
      </c>
    </row>
    <row r="1841">
      <c r="A1841" s="6">
        <f>IFERROR(__xludf.DUMMYFUNCTION("""COMPUTED_VALUE"""),45705.0)</f>
        <v>45705</v>
      </c>
      <c r="B1841" s="7" t="str">
        <f>IFERROR(__xludf.DUMMYFUNCTION("""COMPUTED_VALUE"""),"b75a4e77-03ba-497d-a5b9-f791bc51dbb8")</f>
        <v>b75a4e77-03ba-497d-a5b9-f791bc51dbb8</v>
      </c>
      <c r="C1841" s="7">
        <f>IFERROR(__xludf.DUMMYFUNCTION("""COMPUTED_VALUE"""),5.0)</f>
        <v>5</v>
      </c>
      <c r="D1841" s="6">
        <f>IFERROR(__xludf.DUMMYFUNCTION("""COMPUTED_VALUE"""),45700.0)</f>
        <v>45700</v>
      </c>
      <c r="E1841" s="7" t="str">
        <f>IFERROR(__xludf.DUMMYFUNCTION("""COMPUTED_VALUE"""),"FRANQUIA_D&amp;G_SP")</f>
        <v>FRANQUIA_D&amp;G_SP</v>
      </c>
      <c r="F1841" s="7" t="str">
        <f>IFERROR(__xludf.DUMMYFUNCTION("""COMPUTED_VALUE"""),"BICYCLE")</f>
        <v>BICYCLE</v>
      </c>
      <c r="G1841" s="7" t="str">
        <f>IFERROR(__xludf.DUMMYFUNCTION("""COMPUTED_VALUE"""),"SAO PAULO")</f>
        <v>SAO PAULO</v>
      </c>
    </row>
    <row r="1842">
      <c r="A1842" s="6">
        <f>IFERROR(__xludf.DUMMYFUNCTION("""COMPUTED_VALUE"""),45705.0)</f>
        <v>45705</v>
      </c>
      <c r="B1842" s="7" t="str">
        <f>IFERROR(__xludf.DUMMYFUNCTION("""COMPUTED_VALUE"""),"e333ab1c-ac2e-49b7-85f5-a0c611490031")</f>
        <v>e333ab1c-ac2e-49b7-85f5-a0c611490031</v>
      </c>
      <c r="C1842" s="7">
        <f>IFERROR(__xludf.DUMMYFUNCTION("""COMPUTED_VALUE"""),0.0)</f>
        <v>0</v>
      </c>
      <c r="D1842" s="6">
        <f>IFERROR(__xludf.DUMMYFUNCTION("""COMPUTED_VALUE"""),45705.0)</f>
        <v>45705</v>
      </c>
      <c r="E1842" s="7" t="str">
        <f>IFERROR(__xludf.DUMMYFUNCTION("""COMPUTED_VALUE"""),"FRANQUIA_D&amp;G_SP")</f>
        <v>FRANQUIA_D&amp;G_SP</v>
      </c>
      <c r="F1842" s="7" t="str">
        <f>IFERROR(__xludf.DUMMYFUNCTION("""COMPUTED_VALUE"""),"MOTORCYCLE")</f>
        <v>MOTORCYCLE</v>
      </c>
      <c r="G1842" s="7" t="str">
        <f>IFERROR(__xludf.DUMMYFUNCTION("""COMPUTED_VALUE"""),"SAO PAULO")</f>
        <v>SAO PAULO</v>
      </c>
    </row>
    <row r="1843">
      <c r="A1843" s="6">
        <f>IFERROR(__xludf.DUMMYFUNCTION("""COMPUTED_VALUE"""),45705.0)</f>
        <v>45705</v>
      </c>
      <c r="B1843" s="7" t="str">
        <f>IFERROR(__xludf.DUMMYFUNCTION("""COMPUTED_VALUE"""),"c4542a38-ed0c-45cd-8e74-0dc658f901b6")</f>
        <v>c4542a38-ed0c-45cd-8e74-0dc658f901b6</v>
      </c>
      <c r="C1843" s="7">
        <f>IFERROR(__xludf.DUMMYFUNCTION("""COMPUTED_VALUE"""),0.0)</f>
        <v>0</v>
      </c>
      <c r="D1843" s="6">
        <f>IFERROR(__xludf.DUMMYFUNCTION("""COMPUTED_VALUE"""),45705.0)</f>
        <v>45705</v>
      </c>
      <c r="E1843" s="7" t="str">
        <f>IFERROR(__xludf.DUMMYFUNCTION("""COMPUTED_VALUE"""),"FRANQUIA_D&amp;G_SP")</f>
        <v>FRANQUIA_D&amp;G_SP</v>
      </c>
      <c r="F1843" s="7" t="str">
        <f>IFERROR(__xludf.DUMMYFUNCTION("""COMPUTED_VALUE"""),"BICYCLE")</f>
        <v>BICYCLE</v>
      </c>
      <c r="G1843" s="7" t="str">
        <f>IFERROR(__xludf.DUMMYFUNCTION("""COMPUTED_VALUE"""),"SAO PAULO")</f>
        <v>SAO PAULO</v>
      </c>
    </row>
    <row r="1844">
      <c r="A1844" s="6">
        <f>IFERROR(__xludf.DUMMYFUNCTION("""COMPUTED_VALUE"""),45705.0)</f>
        <v>45705</v>
      </c>
      <c r="B1844" s="7" t="str">
        <f>IFERROR(__xludf.DUMMYFUNCTION("""COMPUTED_VALUE"""),"74fd3920-04b5-48d5-9013-f16987eca910")</f>
        <v>74fd3920-04b5-48d5-9013-f16987eca910</v>
      </c>
      <c r="C1844" s="7">
        <f>IFERROR(__xludf.DUMMYFUNCTION("""COMPUTED_VALUE"""),0.0)</f>
        <v>0</v>
      </c>
      <c r="D1844" s="6">
        <f>IFERROR(__xludf.DUMMYFUNCTION("""COMPUTED_VALUE"""),45705.0)</f>
        <v>45705</v>
      </c>
      <c r="E1844" s="7" t="str">
        <f>IFERROR(__xludf.DUMMYFUNCTION("""COMPUTED_VALUE"""),"FRANQUIA_D&amp;G_SP")</f>
        <v>FRANQUIA_D&amp;G_SP</v>
      </c>
      <c r="F1844" s="7" t="str">
        <f>IFERROR(__xludf.DUMMYFUNCTION("""COMPUTED_VALUE"""),"MOTORCYCLE")</f>
        <v>MOTORCYCLE</v>
      </c>
      <c r="G1844" s="7" t="str">
        <f>IFERROR(__xludf.DUMMYFUNCTION("""COMPUTED_VALUE"""),"SAO PAULO")</f>
        <v>SAO PAULO</v>
      </c>
    </row>
    <row r="1845">
      <c r="A1845" s="6">
        <f>IFERROR(__xludf.DUMMYFUNCTION("""COMPUTED_VALUE"""),45705.0)</f>
        <v>45705</v>
      </c>
      <c r="B1845" s="7" t="str">
        <f>IFERROR(__xludf.DUMMYFUNCTION("""COMPUTED_VALUE"""),"02bd3f07-b395-49d9-a5bf-529f5263d249")</f>
        <v>02bd3f07-b395-49d9-a5bf-529f5263d249</v>
      </c>
      <c r="C1845" s="7">
        <f>IFERROR(__xludf.DUMMYFUNCTION("""COMPUTED_VALUE"""),17.0)</f>
        <v>17</v>
      </c>
      <c r="D1845" s="6">
        <f>IFERROR(__xludf.DUMMYFUNCTION("""COMPUTED_VALUE"""),45688.0)</f>
        <v>45688</v>
      </c>
      <c r="E1845" s="7" t="str">
        <f>IFERROR(__xludf.DUMMYFUNCTION("""COMPUTED_VALUE"""),"FRANQUIA_D&amp;G_SP")</f>
        <v>FRANQUIA_D&amp;G_SP</v>
      </c>
      <c r="F1845" s="7" t="str">
        <f>IFERROR(__xludf.DUMMYFUNCTION("""COMPUTED_VALUE"""),"EMOTORCYCLE")</f>
        <v>EMOTORCYCLE</v>
      </c>
      <c r="G1845" s="7" t="str">
        <f>IFERROR(__xludf.DUMMYFUNCTION("""COMPUTED_VALUE"""),"SAO PAULO")</f>
        <v>SAO PAULO</v>
      </c>
    </row>
    <row r="1846">
      <c r="A1846" s="6">
        <f>IFERROR(__xludf.DUMMYFUNCTION("""COMPUTED_VALUE"""),45705.0)</f>
        <v>45705</v>
      </c>
      <c r="B1846" s="7" t="str">
        <f>IFERROR(__xludf.DUMMYFUNCTION("""COMPUTED_VALUE"""),"b4c7e607-d17a-4147-896b-5d762c708b8f")</f>
        <v>b4c7e607-d17a-4147-896b-5d762c708b8f</v>
      </c>
      <c r="C1846" s="7">
        <f>IFERROR(__xludf.DUMMYFUNCTION("""COMPUTED_VALUE"""),27.0)</f>
        <v>27</v>
      </c>
      <c r="D1846" s="6">
        <f>IFERROR(__xludf.DUMMYFUNCTION("""COMPUTED_VALUE"""),45678.0)</f>
        <v>45678</v>
      </c>
      <c r="E1846" s="7" t="str">
        <f>IFERROR(__xludf.DUMMYFUNCTION("""COMPUTED_VALUE"""),"FRANQUIA_D&amp;G_SP")</f>
        <v>FRANQUIA_D&amp;G_SP</v>
      </c>
      <c r="F1846" s="7" t="str">
        <f>IFERROR(__xludf.DUMMYFUNCTION("""COMPUTED_VALUE"""),"BICYCLE")</f>
        <v>BICYCLE</v>
      </c>
      <c r="G1846" s="7" t="str">
        <f>IFERROR(__xludf.DUMMYFUNCTION("""COMPUTED_VALUE"""),"SAO PAULO")</f>
        <v>SAO PAULO</v>
      </c>
    </row>
    <row r="1847">
      <c r="A1847" s="6">
        <f>IFERROR(__xludf.DUMMYFUNCTION("""COMPUTED_VALUE"""),45705.0)</f>
        <v>45705</v>
      </c>
      <c r="B1847" s="7" t="str">
        <f>IFERROR(__xludf.DUMMYFUNCTION("""COMPUTED_VALUE"""),"626b8d69-21bc-4d39-ab25-edfac829ec59")</f>
        <v>626b8d69-21bc-4d39-ab25-edfac829ec59</v>
      </c>
      <c r="C1847" s="7">
        <f>IFERROR(__xludf.DUMMYFUNCTION("""COMPUTED_VALUE"""),110.0)</f>
        <v>110</v>
      </c>
      <c r="D1847" s="6">
        <f>IFERROR(__xludf.DUMMYFUNCTION("""COMPUTED_VALUE"""),45595.0)</f>
        <v>45595</v>
      </c>
      <c r="E1847" s="7" t="str">
        <f>IFERROR(__xludf.DUMMYFUNCTION("""COMPUTED_VALUE"""),"FRANQUIA_D&amp;G_SP")</f>
        <v>FRANQUIA_D&amp;G_SP</v>
      </c>
      <c r="F1847" s="7" t="str">
        <f>IFERROR(__xludf.DUMMYFUNCTION("""COMPUTED_VALUE"""),"BICYCLE")</f>
        <v>BICYCLE</v>
      </c>
      <c r="G1847" s="7" t="str">
        <f>IFERROR(__xludf.DUMMYFUNCTION("""COMPUTED_VALUE"""),"SAO PAULO")</f>
        <v>SAO PAULO</v>
      </c>
    </row>
    <row r="1848">
      <c r="A1848" s="6">
        <f>IFERROR(__xludf.DUMMYFUNCTION("""COMPUTED_VALUE"""),45705.0)</f>
        <v>45705</v>
      </c>
      <c r="B1848" s="7" t="str">
        <f>IFERROR(__xludf.DUMMYFUNCTION("""COMPUTED_VALUE"""),"990cc1be-8ebc-4bc5-8394-91b8b7973a9d")</f>
        <v>990cc1be-8ebc-4bc5-8394-91b8b7973a9d</v>
      </c>
      <c r="C1848" s="7">
        <f>IFERROR(__xludf.DUMMYFUNCTION("""COMPUTED_VALUE"""),4.0)</f>
        <v>4</v>
      </c>
      <c r="D1848" s="6">
        <f>IFERROR(__xludf.DUMMYFUNCTION("""COMPUTED_VALUE"""),45701.0)</f>
        <v>45701</v>
      </c>
      <c r="E1848" s="7" t="str">
        <f>IFERROR(__xludf.DUMMYFUNCTION("""COMPUTED_VALUE"""),"FRANQUIA_D&amp;G_SP")</f>
        <v>FRANQUIA_D&amp;G_SP</v>
      </c>
      <c r="F1848" s="7" t="str">
        <f>IFERROR(__xludf.DUMMYFUNCTION("""COMPUTED_VALUE"""),"MOTORCYCLE")</f>
        <v>MOTORCYCLE</v>
      </c>
      <c r="G1848" s="7" t="str">
        <f>IFERROR(__xludf.DUMMYFUNCTION("""COMPUTED_VALUE"""),"SAO PAULO")</f>
        <v>SAO PAULO</v>
      </c>
    </row>
    <row r="1849">
      <c r="A1849" s="6">
        <f>IFERROR(__xludf.DUMMYFUNCTION("""COMPUTED_VALUE"""),45705.0)</f>
        <v>45705</v>
      </c>
      <c r="B1849" s="7" t="str">
        <f>IFERROR(__xludf.DUMMYFUNCTION("""COMPUTED_VALUE"""),"9359d9f9-d672-4ee3-8273-dc0a2eec54ff")</f>
        <v>9359d9f9-d672-4ee3-8273-dc0a2eec54ff</v>
      </c>
      <c r="C1849" s="7">
        <f>IFERROR(__xludf.DUMMYFUNCTION("""COMPUTED_VALUE"""),5.0)</f>
        <v>5</v>
      </c>
      <c r="D1849" s="6">
        <f>IFERROR(__xludf.DUMMYFUNCTION("""COMPUTED_VALUE"""),45700.0)</f>
        <v>45700</v>
      </c>
      <c r="E1849" s="7" t="str">
        <f>IFERROR(__xludf.DUMMYFUNCTION("""COMPUTED_VALUE"""),"FRANQUIA_D&amp;G_SP")</f>
        <v>FRANQUIA_D&amp;G_SP</v>
      </c>
      <c r="F1849" s="7" t="str">
        <f>IFERROR(__xludf.DUMMYFUNCTION("""COMPUTED_VALUE"""),"BICYCLE")</f>
        <v>BICYCLE</v>
      </c>
      <c r="G1849" s="7" t="str">
        <f>IFERROR(__xludf.DUMMYFUNCTION("""COMPUTED_VALUE"""),"SAO PAULO")</f>
        <v>SAO PAULO</v>
      </c>
    </row>
    <row r="1850">
      <c r="A1850" s="6">
        <f>IFERROR(__xludf.DUMMYFUNCTION("""COMPUTED_VALUE"""),45705.0)</f>
        <v>45705</v>
      </c>
      <c r="B1850" s="7" t="str">
        <f>IFERROR(__xludf.DUMMYFUNCTION("""COMPUTED_VALUE"""),"51e8ea52-a10f-4d51-b957-ca6525005432")</f>
        <v>51e8ea52-a10f-4d51-b957-ca6525005432</v>
      </c>
      <c r="C1850" s="7">
        <f>IFERROR(__xludf.DUMMYFUNCTION("""COMPUTED_VALUE"""),0.0)</f>
        <v>0</v>
      </c>
      <c r="D1850" s="6">
        <f>IFERROR(__xludf.DUMMYFUNCTION("""COMPUTED_VALUE"""),45705.0)</f>
        <v>45705</v>
      </c>
      <c r="E1850" s="7" t="str">
        <f>IFERROR(__xludf.DUMMYFUNCTION("""COMPUTED_VALUE"""),"FRANQUIA_D&amp;G_SP")</f>
        <v>FRANQUIA_D&amp;G_SP</v>
      </c>
      <c r="F1850" s="7" t="str">
        <f>IFERROR(__xludf.DUMMYFUNCTION("""COMPUTED_VALUE"""),"EMOTORCYCLE")</f>
        <v>EMOTORCYCLE</v>
      </c>
      <c r="G1850" s="7" t="str">
        <f>IFERROR(__xludf.DUMMYFUNCTION("""COMPUTED_VALUE"""),"SAO PAULO")</f>
        <v>SAO PAULO</v>
      </c>
    </row>
    <row r="1851">
      <c r="A1851" s="6">
        <f>IFERROR(__xludf.DUMMYFUNCTION("""COMPUTED_VALUE"""),45705.0)</f>
        <v>45705</v>
      </c>
      <c r="B1851" s="7" t="str">
        <f>IFERROR(__xludf.DUMMYFUNCTION("""COMPUTED_VALUE"""),"7c0402bf-4192-4c48-a076-ee03e414c404")</f>
        <v>7c0402bf-4192-4c48-a076-ee03e414c404</v>
      </c>
      <c r="C1851" s="7">
        <f>IFERROR(__xludf.DUMMYFUNCTION("""COMPUTED_VALUE"""),4.0)</f>
        <v>4</v>
      </c>
      <c r="D1851" s="6">
        <f>IFERROR(__xludf.DUMMYFUNCTION("""COMPUTED_VALUE"""),45701.0)</f>
        <v>45701</v>
      </c>
      <c r="E1851" s="7" t="str">
        <f>IFERROR(__xludf.DUMMYFUNCTION("""COMPUTED_VALUE"""),"FRANQUIA_D&amp;G_SP")</f>
        <v>FRANQUIA_D&amp;G_SP</v>
      </c>
      <c r="F1851" s="7" t="str">
        <f>IFERROR(__xludf.DUMMYFUNCTION("""COMPUTED_VALUE"""),"MOTORCYCLE")</f>
        <v>MOTORCYCLE</v>
      </c>
      <c r="G1851" s="7" t="str">
        <f>IFERROR(__xludf.DUMMYFUNCTION("""COMPUTED_VALUE"""),"SAO PAULO")</f>
        <v>SAO PAULO</v>
      </c>
    </row>
    <row r="1852">
      <c r="A1852" s="6">
        <f>IFERROR(__xludf.DUMMYFUNCTION("""COMPUTED_VALUE"""),45705.0)</f>
        <v>45705</v>
      </c>
      <c r="B1852" s="7" t="str">
        <f>IFERROR(__xludf.DUMMYFUNCTION("""COMPUTED_VALUE"""),"f454e2d2-396e-4e25-ad78-0722a1cd80d6")</f>
        <v>f454e2d2-396e-4e25-ad78-0722a1cd80d6</v>
      </c>
      <c r="C1852" s="7">
        <f>IFERROR(__xludf.DUMMYFUNCTION("""COMPUTED_VALUE"""),1.0)</f>
        <v>1</v>
      </c>
      <c r="D1852" s="6">
        <f>IFERROR(__xludf.DUMMYFUNCTION("""COMPUTED_VALUE"""),45704.0)</f>
        <v>45704</v>
      </c>
      <c r="E1852" s="7" t="str">
        <f>IFERROR(__xludf.DUMMYFUNCTION("""COMPUTED_VALUE"""),"FRANQUIA_D&amp;G_SP")</f>
        <v>FRANQUIA_D&amp;G_SP</v>
      </c>
      <c r="F1852" s="7" t="str">
        <f>IFERROR(__xludf.DUMMYFUNCTION("""COMPUTED_VALUE"""),"MOTORCYCLE")</f>
        <v>MOTORCYCLE</v>
      </c>
      <c r="G1852" s="7" t="str">
        <f>IFERROR(__xludf.DUMMYFUNCTION("""COMPUTED_VALUE"""),"SAO PAULO")</f>
        <v>SAO PAULO</v>
      </c>
    </row>
    <row r="1853">
      <c r="A1853" s="6">
        <f>IFERROR(__xludf.DUMMYFUNCTION("""COMPUTED_VALUE"""),45705.0)</f>
        <v>45705</v>
      </c>
      <c r="B1853" s="7" t="str">
        <f>IFERROR(__xludf.DUMMYFUNCTION("""COMPUTED_VALUE"""),"c9f0cc01-fbba-4257-b372-a14d6fd74a85")</f>
        <v>c9f0cc01-fbba-4257-b372-a14d6fd74a85</v>
      </c>
      <c r="C1853" s="7">
        <f>IFERROR(__xludf.DUMMYFUNCTION("""COMPUTED_VALUE"""),1.0)</f>
        <v>1</v>
      </c>
      <c r="D1853" s="6">
        <f>IFERROR(__xludf.DUMMYFUNCTION("""COMPUTED_VALUE"""),45704.0)</f>
        <v>45704</v>
      </c>
      <c r="E1853" s="7" t="str">
        <f>IFERROR(__xludf.DUMMYFUNCTION("""COMPUTED_VALUE"""),"FRANQUIA_D&amp;G_SP")</f>
        <v>FRANQUIA_D&amp;G_SP</v>
      </c>
      <c r="F1853" s="7" t="str">
        <f>IFERROR(__xludf.DUMMYFUNCTION("""COMPUTED_VALUE"""),"MOTORCYCLE")</f>
        <v>MOTORCYCLE</v>
      </c>
      <c r="G1853" s="7" t="str">
        <f>IFERROR(__xludf.DUMMYFUNCTION("""COMPUTED_VALUE"""),"CARAPICUIBA")</f>
        <v>CARAPICUIBA</v>
      </c>
    </row>
    <row r="1854">
      <c r="A1854" s="6">
        <f>IFERROR(__xludf.DUMMYFUNCTION("""COMPUTED_VALUE"""),45705.0)</f>
        <v>45705</v>
      </c>
      <c r="B1854" s="7" t="str">
        <f>IFERROR(__xludf.DUMMYFUNCTION("""COMPUTED_VALUE"""),"a1c08baa-1785-4fb7-adbf-8c07e46d23c8")</f>
        <v>a1c08baa-1785-4fb7-adbf-8c07e46d23c8</v>
      </c>
      <c r="C1854" s="7">
        <f>IFERROR(__xludf.DUMMYFUNCTION("""COMPUTED_VALUE"""),1.0)</f>
        <v>1</v>
      </c>
      <c r="D1854" s="6">
        <f>IFERROR(__xludf.DUMMYFUNCTION("""COMPUTED_VALUE"""),45704.0)</f>
        <v>45704</v>
      </c>
      <c r="E1854" s="7" t="str">
        <f>IFERROR(__xludf.DUMMYFUNCTION("""COMPUTED_VALUE"""),"FRANQUIA_D&amp;G_SP")</f>
        <v>FRANQUIA_D&amp;G_SP</v>
      </c>
      <c r="F1854" s="7" t="str">
        <f>IFERROR(__xludf.DUMMYFUNCTION("""COMPUTED_VALUE"""),"EMOTORCYCLE")</f>
        <v>EMOTORCYCLE</v>
      </c>
      <c r="G1854" s="7" t="str">
        <f>IFERROR(__xludf.DUMMYFUNCTION("""COMPUTED_VALUE"""),"SAO PAULO")</f>
        <v>SAO PAULO</v>
      </c>
    </row>
    <row r="1855">
      <c r="A1855" s="6">
        <f>IFERROR(__xludf.DUMMYFUNCTION("""COMPUTED_VALUE"""),45705.0)</f>
        <v>45705</v>
      </c>
      <c r="B1855" s="7" t="str">
        <f>IFERROR(__xludf.DUMMYFUNCTION("""COMPUTED_VALUE"""),"ca2dc6bb-47a8-4247-8989-78b454892157")</f>
        <v>ca2dc6bb-47a8-4247-8989-78b454892157</v>
      </c>
      <c r="C1855" s="7">
        <f>IFERROR(__xludf.DUMMYFUNCTION("""COMPUTED_VALUE"""),407.0)</f>
        <v>407</v>
      </c>
      <c r="D1855" s="6">
        <f>IFERROR(__xludf.DUMMYFUNCTION("""COMPUTED_VALUE"""),45298.0)</f>
        <v>45298</v>
      </c>
      <c r="E1855" s="7" t="str">
        <f>IFERROR(__xludf.DUMMYFUNCTION("""COMPUTED_VALUE"""),"FRANQUIA_D&amp;G_SP")</f>
        <v>FRANQUIA_D&amp;G_SP</v>
      </c>
      <c r="F1855" s="7" t="str">
        <f>IFERROR(__xludf.DUMMYFUNCTION("""COMPUTED_VALUE"""),"BICYCLE")</f>
        <v>BICYCLE</v>
      </c>
      <c r="G1855" s="7" t="str">
        <f>IFERROR(__xludf.DUMMYFUNCTION("""COMPUTED_VALUE"""),"SAO PAULO")</f>
        <v>SAO PAULO</v>
      </c>
    </row>
    <row r="1856">
      <c r="A1856" s="6">
        <f>IFERROR(__xludf.DUMMYFUNCTION("""COMPUTED_VALUE"""),45705.0)</f>
        <v>45705</v>
      </c>
      <c r="B1856" s="7" t="str">
        <f>IFERROR(__xludf.DUMMYFUNCTION("""COMPUTED_VALUE"""),"41007fbf-9397-4189-8f3d-be29ba4af30f")</f>
        <v>41007fbf-9397-4189-8f3d-be29ba4af30f</v>
      </c>
      <c r="C1856" s="7">
        <f>IFERROR(__xludf.DUMMYFUNCTION("""COMPUTED_VALUE"""),0.0)</f>
        <v>0</v>
      </c>
      <c r="D1856" s="6">
        <f>IFERROR(__xludf.DUMMYFUNCTION("""COMPUTED_VALUE"""),45705.0)</f>
        <v>45705</v>
      </c>
      <c r="E1856" s="7" t="str">
        <f>IFERROR(__xludf.DUMMYFUNCTION("""COMPUTED_VALUE"""),"FRANQUIA_D&amp;G_SP")</f>
        <v>FRANQUIA_D&amp;G_SP</v>
      </c>
      <c r="F1856" s="7" t="str">
        <f>IFERROR(__xludf.DUMMYFUNCTION("""COMPUTED_VALUE"""),"MOTORCYCLE")</f>
        <v>MOTORCYCLE</v>
      </c>
      <c r="G1856" s="7" t="str">
        <f>IFERROR(__xludf.DUMMYFUNCTION("""COMPUTED_VALUE"""),"SAO PAULO")</f>
        <v>SAO PAULO</v>
      </c>
    </row>
    <row r="1857">
      <c r="A1857" s="6">
        <f>IFERROR(__xludf.DUMMYFUNCTION("""COMPUTED_VALUE"""),45705.0)</f>
        <v>45705</v>
      </c>
      <c r="B1857" s="7" t="str">
        <f>IFERROR(__xludf.DUMMYFUNCTION("""COMPUTED_VALUE"""),"b3f35e5b-6c58-4e6d-a140-9f595926b312")</f>
        <v>b3f35e5b-6c58-4e6d-a140-9f595926b312</v>
      </c>
      <c r="C1857" s="7">
        <f>IFERROR(__xludf.DUMMYFUNCTION("""COMPUTED_VALUE"""),0.0)</f>
        <v>0</v>
      </c>
      <c r="D1857" s="6">
        <f>IFERROR(__xludf.DUMMYFUNCTION("""COMPUTED_VALUE"""),45705.0)</f>
        <v>45705</v>
      </c>
      <c r="E1857" s="7" t="str">
        <f>IFERROR(__xludf.DUMMYFUNCTION("""COMPUTED_VALUE"""),"FRANQUIA_D&amp;G_SP")</f>
        <v>FRANQUIA_D&amp;G_SP</v>
      </c>
      <c r="F1857" s="7" t="str">
        <f>IFERROR(__xludf.DUMMYFUNCTION("""COMPUTED_VALUE"""),"MOTORCYCLE")</f>
        <v>MOTORCYCLE</v>
      </c>
      <c r="G1857" s="7" t="str">
        <f>IFERROR(__xludf.DUMMYFUNCTION("""COMPUTED_VALUE"""),"RECIFE")</f>
        <v>RECIFE</v>
      </c>
    </row>
    <row r="1858">
      <c r="A1858" s="6">
        <f>IFERROR(__xludf.DUMMYFUNCTION("""COMPUTED_VALUE"""),45705.0)</f>
        <v>45705</v>
      </c>
      <c r="B1858" s="7" t="str">
        <f>IFERROR(__xludf.DUMMYFUNCTION("""COMPUTED_VALUE"""),"886dff3e-8456-480f-bfe0-fbd782899de6")</f>
        <v>886dff3e-8456-480f-bfe0-fbd782899de6</v>
      </c>
      <c r="C1858" s="7">
        <f>IFERROR(__xludf.DUMMYFUNCTION("""COMPUTED_VALUE"""),0.0)</f>
        <v>0</v>
      </c>
      <c r="D1858" s="6">
        <f>IFERROR(__xludf.DUMMYFUNCTION("""COMPUTED_VALUE"""),45705.0)</f>
        <v>45705</v>
      </c>
      <c r="E1858" s="7" t="str">
        <f>IFERROR(__xludf.DUMMYFUNCTION("""COMPUTED_VALUE"""),"FRANQUIA_D&amp;G_SP")</f>
        <v>FRANQUIA_D&amp;G_SP</v>
      </c>
      <c r="F1858" s="7" t="str">
        <f>IFERROR(__xludf.DUMMYFUNCTION("""COMPUTED_VALUE"""),"MOTORCYCLE")</f>
        <v>MOTORCYCLE</v>
      </c>
      <c r="G1858" s="7" t="str">
        <f>IFERROR(__xludf.DUMMYFUNCTION("""COMPUTED_VALUE"""),"SAO PAULO")</f>
        <v>SAO PAULO</v>
      </c>
    </row>
    <row r="1859">
      <c r="A1859" s="6">
        <f>IFERROR(__xludf.DUMMYFUNCTION("""COMPUTED_VALUE"""),45705.0)</f>
        <v>45705</v>
      </c>
      <c r="B1859" s="7" t="str">
        <f>IFERROR(__xludf.DUMMYFUNCTION("""COMPUTED_VALUE"""),"3eda7492-8e7e-4bb0-a10d-12948dc25952")</f>
        <v>3eda7492-8e7e-4bb0-a10d-12948dc25952</v>
      </c>
      <c r="C1859" s="7">
        <f>IFERROR(__xludf.DUMMYFUNCTION("""COMPUTED_VALUE"""),100.0)</f>
        <v>100</v>
      </c>
      <c r="D1859" s="6">
        <f>IFERROR(__xludf.DUMMYFUNCTION("""COMPUTED_VALUE"""),45605.0)</f>
        <v>45605</v>
      </c>
      <c r="E1859" s="7" t="str">
        <f>IFERROR(__xludf.DUMMYFUNCTION("""COMPUTED_VALUE"""),"FRANQUIA_D&amp;G_SP")</f>
        <v>FRANQUIA_D&amp;G_SP</v>
      </c>
      <c r="F1859" s="7" t="str">
        <f>IFERROR(__xludf.DUMMYFUNCTION("""COMPUTED_VALUE"""),"BICYCLE")</f>
        <v>BICYCLE</v>
      </c>
      <c r="G1859" s="7" t="str">
        <f>IFERROR(__xludf.DUMMYFUNCTION("""COMPUTED_VALUE"""),"SAO PAULO")</f>
        <v>SAO PAULO</v>
      </c>
    </row>
    <row r="1860">
      <c r="A1860" s="6">
        <f>IFERROR(__xludf.DUMMYFUNCTION("""COMPUTED_VALUE"""),45705.0)</f>
        <v>45705</v>
      </c>
      <c r="B1860" s="7" t="str">
        <f>IFERROR(__xludf.DUMMYFUNCTION("""COMPUTED_VALUE"""),"8aef656d-4eec-4e1f-b833-2c50422a8f21")</f>
        <v>8aef656d-4eec-4e1f-b833-2c50422a8f21</v>
      </c>
      <c r="C1860" s="7">
        <f>IFERROR(__xludf.DUMMYFUNCTION("""COMPUTED_VALUE"""),5.0)</f>
        <v>5</v>
      </c>
      <c r="D1860" s="6">
        <f>IFERROR(__xludf.DUMMYFUNCTION("""COMPUTED_VALUE"""),45700.0)</f>
        <v>45700</v>
      </c>
      <c r="E1860" s="7" t="str">
        <f>IFERROR(__xludf.DUMMYFUNCTION("""COMPUTED_VALUE"""),"FRANQUIA_D&amp;G_SP")</f>
        <v>FRANQUIA_D&amp;G_SP</v>
      </c>
      <c r="F1860" s="7" t="str">
        <f>IFERROR(__xludf.DUMMYFUNCTION("""COMPUTED_VALUE"""),"MOTORCYCLE")</f>
        <v>MOTORCYCLE</v>
      </c>
      <c r="G1860" s="7" t="str">
        <f>IFERROR(__xludf.DUMMYFUNCTION("""COMPUTED_VALUE"""),"ABC")</f>
        <v>ABC</v>
      </c>
    </row>
    <row r="1861">
      <c r="A1861" s="6">
        <f>IFERROR(__xludf.DUMMYFUNCTION("""COMPUTED_VALUE"""),45705.0)</f>
        <v>45705</v>
      </c>
      <c r="B1861" s="7" t="str">
        <f>IFERROR(__xludf.DUMMYFUNCTION("""COMPUTED_VALUE"""),"b120b7b4-35a6-4459-9bc9-4bf55bc30a4d")</f>
        <v>b120b7b4-35a6-4459-9bc9-4bf55bc30a4d</v>
      </c>
      <c r="C1861" s="7">
        <f>IFERROR(__xludf.DUMMYFUNCTION("""COMPUTED_VALUE"""),337.0)</f>
        <v>337</v>
      </c>
      <c r="D1861" s="6">
        <f>IFERROR(__xludf.DUMMYFUNCTION("""COMPUTED_VALUE"""),45368.0)</f>
        <v>45368</v>
      </c>
      <c r="E1861" s="7" t="str">
        <f>IFERROR(__xludf.DUMMYFUNCTION("""COMPUTED_VALUE"""),"FRANQUIA_D&amp;G_SP")</f>
        <v>FRANQUIA_D&amp;G_SP</v>
      </c>
      <c r="F1861" s="7" t="str">
        <f>IFERROR(__xludf.DUMMYFUNCTION("""COMPUTED_VALUE"""),"BICYCLE")</f>
        <v>BICYCLE</v>
      </c>
      <c r="G1861" s="7" t="str">
        <f>IFERROR(__xludf.DUMMYFUNCTION("""COMPUTED_VALUE"""),"SAO PAULO")</f>
        <v>SAO PAULO</v>
      </c>
    </row>
    <row r="1862">
      <c r="A1862" s="6">
        <f>IFERROR(__xludf.DUMMYFUNCTION("""COMPUTED_VALUE"""),45705.0)</f>
        <v>45705</v>
      </c>
      <c r="B1862" s="7" t="str">
        <f>IFERROR(__xludf.DUMMYFUNCTION("""COMPUTED_VALUE"""),"9f385c5f-4a95-4aef-9288-9efd7e4474dc")</f>
        <v>9f385c5f-4a95-4aef-9288-9efd7e4474dc</v>
      </c>
      <c r="C1862" s="7">
        <f>IFERROR(__xludf.DUMMYFUNCTION("""COMPUTED_VALUE"""),131.0)</f>
        <v>131</v>
      </c>
      <c r="D1862" s="6">
        <f>IFERROR(__xludf.DUMMYFUNCTION("""COMPUTED_VALUE"""),45574.0)</f>
        <v>45574</v>
      </c>
      <c r="E1862" s="7" t="str">
        <f>IFERROR(__xludf.DUMMYFUNCTION("""COMPUTED_VALUE"""),"FRANQUIA_D&amp;G_SP")</f>
        <v>FRANQUIA_D&amp;G_SP</v>
      </c>
      <c r="F1862" s="7" t="str">
        <f>IFERROR(__xludf.DUMMYFUNCTION("""COMPUTED_VALUE"""),"BICYCLE")</f>
        <v>BICYCLE</v>
      </c>
      <c r="G1862" s="7" t="str">
        <f>IFERROR(__xludf.DUMMYFUNCTION("""COMPUTED_VALUE"""),"SAO PAULO")</f>
        <v>SAO PAULO</v>
      </c>
    </row>
    <row r="1863">
      <c r="A1863" s="6">
        <f>IFERROR(__xludf.DUMMYFUNCTION("""COMPUTED_VALUE"""),45705.0)</f>
        <v>45705</v>
      </c>
      <c r="B1863" s="7" t="str">
        <f>IFERROR(__xludf.DUMMYFUNCTION("""COMPUTED_VALUE"""),"ddb715d5-4813-45fd-adba-3ec7e772f64d")</f>
        <v>ddb715d5-4813-45fd-adba-3ec7e772f64d</v>
      </c>
      <c r="C1863" s="7">
        <f>IFERROR(__xludf.DUMMYFUNCTION("""COMPUTED_VALUE"""),0.0)</f>
        <v>0</v>
      </c>
      <c r="D1863" s="6">
        <f>IFERROR(__xludf.DUMMYFUNCTION("""COMPUTED_VALUE"""),45705.0)</f>
        <v>45705</v>
      </c>
      <c r="E1863" s="7" t="str">
        <f>IFERROR(__xludf.DUMMYFUNCTION("""COMPUTED_VALUE"""),"FRANQUIA_D&amp;G_SP")</f>
        <v>FRANQUIA_D&amp;G_SP</v>
      </c>
      <c r="F1863" s="7" t="str">
        <f>IFERROR(__xludf.DUMMYFUNCTION("""COMPUTED_VALUE"""),"MOTORCYCLE")</f>
        <v>MOTORCYCLE</v>
      </c>
      <c r="G1863" s="7" t="str">
        <f>IFERROR(__xludf.DUMMYFUNCTION("""COMPUTED_VALUE"""),"SAO PAULO")</f>
        <v>SAO PAULO</v>
      </c>
    </row>
    <row r="1864">
      <c r="A1864" s="6">
        <f>IFERROR(__xludf.DUMMYFUNCTION("""COMPUTED_VALUE"""),45705.0)</f>
        <v>45705</v>
      </c>
      <c r="B1864" s="7" t="str">
        <f>IFERROR(__xludf.DUMMYFUNCTION("""COMPUTED_VALUE"""),"a65461e0-ac17-4c33-93b6-bb4af27c99be")</f>
        <v>a65461e0-ac17-4c33-93b6-bb4af27c99be</v>
      </c>
      <c r="C1864" s="7">
        <f>IFERROR(__xludf.DUMMYFUNCTION("""COMPUTED_VALUE"""),0.0)</f>
        <v>0</v>
      </c>
      <c r="D1864" s="6">
        <f>IFERROR(__xludf.DUMMYFUNCTION("""COMPUTED_VALUE"""),0.0)</f>
        <v>0</v>
      </c>
      <c r="E1864" s="7" t="str">
        <f>IFERROR(__xludf.DUMMYFUNCTION("""COMPUTED_VALUE"""),"FRANQUIA_D&amp;G_SP")</f>
        <v>FRANQUIA_D&amp;G_SP</v>
      </c>
      <c r="F1864" s="7" t="str">
        <f>IFERROR(__xludf.DUMMYFUNCTION("""COMPUTED_VALUE"""),"MOTORCYCLE")</f>
        <v>MOTORCYCLE</v>
      </c>
      <c r="G1864" s="7" t="str">
        <f>IFERROR(__xludf.DUMMYFUNCTION("""COMPUTED_VALUE"""),"0")</f>
        <v>0</v>
      </c>
    </row>
    <row r="1865">
      <c r="A1865" s="6">
        <f>IFERROR(__xludf.DUMMYFUNCTION("""COMPUTED_VALUE"""),45705.0)</f>
        <v>45705</v>
      </c>
      <c r="B1865" s="7" t="str">
        <f>IFERROR(__xludf.DUMMYFUNCTION("""COMPUTED_VALUE"""),"992cadee-53c5-4d1a-973d-95f2031069b0")</f>
        <v>992cadee-53c5-4d1a-973d-95f2031069b0</v>
      </c>
      <c r="C1865" s="7">
        <f>IFERROR(__xludf.DUMMYFUNCTION("""COMPUTED_VALUE"""),228.0)</f>
        <v>228</v>
      </c>
      <c r="D1865" s="6">
        <f>IFERROR(__xludf.DUMMYFUNCTION("""COMPUTED_VALUE"""),45477.0)</f>
        <v>45477</v>
      </c>
      <c r="E1865" s="7" t="str">
        <f>IFERROR(__xludf.DUMMYFUNCTION("""COMPUTED_VALUE"""),"FRANQUIA_D&amp;G_SP")</f>
        <v>FRANQUIA_D&amp;G_SP</v>
      </c>
      <c r="F1865" s="7" t="str">
        <f>IFERROR(__xludf.DUMMYFUNCTION("""COMPUTED_VALUE"""),"BICYCLE")</f>
        <v>BICYCLE</v>
      </c>
      <c r="G1865" s="7" t="str">
        <f>IFERROR(__xludf.DUMMYFUNCTION("""COMPUTED_VALUE"""),"SAO PAULO")</f>
        <v>SAO PAULO</v>
      </c>
    </row>
    <row r="1866">
      <c r="A1866" s="6">
        <f>IFERROR(__xludf.DUMMYFUNCTION("""COMPUTED_VALUE"""),45705.0)</f>
        <v>45705</v>
      </c>
      <c r="B1866" s="7" t="str">
        <f>IFERROR(__xludf.DUMMYFUNCTION("""COMPUTED_VALUE"""),"e50879b6-8821-4c36-93c4-6d48a92ffb6b")</f>
        <v>e50879b6-8821-4c36-93c4-6d48a92ffb6b</v>
      </c>
      <c r="C1866" s="7">
        <f>IFERROR(__xludf.DUMMYFUNCTION("""COMPUTED_VALUE"""),1.0)</f>
        <v>1</v>
      </c>
      <c r="D1866" s="6">
        <f>IFERROR(__xludf.DUMMYFUNCTION("""COMPUTED_VALUE"""),45704.0)</f>
        <v>45704</v>
      </c>
      <c r="E1866" s="7" t="str">
        <f>IFERROR(__xludf.DUMMYFUNCTION("""COMPUTED_VALUE"""),"FRANQUIA_D&amp;G_SP")</f>
        <v>FRANQUIA_D&amp;G_SP</v>
      </c>
      <c r="F1866" s="7" t="str">
        <f>IFERROR(__xludf.DUMMYFUNCTION("""COMPUTED_VALUE"""),"MOTORCYCLE")</f>
        <v>MOTORCYCLE</v>
      </c>
      <c r="G1866" s="7" t="str">
        <f>IFERROR(__xludf.DUMMYFUNCTION("""COMPUTED_VALUE"""),"SAO PAULO")</f>
        <v>SAO PAULO</v>
      </c>
    </row>
    <row r="1867">
      <c r="A1867" s="6">
        <f>IFERROR(__xludf.DUMMYFUNCTION("""COMPUTED_VALUE"""),45705.0)</f>
        <v>45705</v>
      </c>
      <c r="B1867" s="7" t="str">
        <f>IFERROR(__xludf.DUMMYFUNCTION("""COMPUTED_VALUE"""),"e616f84b-7316-40d8-aa2c-2b6add4f13a4")</f>
        <v>e616f84b-7316-40d8-aa2c-2b6add4f13a4</v>
      </c>
      <c r="C1867" s="7">
        <f>IFERROR(__xludf.DUMMYFUNCTION("""COMPUTED_VALUE"""),0.0)</f>
        <v>0</v>
      </c>
      <c r="D1867" s="6">
        <f>IFERROR(__xludf.DUMMYFUNCTION("""COMPUTED_VALUE"""),45705.0)</f>
        <v>45705</v>
      </c>
      <c r="E1867" s="7" t="str">
        <f>IFERROR(__xludf.DUMMYFUNCTION("""COMPUTED_VALUE"""),"FRANQUIA_D&amp;G_SP")</f>
        <v>FRANQUIA_D&amp;G_SP</v>
      </c>
      <c r="F1867" s="7" t="str">
        <f>IFERROR(__xludf.DUMMYFUNCTION("""COMPUTED_VALUE"""),"MOTORCYCLE")</f>
        <v>MOTORCYCLE</v>
      </c>
      <c r="G1867" s="7" t="str">
        <f>IFERROR(__xludf.DUMMYFUNCTION("""COMPUTED_VALUE"""),"SAO PAULO")</f>
        <v>SAO PAULO</v>
      </c>
    </row>
    <row r="1868">
      <c r="A1868" s="6">
        <f>IFERROR(__xludf.DUMMYFUNCTION("""COMPUTED_VALUE"""),45705.0)</f>
        <v>45705</v>
      </c>
      <c r="B1868" s="7" t="str">
        <f>IFERROR(__xludf.DUMMYFUNCTION("""COMPUTED_VALUE"""),"3b2baa59-525e-4e61-a0e7-195b33139b49")</f>
        <v>3b2baa59-525e-4e61-a0e7-195b33139b49</v>
      </c>
      <c r="C1868" s="7">
        <f>IFERROR(__xludf.DUMMYFUNCTION("""COMPUTED_VALUE"""),7.0)</f>
        <v>7</v>
      </c>
      <c r="D1868" s="6">
        <f>IFERROR(__xludf.DUMMYFUNCTION("""COMPUTED_VALUE"""),45698.0)</f>
        <v>45698</v>
      </c>
      <c r="E1868" s="7" t="str">
        <f>IFERROR(__xludf.DUMMYFUNCTION("""COMPUTED_VALUE"""),"FRANQUIA_D&amp;G_SP")</f>
        <v>FRANQUIA_D&amp;G_SP</v>
      </c>
      <c r="F1868" s="7" t="str">
        <f>IFERROR(__xludf.DUMMYFUNCTION("""COMPUTED_VALUE"""),"MOTORCYCLE")</f>
        <v>MOTORCYCLE</v>
      </c>
      <c r="G1868" s="7" t="str">
        <f>IFERROR(__xludf.DUMMYFUNCTION("""COMPUTED_VALUE"""),"SAO PAULO")</f>
        <v>SAO PAULO</v>
      </c>
    </row>
    <row r="1869">
      <c r="A1869" s="6">
        <f>IFERROR(__xludf.DUMMYFUNCTION("""COMPUTED_VALUE"""),45705.0)</f>
        <v>45705</v>
      </c>
      <c r="B1869" s="7" t="str">
        <f>IFERROR(__xludf.DUMMYFUNCTION("""COMPUTED_VALUE"""),"0d6259aa-8c68-4634-aa56-adaacf2cb6df")</f>
        <v>0d6259aa-8c68-4634-aa56-adaacf2cb6df</v>
      </c>
      <c r="C1869" s="7">
        <f>IFERROR(__xludf.DUMMYFUNCTION("""COMPUTED_VALUE"""),0.0)</f>
        <v>0</v>
      </c>
      <c r="D1869" s="6">
        <f>IFERROR(__xludf.DUMMYFUNCTION("""COMPUTED_VALUE"""),45705.0)</f>
        <v>45705</v>
      </c>
      <c r="E1869" s="7" t="str">
        <f>IFERROR(__xludf.DUMMYFUNCTION("""COMPUTED_VALUE"""),"FRANQUIA_D&amp;G_SP")</f>
        <v>FRANQUIA_D&amp;G_SP</v>
      </c>
      <c r="F1869" s="7" t="str">
        <f>IFERROR(__xludf.DUMMYFUNCTION("""COMPUTED_VALUE"""),"BICYCLE")</f>
        <v>BICYCLE</v>
      </c>
      <c r="G1869" s="7" t="str">
        <f>IFERROR(__xludf.DUMMYFUNCTION("""COMPUTED_VALUE"""),"SAO PAULO")</f>
        <v>SAO PAULO</v>
      </c>
    </row>
    <row r="1870">
      <c r="A1870" s="6">
        <f>IFERROR(__xludf.DUMMYFUNCTION("""COMPUTED_VALUE"""),45705.0)</f>
        <v>45705</v>
      </c>
      <c r="B1870" s="7" t="str">
        <f>IFERROR(__xludf.DUMMYFUNCTION("""COMPUTED_VALUE"""),"c9df0572-0c47-4153-ab57-b185c847c031")</f>
        <v>c9df0572-0c47-4153-ab57-b185c847c031</v>
      </c>
      <c r="C1870" s="7">
        <f>IFERROR(__xludf.DUMMYFUNCTION("""COMPUTED_VALUE"""),16.0)</f>
        <v>16</v>
      </c>
      <c r="D1870" s="6">
        <f>IFERROR(__xludf.DUMMYFUNCTION("""COMPUTED_VALUE"""),45689.0)</f>
        <v>45689</v>
      </c>
      <c r="E1870" s="7" t="str">
        <f>IFERROR(__xludf.DUMMYFUNCTION("""COMPUTED_VALUE"""),"FRANQUIA_D&amp;G_SP")</f>
        <v>FRANQUIA_D&amp;G_SP</v>
      </c>
      <c r="F1870" s="7" t="str">
        <f>IFERROR(__xludf.DUMMYFUNCTION("""COMPUTED_VALUE"""),"MOTORCYCLE")</f>
        <v>MOTORCYCLE</v>
      </c>
      <c r="G1870" s="7" t="str">
        <f>IFERROR(__xludf.DUMMYFUNCTION("""COMPUTED_VALUE"""),"SAO PAULO")</f>
        <v>SAO PAULO</v>
      </c>
    </row>
    <row r="1871">
      <c r="A1871" s="6">
        <f>IFERROR(__xludf.DUMMYFUNCTION("""COMPUTED_VALUE"""),45705.0)</f>
        <v>45705</v>
      </c>
      <c r="B1871" s="7" t="str">
        <f>IFERROR(__xludf.DUMMYFUNCTION("""COMPUTED_VALUE"""),"ee0a113d-b9f8-4acb-991b-ea844b6331b1")</f>
        <v>ee0a113d-b9f8-4acb-991b-ea844b6331b1</v>
      </c>
      <c r="C1871" s="7">
        <f>IFERROR(__xludf.DUMMYFUNCTION("""COMPUTED_VALUE"""),2.0)</f>
        <v>2</v>
      </c>
      <c r="D1871" s="6">
        <f>IFERROR(__xludf.DUMMYFUNCTION("""COMPUTED_VALUE"""),45703.0)</f>
        <v>45703</v>
      </c>
      <c r="E1871" s="7" t="str">
        <f>IFERROR(__xludf.DUMMYFUNCTION("""COMPUTED_VALUE"""),"FRANQUIA_D&amp;G_SP")</f>
        <v>FRANQUIA_D&amp;G_SP</v>
      </c>
      <c r="F1871" s="7" t="str">
        <f>IFERROR(__xludf.DUMMYFUNCTION("""COMPUTED_VALUE"""),"MOTORCYCLE")</f>
        <v>MOTORCYCLE</v>
      </c>
      <c r="G1871" s="7" t="str">
        <f>IFERROR(__xludf.DUMMYFUNCTION("""COMPUTED_VALUE"""),"SAO PAULO")</f>
        <v>SAO PAULO</v>
      </c>
    </row>
    <row r="1872">
      <c r="A1872" s="6">
        <f>IFERROR(__xludf.DUMMYFUNCTION("""COMPUTED_VALUE"""),45705.0)</f>
        <v>45705</v>
      </c>
      <c r="B1872" s="7" t="str">
        <f>IFERROR(__xludf.DUMMYFUNCTION("""COMPUTED_VALUE"""),"4ce4ba27-5deb-47f5-9591-061893dad55c")</f>
        <v>4ce4ba27-5deb-47f5-9591-061893dad55c</v>
      </c>
      <c r="C1872" s="7">
        <f>IFERROR(__xludf.DUMMYFUNCTION("""COMPUTED_VALUE"""),0.0)</f>
        <v>0</v>
      </c>
      <c r="D1872" s="6">
        <f>IFERROR(__xludf.DUMMYFUNCTION("""COMPUTED_VALUE"""),45705.0)</f>
        <v>45705</v>
      </c>
      <c r="E1872" s="7" t="str">
        <f>IFERROR(__xludf.DUMMYFUNCTION("""COMPUTED_VALUE"""),"FRANQUIA_D&amp;G_SP")</f>
        <v>FRANQUIA_D&amp;G_SP</v>
      </c>
      <c r="F1872" s="7" t="str">
        <f>IFERROR(__xludf.DUMMYFUNCTION("""COMPUTED_VALUE"""),"MOTORCYCLE")</f>
        <v>MOTORCYCLE</v>
      </c>
      <c r="G1872" s="7" t="str">
        <f>IFERROR(__xludf.DUMMYFUNCTION("""COMPUTED_VALUE"""),"SAO PAULO")</f>
        <v>SAO PAULO</v>
      </c>
    </row>
    <row r="1873">
      <c r="A1873" s="6">
        <f>IFERROR(__xludf.DUMMYFUNCTION("""COMPUTED_VALUE"""),45705.0)</f>
        <v>45705</v>
      </c>
      <c r="B1873" s="7" t="str">
        <f>IFERROR(__xludf.DUMMYFUNCTION("""COMPUTED_VALUE"""),"2d0337fc-a401-4520-b640-bcfcb9a6346f")</f>
        <v>2d0337fc-a401-4520-b640-bcfcb9a6346f</v>
      </c>
      <c r="C1873" s="7">
        <f>IFERROR(__xludf.DUMMYFUNCTION("""COMPUTED_VALUE"""),0.0)</f>
        <v>0</v>
      </c>
      <c r="D1873" s="6">
        <f>IFERROR(__xludf.DUMMYFUNCTION("""COMPUTED_VALUE"""),45705.0)</f>
        <v>45705</v>
      </c>
      <c r="E1873" s="7" t="str">
        <f>IFERROR(__xludf.DUMMYFUNCTION("""COMPUTED_VALUE"""),"FRANQUIA_D&amp;G_SP")</f>
        <v>FRANQUIA_D&amp;G_SP</v>
      </c>
      <c r="F1873" s="7" t="str">
        <f>IFERROR(__xludf.DUMMYFUNCTION("""COMPUTED_VALUE"""),"MOTORCYCLE")</f>
        <v>MOTORCYCLE</v>
      </c>
      <c r="G1873" s="7" t="str">
        <f>IFERROR(__xludf.DUMMYFUNCTION("""COMPUTED_VALUE"""),"ABC")</f>
        <v>ABC</v>
      </c>
    </row>
    <row r="1874">
      <c r="A1874" s="6">
        <f>IFERROR(__xludf.DUMMYFUNCTION("""COMPUTED_VALUE"""),45705.0)</f>
        <v>45705</v>
      </c>
      <c r="B1874" s="7" t="str">
        <f>IFERROR(__xludf.DUMMYFUNCTION("""COMPUTED_VALUE"""),"d246a617-3869-401a-b3c7-fe00089e9cbe")</f>
        <v>d246a617-3869-401a-b3c7-fe00089e9cbe</v>
      </c>
      <c r="C1874" s="7">
        <f>IFERROR(__xludf.DUMMYFUNCTION("""COMPUTED_VALUE"""),3.0)</f>
        <v>3</v>
      </c>
      <c r="D1874" s="6">
        <f>IFERROR(__xludf.DUMMYFUNCTION("""COMPUTED_VALUE"""),45702.0)</f>
        <v>45702</v>
      </c>
      <c r="E1874" s="7" t="str">
        <f>IFERROR(__xludf.DUMMYFUNCTION("""COMPUTED_VALUE"""),"FRANQUIA_D&amp;G_SP")</f>
        <v>FRANQUIA_D&amp;G_SP</v>
      </c>
      <c r="F1874" s="7" t="str">
        <f>IFERROR(__xludf.DUMMYFUNCTION("""COMPUTED_VALUE"""),"MOTORCYCLE")</f>
        <v>MOTORCYCLE</v>
      </c>
      <c r="G1874" s="7" t="str">
        <f>IFERROR(__xludf.DUMMYFUNCTION("""COMPUTED_VALUE"""),"SAO PAULO")</f>
        <v>SAO PAULO</v>
      </c>
    </row>
    <row r="1875">
      <c r="A1875" s="6">
        <f>IFERROR(__xludf.DUMMYFUNCTION("""COMPUTED_VALUE"""),45705.0)</f>
        <v>45705</v>
      </c>
      <c r="B1875" s="7" t="str">
        <f>IFERROR(__xludf.DUMMYFUNCTION("""COMPUTED_VALUE"""),"aedfa10f-af12-4150-bf30-b51e6e8e7128")</f>
        <v>aedfa10f-af12-4150-bf30-b51e6e8e7128</v>
      </c>
      <c r="C1875" s="7">
        <f>IFERROR(__xludf.DUMMYFUNCTION("""COMPUTED_VALUE"""),836.0)</f>
        <v>836</v>
      </c>
      <c r="D1875" s="6">
        <f>IFERROR(__xludf.DUMMYFUNCTION("""COMPUTED_VALUE"""),44869.0)</f>
        <v>44869</v>
      </c>
      <c r="E1875" s="7" t="str">
        <f>IFERROR(__xludf.DUMMYFUNCTION("""COMPUTED_VALUE"""),"FRANQUIA_D&amp;G_SP")</f>
        <v>FRANQUIA_D&amp;G_SP</v>
      </c>
      <c r="F1875" s="7" t="str">
        <f>IFERROR(__xludf.DUMMYFUNCTION("""COMPUTED_VALUE"""),"MOTORCYCLE")</f>
        <v>MOTORCYCLE</v>
      </c>
      <c r="G1875" s="7" t="str">
        <f>IFERROR(__xludf.DUMMYFUNCTION("""COMPUTED_VALUE"""),"SAO PAULO")</f>
        <v>SAO PAULO</v>
      </c>
    </row>
    <row r="1876">
      <c r="A1876" s="6">
        <f>IFERROR(__xludf.DUMMYFUNCTION("""COMPUTED_VALUE"""),45705.0)</f>
        <v>45705</v>
      </c>
      <c r="B1876" s="7" t="str">
        <f>IFERROR(__xludf.DUMMYFUNCTION("""COMPUTED_VALUE"""),"2e403dab-cb36-4b47-9da4-15c1b06c81f8")</f>
        <v>2e403dab-cb36-4b47-9da4-15c1b06c81f8</v>
      </c>
      <c r="C1876" s="7">
        <f>IFERROR(__xludf.DUMMYFUNCTION("""COMPUTED_VALUE"""),105.0)</f>
        <v>105</v>
      </c>
      <c r="D1876" s="6">
        <f>IFERROR(__xludf.DUMMYFUNCTION("""COMPUTED_VALUE"""),45600.0)</f>
        <v>45600</v>
      </c>
      <c r="E1876" s="7" t="str">
        <f>IFERROR(__xludf.DUMMYFUNCTION("""COMPUTED_VALUE"""),"FRANQUIA_D&amp;G_SP")</f>
        <v>FRANQUIA_D&amp;G_SP</v>
      </c>
      <c r="F1876" s="7" t="str">
        <f>IFERROR(__xludf.DUMMYFUNCTION("""COMPUTED_VALUE"""),"MOTORCYCLE")</f>
        <v>MOTORCYCLE</v>
      </c>
      <c r="G1876" s="7" t="str">
        <f>IFERROR(__xludf.DUMMYFUNCTION("""COMPUTED_VALUE"""),"SAO PAULO")</f>
        <v>SAO PAULO</v>
      </c>
    </row>
    <row r="1877">
      <c r="A1877" s="6">
        <f>IFERROR(__xludf.DUMMYFUNCTION("""COMPUTED_VALUE"""),45705.0)</f>
        <v>45705</v>
      </c>
      <c r="B1877" s="7" t="str">
        <f>IFERROR(__xludf.DUMMYFUNCTION("""COMPUTED_VALUE"""),"7a6c19fa-3372-40c8-8433-18f77479a73f")</f>
        <v>7a6c19fa-3372-40c8-8433-18f77479a73f</v>
      </c>
      <c r="C1877" s="7">
        <f>IFERROR(__xludf.DUMMYFUNCTION("""COMPUTED_VALUE"""),54.0)</f>
        <v>54</v>
      </c>
      <c r="D1877" s="6">
        <f>IFERROR(__xludf.DUMMYFUNCTION("""COMPUTED_VALUE"""),45651.0)</f>
        <v>45651</v>
      </c>
      <c r="E1877" s="7" t="str">
        <f>IFERROR(__xludf.DUMMYFUNCTION("""COMPUTED_VALUE"""),"FRANQUIA_D&amp;G_SP")</f>
        <v>FRANQUIA_D&amp;G_SP</v>
      </c>
      <c r="F1877" s="7" t="str">
        <f>IFERROR(__xludf.DUMMYFUNCTION("""COMPUTED_VALUE"""),"MOTORCYCLE")</f>
        <v>MOTORCYCLE</v>
      </c>
      <c r="G1877" s="7" t="str">
        <f>IFERROR(__xludf.DUMMYFUNCTION("""COMPUTED_VALUE"""),"SAO PAULO")</f>
        <v>SAO PAULO</v>
      </c>
    </row>
    <row r="1878">
      <c r="A1878" s="6">
        <f>IFERROR(__xludf.DUMMYFUNCTION("""COMPUTED_VALUE"""),45705.0)</f>
        <v>45705</v>
      </c>
      <c r="B1878" s="7" t="str">
        <f>IFERROR(__xludf.DUMMYFUNCTION("""COMPUTED_VALUE"""),"6c4b4499-3d94-4074-bb8f-4af4beab1c36")</f>
        <v>6c4b4499-3d94-4074-bb8f-4af4beab1c36</v>
      </c>
      <c r="C1878" s="7">
        <f>IFERROR(__xludf.DUMMYFUNCTION("""COMPUTED_VALUE"""),6.0)</f>
        <v>6</v>
      </c>
      <c r="D1878" s="6">
        <f>IFERROR(__xludf.DUMMYFUNCTION("""COMPUTED_VALUE"""),45699.0)</f>
        <v>45699</v>
      </c>
      <c r="E1878" s="7" t="str">
        <f>IFERROR(__xludf.DUMMYFUNCTION("""COMPUTED_VALUE"""),"FRANQUIA_D&amp;G_SP")</f>
        <v>FRANQUIA_D&amp;G_SP</v>
      </c>
      <c r="F1878" s="7" t="str">
        <f>IFERROR(__xludf.DUMMYFUNCTION("""COMPUTED_VALUE"""),"MOTORCYCLE")</f>
        <v>MOTORCYCLE</v>
      </c>
      <c r="G1878" s="7" t="str">
        <f>IFERROR(__xludf.DUMMYFUNCTION("""COMPUTED_VALUE"""),"SAO PAULO")</f>
        <v>SAO PAULO</v>
      </c>
    </row>
    <row r="1879">
      <c r="A1879" s="6">
        <f>IFERROR(__xludf.DUMMYFUNCTION("""COMPUTED_VALUE"""),45705.0)</f>
        <v>45705</v>
      </c>
      <c r="B1879" s="7" t="str">
        <f>IFERROR(__xludf.DUMMYFUNCTION("""COMPUTED_VALUE"""),"13fbd504-6fb1-4fd5-b3a6-c08e288a0dbb")</f>
        <v>13fbd504-6fb1-4fd5-b3a6-c08e288a0dbb</v>
      </c>
      <c r="C1879" s="7">
        <f>IFERROR(__xludf.DUMMYFUNCTION("""COMPUTED_VALUE"""),47.0)</f>
        <v>47</v>
      </c>
      <c r="D1879" s="6">
        <f>IFERROR(__xludf.DUMMYFUNCTION("""COMPUTED_VALUE"""),45658.0)</f>
        <v>45658</v>
      </c>
      <c r="E1879" s="7" t="str">
        <f>IFERROR(__xludf.DUMMYFUNCTION("""COMPUTED_VALUE"""),"FRANQUIA_D&amp;G_SP")</f>
        <v>FRANQUIA_D&amp;G_SP</v>
      </c>
      <c r="F1879" s="7" t="str">
        <f>IFERROR(__xludf.DUMMYFUNCTION("""COMPUTED_VALUE"""),"BICYCLE")</f>
        <v>BICYCLE</v>
      </c>
      <c r="G1879" s="7" t="str">
        <f>IFERROR(__xludf.DUMMYFUNCTION("""COMPUTED_VALUE"""),"SAO PAULO")</f>
        <v>SAO PAULO</v>
      </c>
    </row>
    <row r="1880">
      <c r="A1880" s="6">
        <f>IFERROR(__xludf.DUMMYFUNCTION("""COMPUTED_VALUE"""),45705.0)</f>
        <v>45705</v>
      </c>
      <c r="B1880" s="7" t="str">
        <f>IFERROR(__xludf.DUMMYFUNCTION("""COMPUTED_VALUE"""),"da4196c8-5853-4e50-b55c-977f9ae6e859")</f>
        <v>da4196c8-5853-4e50-b55c-977f9ae6e859</v>
      </c>
      <c r="C1880" s="7">
        <f>IFERROR(__xludf.DUMMYFUNCTION("""COMPUTED_VALUE"""),128.0)</f>
        <v>128</v>
      </c>
      <c r="D1880" s="6">
        <f>IFERROR(__xludf.DUMMYFUNCTION("""COMPUTED_VALUE"""),45577.0)</f>
        <v>45577</v>
      </c>
      <c r="E1880" s="7" t="str">
        <f>IFERROR(__xludf.DUMMYFUNCTION("""COMPUTED_VALUE"""),"FRANQUIA_D&amp;G_SP")</f>
        <v>FRANQUIA_D&amp;G_SP</v>
      </c>
      <c r="F1880" s="7" t="str">
        <f>IFERROR(__xludf.DUMMYFUNCTION("""COMPUTED_VALUE"""),"MOTORCYCLE")</f>
        <v>MOTORCYCLE</v>
      </c>
      <c r="G1880" s="7" t="str">
        <f>IFERROR(__xludf.DUMMYFUNCTION("""COMPUTED_VALUE"""),"SAO PAULO")</f>
        <v>SAO PAULO</v>
      </c>
    </row>
    <row r="1881">
      <c r="A1881" s="6">
        <f>IFERROR(__xludf.DUMMYFUNCTION("""COMPUTED_VALUE"""),45705.0)</f>
        <v>45705</v>
      </c>
      <c r="B1881" s="7" t="str">
        <f>IFERROR(__xludf.DUMMYFUNCTION("""COMPUTED_VALUE"""),"3ce53569-79ed-4faf-b6bc-9956e383d239")</f>
        <v>3ce53569-79ed-4faf-b6bc-9956e383d239</v>
      </c>
      <c r="C1881" s="7">
        <f>IFERROR(__xludf.DUMMYFUNCTION("""COMPUTED_VALUE"""),199.0)</f>
        <v>199</v>
      </c>
      <c r="D1881" s="6">
        <f>IFERROR(__xludf.DUMMYFUNCTION("""COMPUTED_VALUE"""),45506.0)</f>
        <v>45506</v>
      </c>
      <c r="E1881" s="7" t="str">
        <f>IFERROR(__xludf.DUMMYFUNCTION("""COMPUTED_VALUE"""),"FRANQUIA_D&amp;G_SP")</f>
        <v>FRANQUIA_D&amp;G_SP</v>
      </c>
      <c r="F1881" s="7" t="str">
        <f>IFERROR(__xludf.DUMMYFUNCTION("""COMPUTED_VALUE"""),"MOTORCYCLE")</f>
        <v>MOTORCYCLE</v>
      </c>
      <c r="G1881" s="7" t="str">
        <f>IFERROR(__xludf.DUMMYFUNCTION("""COMPUTED_VALUE"""),"ABC")</f>
        <v>ABC</v>
      </c>
    </row>
    <row r="1882">
      <c r="A1882" s="6">
        <f>IFERROR(__xludf.DUMMYFUNCTION("""COMPUTED_VALUE"""),45705.0)</f>
        <v>45705</v>
      </c>
      <c r="B1882" s="7" t="str">
        <f>IFERROR(__xludf.DUMMYFUNCTION("""COMPUTED_VALUE"""),"45f74e7f-62aa-43a7-9b50-ccc62dc6ad71")</f>
        <v>45f74e7f-62aa-43a7-9b50-ccc62dc6ad71</v>
      </c>
      <c r="C1882" s="7">
        <f>IFERROR(__xludf.DUMMYFUNCTION("""COMPUTED_VALUE"""),408.0)</f>
        <v>408</v>
      </c>
      <c r="D1882" s="6">
        <f>IFERROR(__xludf.DUMMYFUNCTION("""COMPUTED_VALUE"""),45297.0)</f>
        <v>45297</v>
      </c>
      <c r="E1882" s="7" t="str">
        <f>IFERROR(__xludf.DUMMYFUNCTION("""COMPUTED_VALUE"""),"FRANQUIA_D&amp;G_SP")</f>
        <v>FRANQUIA_D&amp;G_SP</v>
      </c>
      <c r="F1882" s="7" t="str">
        <f>IFERROR(__xludf.DUMMYFUNCTION("""COMPUTED_VALUE"""),"BICYCLE")</f>
        <v>BICYCLE</v>
      </c>
      <c r="G1882" s="7" t="str">
        <f>IFERROR(__xludf.DUMMYFUNCTION("""COMPUTED_VALUE"""),"SAO PAULO")</f>
        <v>SAO PAULO</v>
      </c>
    </row>
    <row r="1883">
      <c r="A1883" s="6">
        <f>IFERROR(__xludf.DUMMYFUNCTION("""COMPUTED_VALUE"""),45705.0)</f>
        <v>45705</v>
      </c>
      <c r="B1883" s="7" t="str">
        <f>IFERROR(__xludf.DUMMYFUNCTION("""COMPUTED_VALUE"""),"cc4ee7fa-42ae-48b0-b2c6-62d4bdada4ca")</f>
        <v>cc4ee7fa-42ae-48b0-b2c6-62d4bdada4ca</v>
      </c>
      <c r="C1883" s="7">
        <f>IFERROR(__xludf.DUMMYFUNCTION("""COMPUTED_VALUE"""),0.0)</f>
        <v>0</v>
      </c>
      <c r="D1883" s="6">
        <f>IFERROR(__xludf.DUMMYFUNCTION("""COMPUTED_VALUE"""),45705.0)</f>
        <v>45705</v>
      </c>
      <c r="E1883" s="7" t="str">
        <f>IFERROR(__xludf.DUMMYFUNCTION("""COMPUTED_VALUE"""),"FRANQUIA_D&amp;G_SP")</f>
        <v>FRANQUIA_D&amp;G_SP</v>
      </c>
      <c r="F1883" s="7" t="str">
        <f>IFERROR(__xludf.DUMMYFUNCTION("""COMPUTED_VALUE"""),"BICYCLE")</f>
        <v>BICYCLE</v>
      </c>
      <c r="G1883" s="7" t="str">
        <f>IFERROR(__xludf.DUMMYFUNCTION("""COMPUTED_VALUE"""),"SAO PAULO")</f>
        <v>SAO PAULO</v>
      </c>
    </row>
    <row r="1884">
      <c r="A1884" s="6">
        <f>IFERROR(__xludf.DUMMYFUNCTION("""COMPUTED_VALUE"""),45705.0)</f>
        <v>45705</v>
      </c>
      <c r="B1884" s="7" t="str">
        <f>IFERROR(__xludf.DUMMYFUNCTION("""COMPUTED_VALUE"""),"ac43004b-c527-4f08-a633-e7d5ce6adbfa")</f>
        <v>ac43004b-c527-4f08-a633-e7d5ce6adbfa</v>
      </c>
      <c r="C1884" s="7">
        <f>IFERROR(__xludf.DUMMYFUNCTION("""COMPUTED_VALUE"""),3.0)</f>
        <v>3</v>
      </c>
      <c r="D1884" s="6">
        <f>IFERROR(__xludf.DUMMYFUNCTION("""COMPUTED_VALUE"""),45702.0)</f>
        <v>45702</v>
      </c>
      <c r="E1884" s="7" t="str">
        <f>IFERROR(__xludf.DUMMYFUNCTION("""COMPUTED_VALUE"""),"FRANQUIA_D&amp;G_SP")</f>
        <v>FRANQUIA_D&amp;G_SP</v>
      </c>
      <c r="F1884" s="7" t="str">
        <f>IFERROR(__xludf.DUMMYFUNCTION("""COMPUTED_VALUE"""),"BICYCLE")</f>
        <v>BICYCLE</v>
      </c>
      <c r="G1884" s="7" t="str">
        <f>IFERROR(__xludf.DUMMYFUNCTION("""COMPUTED_VALUE"""),"SAO PAULO")</f>
        <v>SAO PAULO</v>
      </c>
    </row>
    <row r="1885">
      <c r="A1885" s="6">
        <f>IFERROR(__xludf.DUMMYFUNCTION("""COMPUTED_VALUE"""),45705.0)</f>
        <v>45705</v>
      </c>
      <c r="B1885" s="7" t="str">
        <f>IFERROR(__xludf.DUMMYFUNCTION("""COMPUTED_VALUE"""),"68a1a818-ea61-4850-b3df-ae139e071ec5")</f>
        <v>68a1a818-ea61-4850-b3df-ae139e071ec5</v>
      </c>
      <c r="C1885" s="7">
        <f>IFERROR(__xludf.DUMMYFUNCTION("""COMPUTED_VALUE"""),2.0)</f>
        <v>2</v>
      </c>
      <c r="D1885" s="6">
        <f>IFERROR(__xludf.DUMMYFUNCTION("""COMPUTED_VALUE"""),45703.0)</f>
        <v>45703</v>
      </c>
      <c r="E1885" s="7" t="str">
        <f>IFERROR(__xludf.DUMMYFUNCTION("""COMPUTED_VALUE"""),"FRANQUIA_D&amp;G_SP")</f>
        <v>FRANQUIA_D&amp;G_SP</v>
      </c>
      <c r="F1885" s="7" t="str">
        <f>IFERROR(__xludf.DUMMYFUNCTION("""COMPUTED_VALUE"""),"MOTORCYCLE")</f>
        <v>MOTORCYCLE</v>
      </c>
      <c r="G1885" s="7" t="str">
        <f>IFERROR(__xludf.DUMMYFUNCTION("""COMPUTED_VALUE"""),"SAO PAULO")</f>
        <v>SAO PAULO</v>
      </c>
    </row>
    <row r="1886">
      <c r="A1886" s="6">
        <f>IFERROR(__xludf.DUMMYFUNCTION("""COMPUTED_VALUE"""),45705.0)</f>
        <v>45705</v>
      </c>
      <c r="B1886" s="7" t="str">
        <f>IFERROR(__xludf.DUMMYFUNCTION("""COMPUTED_VALUE"""),"7f1a4560-0e37-44bc-b44c-bc61c2efc7da")</f>
        <v>7f1a4560-0e37-44bc-b44c-bc61c2efc7da</v>
      </c>
      <c r="C1886" s="7">
        <f>IFERROR(__xludf.DUMMYFUNCTION("""COMPUTED_VALUE"""),0.0)</f>
        <v>0</v>
      </c>
      <c r="D1886" s="6">
        <f>IFERROR(__xludf.DUMMYFUNCTION("""COMPUTED_VALUE"""),45705.0)</f>
        <v>45705</v>
      </c>
      <c r="E1886" s="7" t="str">
        <f>IFERROR(__xludf.DUMMYFUNCTION("""COMPUTED_VALUE"""),"FRANQUIA_D&amp;G_SP")</f>
        <v>FRANQUIA_D&amp;G_SP</v>
      </c>
      <c r="F1886" s="7" t="str">
        <f>IFERROR(__xludf.DUMMYFUNCTION("""COMPUTED_VALUE"""),"MOTORCYCLE")</f>
        <v>MOTORCYCLE</v>
      </c>
      <c r="G1886" s="7" t="str">
        <f>IFERROR(__xludf.DUMMYFUNCTION("""COMPUTED_VALUE"""),"SAO PAULO")</f>
        <v>SAO PAULO</v>
      </c>
    </row>
    <row r="1887">
      <c r="A1887" s="6">
        <f>IFERROR(__xludf.DUMMYFUNCTION("""COMPUTED_VALUE"""),45705.0)</f>
        <v>45705</v>
      </c>
      <c r="B1887" s="7" t="str">
        <f>IFERROR(__xludf.DUMMYFUNCTION("""COMPUTED_VALUE"""),"aa5ed2e3-6763-4fc0-b27e-a5c6bd61009e")</f>
        <v>aa5ed2e3-6763-4fc0-b27e-a5c6bd61009e</v>
      </c>
      <c r="C1887" s="7">
        <f>IFERROR(__xludf.DUMMYFUNCTION("""COMPUTED_VALUE"""),2.0)</f>
        <v>2</v>
      </c>
      <c r="D1887" s="6">
        <f>IFERROR(__xludf.DUMMYFUNCTION("""COMPUTED_VALUE"""),45703.0)</f>
        <v>45703</v>
      </c>
      <c r="E1887" s="7" t="str">
        <f>IFERROR(__xludf.DUMMYFUNCTION("""COMPUTED_VALUE"""),"FRANQUIA_D&amp;G_SP")</f>
        <v>FRANQUIA_D&amp;G_SP</v>
      </c>
      <c r="F1887" s="7" t="str">
        <f>IFERROR(__xludf.DUMMYFUNCTION("""COMPUTED_VALUE"""),"MOTORCYCLE")</f>
        <v>MOTORCYCLE</v>
      </c>
      <c r="G1887" s="7" t="str">
        <f>IFERROR(__xludf.DUMMYFUNCTION("""COMPUTED_VALUE"""),"SAO PAULO")</f>
        <v>SAO PAULO</v>
      </c>
    </row>
    <row r="1888">
      <c r="A1888" s="6">
        <f>IFERROR(__xludf.DUMMYFUNCTION("""COMPUTED_VALUE"""),45705.0)</f>
        <v>45705</v>
      </c>
      <c r="B1888" s="7" t="str">
        <f>IFERROR(__xludf.DUMMYFUNCTION("""COMPUTED_VALUE"""),"01984dbe-ae37-43a2-95fc-488e3e6a3600")</f>
        <v>01984dbe-ae37-43a2-95fc-488e3e6a3600</v>
      </c>
      <c r="C1888" s="7">
        <f>IFERROR(__xludf.DUMMYFUNCTION("""COMPUTED_VALUE"""),2.0)</f>
        <v>2</v>
      </c>
      <c r="D1888" s="6">
        <f>IFERROR(__xludf.DUMMYFUNCTION("""COMPUTED_VALUE"""),45703.0)</f>
        <v>45703</v>
      </c>
      <c r="E1888" s="7" t="str">
        <f>IFERROR(__xludf.DUMMYFUNCTION("""COMPUTED_VALUE"""),"FRANQUIA_D&amp;G_SP")</f>
        <v>FRANQUIA_D&amp;G_SP</v>
      </c>
      <c r="F1888" s="7" t="str">
        <f>IFERROR(__xludf.DUMMYFUNCTION("""COMPUTED_VALUE"""),"BICYCLE")</f>
        <v>BICYCLE</v>
      </c>
      <c r="G1888" s="7" t="str">
        <f>IFERROR(__xludf.DUMMYFUNCTION("""COMPUTED_VALUE"""),"SAO PAULO")</f>
        <v>SAO PAULO</v>
      </c>
    </row>
    <row r="1889">
      <c r="A1889" s="6">
        <f>IFERROR(__xludf.DUMMYFUNCTION("""COMPUTED_VALUE"""),45705.0)</f>
        <v>45705</v>
      </c>
      <c r="B1889" s="7" t="str">
        <f>IFERROR(__xludf.DUMMYFUNCTION("""COMPUTED_VALUE"""),"1b50d01d-2046-4917-ad05-5d0627c9abcb")</f>
        <v>1b50d01d-2046-4917-ad05-5d0627c9abcb</v>
      </c>
      <c r="C1889" s="7">
        <f>IFERROR(__xludf.DUMMYFUNCTION("""COMPUTED_VALUE"""),2.0)</f>
        <v>2</v>
      </c>
      <c r="D1889" s="6">
        <f>IFERROR(__xludf.DUMMYFUNCTION("""COMPUTED_VALUE"""),45703.0)</f>
        <v>45703</v>
      </c>
      <c r="E1889" s="7" t="str">
        <f>IFERROR(__xludf.DUMMYFUNCTION("""COMPUTED_VALUE"""),"FRANQUIA_D&amp;G_SP")</f>
        <v>FRANQUIA_D&amp;G_SP</v>
      </c>
      <c r="F1889" s="7" t="str">
        <f>IFERROR(__xludf.DUMMYFUNCTION("""COMPUTED_VALUE"""),"BICYCLE")</f>
        <v>BICYCLE</v>
      </c>
      <c r="G1889" s="7" t="str">
        <f>IFERROR(__xludf.DUMMYFUNCTION("""COMPUTED_VALUE"""),"SAO PAULO")</f>
        <v>SAO PAULO</v>
      </c>
    </row>
    <row r="1890">
      <c r="A1890" s="6">
        <f>IFERROR(__xludf.DUMMYFUNCTION("""COMPUTED_VALUE"""),45705.0)</f>
        <v>45705</v>
      </c>
      <c r="B1890" s="7" t="str">
        <f>IFERROR(__xludf.DUMMYFUNCTION("""COMPUTED_VALUE"""),"17154e52-ee0c-4148-9788-136692ea2361")</f>
        <v>17154e52-ee0c-4148-9788-136692ea2361</v>
      </c>
      <c r="C1890" s="7">
        <f>IFERROR(__xludf.DUMMYFUNCTION("""COMPUTED_VALUE"""),3.0)</f>
        <v>3</v>
      </c>
      <c r="D1890" s="6">
        <f>IFERROR(__xludf.DUMMYFUNCTION("""COMPUTED_VALUE"""),45702.0)</f>
        <v>45702</v>
      </c>
      <c r="E1890" s="7" t="str">
        <f>IFERROR(__xludf.DUMMYFUNCTION("""COMPUTED_VALUE"""),"FRANQUIA_D&amp;G_SP")</f>
        <v>FRANQUIA_D&amp;G_SP</v>
      </c>
      <c r="F1890" s="7" t="str">
        <f>IFERROR(__xludf.DUMMYFUNCTION("""COMPUTED_VALUE"""),"BICYCLE")</f>
        <v>BICYCLE</v>
      </c>
      <c r="G1890" s="7" t="str">
        <f>IFERROR(__xludf.DUMMYFUNCTION("""COMPUTED_VALUE"""),"SAO PAULO")</f>
        <v>SAO PAULO</v>
      </c>
    </row>
    <row r="1891">
      <c r="A1891" s="6">
        <f>IFERROR(__xludf.DUMMYFUNCTION("""COMPUTED_VALUE"""),45705.0)</f>
        <v>45705</v>
      </c>
      <c r="B1891" s="7" t="str">
        <f>IFERROR(__xludf.DUMMYFUNCTION("""COMPUTED_VALUE"""),"a8d85f15-481b-4e31-93a8-e80a8fec63fc")</f>
        <v>a8d85f15-481b-4e31-93a8-e80a8fec63fc</v>
      </c>
      <c r="C1891" s="7">
        <f>IFERROR(__xludf.DUMMYFUNCTION("""COMPUTED_VALUE"""),0.0)</f>
        <v>0</v>
      </c>
      <c r="D1891" s="6">
        <f>IFERROR(__xludf.DUMMYFUNCTION("""COMPUTED_VALUE"""),45705.0)</f>
        <v>45705</v>
      </c>
      <c r="E1891" s="7" t="str">
        <f>IFERROR(__xludf.DUMMYFUNCTION("""COMPUTED_VALUE"""),"FRANQUIA_D&amp;G_SP")</f>
        <v>FRANQUIA_D&amp;G_SP</v>
      </c>
      <c r="F1891" s="7" t="str">
        <f>IFERROR(__xludf.DUMMYFUNCTION("""COMPUTED_VALUE"""),"MOTORCYCLE")</f>
        <v>MOTORCYCLE</v>
      </c>
      <c r="G1891" s="7" t="str">
        <f>IFERROR(__xludf.DUMMYFUNCTION("""COMPUTED_VALUE"""),"SAO PAULO")</f>
        <v>SAO PAULO</v>
      </c>
    </row>
    <row r="1892">
      <c r="A1892" s="6">
        <f>IFERROR(__xludf.DUMMYFUNCTION("""COMPUTED_VALUE"""),45705.0)</f>
        <v>45705</v>
      </c>
      <c r="B1892" s="7" t="str">
        <f>IFERROR(__xludf.DUMMYFUNCTION("""COMPUTED_VALUE"""),"0110a3a0-1c60-41ce-8d2b-718e89a4aa38")</f>
        <v>0110a3a0-1c60-41ce-8d2b-718e89a4aa38</v>
      </c>
      <c r="C1892" s="7">
        <f>IFERROR(__xludf.DUMMYFUNCTION("""COMPUTED_VALUE"""),4.0)</f>
        <v>4</v>
      </c>
      <c r="D1892" s="6">
        <f>IFERROR(__xludf.DUMMYFUNCTION("""COMPUTED_VALUE"""),45701.0)</f>
        <v>45701</v>
      </c>
      <c r="E1892" s="7" t="str">
        <f>IFERROR(__xludf.DUMMYFUNCTION("""COMPUTED_VALUE"""),"FRANQUIA_D&amp;G_SP")</f>
        <v>FRANQUIA_D&amp;G_SP</v>
      </c>
      <c r="F1892" s="7" t="str">
        <f>IFERROR(__xludf.DUMMYFUNCTION("""COMPUTED_VALUE"""),"MOTORCYCLE")</f>
        <v>MOTORCYCLE</v>
      </c>
      <c r="G1892" s="7" t="str">
        <f>IFERROR(__xludf.DUMMYFUNCTION("""COMPUTED_VALUE"""),"SAO PAULO")</f>
        <v>SAO PAULO</v>
      </c>
    </row>
    <row r="1893">
      <c r="A1893" s="6">
        <f>IFERROR(__xludf.DUMMYFUNCTION("""COMPUTED_VALUE"""),45705.0)</f>
        <v>45705</v>
      </c>
      <c r="B1893" s="7" t="str">
        <f>IFERROR(__xludf.DUMMYFUNCTION("""COMPUTED_VALUE"""),"0b707fab-c9d8-445f-89f5-7f559bffca4c")</f>
        <v>0b707fab-c9d8-445f-89f5-7f559bffca4c</v>
      </c>
      <c r="C1893" s="7">
        <f>IFERROR(__xludf.DUMMYFUNCTION("""COMPUTED_VALUE"""),0.0)</f>
        <v>0</v>
      </c>
      <c r="D1893" s="6">
        <f>IFERROR(__xludf.DUMMYFUNCTION("""COMPUTED_VALUE"""),45705.0)</f>
        <v>45705</v>
      </c>
      <c r="E1893" s="7" t="str">
        <f>IFERROR(__xludf.DUMMYFUNCTION("""COMPUTED_VALUE"""),"FRANQUIA_D&amp;G_SP")</f>
        <v>FRANQUIA_D&amp;G_SP</v>
      </c>
      <c r="F1893" s="7" t="str">
        <f>IFERROR(__xludf.DUMMYFUNCTION("""COMPUTED_VALUE"""),"BICYCLE")</f>
        <v>BICYCLE</v>
      </c>
      <c r="G1893" s="7" t="str">
        <f>IFERROR(__xludf.DUMMYFUNCTION("""COMPUTED_VALUE"""),"SAO PAULO")</f>
        <v>SAO PAULO</v>
      </c>
    </row>
    <row r="1894">
      <c r="A1894" s="6">
        <f>IFERROR(__xludf.DUMMYFUNCTION("""COMPUTED_VALUE"""),45705.0)</f>
        <v>45705</v>
      </c>
      <c r="B1894" s="7" t="str">
        <f>IFERROR(__xludf.DUMMYFUNCTION("""COMPUTED_VALUE"""),"9dc847b3-2906-4c92-97da-fc7dbb75c436")</f>
        <v>9dc847b3-2906-4c92-97da-fc7dbb75c436</v>
      </c>
      <c r="C1894" s="7">
        <f>IFERROR(__xludf.DUMMYFUNCTION("""COMPUTED_VALUE"""),36.0)</f>
        <v>36</v>
      </c>
      <c r="D1894" s="6">
        <f>IFERROR(__xludf.DUMMYFUNCTION("""COMPUTED_VALUE"""),45669.0)</f>
        <v>45669</v>
      </c>
      <c r="E1894" s="7" t="str">
        <f>IFERROR(__xludf.DUMMYFUNCTION("""COMPUTED_VALUE"""),"FRANQUIA_D&amp;G_SP")</f>
        <v>FRANQUIA_D&amp;G_SP</v>
      </c>
      <c r="F1894" s="7" t="str">
        <f>IFERROR(__xludf.DUMMYFUNCTION("""COMPUTED_VALUE"""),"BICYCLE")</f>
        <v>BICYCLE</v>
      </c>
      <c r="G1894" s="7" t="str">
        <f>IFERROR(__xludf.DUMMYFUNCTION("""COMPUTED_VALUE"""),"SAO PAULO")</f>
        <v>SAO PAULO</v>
      </c>
    </row>
    <row r="1895">
      <c r="A1895" s="6">
        <f>IFERROR(__xludf.DUMMYFUNCTION("""COMPUTED_VALUE"""),45705.0)</f>
        <v>45705</v>
      </c>
      <c r="B1895" s="7" t="str">
        <f>IFERROR(__xludf.DUMMYFUNCTION("""COMPUTED_VALUE"""),"52ccdb89-5c5a-4237-ba5e-20d93a18ac94")</f>
        <v>52ccdb89-5c5a-4237-ba5e-20d93a18ac94</v>
      </c>
      <c r="C1895" s="7">
        <f>IFERROR(__xludf.DUMMYFUNCTION("""COMPUTED_VALUE"""),978.0)</f>
        <v>978</v>
      </c>
      <c r="D1895" s="6">
        <f>IFERROR(__xludf.DUMMYFUNCTION("""COMPUTED_VALUE"""),44727.0)</f>
        <v>44727</v>
      </c>
      <c r="E1895" s="7" t="str">
        <f>IFERROR(__xludf.DUMMYFUNCTION("""COMPUTED_VALUE"""),"FRANQUIA_D&amp;G_SP")</f>
        <v>FRANQUIA_D&amp;G_SP</v>
      </c>
      <c r="F1895" s="7" t="str">
        <f>IFERROR(__xludf.DUMMYFUNCTION("""COMPUTED_VALUE"""),"MOTORCYCLE")</f>
        <v>MOTORCYCLE</v>
      </c>
      <c r="G1895" s="7" t="str">
        <f>IFERROR(__xludf.DUMMYFUNCTION("""COMPUTED_VALUE"""),"SAO PAULO")</f>
        <v>SAO PAULO</v>
      </c>
    </row>
    <row r="1896">
      <c r="A1896" s="6">
        <f>IFERROR(__xludf.DUMMYFUNCTION("""COMPUTED_VALUE"""),45705.0)</f>
        <v>45705</v>
      </c>
      <c r="B1896" s="7" t="str">
        <f>IFERROR(__xludf.DUMMYFUNCTION("""COMPUTED_VALUE"""),"46cb54a7-6b7c-40e8-8a19-ef2ea27012cd")</f>
        <v>46cb54a7-6b7c-40e8-8a19-ef2ea27012cd</v>
      </c>
      <c r="C1896" s="7">
        <f>IFERROR(__xludf.DUMMYFUNCTION("""COMPUTED_VALUE"""),0.0)</f>
        <v>0</v>
      </c>
      <c r="D1896" s="6">
        <f>IFERROR(__xludf.DUMMYFUNCTION("""COMPUTED_VALUE"""),0.0)</f>
        <v>0</v>
      </c>
      <c r="E1896" s="7" t="str">
        <f>IFERROR(__xludf.DUMMYFUNCTION("""COMPUTED_VALUE"""),"FRANQUIA_D&amp;G_SP")</f>
        <v>FRANQUIA_D&amp;G_SP</v>
      </c>
      <c r="F1896" s="7" t="str">
        <f>IFERROR(__xludf.DUMMYFUNCTION("""COMPUTED_VALUE"""),"MOTORCYCLE")</f>
        <v>MOTORCYCLE</v>
      </c>
      <c r="G1896" s="7" t="str">
        <f>IFERROR(__xludf.DUMMYFUNCTION("""COMPUTED_VALUE"""),"0")</f>
        <v>0</v>
      </c>
    </row>
    <row r="1897">
      <c r="A1897" s="6">
        <f>IFERROR(__xludf.DUMMYFUNCTION("""COMPUTED_VALUE"""),45705.0)</f>
        <v>45705</v>
      </c>
      <c r="B1897" s="7" t="str">
        <f>IFERROR(__xludf.DUMMYFUNCTION("""COMPUTED_VALUE"""),"d233341f-bdf4-458f-8341-31b14483c9d5")</f>
        <v>d233341f-bdf4-458f-8341-31b14483c9d5</v>
      </c>
      <c r="C1897" s="7">
        <f>IFERROR(__xludf.DUMMYFUNCTION("""COMPUTED_VALUE"""),0.0)</f>
        <v>0</v>
      </c>
      <c r="D1897" s="6">
        <f>IFERROR(__xludf.DUMMYFUNCTION("""COMPUTED_VALUE"""),45705.0)</f>
        <v>45705</v>
      </c>
      <c r="E1897" s="7" t="str">
        <f>IFERROR(__xludf.DUMMYFUNCTION("""COMPUTED_VALUE"""),"FRANQUIA_D&amp;G_SP")</f>
        <v>FRANQUIA_D&amp;G_SP</v>
      </c>
      <c r="F1897" s="7" t="str">
        <f>IFERROR(__xludf.DUMMYFUNCTION("""COMPUTED_VALUE"""),"MOTORCYCLE")</f>
        <v>MOTORCYCLE</v>
      </c>
      <c r="G1897" s="7" t="str">
        <f>IFERROR(__xludf.DUMMYFUNCTION("""COMPUTED_VALUE"""),"SAO PAULO")</f>
        <v>SAO PAULO</v>
      </c>
    </row>
    <row r="1898">
      <c r="A1898" s="6">
        <f>IFERROR(__xludf.DUMMYFUNCTION("""COMPUTED_VALUE"""),45705.0)</f>
        <v>45705</v>
      </c>
      <c r="B1898" s="7" t="str">
        <f>IFERROR(__xludf.DUMMYFUNCTION("""COMPUTED_VALUE"""),"11b62eca-6e9e-4162-947d-f8ed2fb1268d")</f>
        <v>11b62eca-6e9e-4162-947d-f8ed2fb1268d</v>
      </c>
      <c r="C1898" s="7">
        <f>IFERROR(__xludf.DUMMYFUNCTION("""COMPUTED_VALUE"""),2.0)</f>
        <v>2</v>
      </c>
      <c r="D1898" s="6">
        <f>IFERROR(__xludf.DUMMYFUNCTION("""COMPUTED_VALUE"""),45703.0)</f>
        <v>45703</v>
      </c>
      <c r="E1898" s="7" t="str">
        <f>IFERROR(__xludf.DUMMYFUNCTION("""COMPUTED_VALUE"""),"FRANQUIA_D&amp;G_SP")</f>
        <v>FRANQUIA_D&amp;G_SP</v>
      </c>
      <c r="F1898" s="7" t="str">
        <f>IFERROR(__xludf.DUMMYFUNCTION("""COMPUTED_VALUE"""),"MOTORCYCLE")</f>
        <v>MOTORCYCLE</v>
      </c>
      <c r="G1898" s="7" t="str">
        <f>IFERROR(__xludf.DUMMYFUNCTION("""COMPUTED_VALUE"""),"SAO PAULO")</f>
        <v>SAO PAULO</v>
      </c>
    </row>
    <row r="1899">
      <c r="A1899" s="6">
        <f>IFERROR(__xludf.DUMMYFUNCTION("""COMPUTED_VALUE"""),45705.0)</f>
        <v>45705</v>
      </c>
      <c r="B1899" s="7" t="str">
        <f>IFERROR(__xludf.DUMMYFUNCTION("""COMPUTED_VALUE"""),"2680044d-4ce7-4cbe-8e87-a229a1f02f8e")</f>
        <v>2680044d-4ce7-4cbe-8e87-a229a1f02f8e</v>
      </c>
      <c r="C1899" s="7">
        <f>IFERROR(__xludf.DUMMYFUNCTION("""COMPUTED_VALUE"""),1.0)</f>
        <v>1</v>
      </c>
      <c r="D1899" s="6">
        <f>IFERROR(__xludf.DUMMYFUNCTION("""COMPUTED_VALUE"""),45704.0)</f>
        <v>45704</v>
      </c>
      <c r="E1899" s="7" t="str">
        <f>IFERROR(__xludf.DUMMYFUNCTION("""COMPUTED_VALUE"""),"FRANQUIA_D&amp;G_SP")</f>
        <v>FRANQUIA_D&amp;G_SP</v>
      </c>
      <c r="F1899" s="7" t="str">
        <f>IFERROR(__xludf.DUMMYFUNCTION("""COMPUTED_VALUE"""),"BICYCLE")</f>
        <v>BICYCLE</v>
      </c>
      <c r="G1899" s="7" t="str">
        <f>IFERROR(__xludf.DUMMYFUNCTION("""COMPUTED_VALUE"""),"SAO PAULO")</f>
        <v>SAO PAULO</v>
      </c>
    </row>
    <row r="1900">
      <c r="A1900" s="6">
        <f>IFERROR(__xludf.DUMMYFUNCTION("""COMPUTED_VALUE"""),45705.0)</f>
        <v>45705</v>
      </c>
      <c r="B1900" s="7" t="str">
        <f>IFERROR(__xludf.DUMMYFUNCTION("""COMPUTED_VALUE"""),"e07f9925-0dd8-458e-b74d-f47057f0acba")</f>
        <v>e07f9925-0dd8-458e-b74d-f47057f0acba</v>
      </c>
      <c r="C1900" s="7">
        <f>IFERROR(__xludf.DUMMYFUNCTION("""COMPUTED_VALUE"""),2.0)</f>
        <v>2</v>
      </c>
      <c r="D1900" s="6">
        <f>IFERROR(__xludf.DUMMYFUNCTION("""COMPUTED_VALUE"""),45703.0)</f>
        <v>45703</v>
      </c>
      <c r="E1900" s="7" t="str">
        <f>IFERROR(__xludf.DUMMYFUNCTION("""COMPUTED_VALUE"""),"FRANQUIA_D&amp;G_SP")</f>
        <v>FRANQUIA_D&amp;G_SP</v>
      </c>
      <c r="F1900" s="7" t="str">
        <f>IFERROR(__xludf.DUMMYFUNCTION("""COMPUTED_VALUE"""),"MOTORCYCLE")</f>
        <v>MOTORCYCLE</v>
      </c>
      <c r="G1900" s="7" t="str">
        <f>IFERROR(__xludf.DUMMYFUNCTION("""COMPUTED_VALUE"""),"SAO PAULO")</f>
        <v>SAO PAULO</v>
      </c>
    </row>
    <row r="1901">
      <c r="A1901" s="6">
        <f>IFERROR(__xludf.DUMMYFUNCTION("""COMPUTED_VALUE"""),45705.0)</f>
        <v>45705</v>
      </c>
      <c r="B1901" s="7" t="str">
        <f>IFERROR(__xludf.DUMMYFUNCTION("""COMPUTED_VALUE"""),"279fe3fc-5bf7-4e8b-a26f-6d578c3db581")</f>
        <v>279fe3fc-5bf7-4e8b-a26f-6d578c3db581</v>
      </c>
      <c r="C1901" s="7">
        <f>IFERROR(__xludf.DUMMYFUNCTION("""COMPUTED_VALUE"""),1.0)</f>
        <v>1</v>
      </c>
      <c r="D1901" s="6">
        <f>IFERROR(__xludf.DUMMYFUNCTION("""COMPUTED_VALUE"""),45704.0)</f>
        <v>45704</v>
      </c>
      <c r="E1901" s="7" t="str">
        <f>IFERROR(__xludf.DUMMYFUNCTION("""COMPUTED_VALUE"""),"FRANQUIA_D&amp;G_SP")</f>
        <v>FRANQUIA_D&amp;G_SP</v>
      </c>
      <c r="F1901" s="7" t="str">
        <f>IFERROR(__xludf.DUMMYFUNCTION("""COMPUTED_VALUE"""),"MOTORCYCLE")</f>
        <v>MOTORCYCLE</v>
      </c>
      <c r="G1901" s="7" t="str">
        <f>IFERROR(__xludf.DUMMYFUNCTION("""COMPUTED_VALUE"""),"SAO PAULO")</f>
        <v>SAO PAULO</v>
      </c>
    </row>
    <row r="1902">
      <c r="A1902" s="6">
        <f>IFERROR(__xludf.DUMMYFUNCTION("""COMPUTED_VALUE"""),45705.0)</f>
        <v>45705</v>
      </c>
      <c r="B1902" s="7" t="str">
        <f>IFERROR(__xludf.DUMMYFUNCTION("""COMPUTED_VALUE"""),"b8436e8c-729d-4eb2-a1d8-f96044927b96")</f>
        <v>b8436e8c-729d-4eb2-a1d8-f96044927b96</v>
      </c>
      <c r="C1902" s="7">
        <f>IFERROR(__xludf.DUMMYFUNCTION("""COMPUTED_VALUE"""),0.0)</f>
        <v>0</v>
      </c>
      <c r="D1902" s="6">
        <f>IFERROR(__xludf.DUMMYFUNCTION("""COMPUTED_VALUE"""),45705.0)</f>
        <v>45705</v>
      </c>
      <c r="E1902" s="7" t="str">
        <f>IFERROR(__xludf.DUMMYFUNCTION("""COMPUTED_VALUE"""),"FRANQUIA_D&amp;G_SP")</f>
        <v>FRANQUIA_D&amp;G_SP</v>
      </c>
      <c r="F1902" s="7" t="str">
        <f>IFERROR(__xludf.DUMMYFUNCTION("""COMPUTED_VALUE"""),"MOTORCYCLE")</f>
        <v>MOTORCYCLE</v>
      </c>
      <c r="G1902" s="7" t="str">
        <f>IFERROR(__xludf.DUMMYFUNCTION("""COMPUTED_VALUE"""),"GUARULHOS")</f>
        <v>GUARULHOS</v>
      </c>
    </row>
    <row r="1903">
      <c r="A1903" s="6">
        <f>IFERROR(__xludf.DUMMYFUNCTION("""COMPUTED_VALUE"""),45705.0)</f>
        <v>45705</v>
      </c>
      <c r="B1903" s="7" t="str">
        <f>IFERROR(__xludf.DUMMYFUNCTION("""COMPUTED_VALUE"""),"cf709520-5304-4514-ab20-168233cb1d03")</f>
        <v>cf709520-5304-4514-ab20-168233cb1d03</v>
      </c>
      <c r="C1903" s="7">
        <f>IFERROR(__xludf.DUMMYFUNCTION("""COMPUTED_VALUE"""),3.0)</f>
        <v>3</v>
      </c>
      <c r="D1903" s="6">
        <f>IFERROR(__xludf.DUMMYFUNCTION("""COMPUTED_VALUE"""),45702.0)</f>
        <v>45702</v>
      </c>
      <c r="E1903" s="7" t="str">
        <f>IFERROR(__xludf.DUMMYFUNCTION("""COMPUTED_VALUE"""),"FRANQUIA_D&amp;G_SP")</f>
        <v>FRANQUIA_D&amp;G_SP</v>
      </c>
      <c r="F1903" s="7" t="str">
        <f>IFERROR(__xludf.DUMMYFUNCTION("""COMPUTED_VALUE"""),"MOTORCYCLE")</f>
        <v>MOTORCYCLE</v>
      </c>
      <c r="G1903" s="7" t="str">
        <f>IFERROR(__xludf.DUMMYFUNCTION("""COMPUTED_VALUE"""),"ABC")</f>
        <v>ABC</v>
      </c>
    </row>
    <row r="1904">
      <c r="A1904" s="6">
        <f>IFERROR(__xludf.DUMMYFUNCTION("""COMPUTED_VALUE"""),45705.0)</f>
        <v>45705</v>
      </c>
      <c r="B1904" s="7" t="str">
        <f>IFERROR(__xludf.DUMMYFUNCTION("""COMPUTED_VALUE"""),"15c99499-1f63-4552-964b-79f0329d4d02")</f>
        <v>15c99499-1f63-4552-964b-79f0329d4d02</v>
      </c>
      <c r="C1904" s="7">
        <f>IFERROR(__xludf.DUMMYFUNCTION("""COMPUTED_VALUE"""),2.0)</f>
        <v>2</v>
      </c>
      <c r="D1904" s="6">
        <f>IFERROR(__xludf.DUMMYFUNCTION("""COMPUTED_VALUE"""),45703.0)</f>
        <v>45703</v>
      </c>
      <c r="E1904" s="7" t="str">
        <f>IFERROR(__xludf.DUMMYFUNCTION("""COMPUTED_VALUE"""),"FRANQUIA_D&amp;G_SP")</f>
        <v>FRANQUIA_D&amp;G_SP</v>
      </c>
      <c r="F1904" s="7" t="str">
        <f>IFERROR(__xludf.DUMMYFUNCTION("""COMPUTED_VALUE"""),"MOTORCYCLE")</f>
        <v>MOTORCYCLE</v>
      </c>
      <c r="G1904" s="7" t="str">
        <f>IFERROR(__xludf.DUMMYFUNCTION("""COMPUTED_VALUE"""),"SAO PAULO")</f>
        <v>SAO PAULO</v>
      </c>
    </row>
    <row r="1905">
      <c r="A1905" s="6">
        <f>IFERROR(__xludf.DUMMYFUNCTION("""COMPUTED_VALUE"""),45705.0)</f>
        <v>45705</v>
      </c>
      <c r="B1905" s="7" t="str">
        <f>IFERROR(__xludf.DUMMYFUNCTION("""COMPUTED_VALUE"""),"fd0795c1-afa1-4b4e-9b97-6aa29364f135")</f>
        <v>fd0795c1-afa1-4b4e-9b97-6aa29364f135</v>
      </c>
      <c r="C1905" s="7">
        <f>IFERROR(__xludf.DUMMYFUNCTION("""COMPUTED_VALUE"""),11.0)</f>
        <v>11</v>
      </c>
      <c r="D1905" s="6">
        <f>IFERROR(__xludf.DUMMYFUNCTION("""COMPUTED_VALUE"""),45694.0)</f>
        <v>45694</v>
      </c>
      <c r="E1905" s="7" t="str">
        <f>IFERROR(__xludf.DUMMYFUNCTION("""COMPUTED_VALUE"""),"FRANQUIA_D&amp;G_SP")</f>
        <v>FRANQUIA_D&amp;G_SP</v>
      </c>
      <c r="F1905" s="7" t="str">
        <f>IFERROR(__xludf.DUMMYFUNCTION("""COMPUTED_VALUE"""),"MOTORCYCLE")</f>
        <v>MOTORCYCLE</v>
      </c>
      <c r="G1905" s="7" t="str">
        <f>IFERROR(__xludf.DUMMYFUNCTION("""COMPUTED_VALUE"""),"GUARULHOS")</f>
        <v>GUARULHOS</v>
      </c>
    </row>
    <row r="1906">
      <c r="A1906" s="6">
        <f>IFERROR(__xludf.DUMMYFUNCTION("""COMPUTED_VALUE"""),45705.0)</f>
        <v>45705</v>
      </c>
      <c r="B1906" s="7" t="str">
        <f>IFERROR(__xludf.DUMMYFUNCTION("""COMPUTED_VALUE"""),"060419ed-a3cd-4277-8ee1-57e9083dfaac")</f>
        <v>060419ed-a3cd-4277-8ee1-57e9083dfaac</v>
      </c>
      <c r="C1906" s="7">
        <f>IFERROR(__xludf.DUMMYFUNCTION("""COMPUTED_VALUE"""),20.0)</f>
        <v>20</v>
      </c>
      <c r="D1906" s="6">
        <f>IFERROR(__xludf.DUMMYFUNCTION("""COMPUTED_VALUE"""),45685.0)</f>
        <v>45685</v>
      </c>
      <c r="E1906" s="7" t="str">
        <f>IFERROR(__xludf.DUMMYFUNCTION("""COMPUTED_VALUE"""),"FRANQUIA_D&amp;G_SP")</f>
        <v>FRANQUIA_D&amp;G_SP</v>
      </c>
      <c r="F1906" s="7" t="str">
        <f>IFERROR(__xludf.DUMMYFUNCTION("""COMPUTED_VALUE"""),"MOTORCYCLE")</f>
        <v>MOTORCYCLE</v>
      </c>
      <c r="G1906" s="7" t="str">
        <f>IFERROR(__xludf.DUMMYFUNCTION("""COMPUTED_VALUE"""),"SAO PAULO")</f>
        <v>SAO PAULO</v>
      </c>
    </row>
    <row r="1907">
      <c r="A1907" s="6">
        <f>IFERROR(__xludf.DUMMYFUNCTION("""COMPUTED_VALUE"""),45705.0)</f>
        <v>45705</v>
      </c>
      <c r="B1907" s="7" t="str">
        <f>IFERROR(__xludf.DUMMYFUNCTION("""COMPUTED_VALUE"""),"0d46644c-5f6e-472d-bb84-242bfd868899")</f>
        <v>0d46644c-5f6e-472d-bb84-242bfd868899</v>
      </c>
      <c r="C1907" s="7">
        <f>IFERROR(__xludf.DUMMYFUNCTION("""COMPUTED_VALUE"""),1.0)</f>
        <v>1</v>
      </c>
      <c r="D1907" s="6">
        <f>IFERROR(__xludf.DUMMYFUNCTION("""COMPUTED_VALUE"""),45704.0)</f>
        <v>45704</v>
      </c>
      <c r="E1907" s="7" t="str">
        <f>IFERROR(__xludf.DUMMYFUNCTION("""COMPUTED_VALUE"""),"FRANQUIA_D&amp;G_SP")</f>
        <v>FRANQUIA_D&amp;G_SP</v>
      </c>
      <c r="F1907" s="7" t="str">
        <f>IFERROR(__xludf.DUMMYFUNCTION("""COMPUTED_VALUE"""),"MOTORCYCLE")</f>
        <v>MOTORCYCLE</v>
      </c>
      <c r="G1907" s="7" t="str">
        <f>IFERROR(__xludf.DUMMYFUNCTION("""COMPUTED_VALUE"""),"SAO PAULO")</f>
        <v>SAO PAULO</v>
      </c>
    </row>
    <row r="1908">
      <c r="A1908" s="6">
        <f>IFERROR(__xludf.DUMMYFUNCTION("""COMPUTED_VALUE"""),45705.0)</f>
        <v>45705</v>
      </c>
      <c r="B1908" s="7" t="str">
        <f>IFERROR(__xludf.DUMMYFUNCTION("""COMPUTED_VALUE"""),"9e17d1bc-308c-48de-99fe-823a9b1e2870")</f>
        <v>9e17d1bc-308c-48de-99fe-823a9b1e2870</v>
      </c>
      <c r="C1908" s="7">
        <f>IFERROR(__xludf.DUMMYFUNCTION("""COMPUTED_VALUE"""),482.0)</f>
        <v>482</v>
      </c>
      <c r="D1908" s="6">
        <f>IFERROR(__xludf.DUMMYFUNCTION("""COMPUTED_VALUE"""),45223.0)</f>
        <v>45223</v>
      </c>
      <c r="E1908" s="7" t="str">
        <f>IFERROR(__xludf.DUMMYFUNCTION("""COMPUTED_VALUE"""),"FRANQUIA_D&amp;G_SP")</f>
        <v>FRANQUIA_D&amp;G_SP</v>
      </c>
      <c r="F1908" s="7" t="str">
        <f>IFERROR(__xludf.DUMMYFUNCTION("""COMPUTED_VALUE"""),"Bike Express")</f>
        <v>Bike Express</v>
      </c>
      <c r="G1908" s="7" t="str">
        <f>IFERROR(__xludf.DUMMYFUNCTION("""COMPUTED_VALUE"""),"SAO PAULO")</f>
        <v>SAO PAULO</v>
      </c>
    </row>
    <row r="1909">
      <c r="A1909" s="6">
        <f>IFERROR(__xludf.DUMMYFUNCTION("""COMPUTED_VALUE"""),45705.0)</f>
        <v>45705</v>
      </c>
      <c r="B1909" s="7" t="str">
        <f>IFERROR(__xludf.DUMMYFUNCTION("""COMPUTED_VALUE"""),"6a5dd08d-38b8-40d1-8307-6277537ce68e")</f>
        <v>6a5dd08d-38b8-40d1-8307-6277537ce68e</v>
      </c>
      <c r="C1909" s="7">
        <f>IFERROR(__xludf.DUMMYFUNCTION("""COMPUTED_VALUE"""),1.0)</f>
        <v>1</v>
      </c>
      <c r="D1909" s="6">
        <f>IFERROR(__xludf.DUMMYFUNCTION("""COMPUTED_VALUE"""),45704.0)</f>
        <v>45704</v>
      </c>
      <c r="E1909" s="7" t="str">
        <f>IFERROR(__xludf.DUMMYFUNCTION("""COMPUTED_VALUE"""),"FRANQUIA_D&amp;G_SP")</f>
        <v>FRANQUIA_D&amp;G_SP</v>
      </c>
      <c r="F1909" s="7" t="str">
        <f>IFERROR(__xludf.DUMMYFUNCTION("""COMPUTED_VALUE"""),"MOTORCYCLE")</f>
        <v>MOTORCYCLE</v>
      </c>
      <c r="G1909" s="7" t="str">
        <f>IFERROR(__xludf.DUMMYFUNCTION("""COMPUTED_VALUE"""),"SAO PAULO")</f>
        <v>SAO PAULO</v>
      </c>
    </row>
    <row r="1910">
      <c r="A1910" s="6">
        <f>IFERROR(__xludf.DUMMYFUNCTION("""COMPUTED_VALUE"""),45705.0)</f>
        <v>45705</v>
      </c>
      <c r="B1910" s="7" t="str">
        <f>IFERROR(__xludf.DUMMYFUNCTION("""COMPUTED_VALUE"""),"37289c0d-a22b-40e5-83e4-b2ae06adf1d7")</f>
        <v>37289c0d-a22b-40e5-83e4-b2ae06adf1d7</v>
      </c>
      <c r="C1910" s="7">
        <f>IFERROR(__xludf.DUMMYFUNCTION("""COMPUTED_VALUE"""),23.0)</f>
        <v>23</v>
      </c>
      <c r="D1910" s="6">
        <f>IFERROR(__xludf.DUMMYFUNCTION("""COMPUTED_VALUE"""),45682.0)</f>
        <v>45682</v>
      </c>
      <c r="E1910" s="7" t="str">
        <f>IFERROR(__xludf.DUMMYFUNCTION("""COMPUTED_VALUE"""),"FRANQUIA_D&amp;G_SP")</f>
        <v>FRANQUIA_D&amp;G_SP</v>
      </c>
      <c r="F1910" s="7" t="str">
        <f>IFERROR(__xludf.DUMMYFUNCTION("""COMPUTED_VALUE"""),"MOTORCYCLE")</f>
        <v>MOTORCYCLE</v>
      </c>
      <c r="G1910" s="7" t="str">
        <f>IFERROR(__xludf.DUMMYFUNCTION("""COMPUTED_VALUE"""),"GUARULHOS")</f>
        <v>GUARULHOS</v>
      </c>
    </row>
    <row r="1911">
      <c r="A1911" s="6">
        <f>IFERROR(__xludf.DUMMYFUNCTION("""COMPUTED_VALUE"""),45705.0)</f>
        <v>45705</v>
      </c>
      <c r="B1911" s="7" t="str">
        <f>IFERROR(__xludf.DUMMYFUNCTION("""COMPUTED_VALUE"""),"42c53ca9-67fe-410e-b893-e46dea55ff51")</f>
        <v>42c53ca9-67fe-410e-b893-e46dea55ff51</v>
      </c>
      <c r="C1911" s="7">
        <f>IFERROR(__xludf.DUMMYFUNCTION("""COMPUTED_VALUE"""),10.0)</f>
        <v>10</v>
      </c>
      <c r="D1911" s="6">
        <f>IFERROR(__xludf.DUMMYFUNCTION("""COMPUTED_VALUE"""),45695.0)</f>
        <v>45695</v>
      </c>
      <c r="E1911" s="7" t="str">
        <f>IFERROR(__xludf.DUMMYFUNCTION("""COMPUTED_VALUE"""),"FRANQUIA_D&amp;G_SP")</f>
        <v>FRANQUIA_D&amp;G_SP</v>
      </c>
      <c r="F1911" s="7" t="str">
        <f>IFERROR(__xludf.DUMMYFUNCTION("""COMPUTED_VALUE"""),"MOTORCYCLE")</f>
        <v>MOTORCYCLE</v>
      </c>
      <c r="G1911" s="7" t="str">
        <f>IFERROR(__xludf.DUMMYFUNCTION("""COMPUTED_VALUE"""),"TABOAO DA SERRA")</f>
        <v>TABOAO DA SERRA</v>
      </c>
    </row>
    <row r="1912">
      <c r="A1912" s="6">
        <f>IFERROR(__xludf.DUMMYFUNCTION("""COMPUTED_VALUE"""),45705.0)</f>
        <v>45705</v>
      </c>
      <c r="B1912" s="7" t="str">
        <f>IFERROR(__xludf.DUMMYFUNCTION("""COMPUTED_VALUE"""),"df500ed2-7969-4fd6-969e-548579474adf")</f>
        <v>df500ed2-7969-4fd6-969e-548579474adf</v>
      </c>
      <c r="C1912" s="7">
        <f>IFERROR(__xludf.DUMMYFUNCTION("""COMPUTED_VALUE"""),26.0)</f>
        <v>26</v>
      </c>
      <c r="D1912" s="6">
        <f>IFERROR(__xludf.DUMMYFUNCTION("""COMPUTED_VALUE"""),45679.0)</f>
        <v>45679</v>
      </c>
      <c r="E1912" s="7" t="str">
        <f>IFERROR(__xludf.DUMMYFUNCTION("""COMPUTED_VALUE"""),"FRANQUIA_D&amp;G_SP")</f>
        <v>FRANQUIA_D&amp;G_SP</v>
      </c>
      <c r="F1912" s="7" t="str">
        <f>IFERROR(__xludf.DUMMYFUNCTION("""COMPUTED_VALUE"""),"BICYCLE")</f>
        <v>BICYCLE</v>
      </c>
      <c r="G1912" s="7" t="str">
        <f>IFERROR(__xludf.DUMMYFUNCTION("""COMPUTED_VALUE"""),"SAO PAULO")</f>
        <v>SAO PAULO</v>
      </c>
    </row>
    <row r="1913">
      <c r="A1913" s="6">
        <f>IFERROR(__xludf.DUMMYFUNCTION("""COMPUTED_VALUE"""),45705.0)</f>
        <v>45705</v>
      </c>
      <c r="B1913" s="7" t="str">
        <f>IFERROR(__xludf.DUMMYFUNCTION("""COMPUTED_VALUE"""),"5ec5ac04-9915-44a4-a28f-f0ab0ec274fd")</f>
        <v>5ec5ac04-9915-44a4-a28f-f0ab0ec274fd</v>
      </c>
      <c r="C1913" s="7">
        <f>IFERROR(__xludf.DUMMYFUNCTION("""COMPUTED_VALUE"""),0.0)</f>
        <v>0</v>
      </c>
      <c r="D1913" s="6">
        <f>IFERROR(__xludf.DUMMYFUNCTION("""COMPUTED_VALUE"""),45705.0)</f>
        <v>45705</v>
      </c>
      <c r="E1913" s="7" t="str">
        <f>IFERROR(__xludf.DUMMYFUNCTION("""COMPUTED_VALUE"""),"FRANQUIA_D&amp;G_SP")</f>
        <v>FRANQUIA_D&amp;G_SP</v>
      </c>
      <c r="F1913" s="7" t="str">
        <f>IFERROR(__xludf.DUMMYFUNCTION("""COMPUTED_VALUE"""),"MOTORCYCLE")</f>
        <v>MOTORCYCLE</v>
      </c>
      <c r="G1913" s="7" t="str">
        <f>IFERROR(__xludf.DUMMYFUNCTION("""COMPUTED_VALUE"""),"SAO PAULO")</f>
        <v>SAO PAULO</v>
      </c>
    </row>
    <row r="1914">
      <c r="A1914" s="6">
        <f>IFERROR(__xludf.DUMMYFUNCTION("""COMPUTED_VALUE"""),45705.0)</f>
        <v>45705</v>
      </c>
      <c r="B1914" s="7" t="str">
        <f>IFERROR(__xludf.DUMMYFUNCTION("""COMPUTED_VALUE"""),"78a766c0-7b21-4cd3-9164-a811b6ec7761")</f>
        <v>78a766c0-7b21-4cd3-9164-a811b6ec7761</v>
      </c>
      <c r="C1914" s="7">
        <f>IFERROR(__xludf.DUMMYFUNCTION("""COMPUTED_VALUE"""),0.0)</f>
        <v>0</v>
      </c>
      <c r="D1914" s="6">
        <f>IFERROR(__xludf.DUMMYFUNCTION("""COMPUTED_VALUE"""),45705.0)</f>
        <v>45705</v>
      </c>
      <c r="E1914" s="7" t="str">
        <f>IFERROR(__xludf.DUMMYFUNCTION("""COMPUTED_VALUE"""),"FRANQUIA_D&amp;G_SP")</f>
        <v>FRANQUIA_D&amp;G_SP</v>
      </c>
      <c r="F1914" s="7" t="str">
        <f>IFERROR(__xludf.DUMMYFUNCTION("""COMPUTED_VALUE"""),"MOTORCYCLE")</f>
        <v>MOTORCYCLE</v>
      </c>
      <c r="G1914" s="7" t="str">
        <f>IFERROR(__xludf.DUMMYFUNCTION("""COMPUTED_VALUE"""),"SAO PAULO")</f>
        <v>SAO PAULO</v>
      </c>
    </row>
    <row r="1915">
      <c r="A1915" s="6">
        <f>IFERROR(__xludf.DUMMYFUNCTION("""COMPUTED_VALUE"""),45705.0)</f>
        <v>45705</v>
      </c>
      <c r="B1915" s="7" t="str">
        <f>IFERROR(__xludf.DUMMYFUNCTION("""COMPUTED_VALUE"""),"2881ceb8-a048-4ff6-b6ab-7f2b32d46a33")</f>
        <v>2881ceb8-a048-4ff6-b6ab-7f2b32d46a33</v>
      </c>
      <c r="C1915" s="7">
        <f>IFERROR(__xludf.DUMMYFUNCTION("""COMPUTED_VALUE"""),0.0)</f>
        <v>0</v>
      </c>
      <c r="D1915" s="6">
        <f>IFERROR(__xludf.DUMMYFUNCTION("""COMPUTED_VALUE"""),45705.0)</f>
        <v>45705</v>
      </c>
      <c r="E1915" s="7" t="str">
        <f>IFERROR(__xludf.DUMMYFUNCTION("""COMPUTED_VALUE"""),"FRANQUIA_D&amp;G_SP")</f>
        <v>FRANQUIA_D&amp;G_SP</v>
      </c>
      <c r="F1915" s="7" t="str">
        <f>IFERROR(__xludf.DUMMYFUNCTION("""COMPUTED_VALUE"""),"BICYCLE")</f>
        <v>BICYCLE</v>
      </c>
      <c r="G1915" s="7" t="str">
        <f>IFERROR(__xludf.DUMMYFUNCTION("""COMPUTED_VALUE"""),"SAO PAULO")</f>
        <v>SAO PAULO</v>
      </c>
    </row>
    <row r="1916">
      <c r="A1916" s="6">
        <f>IFERROR(__xludf.DUMMYFUNCTION("""COMPUTED_VALUE"""),45705.0)</f>
        <v>45705</v>
      </c>
      <c r="B1916" s="7" t="str">
        <f>IFERROR(__xludf.DUMMYFUNCTION("""COMPUTED_VALUE"""),"b96b3aa4-2b60-466c-adbd-427d95e0cc5b")</f>
        <v>b96b3aa4-2b60-466c-adbd-427d95e0cc5b</v>
      </c>
      <c r="C1916" s="7">
        <f>IFERROR(__xludf.DUMMYFUNCTION("""COMPUTED_VALUE"""),121.0)</f>
        <v>121</v>
      </c>
      <c r="D1916" s="6">
        <f>IFERROR(__xludf.DUMMYFUNCTION("""COMPUTED_VALUE"""),45584.0)</f>
        <v>45584</v>
      </c>
      <c r="E1916" s="7" t="str">
        <f>IFERROR(__xludf.DUMMYFUNCTION("""COMPUTED_VALUE"""),"FRANQUIA_D&amp;G_SP")</f>
        <v>FRANQUIA_D&amp;G_SP</v>
      </c>
      <c r="F1916" s="7" t="str">
        <f>IFERROR(__xludf.DUMMYFUNCTION("""COMPUTED_VALUE"""),"MOTORCYCLE")</f>
        <v>MOTORCYCLE</v>
      </c>
      <c r="G1916" s="7" t="str">
        <f>IFERROR(__xludf.DUMMYFUNCTION("""COMPUTED_VALUE"""),"SAO PAULO")</f>
        <v>SAO PAULO</v>
      </c>
    </row>
    <row r="1917">
      <c r="A1917" s="6">
        <f>IFERROR(__xludf.DUMMYFUNCTION("""COMPUTED_VALUE"""),45705.0)</f>
        <v>45705</v>
      </c>
      <c r="B1917" s="7" t="str">
        <f>IFERROR(__xludf.DUMMYFUNCTION("""COMPUTED_VALUE"""),"bf8e3945-7a80-4169-afff-67f7117bc810")</f>
        <v>bf8e3945-7a80-4169-afff-67f7117bc810</v>
      </c>
      <c r="C1917" s="7">
        <f>IFERROR(__xludf.DUMMYFUNCTION("""COMPUTED_VALUE"""),1.0)</f>
        <v>1</v>
      </c>
      <c r="D1917" s="6">
        <f>IFERROR(__xludf.DUMMYFUNCTION("""COMPUTED_VALUE"""),45704.0)</f>
        <v>45704</v>
      </c>
      <c r="E1917" s="7" t="str">
        <f>IFERROR(__xludf.DUMMYFUNCTION("""COMPUTED_VALUE"""),"FRANQUIA_D&amp;G_SP")</f>
        <v>FRANQUIA_D&amp;G_SP</v>
      </c>
      <c r="F1917" s="7" t="str">
        <f>IFERROR(__xludf.DUMMYFUNCTION("""COMPUTED_VALUE"""),"MOTORCYCLE")</f>
        <v>MOTORCYCLE</v>
      </c>
      <c r="G1917" s="7" t="str">
        <f>IFERROR(__xludf.DUMMYFUNCTION("""COMPUTED_VALUE"""),"SAO PAULO")</f>
        <v>SAO PAULO</v>
      </c>
    </row>
    <row r="1918">
      <c r="A1918" s="6">
        <f>IFERROR(__xludf.DUMMYFUNCTION("""COMPUTED_VALUE"""),45705.0)</f>
        <v>45705</v>
      </c>
      <c r="B1918" s="7" t="str">
        <f>IFERROR(__xludf.DUMMYFUNCTION("""COMPUTED_VALUE"""),"540a0da2-b5e8-4d55-8cbe-5e11ad274dd4")</f>
        <v>540a0da2-b5e8-4d55-8cbe-5e11ad274dd4</v>
      </c>
      <c r="C1918" s="7">
        <f>IFERROR(__xludf.DUMMYFUNCTION("""COMPUTED_VALUE"""),0.0)</f>
        <v>0</v>
      </c>
      <c r="D1918" s="6">
        <f>IFERROR(__xludf.DUMMYFUNCTION("""COMPUTED_VALUE"""),45705.0)</f>
        <v>45705</v>
      </c>
      <c r="E1918" s="7" t="str">
        <f>IFERROR(__xludf.DUMMYFUNCTION("""COMPUTED_VALUE"""),"FRANQUIA_D&amp;G_SP")</f>
        <v>FRANQUIA_D&amp;G_SP</v>
      </c>
      <c r="F1918" s="7" t="str">
        <f>IFERROR(__xludf.DUMMYFUNCTION("""COMPUTED_VALUE"""),"EMOTORCYCLE")</f>
        <v>EMOTORCYCLE</v>
      </c>
      <c r="G1918" s="7" t="str">
        <f>IFERROR(__xludf.DUMMYFUNCTION("""COMPUTED_VALUE"""),"RESTAURANTE PARCEIRO")</f>
        <v>RESTAURANTE PARCEIRO</v>
      </c>
    </row>
    <row r="1919">
      <c r="A1919" s="6">
        <f>IFERROR(__xludf.DUMMYFUNCTION("""COMPUTED_VALUE"""),45705.0)</f>
        <v>45705</v>
      </c>
      <c r="B1919" s="7" t="str">
        <f>IFERROR(__xludf.DUMMYFUNCTION("""COMPUTED_VALUE"""),"852d36d1-ca42-4523-9ef6-a43690a363ee")</f>
        <v>852d36d1-ca42-4523-9ef6-a43690a363ee</v>
      </c>
      <c r="C1919" s="7">
        <f>IFERROR(__xludf.DUMMYFUNCTION("""COMPUTED_VALUE"""),0.0)</f>
        <v>0</v>
      </c>
      <c r="D1919" s="6">
        <f>IFERROR(__xludf.DUMMYFUNCTION("""COMPUTED_VALUE"""),45705.0)</f>
        <v>45705</v>
      </c>
      <c r="E1919" s="7" t="str">
        <f>IFERROR(__xludf.DUMMYFUNCTION("""COMPUTED_VALUE"""),"FRANQUIA_D&amp;G_SP")</f>
        <v>FRANQUIA_D&amp;G_SP</v>
      </c>
      <c r="F1919" s="7" t="str">
        <f>IFERROR(__xludf.DUMMYFUNCTION("""COMPUTED_VALUE"""),"MOTORCYCLE")</f>
        <v>MOTORCYCLE</v>
      </c>
      <c r="G1919" s="7" t="str">
        <f>IFERROR(__xludf.DUMMYFUNCTION("""COMPUTED_VALUE"""),"SAO PAULO")</f>
        <v>SAO PAULO</v>
      </c>
    </row>
    <row r="1920">
      <c r="A1920" s="6">
        <f>IFERROR(__xludf.DUMMYFUNCTION("""COMPUTED_VALUE"""),45705.0)</f>
        <v>45705</v>
      </c>
      <c r="B1920" s="7" t="str">
        <f>IFERROR(__xludf.DUMMYFUNCTION("""COMPUTED_VALUE"""),"4e937abf-a1cd-492a-8ad2-e71157efaf63")</f>
        <v>4e937abf-a1cd-492a-8ad2-e71157efaf63</v>
      </c>
      <c r="C1920" s="7">
        <f>IFERROR(__xludf.DUMMYFUNCTION("""COMPUTED_VALUE"""),3.0)</f>
        <v>3</v>
      </c>
      <c r="D1920" s="6">
        <f>IFERROR(__xludf.DUMMYFUNCTION("""COMPUTED_VALUE"""),45702.0)</f>
        <v>45702</v>
      </c>
      <c r="E1920" s="7" t="str">
        <f>IFERROR(__xludf.DUMMYFUNCTION("""COMPUTED_VALUE"""),"FRANQUIA_D&amp;G_SP")</f>
        <v>FRANQUIA_D&amp;G_SP</v>
      </c>
      <c r="F1920" s="7" t="str">
        <f>IFERROR(__xludf.DUMMYFUNCTION("""COMPUTED_VALUE"""),"MOTORCYCLE")</f>
        <v>MOTORCYCLE</v>
      </c>
      <c r="G1920" s="7" t="str">
        <f>IFERROR(__xludf.DUMMYFUNCTION("""COMPUTED_VALUE"""),"SAO PAULO")</f>
        <v>SAO PAULO</v>
      </c>
    </row>
    <row r="1921">
      <c r="A1921" s="6">
        <f>IFERROR(__xludf.DUMMYFUNCTION("""COMPUTED_VALUE"""),45705.0)</f>
        <v>45705</v>
      </c>
      <c r="B1921" s="7" t="str">
        <f>IFERROR(__xludf.DUMMYFUNCTION("""COMPUTED_VALUE"""),"e35df899-b1bc-4a36-a789-10f545965faf")</f>
        <v>e35df899-b1bc-4a36-a789-10f545965faf</v>
      </c>
      <c r="C1921" s="7">
        <f>IFERROR(__xludf.DUMMYFUNCTION("""COMPUTED_VALUE"""),45.0)</f>
        <v>45</v>
      </c>
      <c r="D1921" s="6">
        <f>IFERROR(__xludf.DUMMYFUNCTION("""COMPUTED_VALUE"""),45660.0)</f>
        <v>45660</v>
      </c>
      <c r="E1921" s="7" t="str">
        <f>IFERROR(__xludf.DUMMYFUNCTION("""COMPUTED_VALUE"""),"FRANQUIA_D&amp;G_SP")</f>
        <v>FRANQUIA_D&amp;G_SP</v>
      </c>
      <c r="F1921" s="7" t="str">
        <f>IFERROR(__xludf.DUMMYFUNCTION("""COMPUTED_VALUE"""),"BICYCLE")</f>
        <v>BICYCLE</v>
      </c>
      <c r="G1921" s="7" t="str">
        <f>IFERROR(__xludf.DUMMYFUNCTION("""COMPUTED_VALUE"""),"SAO PAULO")</f>
        <v>SAO PAULO</v>
      </c>
    </row>
    <row r="1922">
      <c r="A1922" s="6">
        <f>IFERROR(__xludf.DUMMYFUNCTION("""COMPUTED_VALUE"""),45705.0)</f>
        <v>45705</v>
      </c>
      <c r="B1922" s="7" t="str">
        <f>IFERROR(__xludf.DUMMYFUNCTION("""COMPUTED_VALUE"""),"3f47e447-64ce-46b6-b47e-2234381d259d")</f>
        <v>3f47e447-64ce-46b6-b47e-2234381d259d</v>
      </c>
      <c r="C1922" s="7">
        <f>IFERROR(__xludf.DUMMYFUNCTION("""COMPUTED_VALUE"""),468.0)</f>
        <v>468</v>
      </c>
      <c r="D1922" s="6">
        <f>IFERROR(__xludf.DUMMYFUNCTION("""COMPUTED_VALUE"""),45237.0)</f>
        <v>45237</v>
      </c>
      <c r="E1922" s="7" t="str">
        <f>IFERROR(__xludf.DUMMYFUNCTION("""COMPUTED_VALUE"""),"FRANQUIA_D&amp;G_SP")</f>
        <v>FRANQUIA_D&amp;G_SP</v>
      </c>
      <c r="F1922" s="7" t="str">
        <f>IFERROR(__xludf.DUMMYFUNCTION("""COMPUTED_VALUE"""),"BICYCLE")</f>
        <v>BICYCLE</v>
      </c>
      <c r="G1922" s="7" t="str">
        <f>IFERROR(__xludf.DUMMYFUNCTION("""COMPUTED_VALUE"""),"SAO PAULO")</f>
        <v>SAO PAULO</v>
      </c>
    </row>
    <row r="1923">
      <c r="A1923" s="6">
        <f>IFERROR(__xludf.DUMMYFUNCTION("""COMPUTED_VALUE"""),45705.0)</f>
        <v>45705</v>
      </c>
      <c r="B1923" s="7" t="str">
        <f>IFERROR(__xludf.DUMMYFUNCTION("""COMPUTED_VALUE"""),"52d7be93-df7d-4467-bcc2-b0eaf7492bb1")</f>
        <v>52d7be93-df7d-4467-bcc2-b0eaf7492bb1</v>
      </c>
      <c r="C1923" s="7">
        <f>IFERROR(__xludf.DUMMYFUNCTION("""COMPUTED_VALUE"""),0.0)</f>
        <v>0</v>
      </c>
      <c r="D1923" s="6">
        <f>IFERROR(__xludf.DUMMYFUNCTION("""COMPUTED_VALUE"""),45705.0)</f>
        <v>45705</v>
      </c>
      <c r="E1923" s="7" t="str">
        <f>IFERROR(__xludf.DUMMYFUNCTION("""COMPUTED_VALUE"""),"FRANQUIA_D&amp;G_SP")</f>
        <v>FRANQUIA_D&amp;G_SP</v>
      </c>
      <c r="F1923" s="7" t="str">
        <f>IFERROR(__xludf.DUMMYFUNCTION("""COMPUTED_VALUE"""),"BICYCLE")</f>
        <v>BICYCLE</v>
      </c>
      <c r="G1923" s="7" t="str">
        <f>IFERROR(__xludf.DUMMYFUNCTION("""COMPUTED_VALUE"""),"SAO PAULO")</f>
        <v>SAO PAULO</v>
      </c>
    </row>
    <row r="1924">
      <c r="A1924" s="6">
        <f>IFERROR(__xludf.DUMMYFUNCTION("""COMPUTED_VALUE"""),45705.0)</f>
        <v>45705</v>
      </c>
      <c r="B1924" s="7" t="str">
        <f>IFERROR(__xludf.DUMMYFUNCTION("""COMPUTED_VALUE"""),"d3dc3377-b580-4a03-84bd-0dde19cdca4c")</f>
        <v>d3dc3377-b580-4a03-84bd-0dde19cdca4c</v>
      </c>
      <c r="C1924" s="7">
        <f>IFERROR(__xludf.DUMMYFUNCTION("""COMPUTED_VALUE"""),206.0)</f>
        <v>206</v>
      </c>
      <c r="D1924" s="6">
        <f>IFERROR(__xludf.DUMMYFUNCTION("""COMPUTED_VALUE"""),45499.0)</f>
        <v>45499</v>
      </c>
      <c r="E1924" s="7" t="str">
        <f>IFERROR(__xludf.DUMMYFUNCTION("""COMPUTED_VALUE"""),"FRANQUIA_D&amp;G_SP")</f>
        <v>FRANQUIA_D&amp;G_SP</v>
      </c>
      <c r="F1924" s="7" t="str">
        <f>IFERROR(__xludf.DUMMYFUNCTION("""COMPUTED_VALUE"""),"MOTORCYCLE")</f>
        <v>MOTORCYCLE</v>
      </c>
      <c r="G1924" s="7" t="str">
        <f>IFERROR(__xludf.DUMMYFUNCTION("""COMPUTED_VALUE"""),"SAO PAULO")</f>
        <v>SAO PAULO</v>
      </c>
    </row>
    <row r="1925">
      <c r="A1925" s="6">
        <f>IFERROR(__xludf.DUMMYFUNCTION("""COMPUTED_VALUE"""),45705.0)</f>
        <v>45705</v>
      </c>
      <c r="B1925" s="7" t="str">
        <f>IFERROR(__xludf.DUMMYFUNCTION("""COMPUTED_VALUE"""),"7c1edece-39d9-47da-b169-79b6e915462d")</f>
        <v>7c1edece-39d9-47da-b169-79b6e915462d</v>
      </c>
      <c r="C1925" s="7">
        <f>IFERROR(__xludf.DUMMYFUNCTION("""COMPUTED_VALUE"""),0.0)</f>
        <v>0</v>
      </c>
      <c r="D1925" s="6">
        <f>IFERROR(__xludf.DUMMYFUNCTION("""COMPUTED_VALUE"""),45705.0)</f>
        <v>45705</v>
      </c>
      <c r="E1925" s="7" t="str">
        <f>IFERROR(__xludf.DUMMYFUNCTION("""COMPUTED_VALUE"""),"FRANQUIA_D&amp;G_SP")</f>
        <v>FRANQUIA_D&amp;G_SP</v>
      </c>
      <c r="F1925" s="7" t="str">
        <f>IFERROR(__xludf.DUMMYFUNCTION("""COMPUTED_VALUE"""),"MOTORCYCLE")</f>
        <v>MOTORCYCLE</v>
      </c>
      <c r="G1925" s="7" t="str">
        <f>IFERROR(__xludf.DUMMYFUNCTION("""COMPUTED_VALUE"""),"SAO PAULO")</f>
        <v>SAO PAULO</v>
      </c>
    </row>
    <row r="1926">
      <c r="A1926" s="6">
        <f>IFERROR(__xludf.DUMMYFUNCTION("""COMPUTED_VALUE"""),45705.0)</f>
        <v>45705</v>
      </c>
      <c r="B1926" s="7" t="str">
        <f>IFERROR(__xludf.DUMMYFUNCTION("""COMPUTED_VALUE"""),"700167d8-c687-49bf-be3e-2ef63f90b74e")</f>
        <v>700167d8-c687-49bf-be3e-2ef63f90b74e</v>
      </c>
      <c r="C1926" s="7">
        <f>IFERROR(__xludf.DUMMYFUNCTION("""COMPUTED_VALUE"""),2.0)</f>
        <v>2</v>
      </c>
      <c r="D1926" s="6">
        <f>IFERROR(__xludf.DUMMYFUNCTION("""COMPUTED_VALUE"""),45703.0)</f>
        <v>45703</v>
      </c>
      <c r="E1926" s="7" t="str">
        <f>IFERROR(__xludf.DUMMYFUNCTION("""COMPUTED_VALUE"""),"FRANQUIA_D&amp;G_SP")</f>
        <v>FRANQUIA_D&amp;G_SP</v>
      </c>
      <c r="F1926" s="7" t="str">
        <f>IFERROR(__xludf.DUMMYFUNCTION("""COMPUTED_VALUE"""),"BICYCLE")</f>
        <v>BICYCLE</v>
      </c>
      <c r="G1926" s="7" t="str">
        <f>IFERROR(__xludf.DUMMYFUNCTION("""COMPUTED_VALUE"""),"ABC")</f>
        <v>ABC</v>
      </c>
    </row>
    <row r="1927">
      <c r="A1927" s="6">
        <f>IFERROR(__xludf.DUMMYFUNCTION("""COMPUTED_VALUE"""),45705.0)</f>
        <v>45705</v>
      </c>
      <c r="B1927" s="7" t="str">
        <f>IFERROR(__xludf.DUMMYFUNCTION("""COMPUTED_VALUE"""),"b9dcc7e9-2cb4-4282-a4dd-ba4576f8a925")</f>
        <v>b9dcc7e9-2cb4-4282-a4dd-ba4576f8a925</v>
      </c>
      <c r="C1927" s="7">
        <f>IFERROR(__xludf.DUMMYFUNCTION("""COMPUTED_VALUE"""),0.0)</f>
        <v>0</v>
      </c>
      <c r="D1927" s="6">
        <f>IFERROR(__xludf.DUMMYFUNCTION("""COMPUTED_VALUE"""),45705.0)</f>
        <v>45705</v>
      </c>
      <c r="E1927" s="7" t="str">
        <f>IFERROR(__xludf.DUMMYFUNCTION("""COMPUTED_VALUE"""),"FRANQUIA_D&amp;G_SP")</f>
        <v>FRANQUIA_D&amp;G_SP</v>
      </c>
      <c r="F1927" s="7" t="str">
        <f>IFERROR(__xludf.DUMMYFUNCTION("""COMPUTED_VALUE"""),"MOTORCYCLE")</f>
        <v>MOTORCYCLE</v>
      </c>
      <c r="G1927" s="7" t="str">
        <f>IFERROR(__xludf.DUMMYFUNCTION("""COMPUTED_VALUE"""),"SAO PAULO")</f>
        <v>SAO PAULO</v>
      </c>
    </row>
    <row r="1928">
      <c r="A1928" s="6">
        <f>IFERROR(__xludf.DUMMYFUNCTION("""COMPUTED_VALUE"""),45705.0)</f>
        <v>45705</v>
      </c>
      <c r="B1928" s="7" t="str">
        <f>IFERROR(__xludf.DUMMYFUNCTION("""COMPUTED_VALUE"""),"87e550a5-7db8-40dc-9d82-dfebf42acc8c")</f>
        <v>87e550a5-7db8-40dc-9d82-dfebf42acc8c</v>
      </c>
      <c r="C1928" s="7">
        <f>IFERROR(__xludf.DUMMYFUNCTION("""COMPUTED_VALUE"""),324.0)</f>
        <v>324</v>
      </c>
      <c r="D1928" s="6">
        <f>IFERROR(__xludf.DUMMYFUNCTION("""COMPUTED_VALUE"""),45381.0)</f>
        <v>45381</v>
      </c>
      <c r="E1928" s="7" t="str">
        <f>IFERROR(__xludf.DUMMYFUNCTION("""COMPUTED_VALUE"""),"FRANQUIA_D&amp;G_SP")</f>
        <v>FRANQUIA_D&amp;G_SP</v>
      </c>
      <c r="F1928" s="7" t="str">
        <f>IFERROR(__xludf.DUMMYFUNCTION("""COMPUTED_VALUE"""),"BICYCLE")</f>
        <v>BICYCLE</v>
      </c>
      <c r="G1928" s="7" t="str">
        <f>IFERROR(__xludf.DUMMYFUNCTION("""COMPUTED_VALUE"""),"SAO PAULO")</f>
        <v>SAO PAULO</v>
      </c>
    </row>
    <row r="1929">
      <c r="A1929" s="6">
        <f>IFERROR(__xludf.DUMMYFUNCTION("""COMPUTED_VALUE"""),45705.0)</f>
        <v>45705</v>
      </c>
      <c r="B1929" s="7" t="str">
        <f>IFERROR(__xludf.DUMMYFUNCTION("""COMPUTED_VALUE"""),"e9c9e4fb-ebaf-4031-b9ca-d4f5906c1e9c")</f>
        <v>e9c9e4fb-ebaf-4031-b9ca-d4f5906c1e9c</v>
      </c>
      <c r="C1929" s="7">
        <f>IFERROR(__xludf.DUMMYFUNCTION("""COMPUTED_VALUE"""),15.0)</f>
        <v>15</v>
      </c>
      <c r="D1929" s="6">
        <f>IFERROR(__xludf.DUMMYFUNCTION("""COMPUTED_VALUE"""),45690.0)</f>
        <v>45690</v>
      </c>
      <c r="E1929" s="7" t="str">
        <f>IFERROR(__xludf.DUMMYFUNCTION("""COMPUTED_VALUE"""),"FRANQUIA_D&amp;G_SP")</f>
        <v>FRANQUIA_D&amp;G_SP</v>
      </c>
      <c r="F1929" s="7" t="str">
        <f>IFERROR(__xludf.DUMMYFUNCTION("""COMPUTED_VALUE"""),"BICYCLE")</f>
        <v>BICYCLE</v>
      </c>
      <c r="G1929" s="7" t="str">
        <f>IFERROR(__xludf.DUMMYFUNCTION("""COMPUTED_VALUE"""),"SAO PAULO")</f>
        <v>SAO PAULO</v>
      </c>
    </row>
    <row r="1930">
      <c r="A1930" s="6">
        <f>IFERROR(__xludf.DUMMYFUNCTION("""COMPUTED_VALUE"""),45705.0)</f>
        <v>45705</v>
      </c>
      <c r="B1930" s="7" t="str">
        <f>IFERROR(__xludf.DUMMYFUNCTION("""COMPUTED_VALUE"""),"1435c9df-dc98-47ce-a869-8512d02fbcb5")</f>
        <v>1435c9df-dc98-47ce-a869-8512d02fbcb5</v>
      </c>
      <c r="C1930" s="7">
        <f>IFERROR(__xludf.DUMMYFUNCTION("""COMPUTED_VALUE"""),187.0)</f>
        <v>187</v>
      </c>
      <c r="D1930" s="6">
        <f>IFERROR(__xludf.DUMMYFUNCTION("""COMPUTED_VALUE"""),45518.0)</f>
        <v>45518</v>
      </c>
      <c r="E1930" s="7" t="str">
        <f>IFERROR(__xludf.DUMMYFUNCTION("""COMPUTED_VALUE"""),"FRANQUIA_D&amp;G_SP")</f>
        <v>FRANQUIA_D&amp;G_SP</v>
      </c>
      <c r="F1930" s="7" t="str">
        <f>IFERROR(__xludf.DUMMYFUNCTION("""COMPUTED_VALUE"""),"BICYCLE")</f>
        <v>BICYCLE</v>
      </c>
      <c r="G1930" s="7" t="str">
        <f>IFERROR(__xludf.DUMMYFUNCTION("""COMPUTED_VALUE"""),"SAO PAULO")</f>
        <v>SAO PAULO</v>
      </c>
    </row>
    <row r="1931">
      <c r="A1931" s="6">
        <f>IFERROR(__xludf.DUMMYFUNCTION("""COMPUTED_VALUE"""),45705.0)</f>
        <v>45705</v>
      </c>
      <c r="B1931" s="7" t="str">
        <f>IFERROR(__xludf.DUMMYFUNCTION("""COMPUTED_VALUE"""),"e756e4a3-ca8d-4749-a157-928ded048f8e")</f>
        <v>e756e4a3-ca8d-4749-a157-928ded048f8e</v>
      </c>
      <c r="C1931" s="7">
        <f>IFERROR(__xludf.DUMMYFUNCTION("""COMPUTED_VALUE"""),42.0)</f>
        <v>42</v>
      </c>
      <c r="D1931" s="6">
        <f>IFERROR(__xludf.DUMMYFUNCTION("""COMPUTED_VALUE"""),45663.0)</f>
        <v>45663</v>
      </c>
      <c r="E1931" s="7" t="str">
        <f>IFERROR(__xludf.DUMMYFUNCTION("""COMPUTED_VALUE"""),"FRANQUIA_D&amp;G_SP")</f>
        <v>FRANQUIA_D&amp;G_SP</v>
      </c>
      <c r="F1931" s="7" t="str">
        <f>IFERROR(__xludf.DUMMYFUNCTION("""COMPUTED_VALUE"""),"BICYCLE")</f>
        <v>BICYCLE</v>
      </c>
      <c r="G1931" s="7" t="str">
        <f>IFERROR(__xludf.DUMMYFUNCTION("""COMPUTED_VALUE"""),"SAO PAULO")</f>
        <v>SAO PAULO</v>
      </c>
    </row>
    <row r="1932">
      <c r="A1932" s="6">
        <f>IFERROR(__xludf.DUMMYFUNCTION("""COMPUTED_VALUE"""),45705.0)</f>
        <v>45705</v>
      </c>
      <c r="B1932" s="7" t="str">
        <f>IFERROR(__xludf.DUMMYFUNCTION("""COMPUTED_VALUE"""),"efc40099-774b-4556-9a6b-0d4b24558921")</f>
        <v>efc40099-774b-4556-9a6b-0d4b24558921</v>
      </c>
      <c r="C1932" s="7">
        <f>IFERROR(__xludf.DUMMYFUNCTION("""COMPUTED_VALUE"""),0.0)</f>
        <v>0</v>
      </c>
      <c r="D1932" s="6">
        <f>IFERROR(__xludf.DUMMYFUNCTION("""COMPUTED_VALUE"""),45705.0)</f>
        <v>45705</v>
      </c>
      <c r="E1932" s="7" t="str">
        <f>IFERROR(__xludf.DUMMYFUNCTION("""COMPUTED_VALUE"""),"FRANQUIA_D&amp;G_SP")</f>
        <v>FRANQUIA_D&amp;G_SP</v>
      </c>
      <c r="F1932" s="7" t="str">
        <f>IFERROR(__xludf.DUMMYFUNCTION("""COMPUTED_VALUE"""),"BICYCLE")</f>
        <v>BICYCLE</v>
      </c>
      <c r="G1932" s="7" t="str">
        <f>IFERROR(__xludf.DUMMYFUNCTION("""COMPUTED_VALUE"""),"SAO PAULO")</f>
        <v>SAO PAULO</v>
      </c>
    </row>
    <row r="1933">
      <c r="A1933" s="6">
        <f>IFERROR(__xludf.DUMMYFUNCTION("""COMPUTED_VALUE"""),45705.0)</f>
        <v>45705</v>
      </c>
      <c r="B1933" s="7" t="str">
        <f>IFERROR(__xludf.DUMMYFUNCTION("""COMPUTED_VALUE"""),"a3d9620e-cc0f-4a87-ac70-142774d69c82")</f>
        <v>a3d9620e-cc0f-4a87-ac70-142774d69c82</v>
      </c>
      <c r="C1933" s="7">
        <f>IFERROR(__xludf.DUMMYFUNCTION("""COMPUTED_VALUE"""),2.0)</f>
        <v>2</v>
      </c>
      <c r="D1933" s="6">
        <f>IFERROR(__xludf.DUMMYFUNCTION("""COMPUTED_VALUE"""),45703.0)</f>
        <v>45703</v>
      </c>
      <c r="E1933" s="7" t="str">
        <f>IFERROR(__xludf.DUMMYFUNCTION("""COMPUTED_VALUE"""),"FRANQUIA_D&amp;G_SP")</f>
        <v>FRANQUIA_D&amp;G_SP</v>
      </c>
      <c r="F1933" s="7" t="str">
        <f>IFERROR(__xludf.DUMMYFUNCTION("""COMPUTED_VALUE"""),"BICYCLE")</f>
        <v>BICYCLE</v>
      </c>
      <c r="G1933" s="7" t="str">
        <f>IFERROR(__xludf.DUMMYFUNCTION("""COMPUTED_VALUE"""),"SAO PAULO")</f>
        <v>SAO PAULO</v>
      </c>
    </row>
    <row r="1934">
      <c r="A1934" s="6">
        <f>IFERROR(__xludf.DUMMYFUNCTION("""COMPUTED_VALUE"""),45705.0)</f>
        <v>45705</v>
      </c>
      <c r="B1934" s="7" t="str">
        <f>IFERROR(__xludf.DUMMYFUNCTION("""COMPUTED_VALUE"""),"cda045be-aeac-42c5-9bb7-8e6eebb2c6a6")</f>
        <v>cda045be-aeac-42c5-9bb7-8e6eebb2c6a6</v>
      </c>
      <c r="C1934" s="7">
        <f>IFERROR(__xludf.DUMMYFUNCTION("""COMPUTED_VALUE"""),1189.0)</f>
        <v>1189</v>
      </c>
      <c r="D1934" s="6">
        <f>IFERROR(__xludf.DUMMYFUNCTION("""COMPUTED_VALUE"""),44516.0)</f>
        <v>44516</v>
      </c>
      <c r="E1934" s="7" t="str">
        <f>IFERROR(__xludf.DUMMYFUNCTION("""COMPUTED_VALUE"""),"FRANQUIA_D&amp;G_SP")</f>
        <v>FRANQUIA_D&amp;G_SP</v>
      </c>
      <c r="F1934" s="7" t="str">
        <f>IFERROR(__xludf.DUMMYFUNCTION("""COMPUTED_VALUE"""),"BICYCLE")</f>
        <v>BICYCLE</v>
      </c>
      <c r="G1934" s="7" t="str">
        <f>IFERROR(__xludf.DUMMYFUNCTION("""COMPUTED_VALUE"""),"SAO PAULO")</f>
        <v>SAO PAULO</v>
      </c>
    </row>
    <row r="1935">
      <c r="A1935" s="6">
        <f>IFERROR(__xludf.DUMMYFUNCTION("""COMPUTED_VALUE"""),45705.0)</f>
        <v>45705</v>
      </c>
      <c r="B1935" s="7" t="str">
        <f>IFERROR(__xludf.DUMMYFUNCTION("""COMPUTED_VALUE"""),"9c931388-a6fa-492b-ae08-ff82b59c2bd7")</f>
        <v>9c931388-a6fa-492b-ae08-ff82b59c2bd7</v>
      </c>
      <c r="C1935" s="7">
        <f>IFERROR(__xludf.DUMMYFUNCTION("""COMPUTED_VALUE"""),0.0)</f>
        <v>0</v>
      </c>
      <c r="D1935" s="6">
        <f>IFERROR(__xludf.DUMMYFUNCTION("""COMPUTED_VALUE"""),45705.0)</f>
        <v>45705</v>
      </c>
      <c r="E1935" s="7" t="str">
        <f>IFERROR(__xludf.DUMMYFUNCTION("""COMPUTED_VALUE"""),"FRANQUIA_D&amp;G_SP")</f>
        <v>FRANQUIA_D&amp;G_SP</v>
      </c>
      <c r="F1935" s="7" t="str">
        <f>IFERROR(__xludf.DUMMYFUNCTION("""COMPUTED_VALUE"""),"BICYCLE")</f>
        <v>BICYCLE</v>
      </c>
      <c r="G1935" s="7" t="str">
        <f>IFERROR(__xludf.DUMMYFUNCTION("""COMPUTED_VALUE"""),"SAO PAULO")</f>
        <v>SAO PAULO</v>
      </c>
    </row>
    <row r="1936">
      <c r="A1936" s="6">
        <f>IFERROR(__xludf.DUMMYFUNCTION("""COMPUTED_VALUE"""),45705.0)</f>
        <v>45705</v>
      </c>
      <c r="B1936" s="7" t="str">
        <f>IFERROR(__xludf.DUMMYFUNCTION("""COMPUTED_VALUE"""),"033f5328-0be6-4dae-a440-0fe341ce432d")</f>
        <v>033f5328-0be6-4dae-a440-0fe341ce432d</v>
      </c>
      <c r="C1936" s="7">
        <f>IFERROR(__xludf.DUMMYFUNCTION("""COMPUTED_VALUE"""),479.0)</f>
        <v>479</v>
      </c>
      <c r="D1936" s="6">
        <f>IFERROR(__xludf.DUMMYFUNCTION("""COMPUTED_VALUE"""),45226.0)</f>
        <v>45226</v>
      </c>
      <c r="E1936" s="7" t="str">
        <f>IFERROR(__xludf.DUMMYFUNCTION("""COMPUTED_VALUE"""),"FRANQUIA_D&amp;G_SP")</f>
        <v>FRANQUIA_D&amp;G_SP</v>
      </c>
      <c r="F1936" s="7" t="str">
        <f>IFERROR(__xludf.DUMMYFUNCTION("""COMPUTED_VALUE"""),"BICYCLE")</f>
        <v>BICYCLE</v>
      </c>
      <c r="G1936" s="7" t="str">
        <f>IFERROR(__xludf.DUMMYFUNCTION("""COMPUTED_VALUE"""),"SAO PAULO")</f>
        <v>SAO PAULO</v>
      </c>
    </row>
    <row r="1937">
      <c r="A1937" s="6">
        <f>IFERROR(__xludf.DUMMYFUNCTION("""COMPUTED_VALUE"""),45705.0)</f>
        <v>45705</v>
      </c>
      <c r="B1937" s="7" t="str">
        <f>IFERROR(__xludf.DUMMYFUNCTION("""COMPUTED_VALUE"""),"c23f136f-7921-4a9b-88f0-79e6ebfb7fd3")</f>
        <v>c23f136f-7921-4a9b-88f0-79e6ebfb7fd3</v>
      </c>
      <c r="C1937" s="7">
        <f>IFERROR(__xludf.DUMMYFUNCTION("""COMPUTED_VALUE"""),3.0)</f>
        <v>3</v>
      </c>
      <c r="D1937" s="6">
        <f>IFERROR(__xludf.DUMMYFUNCTION("""COMPUTED_VALUE"""),45702.0)</f>
        <v>45702</v>
      </c>
      <c r="E1937" s="7" t="str">
        <f>IFERROR(__xludf.DUMMYFUNCTION("""COMPUTED_VALUE"""),"FRANQUIA_D&amp;G_SP")</f>
        <v>FRANQUIA_D&amp;G_SP</v>
      </c>
      <c r="F1937" s="7" t="str">
        <f>IFERROR(__xludf.DUMMYFUNCTION("""COMPUTED_VALUE"""),"EBIKE")</f>
        <v>EBIKE</v>
      </c>
      <c r="G1937" s="7" t="str">
        <f>IFERROR(__xludf.DUMMYFUNCTION("""COMPUTED_VALUE"""),"SAO PAULO")</f>
        <v>SAO PAULO</v>
      </c>
    </row>
    <row r="1938">
      <c r="A1938" s="6">
        <f>IFERROR(__xludf.DUMMYFUNCTION("""COMPUTED_VALUE"""),45705.0)</f>
        <v>45705</v>
      </c>
      <c r="B1938" s="7" t="str">
        <f>IFERROR(__xludf.DUMMYFUNCTION("""COMPUTED_VALUE"""),"5cf197e7-d114-4fd1-8fb8-7a7ddbd700cc")</f>
        <v>5cf197e7-d114-4fd1-8fb8-7a7ddbd700cc</v>
      </c>
      <c r="C1938" s="7">
        <f>IFERROR(__xludf.DUMMYFUNCTION("""COMPUTED_VALUE"""),177.0)</f>
        <v>177</v>
      </c>
      <c r="D1938" s="6">
        <f>IFERROR(__xludf.DUMMYFUNCTION("""COMPUTED_VALUE"""),45528.0)</f>
        <v>45528</v>
      </c>
      <c r="E1938" s="7" t="str">
        <f>IFERROR(__xludf.DUMMYFUNCTION("""COMPUTED_VALUE"""),"FRANQUIA_D&amp;G_SP")</f>
        <v>FRANQUIA_D&amp;G_SP</v>
      </c>
      <c r="F1938" s="7" t="str">
        <f>IFERROR(__xludf.DUMMYFUNCTION("""COMPUTED_VALUE"""),"BICYCLE")</f>
        <v>BICYCLE</v>
      </c>
      <c r="G1938" s="7" t="str">
        <f>IFERROR(__xludf.DUMMYFUNCTION("""COMPUTED_VALUE"""),"SAO PAULO")</f>
        <v>SAO PAULO</v>
      </c>
    </row>
    <row r="1939">
      <c r="A1939" s="6">
        <f>IFERROR(__xludf.DUMMYFUNCTION("""COMPUTED_VALUE"""),45705.0)</f>
        <v>45705</v>
      </c>
      <c r="B1939" s="7" t="str">
        <f>IFERROR(__xludf.DUMMYFUNCTION("""COMPUTED_VALUE"""),"2ad02ce8-bdf4-44ba-9ab4-1eb9579abae2")</f>
        <v>2ad02ce8-bdf4-44ba-9ab4-1eb9579abae2</v>
      </c>
      <c r="C1939" s="7">
        <f>IFERROR(__xludf.DUMMYFUNCTION("""COMPUTED_VALUE"""),0.0)</f>
        <v>0</v>
      </c>
      <c r="D1939" s="6">
        <f>IFERROR(__xludf.DUMMYFUNCTION("""COMPUTED_VALUE"""),45705.0)</f>
        <v>45705</v>
      </c>
      <c r="E1939" s="7" t="str">
        <f>IFERROR(__xludf.DUMMYFUNCTION("""COMPUTED_VALUE"""),"FRANQUIA_D&amp;G_SP")</f>
        <v>FRANQUIA_D&amp;G_SP</v>
      </c>
      <c r="F1939" s="7" t="str">
        <f>IFERROR(__xludf.DUMMYFUNCTION("""COMPUTED_VALUE"""),"MOTORCYCLE")</f>
        <v>MOTORCYCLE</v>
      </c>
      <c r="G1939" s="7" t="str">
        <f>IFERROR(__xludf.DUMMYFUNCTION("""COMPUTED_VALUE"""),"SAO PAULO")</f>
        <v>SAO PAULO</v>
      </c>
    </row>
    <row r="1940">
      <c r="A1940" s="6">
        <f>IFERROR(__xludf.DUMMYFUNCTION("""COMPUTED_VALUE"""),45705.0)</f>
        <v>45705</v>
      </c>
      <c r="B1940" s="7" t="str">
        <f>IFERROR(__xludf.DUMMYFUNCTION("""COMPUTED_VALUE"""),"3132a0ae-b88e-4154-8217-2eb4f736a7c4")</f>
        <v>3132a0ae-b88e-4154-8217-2eb4f736a7c4</v>
      </c>
      <c r="C1940" s="7">
        <f>IFERROR(__xludf.DUMMYFUNCTION("""COMPUTED_VALUE"""),0.0)</f>
        <v>0</v>
      </c>
      <c r="D1940" s="6">
        <f>IFERROR(__xludf.DUMMYFUNCTION("""COMPUTED_VALUE"""),45705.0)</f>
        <v>45705</v>
      </c>
      <c r="E1940" s="7" t="str">
        <f>IFERROR(__xludf.DUMMYFUNCTION("""COMPUTED_VALUE"""),"FRANQUIA_D&amp;G_SP")</f>
        <v>FRANQUIA_D&amp;G_SP</v>
      </c>
      <c r="F1940" s="7" t="str">
        <f>IFERROR(__xludf.DUMMYFUNCTION("""COMPUTED_VALUE"""),"MOTORCYCLE")</f>
        <v>MOTORCYCLE</v>
      </c>
      <c r="G1940" s="7" t="str">
        <f>IFERROR(__xludf.DUMMYFUNCTION("""COMPUTED_VALUE"""),"SAO PAULO")</f>
        <v>SAO PAULO</v>
      </c>
    </row>
    <row r="1941">
      <c r="A1941" s="6">
        <f>IFERROR(__xludf.DUMMYFUNCTION("""COMPUTED_VALUE"""),45705.0)</f>
        <v>45705</v>
      </c>
      <c r="B1941" s="7" t="str">
        <f>IFERROR(__xludf.DUMMYFUNCTION("""COMPUTED_VALUE"""),"85507468-6603-4ddf-9d3e-bc4bc7557a6a")</f>
        <v>85507468-6603-4ddf-9d3e-bc4bc7557a6a</v>
      </c>
      <c r="C1941" s="7">
        <f>IFERROR(__xludf.DUMMYFUNCTION("""COMPUTED_VALUE"""),19.0)</f>
        <v>19</v>
      </c>
      <c r="D1941" s="6">
        <f>IFERROR(__xludf.DUMMYFUNCTION("""COMPUTED_VALUE"""),45686.0)</f>
        <v>45686</v>
      </c>
      <c r="E1941" s="7" t="str">
        <f>IFERROR(__xludf.DUMMYFUNCTION("""COMPUTED_VALUE"""),"FRANQUIA_D&amp;G_SP")</f>
        <v>FRANQUIA_D&amp;G_SP</v>
      </c>
      <c r="F1941" s="7" t="str">
        <f>IFERROR(__xludf.DUMMYFUNCTION("""COMPUTED_VALUE"""),"EMOTORCYCLE")</f>
        <v>EMOTORCYCLE</v>
      </c>
      <c r="G1941" s="7" t="str">
        <f>IFERROR(__xludf.DUMMYFUNCTION("""COMPUTED_VALUE"""),"SAO PAULO")</f>
        <v>SAO PAULO</v>
      </c>
    </row>
    <row r="1942">
      <c r="A1942" s="6">
        <f>IFERROR(__xludf.DUMMYFUNCTION("""COMPUTED_VALUE"""),45705.0)</f>
        <v>45705</v>
      </c>
      <c r="B1942" s="7" t="str">
        <f>IFERROR(__xludf.DUMMYFUNCTION("""COMPUTED_VALUE"""),"b22a03c9-dcd8-476e-aa97-97030c6cfa7c")</f>
        <v>b22a03c9-dcd8-476e-aa97-97030c6cfa7c</v>
      </c>
      <c r="C1942" s="7">
        <f>IFERROR(__xludf.DUMMYFUNCTION("""COMPUTED_VALUE"""),290.0)</f>
        <v>290</v>
      </c>
      <c r="D1942" s="6">
        <f>IFERROR(__xludf.DUMMYFUNCTION("""COMPUTED_VALUE"""),45415.0)</f>
        <v>45415</v>
      </c>
      <c r="E1942" s="7" t="str">
        <f>IFERROR(__xludf.DUMMYFUNCTION("""COMPUTED_VALUE"""),"FRANQUIA_D&amp;G_SP")</f>
        <v>FRANQUIA_D&amp;G_SP</v>
      </c>
      <c r="F1942" s="7" t="str">
        <f>IFERROR(__xludf.DUMMYFUNCTION("""COMPUTED_VALUE"""),"BICYCLE")</f>
        <v>BICYCLE</v>
      </c>
      <c r="G1942" s="7" t="str">
        <f>IFERROR(__xludf.DUMMYFUNCTION("""COMPUTED_VALUE"""),"SAO PAULO")</f>
        <v>SAO PAULO</v>
      </c>
    </row>
    <row r="1943">
      <c r="A1943" s="6">
        <f>IFERROR(__xludf.DUMMYFUNCTION("""COMPUTED_VALUE"""),45705.0)</f>
        <v>45705</v>
      </c>
      <c r="B1943" s="7" t="str">
        <f>IFERROR(__xludf.DUMMYFUNCTION("""COMPUTED_VALUE"""),"8100d07b-0ae2-44a3-b405-bb91df123f61")</f>
        <v>8100d07b-0ae2-44a3-b405-bb91df123f61</v>
      </c>
      <c r="C1943" s="7">
        <f>IFERROR(__xludf.DUMMYFUNCTION("""COMPUTED_VALUE"""),10.0)</f>
        <v>10</v>
      </c>
      <c r="D1943" s="6">
        <f>IFERROR(__xludf.DUMMYFUNCTION("""COMPUTED_VALUE"""),45695.0)</f>
        <v>45695</v>
      </c>
      <c r="E1943" s="7" t="str">
        <f>IFERROR(__xludf.DUMMYFUNCTION("""COMPUTED_VALUE"""),"FRANQUIA_D&amp;G_SP")</f>
        <v>FRANQUIA_D&amp;G_SP</v>
      </c>
      <c r="F1943" s="7" t="str">
        <f>IFERROR(__xludf.DUMMYFUNCTION("""COMPUTED_VALUE"""),"BICYCLE")</f>
        <v>BICYCLE</v>
      </c>
      <c r="G1943" s="7" t="str">
        <f>IFERROR(__xludf.DUMMYFUNCTION("""COMPUTED_VALUE"""),"SAO PAULO")</f>
        <v>SAO PAULO</v>
      </c>
    </row>
    <row r="1944">
      <c r="A1944" s="6">
        <f>IFERROR(__xludf.DUMMYFUNCTION("""COMPUTED_VALUE"""),45705.0)</f>
        <v>45705</v>
      </c>
      <c r="B1944" s="7" t="str">
        <f>IFERROR(__xludf.DUMMYFUNCTION("""COMPUTED_VALUE"""),"831a4937-7b32-400f-bea9-f8e3c05f572b")</f>
        <v>831a4937-7b32-400f-bea9-f8e3c05f572b</v>
      </c>
      <c r="C1944" s="7">
        <f>IFERROR(__xludf.DUMMYFUNCTION("""COMPUTED_VALUE"""),1.0)</f>
        <v>1</v>
      </c>
      <c r="D1944" s="6">
        <f>IFERROR(__xludf.DUMMYFUNCTION("""COMPUTED_VALUE"""),45704.0)</f>
        <v>45704</v>
      </c>
      <c r="E1944" s="7" t="str">
        <f>IFERROR(__xludf.DUMMYFUNCTION("""COMPUTED_VALUE"""),"FRANQUIA_D&amp;G_SP")</f>
        <v>FRANQUIA_D&amp;G_SP</v>
      </c>
      <c r="F1944" s="7" t="str">
        <f>IFERROR(__xludf.DUMMYFUNCTION("""COMPUTED_VALUE"""),"MOTORCYCLE")</f>
        <v>MOTORCYCLE</v>
      </c>
      <c r="G1944" s="7" t="str">
        <f>IFERROR(__xludf.DUMMYFUNCTION("""COMPUTED_VALUE"""),"SAO PAULO")</f>
        <v>SAO PAULO</v>
      </c>
    </row>
    <row r="1945">
      <c r="A1945" s="6">
        <f>IFERROR(__xludf.DUMMYFUNCTION("""COMPUTED_VALUE"""),45705.0)</f>
        <v>45705</v>
      </c>
      <c r="B1945" s="7" t="str">
        <f>IFERROR(__xludf.DUMMYFUNCTION("""COMPUTED_VALUE"""),"87e0b534-f77a-4c15-9259-29e9affae92c")</f>
        <v>87e0b534-f77a-4c15-9259-29e9affae92c</v>
      </c>
      <c r="C1945" s="7">
        <f>IFERROR(__xludf.DUMMYFUNCTION("""COMPUTED_VALUE"""),0.0)</f>
        <v>0</v>
      </c>
      <c r="D1945" s="6">
        <f>IFERROR(__xludf.DUMMYFUNCTION("""COMPUTED_VALUE"""),45705.0)</f>
        <v>45705</v>
      </c>
      <c r="E1945" s="7" t="str">
        <f>IFERROR(__xludf.DUMMYFUNCTION("""COMPUTED_VALUE"""),"FRANQUIA_D&amp;G_SP")</f>
        <v>FRANQUIA_D&amp;G_SP</v>
      </c>
      <c r="F1945" s="7" t="str">
        <f>IFERROR(__xludf.DUMMYFUNCTION("""COMPUTED_VALUE"""),"MOTORCYCLE")</f>
        <v>MOTORCYCLE</v>
      </c>
      <c r="G1945" s="7" t="str">
        <f>IFERROR(__xludf.DUMMYFUNCTION("""COMPUTED_VALUE"""),"SUZANO")</f>
        <v>SUZANO</v>
      </c>
    </row>
    <row r="1946">
      <c r="A1946" s="6">
        <f>IFERROR(__xludf.DUMMYFUNCTION("""COMPUTED_VALUE"""),45705.0)</f>
        <v>45705</v>
      </c>
      <c r="B1946" s="7" t="str">
        <f>IFERROR(__xludf.DUMMYFUNCTION("""COMPUTED_VALUE"""),"a9de2474-f15c-484b-84c4-94264d2e71b8")</f>
        <v>a9de2474-f15c-484b-84c4-94264d2e71b8</v>
      </c>
      <c r="C1946" s="7">
        <f>IFERROR(__xludf.DUMMYFUNCTION("""COMPUTED_VALUE"""),65.0)</f>
        <v>65</v>
      </c>
      <c r="D1946" s="6">
        <f>IFERROR(__xludf.DUMMYFUNCTION("""COMPUTED_VALUE"""),45640.0)</f>
        <v>45640</v>
      </c>
      <c r="E1946" s="7" t="str">
        <f>IFERROR(__xludf.DUMMYFUNCTION("""COMPUTED_VALUE"""),"FRANQUIA_D&amp;G_SP")</f>
        <v>FRANQUIA_D&amp;G_SP</v>
      </c>
      <c r="F1946" s="7" t="str">
        <f>IFERROR(__xludf.DUMMYFUNCTION("""COMPUTED_VALUE"""),"MOTORCYCLE")</f>
        <v>MOTORCYCLE</v>
      </c>
      <c r="G1946" s="7" t="str">
        <f>IFERROR(__xludf.DUMMYFUNCTION("""COMPUTED_VALUE"""),"SAO PAULO")</f>
        <v>SAO PAULO</v>
      </c>
    </row>
    <row r="1947">
      <c r="A1947" s="6">
        <f>IFERROR(__xludf.DUMMYFUNCTION("""COMPUTED_VALUE"""),45705.0)</f>
        <v>45705</v>
      </c>
      <c r="B1947" s="7" t="str">
        <f>IFERROR(__xludf.DUMMYFUNCTION("""COMPUTED_VALUE"""),"2bcbff23-d603-4d14-9ba7-e18f3c33b9a7")</f>
        <v>2bcbff23-d603-4d14-9ba7-e18f3c33b9a7</v>
      </c>
      <c r="C1947" s="7">
        <f>IFERROR(__xludf.DUMMYFUNCTION("""COMPUTED_VALUE"""),0.0)</f>
        <v>0</v>
      </c>
      <c r="D1947" s="6">
        <f>IFERROR(__xludf.DUMMYFUNCTION("""COMPUTED_VALUE"""),45705.0)</f>
        <v>45705</v>
      </c>
      <c r="E1947" s="7" t="str">
        <f>IFERROR(__xludf.DUMMYFUNCTION("""COMPUTED_VALUE"""),"FRANQUIA_D&amp;G_SP")</f>
        <v>FRANQUIA_D&amp;G_SP</v>
      </c>
      <c r="F1947" s="7" t="str">
        <f>IFERROR(__xludf.DUMMYFUNCTION("""COMPUTED_VALUE"""),"MOTORCYCLE")</f>
        <v>MOTORCYCLE</v>
      </c>
      <c r="G1947" s="7" t="str">
        <f>IFERROR(__xludf.DUMMYFUNCTION("""COMPUTED_VALUE"""),"SAO PAULO")</f>
        <v>SAO PAULO</v>
      </c>
    </row>
    <row r="1948">
      <c r="A1948" s="6">
        <f>IFERROR(__xludf.DUMMYFUNCTION("""COMPUTED_VALUE"""),45705.0)</f>
        <v>45705</v>
      </c>
      <c r="B1948" s="7" t="str">
        <f>IFERROR(__xludf.DUMMYFUNCTION("""COMPUTED_VALUE"""),"8ec0a87b-70bf-4dce-b607-a24996a38671")</f>
        <v>8ec0a87b-70bf-4dce-b607-a24996a38671</v>
      </c>
      <c r="C1948" s="7">
        <f>IFERROR(__xludf.DUMMYFUNCTION("""COMPUTED_VALUE"""),0.0)</f>
        <v>0</v>
      </c>
      <c r="D1948" s="6">
        <f>IFERROR(__xludf.DUMMYFUNCTION("""COMPUTED_VALUE"""),0.0)</f>
        <v>0</v>
      </c>
      <c r="E1948" s="7" t="str">
        <f>IFERROR(__xludf.DUMMYFUNCTION("""COMPUTED_VALUE"""),"FRANQUIA_D&amp;G_SP")</f>
        <v>FRANQUIA_D&amp;G_SP</v>
      </c>
      <c r="F1948" s="7" t="str">
        <f>IFERROR(__xludf.DUMMYFUNCTION("""COMPUTED_VALUE"""),"BICYCLE")</f>
        <v>BICYCLE</v>
      </c>
      <c r="G1948" s="7" t="str">
        <f>IFERROR(__xludf.DUMMYFUNCTION("""COMPUTED_VALUE"""),"0")</f>
        <v>0</v>
      </c>
    </row>
    <row r="1949">
      <c r="A1949" s="6">
        <f>IFERROR(__xludf.DUMMYFUNCTION("""COMPUTED_VALUE"""),45705.0)</f>
        <v>45705</v>
      </c>
      <c r="B1949" s="7" t="str">
        <f>IFERROR(__xludf.DUMMYFUNCTION("""COMPUTED_VALUE"""),"f42788ea-358b-4299-bf52-a9e9755b720f")</f>
        <v>f42788ea-358b-4299-bf52-a9e9755b720f</v>
      </c>
      <c r="C1949" s="7">
        <f>IFERROR(__xludf.DUMMYFUNCTION("""COMPUTED_VALUE"""),3.0)</f>
        <v>3</v>
      </c>
      <c r="D1949" s="6">
        <f>IFERROR(__xludf.DUMMYFUNCTION("""COMPUTED_VALUE"""),45702.0)</f>
        <v>45702</v>
      </c>
      <c r="E1949" s="7" t="str">
        <f>IFERROR(__xludf.DUMMYFUNCTION("""COMPUTED_VALUE"""),"FRANQUIA_D&amp;G_SP")</f>
        <v>FRANQUIA_D&amp;G_SP</v>
      </c>
      <c r="F1949" s="7" t="str">
        <f>IFERROR(__xludf.DUMMYFUNCTION("""COMPUTED_VALUE"""),"MOTORCYCLE")</f>
        <v>MOTORCYCLE</v>
      </c>
      <c r="G1949" s="7" t="str">
        <f>IFERROR(__xludf.DUMMYFUNCTION("""COMPUTED_VALUE"""),"SAO PAULO")</f>
        <v>SAO PAULO</v>
      </c>
    </row>
    <row r="1950">
      <c r="A1950" s="6">
        <f>IFERROR(__xludf.DUMMYFUNCTION("""COMPUTED_VALUE"""),45705.0)</f>
        <v>45705</v>
      </c>
      <c r="B1950" s="7" t="str">
        <f>IFERROR(__xludf.DUMMYFUNCTION("""COMPUTED_VALUE"""),"4b07d2fb-f066-447d-a544-a52ded01de4c")</f>
        <v>4b07d2fb-f066-447d-a544-a52ded01de4c</v>
      </c>
      <c r="C1950" s="7">
        <f>IFERROR(__xludf.DUMMYFUNCTION("""COMPUTED_VALUE"""),0.0)</f>
        <v>0</v>
      </c>
      <c r="D1950" s="6">
        <f>IFERROR(__xludf.DUMMYFUNCTION("""COMPUTED_VALUE"""),45705.0)</f>
        <v>45705</v>
      </c>
      <c r="E1950" s="7" t="str">
        <f>IFERROR(__xludf.DUMMYFUNCTION("""COMPUTED_VALUE"""),"FRANQUIA_D&amp;G_SP")</f>
        <v>FRANQUIA_D&amp;G_SP</v>
      </c>
      <c r="F1950" s="7" t="str">
        <f>IFERROR(__xludf.DUMMYFUNCTION("""COMPUTED_VALUE"""),"MOTORCYCLE")</f>
        <v>MOTORCYCLE</v>
      </c>
      <c r="G1950" s="7" t="str">
        <f>IFERROR(__xludf.DUMMYFUNCTION("""COMPUTED_VALUE"""),"SUZANO")</f>
        <v>SUZANO</v>
      </c>
    </row>
    <row r="1951">
      <c r="A1951" s="6">
        <f>IFERROR(__xludf.DUMMYFUNCTION("""COMPUTED_VALUE"""),45705.0)</f>
        <v>45705</v>
      </c>
      <c r="B1951" s="7" t="str">
        <f>IFERROR(__xludf.DUMMYFUNCTION("""COMPUTED_VALUE"""),"b07f115d-9d7d-4be0-81ac-be9011c732af")</f>
        <v>b07f115d-9d7d-4be0-81ac-be9011c732af</v>
      </c>
      <c r="C1951" s="7">
        <f>IFERROR(__xludf.DUMMYFUNCTION("""COMPUTED_VALUE"""),0.0)</f>
        <v>0</v>
      </c>
      <c r="D1951" s="6">
        <f>IFERROR(__xludf.DUMMYFUNCTION("""COMPUTED_VALUE"""),45705.0)</f>
        <v>45705</v>
      </c>
      <c r="E1951" s="7" t="str">
        <f>IFERROR(__xludf.DUMMYFUNCTION("""COMPUTED_VALUE"""),"FRANQUIA_D&amp;G_SP")</f>
        <v>FRANQUIA_D&amp;G_SP</v>
      </c>
      <c r="F1951" s="7" t="str">
        <f>IFERROR(__xludf.DUMMYFUNCTION("""COMPUTED_VALUE"""),"BICYCLE")</f>
        <v>BICYCLE</v>
      </c>
      <c r="G1951" s="7" t="str">
        <f>IFERROR(__xludf.DUMMYFUNCTION("""COMPUTED_VALUE"""),"SAO PAULO")</f>
        <v>SAO PAULO</v>
      </c>
    </row>
    <row r="1952">
      <c r="A1952" s="6">
        <f>IFERROR(__xludf.DUMMYFUNCTION("""COMPUTED_VALUE"""),45705.0)</f>
        <v>45705</v>
      </c>
      <c r="B1952" s="7" t="str">
        <f>IFERROR(__xludf.DUMMYFUNCTION("""COMPUTED_VALUE"""),"46275d66-9f4c-41fc-b864-53ab1e493789")</f>
        <v>46275d66-9f4c-41fc-b864-53ab1e493789</v>
      </c>
      <c r="C1952" s="7">
        <f>IFERROR(__xludf.DUMMYFUNCTION("""COMPUTED_VALUE"""),0.0)</f>
        <v>0</v>
      </c>
      <c r="D1952" s="6">
        <f>IFERROR(__xludf.DUMMYFUNCTION("""COMPUTED_VALUE"""),45705.0)</f>
        <v>45705</v>
      </c>
      <c r="E1952" s="7" t="str">
        <f>IFERROR(__xludf.DUMMYFUNCTION("""COMPUTED_VALUE"""),"FRANQUIA_D&amp;G_SP")</f>
        <v>FRANQUIA_D&amp;G_SP</v>
      </c>
      <c r="F1952" s="7" t="str">
        <f>IFERROR(__xludf.DUMMYFUNCTION("""COMPUTED_VALUE"""),"BICYCLE")</f>
        <v>BICYCLE</v>
      </c>
      <c r="G1952" s="7" t="str">
        <f>IFERROR(__xludf.DUMMYFUNCTION("""COMPUTED_VALUE"""),"SAO PAULO")</f>
        <v>SAO PAULO</v>
      </c>
    </row>
    <row r="1953">
      <c r="A1953" s="6">
        <f>IFERROR(__xludf.DUMMYFUNCTION("""COMPUTED_VALUE"""),45705.0)</f>
        <v>45705</v>
      </c>
      <c r="B1953" s="7" t="str">
        <f>IFERROR(__xludf.DUMMYFUNCTION("""COMPUTED_VALUE"""),"f2bf878b-0903-484e-a6e5-36e5079caf8c")</f>
        <v>f2bf878b-0903-484e-a6e5-36e5079caf8c</v>
      </c>
      <c r="C1953" s="7">
        <f>IFERROR(__xludf.DUMMYFUNCTION("""COMPUTED_VALUE"""),0.0)</f>
        <v>0</v>
      </c>
      <c r="D1953" s="6">
        <f>IFERROR(__xludf.DUMMYFUNCTION("""COMPUTED_VALUE"""),45705.0)</f>
        <v>45705</v>
      </c>
      <c r="E1953" s="7" t="str">
        <f>IFERROR(__xludf.DUMMYFUNCTION("""COMPUTED_VALUE"""),"FRANQUIA_D&amp;G_SP")</f>
        <v>FRANQUIA_D&amp;G_SP</v>
      </c>
      <c r="F1953" s="7" t="str">
        <f>IFERROR(__xludf.DUMMYFUNCTION("""COMPUTED_VALUE"""),"MOTORCYCLE")</f>
        <v>MOTORCYCLE</v>
      </c>
      <c r="G1953" s="7" t="str">
        <f>IFERROR(__xludf.DUMMYFUNCTION("""COMPUTED_VALUE"""),"SAO PAULO")</f>
        <v>SAO PAULO</v>
      </c>
    </row>
    <row r="1954">
      <c r="A1954" s="6">
        <f>IFERROR(__xludf.DUMMYFUNCTION("""COMPUTED_VALUE"""),45705.0)</f>
        <v>45705</v>
      </c>
      <c r="B1954" s="7" t="str">
        <f>IFERROR(__xludf.DUMMYFUNCTION("""COMPUTED_VALUE"""),"095272c6-7825-4eda-b61f-aa189e248144")</f>
        <v>095272c6-7825-4eda-b61f-aa189e248144</v>
      </c>
      <c r="C1954" s="7">
        <f>IFERROR(__xludf.DUMMYFUNCTION("""COMPUTED_VALUE"""),203.0)</f>
        <v>203</v>
      </c>
      <c r="D1954" s="6">
        <f>IFERROR(__xludf.DUMMYFUNCTION("""COMPUTED_VALUE"""),45502.0)</f>
        <v>45502</v>
      </c>
      <c r="E1954" s="7" t="str">
        <f>IFERROR(__xludf.DUMMYFUNCTION("""COMPUTED_VALUE"""),"FRANQUIA_D&amp;G_SP")</f>
        <v>FRANQUIA_D&amp;G_SP</v>
      </c>
      <c r="F1954" s="7" t="str">
        <f>IFERROR(__xludf.DUMMYFUNCTION("""COMPUTED_VALUE"""),"BICYCLE")</f>
        <v>BICYCLE</v>
      </c>
      <c r="G1954" s="7" t="str">
        <f>IFERROR(__xludf.DUMMYFUNCTION("""COMPUTED_VALUE"""),"SAO PAULO")</f>
        <v>SAO PAULO</v>
      </c>
    </row>
    <row r="1955">
      <c r="A1955" s="6">
        <f>IFERROR(__xludf.DUMMYFUNCTION("""COMPUTED_VALUE"""),45705.0)</f>
        <v>45705</v>
      </c>
      <c r="B1955" s="7" t="str">
        <f>IFERROR(__xludf.DUMMYFUNCTION("""COMPUTED_VALUE"""),"a8d110de-9334-4afe-b550-68f68143183f")</f>
        <v>a8d110de-9334-4afe-b550-68f68143183f</v>
      </c>
      <c r="C1955" s="7">
        <f>IFERROR(__xludf.DUMMYFUNCTION("""COMPUTED_VALUE"""),185.0)</f>
        <v>185</v>
      </c>
      <c r="D1955" s="6">
        <f>IFERROR(__xludf.DUMMYFUNCTION("""COMPUTED_VALUE"""),45520.0)</f>
        <v>45520</v>
      </c>
      <c r="E1955" s="7" t="str">
        <f>IFERROR(__xludf.DUMMYFUNCTION("""COMPUTED_VALUE"""),"FRANQUIA_D&amp;G_SP")</f>
        <v>FRANQUIA_D&amp;G_SP</v>
      </c>
      <c r="F1955" s="7" t="str">
        <f>IFERROR(__xludf.DUMMYFUNCTION("""COMPUTED_VALUE"""),"BICYCLE")</f>
        <v>BICYCLE</v>
      </c>
      <c r="G1955" s="7" t="str">
        <f>IFERROR(__xludf.DUMMYFUNCTION("""COMPUTED_VALUE"""),"SAO PAULO")</f>
        <v>SAO PAULO</v>
      </c>
    </row>
    <row r="1956">
      <c r="A1956" s="6">
        <f>IFERROR(__xludf.DUMMYFUNCTION("""COMPUTED_VALUE"""),45705.0)</f>
        <v>45705</v>
      </c>
      <c r="B1956" s="7" t="str">
        <f>IFERROR(__xludf.DUMMYFUNCTION("""COMPUTED_VALUE"""),"cd0e421e-1228-4440-9039-6d35a7893da8")</f>
        <v>cd0e421e-1228-4440-9039-6d35a7893da8</v>
      </c>
      <c r="C1956" s="7">
        <f>IFERROR(__xludf.DUMMYFUNCTION("""COMPUTED_VALUE"""),1.0)</f>
        <v>1</v>
      </c>
      <c r="D1956" s="6">
        <f>IFERROR(__xludf.DUMMYFUNCTION("""COMPUTED_VALUE"""),45704.0)</f>
        <v>45704</v>
      </c>
      <c r="E1956" s="7" t="str">
        <f>IFERROR(__xludf.DUMMYFUNCTION("""COMPUTED_VALUE"""),"FRANQUIA_D&amp;G_SP")</f>
        <v>FRANQUIA_D&amp;G_SP</v>
      </c>
      <c r="F1956" s="7" t="str">
        <f>IFERROR(__xludf.DUMMYFUNCTION("""COMPUTED_VALUE"""),"MOTORCYCLE")</f>
        <v>MOTORCYCLE</v>
      </c>
      <c r="G1956" s="7" t="str">
        <f>IFERROR(__xludf.DUMMYFUNCTION("""COMPUTED_VALUE"""),"SAO PAULO")</f>
        <v>SAO PAULO</v>
      </c>
    </row>
    <row r="1957">
      <c r="A1957" s="6">
        <f>IFERROR(__xludf.DUMMYFUNCTION("""COMPUTED_VALUE"""),45705.0)</f>
        <v>45705</v>
      </c>
      <c r="B1957" s="7" t="str">
        <f>IFERROR(__xludf.DUMMYFUNCTION("""COMPUTED_VALUE"""),"ddff874f-22c4-4a83-a293-a809ecf7d655")</f>
        <v>ddff874f-22c4-4a83-a293-a809ecf7d655</v>
      </c>
      <c r="C1957" s="7">
        <f>IFERROR(__xludf.DUMMYFUNCTION("""COMPUTED_VALUE"""),2.0)</f>
        <v>2</v>
      </c>
      <c r="D1957" s="6">
        <f>IFERROR(__xludf.DUMMYFUNCTION("""COMPUTED_VALUE"""),45703.0)</f>
        <v>45703</v>
      </c>
      <c r="E1957" s="7" t="str">
        <f>IFERROR(__xludf.DUMMYFUNCTION("""COMPUTED_VALUE"""),"FRANQUIA_D&amp;G_SP")</f>
        <v>FRANQUIA_D&amp;G_SP</v>
      </c>
      <c r="F1957" s="7" t="str">
        <f>IFERROR(__xludf.DUMMYFUNCTION("""COMPUTED_VALUE"""),"BICYCLE")</f>
        <v>BICYCLE</v>
      </c>
      <c r="G1957" s="7" t="str">
        <f>IFERROR(__xludf.DUMMYFUNCTION("""COMPUTED_VALUE"""),"SAO PAULO")</f>
        <v>SAO PAULO</v>
      </c>
    </row>
    <row r="1958">
      <c r="A1958" s="6">
        <f>IFERROR(__xludf.DUMMYFUNCTION("""COMPUTED_VALUE"""),45705.0)</f>
        <v>45705</v>
      </c>
      <c r="B1958" s="7" t="str">
        <f>IFERROR(__xludf.DUMMYFUNCTION("""COMPUTED_VALUE"""),"3c33714f-08af-4efa-9d0d-eb137a8f64cd")</f>
        <v>3c33714f-08af-4efa-9d0d-eb137a8f64cd</v>
      </c>
      <c r="C1958" s="7">
        <f>IFERROR(__xludf.DUMMYFUNCTION("""COMPUTED_VALUE"""),0.0)</f>
        <v>0</v>
      </c>
      <c r="D1958" s="6">
        <f>IFERROR(__xludf.DUMMYFUNCTION("""COMPUTED_VALUE"""),45705.0)</f>
        <v>45705</v>
      </c>
      <c r="E1958" s="7" t="str">
        <f>IFERROR(__xludf.DUMMYFUNCTION("""COMPUTED_VALUE"""),"FRANQUIA_D&amp;G_SP")</f>
        <v>FRANQUIA_D&amp;G_SP</v>
      </c>
      <c r="F1958" s="7" t="str">
        <f>IFERROR(__xludf.DUMMYFUNCTION("""COMPUTED_VALUE"""),"MOTORCYCLE")</f>
        <v>MOTORCYCLE</v>
      </c>
      <c r="G1958" s="7" t="str">
        <f>IFERROR(__xludf.DUMMYFUNCTION("""COMPUTED_VALUE"""),"SAO PAULO")</f>
        <v>SAO PAULO</v>
      </c>
    </row>
    <row r="1959">
      <c r="A1959" s="6">
        <f>IFERROR(__xludf.DUMMYFUNCTION("""COMPUTED_VALUE"""),45705.0)</f>
        <v>45705</v>
      </c>
      <c r="B1959" s="7" t="str">
        <f>IFERROR(__xludf.DUMMYFUNCTION("""COMPUTED_VALUE"""),"8b18139c-ed9c-4471-a6a2-156b75b6468a")</f>
        <v>8b18139c-ed9c-4471-a6a2-156b75b6468a</v>
      </c>
      <c r="C1959" s="7">
        <f>IFERROR(__xludf.DUMMYFUNCTION("""COMPUTED_VALUE"""),3.0)</f>
        <v>3</v>
      </c>
      <c r="D1959" s="6">
        <f>IFERROR(__xludf.DUMMYFUNCTION("""COMPUTED_VALUE"""),45702.0)</f>
        <v>45702</v>
      </c>
      <c r="E1959" s="7" t="str">
        <f>IFERROR(__xludf.DUMMYFUNCTION("""COMPUTED_VALUE"""),"FRANQUIA_D&amp;G_SP")</f>
        <v>FRANQUIA_D&amp;G_SP</v>
      </c>
      <c r="F1959" s="7" t="str">
        <f>IFERROR(__xludf.DUMMYFUNCTION("""COMPUTED_VALUE"""),"BICYCLE")</f>
        <v>BICYCLE</v>
      </c>
      <c r="G1959" s="7" t="str">
        <f>IFERROR(__xludf.DUMMYFUNCTION("""COMPUTED_VALUE"""),"SAO PAULO")</f>
        <v>SAO PAULO</v>
      </c>
    </row>
    <row r="1960">
      <c r="A1960" s="6">
        <f>IFERROR(__xludf.DUMMYFUNCTION("""COMPUTED_VALUE"""),45705.0)</f>
        <v>45705</v>
      </c>
      <c r="B1960" s="7" t="str">
        <f>IFERROR(__xludf.DUMMYFUNCTION("""COMPUTED_VALUE"""),"54bfe8fa-03d8-4c26-9560-fa9d1257a408")</f>
        <v>54bfe8fa-03d8-4c26-9560-fa9d1257a408</v>
      </c>
      <c r="C1960" s="7">
        <f>IFERROR(__xludf.DUMMYFUNCTION("""COMPUTED_VALUE"""),166.0)</f>
        <v>166</v>
      </c>
      <c r="D1960" s="6">
        <f>IFERROR(__xludf.DUMMYFUNCTION("""COMPUTED_VALUE"""),45539.0)</f>
        <v>45539</v>
      </c>
      <c r="E1960" s="7" t="str">
        <f>IFERROR(__xludf.DUMMYFUNCTION("""COMPUTED_VALUE"""),"FRANQUIA_D&amp;G_SP")</f>
        <v>FRANQUIA_D&amp;G_SP</v>
      </c>
      <c r="F1960" s="7" t="str">
        <f>IFERROR(__xludf.DUMMYFUNCTION("""COMPUTED_VALUE"""),"BICYCLE")</f>
        <v>BICYCLE</v>
      </c>
      <c r="G1960" s="7" t="str">
        <f>IFERROR(__xludf.DUMMYFUNCTION("""COMPUTED_VALUE"""),"SAO PAULO")</f>
        <v>SAO PAULO</v>
      </c>
    </row>
    <row r="1961">
      <c r="A1961" s="6">
        <f>IFERROR(__xludf.DUMMYFUNCTION("""COMPUTED_VALUE"""),45705.0)</f>
        <v>45705</v>
      </c>
      <c r="B1961" s="7" t="str">
        <f>IFERROR(__xludf.DUMMYFUNCTION("""COMPUTED_VALUE"""),"90f6ecf2-9d97-4ecf-9b8e-0d14ab4e131e")</f>
        <v>90f6ecf2-9d97-4ecf-9b8e-0d14ab4e131e</v>
      </c>
      <c r="C1961" s="7">
        <f>IFERROR(__xludf.DUMMYFUNCTION("""COMPUTED_VALUE"""),0.0)</f>
        <v>0</v>
      </c>
      <c r="D1961" s="6">
        <f>IFERROR(__xludf.DUMMYFUNCTION("""COMPUTED_VALUE"""),45705.0)</f>
        <v>45705</v>
      </c>
      <c r="E1961" s="7" t="str">
        <f>IFERROR(__xludf.DUMMYFUNCTION("""COMPUTED_VALUE"""),"FRANQUIA_D&amp;G_SP")</f>
        <v>FRANQUIA_D&amp;G_SP</v>
      </c>
      <c r="F1961" s="7" t="str">
        <f>IFERROR(__xludf.DUMMYFUNCTION("""COMPUTED_VALUE"""),"MOTORCYCLE")</f>
        <v>MOTORCYCLE</v>
      </c>
      <c r="G1961" s="7" t="str">
        <f>IFERROR(__xludf.DUMMYFUNCTION("""COMPUTED_VALUE"""),"SAO PAULO")</f>
        <v>SAO PAULO</v>
      </c>
    </row>
    <row r="1962">
      <c r="A1962" s="6">
        <f>IFERROR(__xludf.DUMMYFUNCTION("""COMPUTED_VALUE"""),45705.0)</f>
        <v>45705</v>
      </c>
      <c r="B1962" s="7" t="str">
        <f>IFERROR(__xludf.DUMMYFUNCTION("""COMPUTED_VALUE"""),"ad6a5f24-36a2-4996-920b-66754a64d4aa")</f>
        <v>ad6a5f24-36a2-4996-920b-66754a64d4aa</v>
      </c>
      <c r="C1962" s="7">
        <f>IFERROR(__xludf.DUMMYFUNCTION("""COMPUTED_VALUE"""),3.0)</f>
        <v>3</v>
      </c>
      <c r="D1962" s="6">
        <f>IFERROR(__xludf.DUMMYFUNCTION("""COMPUTED_VALUE"""),45702.0)</f>
        <v>45702</v>
      </c>
      <c r="E1962" s="7" t="str">
        <f>IFERROR(__xludf.DUMMYFUNCTION("""COMPUTED_VALUE"""),"FRANQUIA_D&amp;G_SP")</f>
        <v>FRANQUIA_D&amp;G_SP</v>
      </c>
      <c r="F1962" s="7" t="str">
        <f>IFERROR(__xludf.DUMMYFUNCTION("""COMPUTED_VALUE"""),"BICYCLE")</f>
        <v>BICYCLE</v>
      </c>
      <c r="G1962" s="7" t="str">
        <f>IFERROR(__xludf.DUMMYFUNCTION("""COMPUTED_VALUE"""),"SAO PAULO")</f>
        <v>SAO PAULO</v>
      </c>
    </row>
    <row r="1963">
      <c r="A1963" s="6">
        <f>IFERROR(__xludf.DUMMYFUNCTION("""COMPUTED_VALUE"""),45705.0)</f>
        <v>45705</v>
      </c>
      <c r="B1963" s="7" t="str">
        <f>IFERROR(__xludf.DUMMYFUNCTION("""COMPUTED_VALUE"""),"12f8178a-a148-4ba2-8858-ef4bb73842c8")</f>
        <v>12f8178a-a148-4ba2-8858-ef4bb73842c8</v>
      </c>
      <c r="C1963" s="7">
        <f>IFERROR(__xludf.DUMMYFUNCTION("""COMPUTED_VALUE"""),50.0)</f>
        <v>50</v>
      </c>
      <c r="D1963" s="6">
        <f>IFERROR(__xludf.DUMMYFUNCTION("""COMPUTED_VALUE"""),45655.0)</f>
        <v>45655</v>
      </c>
      <c r="E1963" s="7" t="str">
        <f>IFERROR(__xludf.DUMMYFUNCTION("""COMPUTED_VALUE"""),"FRANQUIA_D&amp;G_SP")</f>
        <v>FRANQUIA_D&amp;G_SP</v>
      </c>
      <c r="F1963" s="7" t="str">
        <f>IFERROR(__xludf.DUMMYFUNCTION("""COMPUTED_VALUE"""),"MOTORCYCLE")</f>
        <v>MOTORCYCLE</v>
      </c>
      <c r="G1963" s="7" t="str">
        <f>IFERROR(__xludf.DUMMYFUNCTION("""COMPUTED_VALUE"""),"SAO PAULO")</f>
        <v>SAO PAULO</v>
      </c>
    </row>
    <row r="1964">
      <c r="A1964" s="6">
        <f>IFERROR(__xludf.DUMMYFUNCTION("""COMPUTED_VALUE"""),45705.0)</f>
        <v>45705</v>
      </c>
      <c r="B1964" s="7" t="str">
        <f>IFERROR(__xludf.DUMMYFUNCTION("""COMPUTED_VALUE"""),"65f457f0-3e72-485f-a99e-687a245708bc")</f>
        <v>65f457f0-3e72-485f-a99e-687a245708bc</v>
      </c>
      <c r="C1964" s="7">
        <f>IFERROR(__xludf.DUMMYFUNCTION("""COMPUTED_VALUE"""),0.0)</f>
        <v>0</v>
      </c>
      <c r="D1964" s="6">
        <f>IFERROR(__xludf.DUMMYFUNCTION("""COMPUTED_VALUE"""),45705.0)</f>
        <v>45705</v>
      </c>
      <c r="E1964" s="7" t="str">
        <f>IFERROR(__xludf.DUMMYFUNCTION("""COMPUTED_VALUE"""),"FRANQUIA_D&amp;G_SP")</f>
        <v>FRANQUIA_D&amp;G_SP</v>
      </c>
      <c r="F1964" s="7" t="str">
        <f>IFERROR(__xludf.DUMMYFUNCTION("""COMPUTED_VALUE"""),"EBIKE")</f>
        <v>EBIKE</v>
      </c>
      <c r="G1964" s="7" t="str">
        <f>IFERROR(__xludf.DUMMYFUNCTION("""COMPUTED_VALUE"""),"SAO PAULO")</f>
        <v>SAO PAULO</v>
      </c>
    </row>
    <row r="1965">
      <c r="A1965" s="6">
        <f>IFERROR(__xludf.DUMMYFUNCTION("""COMPUTED_VALUE"""),45705.0)</f>
        <v>45705</v>
      </c>
      <c r="B1965" s="7" t="str">
        <f>IFERROR(__xludf.DUMMYFUNCTION("""COMPUTED_VALUE"""),"124dcafb-7427-4c5c-8511-48a0963c4b7c")</f>
        <v>124dcafb-7427-4c5c-8511-48a0963c4b7c</v>
      </c>
      <c r="C1965" s="7">
        <f>IFERROR(__xludf.DUMMYFUNCTION("""COMPUTED_VALUE"""),1.0)</f>
        <v>1</v>
      </c>
      <c r="D1965" s="6">
        <f>IFERROR(__xludf.DUMMYFUNCTION("""COMPUTED_VALUE"""),45704.0)</f>
        <v>45704</v>
      </c>
      <c r="E1965" s="7" t="str">
        <f>IFERROR(__xludf.DUMMYFUNCTION("""COMPUTED_VALUE"""),"FRANQUIA_D&amp;G_SP")</f>
        <v>FRANQUIA_D&amp;G_SP</v>
      </c>
      <c r="F1965" s="7" t="str">
        <f>IFERROR(__xludf.DUMMYFUNCTION("""COMPUTED_VALUE"""),"MOTORCYCLE")</f>
        <v>MOTORCYCLE</v>
      </c>
      <c r="G1965" s="7" t="str">
        <f>IFERROR(__xludf.DUMMYFUNCTION("""COMPUTED_VALUE"""),"SAO PAULO")</f>
        <v>SAO PAULO</v>
      </c>
    </row>
    <row r="1966">
      <c r="A1966" s="6">
        <f>IFERROR(__xludf.DUMMYFUNCTION("""COMPUTED_VALUE"""),45705.0)</f>
        <v>45705</v>
      </c>
      <c r="B1966" s="7" t="str">
        <f>IFERROR(__xludf.DUMMYFUNCTION("""COMPUTED_VALUE"""),"73f3a65d-1055-4fab-93b1-719d328eee55")</f>
        <v>73f3a65d-1055-4fab-93b1-719d328eee55</v>
      </c>
      <c r="C1966" s="7">
        <f>IFERROR(__xludf.DUMMYFUNCTION("""COMPUTED_VALUE"""),92.0)</f>
        <v>92</v>
      </c>
      <c r="D1966" s="6">
        <f>IFERROR(__xludf.DUMMYFUNCTION("""COMPUTED_VALUE"""),45613.0)</f>
        <v>45613</v>
      </c>
      <c r="E1966" s="7" t="str">
        <f>IFERROR(__xludf.DUMMYFUNCTION("""COMPUTED_VALUE"""),"FRANQUIA_D&amp;G_SP")</f>
        <v>FRANQUIA_D&amp;G_SP</v>
      </c>
      <c r="F1966" s="7" t="str">
        <f>IFERROR(__xludf.DUMMYFUNCTION("""COMPUTED_VALUE"""),"MOTORCYCLE")</f>
        <v>MOTORCYCLE</v>
      </c>
      <c r="G1966" s="7" t="str">
        <f>IFERROR(__xludf.DUMMYFUNCTION("""COMPUTED_VALUE"""),"SAO PAULO")</f>
        <v>SAO PAULO</v>
      </c>
    </row>
    <row r="1967">
      <c r="A1967" s="6">
        <f>IFERROR(__xludf.DUMMYFUNCTION("""COMPUTED_VALUE"""),45705.0)</f>
        <v>45705</v>
      </c>
      <c r="B1967" s="7" t="str">
        <f>IFERROR(__xludf.DUMMYFUNCTION("""COMPUTED_VALUE"""),"c075c92a-7206-4515-94d7-f214cffdc59d")</f>
        <v>c075c92a-7206-4515-94d7-f214cffdc59d</v>
      </c>
      <c r="C1967" s="7">
        <f>IFERROR(__xludf.DUMMYFUNCTION("""COMPUTED_VALUE"""),46.0)</f>
        <v>46</v>
      </c>
      <c r="D1967" s="6">
        <f>IFERROR(__xludf.DUMMYFUNCTION("""COMPUTED_VALUE"""),45659.0)</f>
        <v>45659</v>
      </c>
      <c r="E1967" s="7" t="str">
        <f>IFERROR(__xludf.DUMMYFUNCTION("""COMPUTED_VALUE"""),"FRANQUIA_D&amp;G_SP")</f>
        <v>FRANQUIA_D&amp;G_SP</v>
      </c>
      <c r="F1967" s="7" t="str">
        <f>IFERROR(__xludf.DUMMYFUNCTION("""COMPUTED_VALUE"""),"MOTORCYCLE")</f>
        <v>MOTORCYCLE</v>
      </c>
      <c r="G1967" s="7" t="str">
        <f>IFERROR(__xludf.DUMMYFUNCTION("""COMPUTED_VALUE"""),"BARUERI")</f>
        <v>BARUERI</v>
      </c>
    </row>
    <row r="1968">
      <c r="A1968" s="6">
        <f>IFERROR(__xludf.DUMMYFUNCTION("""COMPUTED_VALUE"""),45705.0)</f>
        <v>45705</v>
      </c>
      <c r="B1968" s="7" t="str">
        <f>IFERROR(__xludf.DUMMYFUNCTION("""COMPUTED_VALUE"""),"1369fa57-3de7-4e30-a694-951f048036d0")</f>
        <v>1369fa57-3de7-4e30-a694-951f048036d0</v>
      </c>
      <c r="C1968" s="7">
        <f>IFERROR(__xludf.DUMMYFUNCTION("""COMPUTED_VALUE"""),438.0)</f>
        <v>438</v>
      </c>
      <c r="D1968" s="6">
        <f>IFERROR(__xludf.DUMMYFUNCTION("""COMPUTED_VALUE"""),45267.0)</f>
        <v>45267</v>
      </c>
      <c r="E1968" s="7" t="str">
        <f>IFERROR(__xludf.DUMMYFUNCTION("""COMPUTED_VALUE"""),"FRANQUIA_D&amp;G_SP")</f>
        <v>FRANQUIA_D&amp;G_SP</v>
      </c>
      <c r="F1968" s="7" t="str">
        <f>IFERROR(__xludf.DUMMYFUNCTION("""COMPUTED_VALUE"""),"BICYCLE")</f>
        <v>BICYCLE</v>
      </c>
      <c r="G1968" s="7" t="str">
        <f>IFERROR(__xludf.DUMMYFUNCTION("""COMPUTED_VALUE"""),"SAO PAULO")</f>
        <v>SAO PAULO</v>
      </c>
    </row>
    <row r="1969">
      <c r="A1969" s="6">
        <f>IFERROR(__xludf.DUMMYFUNCTION("""COMPUTED_VALUE"""),45705.0)</f>
        <v>45705</v>
      </c>
      <c r="B1969" s="7" t="str">
        <f>IFERROR(__xludf.DUMMYFUNCTION("""COMPUTED_VALUE"""),"039810b6-9ba9-4c4c-b60c-ff853392514c")</f>
        <v>039810b6-9ba9-4c4c-b60c-ff853392514c</v>
      </c>
      <c r="C1969" s="7">
        <f>IFERROR(__xludf.DUMMYFUNCTION("""COMPUTED_VALUE"""),30.0)</f>
        <v>30</v>
      </c>
      <c r="D1969" s="6">
        <f>IFERROR(__xludf.DUMMYFUNCTION("""COMPUTED_VALUE"""),45675.0)</f>
        <v>45675</v>
      </c>
      <c r="E1969" s="7" t="str">
        <f>IFERROR(__xludf.DUMMYFUNCTION("""COMPUTED_VALUE"""),"FRANQUIA_D&amp;G_SP")</f>
        <v>FRANQUIA_D&amp;G_SP</v>
      </c>
      <c r="F1969" s="7" t="str">
        <f>IFERROR(__xludf.DUMMYFUNCTION("""COMPUTED_VALUE"""),"MOTORCYCLE")</f>
        <v>MOTORCYCLE</v>
      </c>
      <c r="G1969" s="7" t="str">
        <f>IFERROR(__xludf.DUMMYFUNCTION("""COMPUTED_VALUE"""),"SAO PAULO")</f>
        <v>SAO PAULO</v>
      </c>
    </row>
    <row r="1970">
      <c r="A1970" s="6">
        <f>IFERROR(__xludf.DUMMYFUNCTION("""COMPUTED_VALUE"""),45705.0)</f>
        <v>45705</v>
      </c>
      <c r="B1970" s="7" t="str">
        <f>IFERROR(__xludf.DUMMYFUNCTION("""COMPUTED_VALUE"""),"fe8093a6-07d8-4b72-8742-3922a71a7ad2")</f>
        <v>fe8093a6-07d8-4b72-8742-3922a71a7ad2</v>
      </c>
      <c r="C1970" s="7">
        <f>IFERROR(__xludf.DUMMYFUNCTION("""COMPUTED_VALUE"""),174.0)</f>
        <v>174</v>
      </c>
      <c r="D1970" s="6">
        <f>IFERROR(__xludf.DUMMYFUNCTION("""COMPUTED_VALUE"""),45531.0)</f>
        <v>45531</v>
      </c>
      <c r="E1970" s="7" t="str">
        <f>IFERROR(__xludf.DUMMYFUNCTION("""COMPUTED_VALUE"""),"FRANQUIA_D&amp;G_SP")</f>
        <v>FRANQUIA_D&amp;G_SP</v>
      </c>
      <c r="F1970" s="7" t="str">
        <f>IFERROR(__xludf.DUMMYFUNCTION("""COMPUTED_VALUE"""),"MOTORCYCLE")</f>
        <v>MOTORCYCLE</v>
      </c>
      <c r="G1970" s="7" t="str">
        <f>IFERROR(__xludf.DUMMYFUNCTION("""COMPUTED_VALUE"""),"ABC")</f>
        <v>ABC</v>
      </c>
    </row>
    <row r="1971">
      <c r="A1971" s="6">
        <f>IFERROR(__xludf.DUMMYFUNCTION("""COMPUTED_VALUE"""),45705.0)</f>
        <v>45705</v>
      </c>
      <c r="B1971" s="7" t="str">
        <f>IFERROR(__xludf.DUMMYFUNCTION("""COMPUTED_VALUE"""),"28a93750-55b9-443b-8274-d5f6f8dc218b")</f>
        <v>28a93750-55b9-443b-8274-d5f6f8dc218b</v>
      </c>
      <c r="C1971" s="7">
        <f>IFERROR(__xludf.DUMMYFUNCTION("""COMPUTED_VALUE"""),360.0)</f>
        <v>360</v>
      </c>
      <c r="D1971" s="6">
        <f>IFERROR(__xludf.DUMMYFUNCTION("""COMPUTED_VALUE"""),45345.0)</f>
        <v>45345</v>
      </c>
      <c r="E1971" s="7" t="str">
        <f>IFERROR(__xludf.DUMMYFUNCTION("""COMPUTED_VALUE"""),"FRANQUIA_D&amp;G_SP")</f>
        <v>FRANQUIA_D&amp;G_SP</v>
      </c>
      <c r="F1971" s="7" t="str">
        <f>IFERROR(__xludf.DUMMYFUNCTION("""COMPUTED_VALUE"""),"MOTORCYCLE")</f>
        <v>MOTORCYCLE</v>
      </c>
      <c r="G1971" s="7" t="str">
        <f>IFERROR(__xludf.DUMMYFUNCTION("""COMPUTED_VALUE"""),"SAO PAULO")</f>
        <v>SAO PAULO</v>
      </c>
    </row>
    <row r="1972">
      <c r="A1972" s="6">
        <f>IFERROR(__xludf.DUMMYFUNCTION("""COMPUTED_VALUE"""),45705.0)</f>
        <v>45705</v>
      </c>
      <c r="B1972" s="7" t="str">
        <f>IFERROR(__xludf.DUMMYFUNCTION("""COMPUTED_VALUE"""),"f65794ee-6c70-4831-8e68-884910530592")</f>
        <v>f65794ee-6c70-4831-8e68-884910530592</v>
      </c>
      <c r="C1972" s="7">
        <f>IFERROR(__xludf.DUMMYFUNCTION("""COMPUTED_VALUE"""),0.0)</f>
        <v>0</v>
      </c>
      <c r="D1972" s="6">
        <f>IFERROR(__xludf.DUMMYFUNCTION("""COMPUTED_VALUE"""),45705.0)</f>
        <v>45705</v>
      </c>
      <c r="E1972" s="7" t="str">
        <f>IFERROR(__xludf.DUMMYFUNCTION("""COMPUTED_VALUE"""),"FRANQUIA_D&amp;G_SP")</f>
        <v>FRANQUIA_D&amp;G_SP</v>
      </c>
      <c r="F1972" s="7" t="str">
        <f>IFERROR(__xludf.DUMMYFUNCTION("""COMPUTED_VALUE"""),"BICYCLE")</f>
        <v>BICYCLE</v>
      </c>
      <c r="G1972" s="7" t="str">
        <f>IFERROR(__xludf.DUMMYFUNCTION("""COMPUTED_VALUE"""),"SAO PAULO")</f>
        <v>SAO PAULO</v>
      </c>
    </row>
    <row r="1973">
      <c r="A1973" s="6">
        <f>IFERROR(__xludf.DUMMYFUNCTION("""COMPUTED_VALUE"""),45705.0)</f>
        <v>45705</v>
      </c>
      <c r="B1973" s="7" t="str">
        <f>IFERROR(__xludf.DUMMYFUNCTION("""COMPUTED_VALUE"""),"72efbb66-6969-4510-b4da-160f110ca1e1")</f>
        <v>72efbb66-6969-4510-b4da-160f110ca1e1</v>
      </c>
      <c r="C1973" s="7">
        <f>IFERROR(__xludf.DUMMYFUNCTION("""COMPUTED_VALUE"""),7.0)</f>
        <v>7</v>
      </c>
      <c r="D1973" s="6">
        <f>IFERROR(__xludf.DUMMYFUNCTION("""COMPUTED_VALUE"""),45698.0)</f>
        <v>45698</v>
      </c>
      <c r="E1973" s="7" t="str">
        <f>IFERROR(__xludf.DUMMYFUNCTION("""COMPUTED_VALUE"""),"FRANQUIA_D&amp;G_SP")</f>
        <v>FRANQUIA_D&amp;G_SP</v>
      </c>
      <c r="F1973" s="7" t="str">
        <f>IFERROR(__xludf.DUMMYFUNCTION("""COMPUTED_VALUE"""),"MOTORCYCLE")</f>
        <v>MOTORCYCLE</v>
      </c>
      <c r="G1973" s="7" t="str">
        <f>IFERROR(__xludf.DUMMYFUNCTION("""COMPUTED_VALUE"""),"SAO PAULO")</f>
        <v>SAO PAULO</v>
      </c>
    </row>
    <row r="1974">
      <c r="A1974" s="6">
        <f>IFERROR(__xludf.DUMMYFUNCTION("""COMPUTED_VALUE"""),45705.0)</f>
        <v>45705</v>
      </c>
      <c r="B1974" s="7" t="str">
        <f>IFERROR(__xludf.DUMMYFUNCTION("""COMPUTED_VALUE"""),"df5e8450-f831-45e8-8c39-d863022dfd6c")</f>
        <v>df5e8450-f831-45e8-8c39-d863022dfd6c</v>
      </c>
      <c r="C1974" s="7">
        <f>IFERROR(__xludf.DUMMYFUNCTION("""COMPUTED_VALUE"""),1923.0)</f>
        <v>1923</v>
      </c>
      <c r="D1974" s="6">
        <f>IFERROR(__xludf.DUMMYFUNCTION("""COMPUTED_VALUE"""),43782.0)</f>
        <v>43782</v>
      </c>
      <c r="E1974" s="7" t="str">
        <f>IFERROR(__xludf.DUMMYFUNCTION("""COMPUTED_VALUE"""),"FRANQUIA_D&amp;G_SP")</f>
        <v>FRANQUIA_D&amp;G_SP</v>
      </c>
      <c r="F1974" s="7" t="str">
        <f>IFERROR(__xludf.DUMMYFUNCTION("""COMPUTED_VALUE"""),"MOTORCYCLE")</f>
        <v>MOTORCYCLE</v>
      </c>
      <c r="G1974" s="7" t="str">
        <f>IFERROR(__xludf.DUMMYFUNCTION("""COMPUTED_VALUE"""),"SAO PAULO")</f>
        <v>SAO PAULO</v>
      </c>
    </row>
    <row r="1975">
      <c r="A1975" s="6">
        <f>IFERROR(__xludf.DUMMYFUNCTION("""COMPUTED_VALUE"""),45705.0)</f>
        <v>45705</v>
      </c>
      <c r="B1975" s="7" t="str">
        <f>IFERROR(__xludf.DUMMYFUNCTION("""COMPUTED_VALUE"""),"f413ac55-37db-4844-a67f-1baddd44f010")</f>
        <v>f413ac55-37db-4844-a67f-1baddd44f010</v>
      </c>
      <c r="C1975" s="7">
        <f>IFERROR(__xludf.DUMMYFUNCTION("""COMPUTED_VALUE"""),170.0)</f>
        <v>170</v>
      </c>
      <c r="D1975" s="6">
        <f>IFERROR(__xludf.DUMMYFUNCTION("""COMPUTED_VALUE"""),45535.0)</f>
        <v>45535</v>
      </c>
      <c r="E1975" s="7" t="str">
        <f>IFERROR(__xludf.DUMMYFUNCTION("""COMPUTED_VALUE"""),"FRANQUIA_D&amp;G_SP")</f>
        <v>FRANQUIA_D&amp;G_SP</v>
      </c>
      <c r="F1975" s="7" t="str">
        <f>IFERROR(__xludf.DUMMYFUNCTION("""COMPUTED_VALUE"""),"BICYCLE")</f>
        <v>BICYCLE</v>
      </c>
      <c r="G1975" s="7" t="str">
        <f>IFERROR(__xludf.DUMMYFUNCTION("""COMPUTED_VALUE"""),"SAO PAULO")</f>
        <v>SAO PAULO</v>
      </c>
    </row>
    <row r="1976">
      <c r="A1976" s="6">
        <f>IFERROR(__xludf.DUMMYFUNCTION("""COMPUTED_VALUE"""),45705.0)</f>
        <v>45705</v>
      </c>
      <c r="B1976" s="7" t="str">
        <f>IFERROR(__xludf.DUMMYFUNCTION("""COMPUTED_VALUE"""),"158d4c90-67ce-48b1-bb70-125b34d0d428")</f>
        <v>158d4c90-67ce-48b1-bb70-125b34d0d428</v>
      </c>
      <c r="C1976" s="7">
        <f>IFERROR(__xludf.DUMMYFUNCTION("""COMPUTED_VALUE"""),2.0)</f>
        <v>2</v>
      </c>
      <c r="D1976" s="6">
        <f>IFERROR(__xludf.DUMMYFUNCTION("""COMPUTED_VALUE"""),45703.0)</f>
        <v>45703</v>
      </c>
      <c r="E1976" s="7" t="str">
        <f>IFERROR(__xludf.DUMMYFUNCTION("""COMPUTED_VALUE"""),"FRANQUIA_D&amp;G_SP")</f>
        <v>FRANQUIA_D&amp;G_SP</v>
      </c>
      <c r="F1976" s="7" t="str">
        <f>IFERROR(__xludf.DUMMYFUNCTION("""COMPUTED_VALUE"""),"MOTORCYCLE")</f>
        <v>MOTORCYCLE</v>
      </c>
      <c r="G1976" s="7" t="str">
        <f>IFERROR(__xludf.DUMMYFUNCTION("""COMPUTED_VALUE"""),"TABOAO DA SERRA")</f>
        <v>TABOAO DA SERRA</v>
      </c>
    </row>
    <row r="1977">
      <c r="A1977" s="6">
        <f>IFERROR(__xludf.DUMMYFUNCTION("""COMPUTED_VALUE"""),45705.0)</f>
        <v>45705</v>
      </c>
      <c r="B1977" s="7" t="str">
        <f>IFERROR(__xludf.DUMMYFUNCTION("""COMPUTED_VALUE"""),"75789d02-e1fa-4719-b6c8-4e6e8e529fac")</f>
        <v>75789d02-e1fa-4719-b6c8-4e6e8e529fac</v>
      </c>
      <c r="C1977" s="7">
        <f>IFERROR(__xludf.DUMMYFUNCTION("""COMPUTED_VALUE"""),0.0)</f>
        <v>0</v>
      </c>
      <c r="D1977" s="6">
        <f>IFERROR(__xludf.DUMMYFUNCTION("""COMPUTED_VALUE"""),45705.0)</f>
        <v>45705</v>
      </c>
      <c r="E1977" s="7" t="str">
        <f>IFERROR(__xludf.DUMMYFUNCTION("""COMPUTED_VALUE"""),"FRANQUIA_D&amp;G_SP")</f>
        <v>FRANQUIA_D&amp;G_SP</v>
      </c>
      <c r="F1977" s="7" t="str">
        <f>IFERROR(__xludf.DUMMYFUNCTION("""COMPUTED_VALUE"""),"BICYCLE")</f>
        <v>BICYCLE</v>
      </c>
      <c r="G1977" s="7" t="str">
        <f>IFERROR(__xludf.DUMMYFUNCTION("""COMPUTED_VALUE"""),"SAO PAULO")</f>
        <v>SAO PAULO</v>
      </c>
    </row>
    <row r="1978">
      <c r="A1978" s="6">
        <f>IFERROR(__xludf.DUMMYFUNCTION("""COMPUTED_VALUE"""),45705.0)</f>
        <v>45705</v>
      </c>
      <c r="B1978" s="7" t="str">
        <f>IFERROR(__xludf.DUMMYFUNCTION("""COMPUTED_VALUE"""),"4b92c7e5-cdc3-4b78-84be-31bf12a083fc")</f>
        <v>4b92c7e5-cdc3-4b78-84be-31bf12a083fc</v>
      </c>
      <c r="C1978" s="7">
        <f>IFERROR(__xludf.DUMMYFUNCTION("""COMPUTED_VALUE"""),302.0)</f>
        <v>302</v>
      </c>
      <c r="D1978" s="6">
        <f>IFERROR(__xludf.DUMMYFUNCTION("""COMPUTED_VALUE"""),45403.0)</f>
        <v>45403</v>
      </c>
      <c r="E1978" s="7" t="str">
        <f>IFERROR(__xludf.DUMMYFUNCTION("""COMPUTED_VALUE"""),"FRANQUIA_D&amp;G_SP")</f>
        <v>FRANQUIA_D&amp;G_SP</v>
      </c>
      <c r="F1978" s="7" t="str">
        <f>IFERROR(__xludf.DUMMYFUNCTION("""COMPUTED_VALUE"""),"BICYCLE")</f>
        <v>BICYCLE</v>
      </c>
      <c r="G1978" s="7" t="str">
        <f>IFERROR(__xludf.DUMMYFUNCTION("""COMPUTED_VALUE"""),"SAO PAULO")</f>
        <v>SAO PAULO</v>
      </c>
    </row>
    <row r="1979">
      <c r="A1979" s="6">
        <f>IFERROR(__xludf.DUMMYFUNCTION("""COMPUTED_VALUE"""),45705.0)</f>
        <v>45705</v>
      </c>
      <c r="B1979" s="7" t="str">
        <f>IFERROR(__xludf.DUMMYFUNCTION("""COMPUTED_VALUE"""),"665c1bc5-5afd-4dce-b708-93d5235e63a7")</f>
        <v>665c1bc5-5afd-4dce-b708-93d5235e63a7</v>
      </c>
      <c r="C1979" s="7">
        <f>IFERROR(__xludf.DUMMYFUNCTION("""COMPUTED_VALUE"""),1.0)</f>
        <v>1</v>
      </c>
      <c r="D1979" s="6">
        <f>IFERROR(__xludf.DUMMYFUNCTION("""COMPUTED_VALUE"""),45704.0)</f>
        <v>45704</v>
      </c>
      <c r="E1979" s="7" t="str">
        <f>IFERROR(__xludf.DUMMYFUNCTION("""COMPUTED_VALUE"""),"FRANQUIA_D&amp;G_SP")</f>
        <v>FRANQUIA_D&amp;G_SP</v>
      </c>
      <c r="F1979" s="7" t="str">
        <f>IFERROR(__xludf.DUMMYFUNCTION("""COMPUTED_VALUE"""),"BICYCLE")</f>
        <v>BICYCLE</v>
      </c>
      <c r="G1979" s="7" t="str">
        <f>IFERROR(__xludf.DUMMYFUNCTION("""COMPUTED_VALUE"""),"SAO PAULO")</f>
        <v>SAO PAULO</v>
      </c>
    </row>
    <row r="1980">
      <c r="A1980" s="6">
        <f>IFERROR(__xludf.DUMMYFUNCTION("""COMPUTED_VALUE"""),45705.0)</f>
        <v>45705</v>
      </c>
      <c r="B1980" s="7" t="str">
        <f>IFERROR(__xludf.DUMMYFUNCTION("""COMPUTED_VALUE"""),"629108e8-0151-4933-a950-a9ac9372f0e2")</f>
        <v>629108e8-0151-4933-a950-a9ac9372f0e2</v>
      </c>
      <c r="C1980" s="7">
        <f>IFERROR(__xludf.DUMMYFUNCTION("""COMPUTED_VALUE"""),34.0)</f>
        <v>34</v>
      </c>
      <c r="D1980" s="6">
        <f>IFERROR(__xludf.DUMMYFUNCTION("""COMPUTED_VALUE"""),45671.0)</f>
        <v>45671</v>
      </c>
      <c r="E1980" s="7" t="str">
        <f>IFERROR(__xludf.DUMMYFUNCTION("""COMPUTED_VALUE"""),"FRANQUIA_D&amp;G_SP")</f>
        <v>FRANQUIA_D&amp;G_SP</v>
      </c>
      <c r="F1980" s="7" t="str">
        <f>IFERROR(__xludf.DUMMYFUNCTION("""COMPUTED_VALUE"""),"MOTORCYCLE")</f>
        <v>MOTORCYCLE</v>
      </c>
      <c r="G1980" s="7" t="str">
        <f>IFERROR(__xludf.DUMMYFUNCTION("""COMPUTED_VALUE"""),"ABC")</f>
        <v>ABC</v>
      </c>
    </row>
    <row r="1981">
      <c r="A1981" s="6">
        <f>IFERROR(__xludf.DUMMYFUNCTION("""COMPUTED_VALUE"""),45705.0)</f>
        <v>45705</v>
      </c>
      <c r="B1981" s="7" t="str">
        <f>IFERROR(__xludf.DUMMYFUNCTION("""COMPUTED_VALUE"""),"482af5c1-025d-45f0-a6dd-0de5af2564df")</f>
        <v>482af5c1-025d-45f0-a6dd-0de5af2564df</v>
      </c>
      <c r="C1981" s="7">
        <f>IFERROR(__xludf.DUMMYFUNCTION("""COMPUTED_VALUE"""),14.0)</f>
        <v>14</v>
      </c>
      <c r="D1981" s="6">
        <f>IFERROR(__xludf.DUMMYFUNCTION("""COMPUTED_VALUE"""),45691.0)</f>
        <v>45691</v>
      </c>
      <c r="E1981" s="7" t="str">
        <f>IFERROR(__xludf.DUMMYFUNCTION("""COMPUTED_VALUE"""),"FRANQUIA_D&amp;G_SP")</f>
        <v>FRANQUIA_D&amp;G_SP</v>
      </c>
      <c r="F1981" s="7" t="str">
        <f>IFERROR(__xludf.DUMMYFUNCTION("""COMPUTED_VALUE"""),"MOTORCYCLE")</f>
        <v>MOTORCYCLE</v>
      </c>
      <c r="G1981" s="7" t="str">
        <f>IFERROR(__xludf.DUMMYFUNCTION("""COMPUTED_VALUE"""),"SAO PAULO")</f>
        <v>SAO PAULO</v>
      </c>
    </row>
    <row r="1982">
      <c r="A1982" s="6">
        <f>IFERROR(__xludf.DUMMYFUNCTION("""COMPUTED_VALUE"""),45705.0)</f>
        <v>45705</v>
      </c>
      <c r="B1982" s="7" t="str">
        <f>IFERROR(__xludf.DUMMYFUNCTION("""COMPUTED_VALUE"""),"ccb331f2-0c3b-490a-8416-ee446434e683")</f>
        <v>ccb331f2-0c3b-490a-8416-ee446434e683</v>
      </c>
      <c r="C1982" s="7">
        <f>IFERROR(__xludf.DUMMYFUNCTION("""COMPUTED_VALUE"""),6.0)</f>
        <v>6</v>
      </c>
      <c r="D1982" s="6">
        <f>IFERROR(__xludf.DUMMYFUNCTION("""COMPUTED_VALUE"""),45699.0)</f>
        <v>45699</v>
      </c>
      <c r="E1982" s="7" t="str">
        <f>IFERROR(__xludf.DUMMYFUNCTION("""COMPUTED_VALUE"""),"FRANQUIA_D&amp;G_SP")</f>
        <v>FRANQUIA_D&amp;G_SP</v>
      </c>
      <c r="F1982" s="7" t="str">
        <f>IFERROR(__xludf.DUMMYFUNCTION("""COMPUTED_VALUE"""),"EMOTORCYCLE")</f>
        <v>EMOTORCYCLE</v>
      </c>
      <c r="G1982" s="7" t="str">
        <f>IFERROR(__xludf.DUMMYFUNCTION("""COMPUTED_VALUE"""),"SAO PAULO")</f>
        <v>SAO PAULO</v>
      </c>
    </row>
    <row r="1983">
      <c r="A1983" s="6">
        <f>IFERROR(__xludf.DUMMYFUNCTION("""COMPUTED_VALUE"""),45705.0)</f>
        <v>45705</v>
      </c>
      <c r="B1983" s="7" t="str">
        <f>IFERROR(__xludf.DUMMYFUNCTION("""COMPUTED_VALUE"""),"1c87bb78-7f4b-4a2c-8867-c2ded229eb91")</f>
        <v>1c87bb78-7f4b-4a2c-8867-c2ded229eb91</v>
      </c>
      <c r="C1983" s="7">
        <f>IFERROR(__xludf.DUMMYFUNCTION("""COMPUTED_VALUE"""),1.0)</f>
        <v>1</v>
      </c>
      <c r="D1983" s="6">
        <f>IFERROR(__xludf.DUMMYFUNCTION("""COMPUTED_VALUE"""),45704.0)</f>
        <v>45704</v>
      </c>
      <c r="E1983" s="7" t="str">
        <f>IFERROR(__xludf.DUMMYFUNCTION("""COMPUTED_VALUE"""),"FRANQUIA_D&amp;G_SP")</f>
        <v>FRANQUIA_D&amp;G_SP</v>
      </c>
      <c r="F1983" s="7" t="str">
        <f>IFERROR(__xludf.DUMMYFUNCTION("""COMPUTED_VALUE"""),"MOTORCYCLE")</f>
        <v>MOTORCYCLE</v>
      </c>
      <c r="G1983" s="7" t="str">
        <f>IFERROR(__xludf.DUMMYFUNCTION("""COMPUTED_VALUE"""),"SAO PAULO")</f>
        <v>SAO PAULO</v>
      </c>
    </row>
    <row r="1984">
      <c r="A1984" s="6">
        <f>IFERROR(__xludf.DUMMYFUNCTION("""COMPUTED_VALUE"""),45705.0)</f>
        <v>45705</v>
      </c>
      <c r="B1984" s="7" t="str">
        <f>IFERROR(__xludf.DUMMYFUNCTION("""COMPUTED_VALUE"""),"4adfa94f-01ca-46a3-a35d-1ebb6893a29d")</f>
        <v>4adfa94f-01ca-46a3-a35d-1ebb6893a29d</v>
      </c>
      <c r="C1984" s="7">
        <f>IFERROR(__xludf.DUMMYFUNCTION("""COMPUTED_VALUE"""),0.0)</f>
        <v>0</v>
      </c>
      <c r="D1984" s="6">
        <f>IFERROR(__xludf.DUMMYFUNCTION("""COMPUTED_VALUE"""),45705.0)</f>
        <v>45705</v>
      </c>
      <c r="E1984" s="7" t="str">
        <f>IFERROR(__xludf.DUMMYFUNCTION("""COMPUTED_VALUE"""),"FRANQUIA_D&amp;G_SP")</f>
        <v>FRANQUIA_D&amp;G_SP</v>
      </c>
      <c r="F1984" s="7" t="str">
        <f>IFERROR(__xludf.DUMMYFUNCTION("""COMPUTED_VALUE"""),"MOTORCYCLE")</f>
        <v>MOTORCYCLE</v>
      </c>
      <c r="G1984" s="7" t="str">
        <f>IFERROR(__xludf.DUMMYFUNCTION("""COMPUTED_VALUE"""),"SAO PAULO")</f>
        <v>SAO PAULO</v>
      </c>
    </row>
    <row r="1985">
      <c r="A1985" s="6">
        <f>IFERROR(__xludf.DUMMYFUNCTION("""COMPUTED_VALUE"""),45705.0)</f>
        <v>45705</v>
      </c>
      <c r="B1985" s="7" t="str">
        <f>IFERROR(__xludf.DUMMYFUNCTION("""COMPUTED_VALUE"""),"22c4d2b0-022f-475c-b698-9d3e165f59dc")</f>
        <v>22c4d2b0-022f-475c-b698-9d3e165f59dc</v>
      </c>
      <c r="C1985" s="7">
        <f>IFERROR(__xludf.DUMMYFUNCTION("""COMPUTED_VALUE"""),0.0)</f>
        <v>0</v>
      </c>
      <c r="D1985" s="6">
        <f>IFERROR(__xludf.DUMMYFUNCTION("""COMPUTED_VALUE"""),45705.0)</f>
        <v>45705</v>
      </c>
      <c r="E1985" s="7" t="str">
        <f>IFERROR(__xludf.DUMMYFUNCTION("""COMPUTED_VALUE"""),"FRANQUIA_D&amp;G_SP")</f>
        <v>FRANQUIA_D&amp;G_SP</v>
      </c>
      <c r="F1985" s="7" t="str">
        <f>IFERROR(__xludf.DUMMYFUNCTION("""COMPUTED_VALUE"""),"MOTORCYCLE")</f>
        <v>MOTORCYCLE</v>
      </c>
      <c r="G1985" s="7" t="str">
        <f>IFERROR(__xludf.DUMMYFUNCTION("""COMPUTED_VALUE"""),"SAO PAULO")</f>
        <v>SAO PAULO</v>
      </c>
    </row>
    <row r="1986">
      <c r="A1986" s="6">
        <f>IFERROR(__xludf.DUMMYFUNCTION("""COMPUTED_VALUE"""),45705.0)</f>
        <v>45705</v>
      </c>
      <c r="B1986" s="7" t="str">
        <f>IFERROR(__xludf.DUMMYFUNCTION("""COMPUTED_VALUE"""),"f47026a4-42f3-4ccb-a018-3b1cece6e52d")</f>
        <v>f47026a4-42f3-4ccb-a018-3b1cece6e52d</v>
      </c>
      <c r="C1986" s="7">
        <f>IFERROR(__xludf.DUMMYFUNCTION("""COMPUTED_VALUE"""),0.0)</f>
        <v>0</v>
      </c>
      <c r="D1986" s="6">
        <f>IFERROR(__xludf.DUMMYFUNCTION("""COMPUTED_VALUE"""),45705.0)</f>
        <v>45705</v>
      </c>
      <c r="E1986" s="7" t="str">
        <f>IFERROR(__xludf.DUMMYFUNCTION("""COMPUTED_VALUE"""),"FRANQUIA_D&amp;G_SP")</f>
        <v>FRANQUIA_D&amp;G_SP</v>
      </c>
      <c r="F1986" s="7" t="str">
        <f>IFERROR(__xludf.DUMMYFUNCTION("""COMPUTED_VALUE"""),"MOTORCYCLE")</f>
        <v>MOTORCYCLE</v>
      </c>
      <c r="G1986" s="7" t="str">
        <f>IFERROR(__xludf.DUMMYFUNCTION("""COMPUTED_VALUE"""),"SAO PAULO")</f>
        <v>SAO PAULO</v>
      </c>
    </row>
    <row r="1987">
      <c r="A1987" s="6">
        <f>IFERROR(__xludf.DUMMYFUNCTION("""COMPUTED_VALUE"""),45705.0)</f>
        <v>45705</v>
      </c>
      <c r="B1987" s="7" t="str">
        <f>IFERROR(__xludf.DUMMYFUNCTION("""COMPUTED_VALUE"""),"c6bdfbdb-c5c1-462a-85c6-b0c5e9cdcfae")</f>
        <v>c6bdfbdb-c5c1-462a-85c6-b0c5e9cdcfae</v>
      </c>
      <c r="C1987" s="7">
        <f>IFERROR(__xludf.DUMMYFUNCTION("""COMPUTED_VALUE"""),20.0)</f>
        <v>20</v>
      </c>
      <c r="D1987" s="6">
        <f>IFERROR(__xludf.DUMMYFUNCTION("""COMPUTED_VALUE"""),45685.0)</f>
        <v>45685</v>
      </c>
      <c r="E1987" s="7" t="str">
        <f>IFERROR(__xludf.DUMMYFUNCTION("""COMPUTED_VALUE"""),"FRANQUIA_D&amp;G_SP")</f>
        <v>FRANQUIA_D&amp;G_SP</v>
      </c>
      <c r="F1987" s="7" t="str">
        <f>IFERROR(__xludf.DUMMYFUNCTION("""COMPUTED_VALUE"""),"BICYCLE - GRCS")</f>
        <v>BICYCLE - GRCS</v>
      </c>
      <c r="G1987" s="7" t="str">
        <f>IFERROR(__xludf.DUMMYFUNCTION("""COMPUTED_VALUE"""),"SAO PAULO")</f>
        <v>SAO PAULO</v>
      </c>
    </row>
    <row r="1988">
      <c r="A1988" s="6">
        <f>IFERROR(__xludf.DUMMYFUNCTION("""COMPUTED_VALUE"""),45705.0)</f>
        <v>45705</v>
      </c>
      <c r="B1988" s="7" t="str">
        <f>IFERROR(__xludf.DUMMYFUNCTION("""COMPUTED_VALUE"""),"7b61aad1-d931-4a20-839e-a298b96bdb00")</f>
        <v>7b61aad1-d931-4a20-839e-a298b96bdb00</v>
      </c>
      <c r="C1988" s="7">
        <f>IFERROR(__xludf.DUMMYFUNCTION("""COMPUTED_VALUE"""),242.0)</f>
        <v>242</v>
      </c>
      <c r="D1988" s="6">
        <f>IFERROR(__xludf.DUMMYFUNCTION("""COMPUTED_VALUE"""),45463.0)</f>
        <v>45463</v>
      </c>
      <c r="E1988" s="7" t="str">
        <f>IFERROR(__xludf.DUMMYFUNCTION("""COMPUTED_VALUE"""),"FRANQUIA_D&amp;G_SP")</f>
        <v>FRANQUIA_D&amp;G_SP</v>
      </c>
      <c r="F1988" s="7" t="str">
        <f>IFERROR(__xludf.DUMMYFUNCTION("""COMPUTED_VALUE"""),"BICYCLE")</f>
        <v>BICYCLE</v>
      </c>
      <c r="G1988" s="7" t="str">
        <f>IFERROR(__xludf.DUMMYFUNCTION("""COMPUTED_VALUE"""),"SAO PAULO")</f>
        <v>SAO PAULO</v>
      </c>
    </row>
    <row r="1989">
      <c r="A1989" s="6">
        <f>IFERROR(__xludf.DUMMYFUNCTION("""COMPUTED_VALUE"""),45705.0)</f>
        <v>45705</v>
      </c>
      <c r="B1989" s="7" t="str">
        <f>IFERROR(__xludf.DUMMYFUNCTION("""COMPUTED_VALUE"""),"ad3c53df-7c2b-44f6-98fa-f6fde4e1392a")</f>
        <v>ad3c53df-7c2b-44f6-98fa-f6fde4e1392a</v>
      </c>
      <c r="C1989" s="7">
        <f>IFERROR(__xludf.DUMMYFUNCTION("""COMPUTED_VALUE"""),0.0)</f>
        <v>0</v>
      </c>
      <c r="D1989" s="6">
        <f>IFERROR(__xludf.DUMMYFUNCTION("""COMPUTED_VALUE"""),45705.0)</f>
        <v>45705</v>
      </c>
      <c r="E1989" s="7" t="str">
        <f>IFERROR(__xludf.DUMMYFUNCTION("""COMPUTED_VALUE"""),"FRANQUIA_D&amp;G_SP")</f>
        <v>FRANQUIA_D&amp;G_SP</v>
      </c>
      <c r="F1989" s="7" t="str">
        <f>IFERROR(__xludf.DUMMYFUNCTION("""COMPUTED_VALUE"""),"MOTORCYCLE")</f>
        <v>MOTORCYCLE</v>
      </c>
      <c r="G1989" s="7" t="str">
        <f>IFERROR(__xludf.DUMMYFUNCTION("""COMPUTED_VALUE"""),"ABC")</f>
        <v>ABC</v>
      </c>
    </row>
    <row r="1990">
      <c r="A1990" s="6">
        <f>IFERROR(__xludf.DUMMYFUNCTION("""COMPUTED_VALUE"""),45705.0)</f>
        <v>45705</v>
      </c>
      <c r="B1990" s="7" t="str">
        <f>IFERROR(__xludf.DUMMYFUNCTION("""COMPUTED_VALUE"""),"9e66e7e3-7dcc-427d-86d2-e9b4e10bda8e")</f>
        <v>9e66e7e3-7dcc-427d-86d2-e9b4e10bda8e</v>
      </c>
      <c r="C1990" s="7">
        <f>IFERROR(__xludf.DUMMYFUNCTION("""COMPUTED_VALUE"""),482.0)</f>
        <v>482</v>
      </c>
      <c r="D1990" s="6">
        <f>IFERROR(__xludf.DUMMYFUNCTION("""COMPUTED_VALUE"""),45223.0)</f>
        <v>45223</v>
      </c>
      <c r="E1990" s="7" t="str">
        <f>IFERROR(__xludf.DUMMYFUNCTION("""COMPUTED_VALUE"""),"FRANQUIA_D&amp;G_SP")</f>
        <v>FRANQUIA_D&amp;G_SP</v>
      </c>
      <c r="F1990" s="7" t="str">
        <f>IFERROR(__xludf.DUMMYFUNCTION("""COMPUTED_VALUE"""),"BICYCLE")</f>
        <v>BICYCLE</v>
      </c>
      <c r="G1990" s="7" t="str">
        <f>IFERROR(__xludf.DUMMYFUNCTION("""COMPUTED_VALUE"""),"SAO PAULO")</f>
        <v>SAO PAULO</v>
      </c>
    </row>
    <row r="1991">
      <c r="A1991" s="6">
        <f>IFERROR(__xludf.DUMMYFUNCTION("""COMPUTED_VALUE"""),45705.0)</f>
        <v>45705</v>
      </c>
      <c r="B1991" s="7" t="str">
        <f>IFERROR(__xludf.DUMMYFUNCTION("""COMPUTED_VALUE"""),"7a842cbe-6b0f-4bec-b41f-7473e66be66a")</f>
        <v>7a842cbe-6b0f-4bec-b41f-7473e66be66a</v>
      </c>
      <c r="C1991" s="7">
        <f>IFERROR(__xludf.DUMMYFUNCTION("""COMPUTED_VALUE"""),103.0)</f>
        <v>103</v>
      </c>
      <c r="D1991" s="6">
        <f>IFERROR(__xludf.DUMMYFUNCTION("""COMPUTED_VALUE"""),45602.0)</f>
        <v>45602</v>
      </c>
      <c r="E1991" s="7" t="str">
        <f>IFERROR(__xludf.DUMMYFUNCTION("""COMPUTED_VALUE"""),"FRANQUIA_D&amp;G_SP")</f>
        <v>FRANQUIA_D&amp;G_SP</v>
      </c>
      <c r="F1991" s="7" t="str">
        <f>IFERROR(__xludf.DUMMYFUNCTION("""COMPUTED_VALUE"""),"MOTORCYCLE")</f>
        <v>MOTORCYCLE</v>
      </c>
      <c r="G1991" s="7" t="str">
        <f>IFERROR(__xludf.DUMMYFUNCTION("""COMPUTED_VALUE"""),"SAO PAULO")</f>
        <v>SAO PAULO</v>
      </c>
    </row>
    <row r="1992">
      <c r="A1992" s="6">
        <f>IFERROR(__xludf.DUMMYFUNCTION("""COMPUTED_VALUE"""),45705.0)</f>
        <v>45705</v>
      </c>
      <c r="B1992" s="7" t="str">
        <f>IFERROR(__xludf.DUMMYFUNCTION("""COMPUTED_VALUE"""),"bea313e7-5ed1-4ac3-b2e8-748239e481ac")</f>
        <v>bea313e7-5ed1-4ac3-b2e8-748239e481ac</v>
      </c>
      <c r="C1992" s="7">
        <f>IFERROR(__xludf.DUMMYFUNCTION("""COMPUTED_VALUE"""),0.0)</f>
        <v>0</v>
      </c>
      <c r="D1992" s="6">
        <f>IFERROR(__xludf.DUMMYFUNCTION("""COMPUTED_VALUE"""),45705.0)</f>
        <v>45705</v>
      </c>
      <c r="E1992" s="7" t="str">
        <f>IFERROR(__xludf.DUMMYFUNCTION("""COMPUTED_VALUE"""),"FRANQUIA_D&amp;G_SP")</f>
        <v>FRANQUIA_D&amp;G_SP</v>
      </c>
      <c r="F1992" s="7" t="str">
        <f>IFERROR(__xludf.DUMMYFUNCTION("""COMPUTED_VALUE"""),"MOTORCYCLE")</f>
        <v>MOTORCYCLE</v>
      </c>
      <c r="G1992" s="7" t="str">
        <f>IFERROR(__xludf.DUMMYFUNCTION("""COMPUTED_VALUE"""),"SAO PAULO")</f>
        <v>SAO PAULO</v>
      </c>
    </row>
    <row r="1993">
      <c r="A1993" s="6">
        <f>IFERROR(__xludf.DUMMYFUNCTION("""COMPUTED_VALUE"""),45705.0)</f>
        <v>45705</v>
      </c>
      <c r="B1993" s="7" t="str">
        <f>IFERROR(__xludf.DUMMYFUNCTION("""COMPUTED_VALUE"""),"ae22d78d-4a9c-4ee9-92af-22af06f941f7")</f>
        <v>ae22d78d-4a9c-4ee9-92af-22af06f941f7</v>
      </c>
      <c r="C1993" s="7">
        <f>IFERROR(__xludf.DUMMYFUNCTION("""COMPUTED_VALUE"""),13.0)</f>
        <v>13</v>
      </c>
      <c r="D1993" s="6">
        <f>IFERROR(__xludf.DUMMYFUNCTION("""COMPUTED_VALUE"""),45692.0)</f>
        <v>45692</v>
      </c>
      <c r="E1993" s="7" t="str">
        <f>IFERROR(__xludf.DUMMYFUNCTION("""COMPUTED_VALUE"""),"FRANQUIA_D&amp;G_SP")</f>
        <v>FRANQUIA_D&amp;G_SP</v>
      </c>
      <c r="F1993" s="7" t="str">
        <f>IFERROR(__xludf.DUMMYFUNCTION("""COMPUTED_VALUE"""),"BICYCLE")</f>
        <v>BICYCLE</v>
      </c>
      <c r="G1993" s="7" t="str">
        <f>IFERROR(__xludf.DUMMYFUNCTION("""COMPUTED_VALUE"""),"SAO PAULO")</f>
        <v>SAO PAULO</v>
      </c>
    </row>
    <row r="1994">
      <c r="A1994" s="6">
        <f>IFERROR(__xludf.DUMMYFUNCTION("""COMPUTED_VALUE"""),45705.0)</f>
        <v>45705</v>
      </c>
      <c r="B1994" s="7" t="str">
        <f>IFERROR(__xludf.DUMMYFUNCTION("""COMPUTED_VALUE"""),"be308881-f7fd-48ef-b22c-5e3ec747a668")</f>
        <v>be308881-f7fd-48ef-b22c-5e3ec747a668</v>
      </c>
      <c r="C1994" s="7">
        <f>IFERROR(__xludf.DUMMYFUNCTION("""COMPUTED_VALUE"""),0.0)</f>
        <v>0</v>
      </c>
      <c r="D1994" s="6">
        <f>IFERROR(__xludf.DUMMYFUNCTION("""COMPUTED_VALUE"""),45705.0)</f>
        <v>45705</v>
      </c>
      <c r="E1994" s="7" t="str">
        <f>IFERROR(__xludf.DUMMYFUNCTION("""COMPUTED_VALUE"""),"FRANQUIA_D&amp;G_SP")</f>
        <v>FRANQUIA_D&amp;G_SP</v>
      </c>
      <c r="F1994" s="7" t="str">
        <f>IFERROR(__xludf.DUMMYFUNCTION("""COMPUTED_VALUE"""),"MOTORCYCLE")</f>
        <v>MOTORCYCLE</v>
      </c>
      <c r="G1994" s="7" t="str">
        <f>IFERROR(__xludf.DUMMYFUNCTION("""COMPUTED_VALUE"""),"RECIFE")</f>
        <v>RECIFE</v>
      </c>
    </row>
    <row r="1995">
      <c r="A1995" s="6">
        <f>IFERROR(__xludf.DUMMYFUNCTION("""COMPUTED_VALUE"""),45705.0)</f>
        <v>45705</v>
      </c>
      <c r="B1995" s="7" t="str">
        <f>IFERROR(__xludf.DUMMYFUNCTION("""COMPUTED_VALUE"""),"088a8899-857a-4121-a42f-d2dfbf072be5")</f>
        <v>088a8899-857a-4121-a42f-d2dfbf072be5</v>
      </c>
      <c r="C1995" s="7">
        <f>IFERROR(__xludf.DUMMYFUNCTION("""COMPUTED_VALUE"""),4.0)</f>
        <v>4</v>
      </c>
      <c r="D1995" s="6">
        <f>IFERROR(__xludf.DUMMYFUNCTION("""COMPUTED_VALUE"""),45701.0)</f>
        <v>45701</v>
      </c>
      <c r="E1995" s="7" t="str">
        <f>IFERROR(__xludf.DUMMYFUNCTION("""COMPUTED_VALUE"""),"FRANQUIA_D&amp;G_SP")</f>
        <v>FRANQUIA_D&amp;G_SP</v>
      </c>
      <c r="F1995" s="7" t="str">
        <f>IFERROR(__xludf.DUMMYFUNCTION("""COMPUTED_VALUE"""),"MOTORCYCLE")</f>
        <v>MOTORCYCLE</v>
      </c>
      <c r="G1995" s="7" t="str">
        <f>IFERROR(__xludf.DUMMYFUNCTION("""COMPUTED_VALUE"""),"SAO PAULO")</f>
        <v>SAO PAULO</v>
      </c>
    </row>
    <row r="1996">
      <c r="A1996" s="6">
        <f>IFERROR(__xludf.DUMMYFUNCTION("""COMPUTED_VALUE"""),45705.0)</f>
        <v>45705</v>
      </c>
      <c r="B1996" s="7" t="str">
        <f>IFERROR(__xludf.DUMMYFUNCTION("""COMPUTED_VALUE"""),"081b9605-2f0d-43dc-9355-cc03d53bedc2")</f>
        <v>081b9605-2f0d-43dc-9355-cc03d53bedc2</v>
      </c>
      <c r="C1996" s="7">
        <f>IFERROR(__xludf.DUMMYFUNCTION("""COMPUTED_VALUE"""),53.0)</f>
        <v>53</v>
      </c>
      <c r="D1996" s="6">
        <f>IFERROR(__xludf.DUMMYFUNCTION("""COMPUTED_VALUE"""),45652.0)</f>
        <v>45652</v>
      </c>
      <c r="E1996" s="7" t="str">
        <f>IFERROR(__xludf.DUMMYFUNCTION("""COMPUTED_VALUE"""),"FRANQUIA_D&amp;G_SP")</f>
        <v>FRANQUIA_D&amp;G_SP</v>
      </c>
      <c r="F1996" s="7" t="str">
        <f>IFERROR(__xludf.DUMMYFUNCTION("""COMPUTED_VALUE"""),"BICYCLE")</f>
        <v>BICYCLE</v>
      </c>
      <c r="G1996" s="7" t="str">
        <f>IFERROR(__xludf.DUMMYFUNCTION("""COMPUTED_VALUE"""),"SAO PAULO")</f>
        <v>SAO PAULO</v>
      </c>
    </row>
    <row r="1997">
      <c r="A1997" s="6">
        <f>IFERROR(__xludf.DUMMYFUNCTION("""COMPUTED_VALUE"""),45705.0)</f>
        <v>45705</v>
      </c>
      <c r="B1997" s="7" t="str">
        <f>IFERROR(__xludf.DUMMYFUNCTION("""COMPUTED_VALUE"""),"fb3d3a82-ea47-4984-b285-167b11c10122")</f>
        <v>fb3d3a82-ea47-4984-b285-167b11c10122</v>
      </c>
      <c r="C1997" s="7">
        <f>IFERROR(__xludf.DUMMYFUNCTION("""COMPUTED_VALUE"""),86.0)</f>
        <v>86</v>
      </c>
      <c r="D1997" s="6">
        <f>IFERROR(__xludf.DUMMYFUNCTION("""COMPUTED_VALUE"""),45619.0)</f>
        <v>45619</v>
      </c>
      <c r="E1997" s="7" t="str">
        <f>IFERROR(__xludf.DUMMYFUNCTION("""COMPUTED_VALUE"""),"FRANQUIA_D&amp;G_SP")</f>
        <v>FRANQUIA_D&amp;G_SP</v>
      </c>
      <c r="F1997" s="7" t="str">
        <f>IFERROR(__xludf.DUMMYFUNCTION("""COMPUTED_VALUE"""),"BICYCLE")</f>
        <v>BICYCLE</v>
      </c>
      <c r="G1997" s="7" t="str">
        <f>IFERROR(__xludf.DUMMYFUNCTION("""COMPUTED_VALUE"""),"SAO PAULO")</f>
        <v>SAO PAULO</v>
      </c>
    </row>
    <row r="1998">
      <c r="A1998" s="6">
        <f>IFERROR(__xludf.DUMMYFUNCTION("""COMPUTED_VALUE"""),45705.0)</f>
        <v>45705</v>
      </c>
      <c r="B1998" s="7" t="str">
        <f>IFERROR(__xludf.DUMMYFUNCTION("""COMPUTED_VALUE"""),"c93cc361-1ca0-4e10-9c30-c656e779cf94")</f>
        <v>c93cc361-1ca0-4e10-9c30-c656e779cf94</v>
      </c>
      <c r="C1998" s="7">
        <f>IFERROR(__xludf.DUMMYFUNCTION("""COMPUTED_VALUE"""),0.0)</f>
        <v>0</v>
      </c>
      <c r="D1998" s="6">
        <f>IFERROR(__xludf.DUMMYFUNCTION("""COMPUTED_VALUE"""),45705.0)</f>
        <v>45705</v>
      </c>
      <c r="E1998" s="7" t="str">
        <f>IFERROR(__xludf.DUMMYFUNCTION("""COMPUTED_VALUE"""),"FRANQUIA_D&amp;G_SP")</f>
        <v>FRANQUIA_D&amp;G_SP</v>
      </c>
      <c r="F1998" s="7" t="str">
        <f>IFERROR(__xludf.DUMMYFUNCTION("""COMPUTED_VALUE"""),"MOTORCYCLE")</f>
        <v>MOTORCYCLE</v>
      </c>
      <c r="G1998" s="7" t="str">
        <f>IFERROR(__xludf.DUMMYFUNCTION("""COMPUTED_VALUE"""),"SAO PAULO")</f>
        <v>SAO PAULO</v>
      </c>
    </row>
    <row r="1999">
      <c r="A1999" s="6">
        <f>IFERROR(__xludf.DUMMYFUNCTION("""COMPUTED_VALUE"""),45705.0)</f>
        <v>45705</v>
      </c>
      <c r="B1999" s="7" t="str">
        <f>IFERROR(__xludf.DUMMYFUNCTION("""COMPUTED_VALUE"""),"b8cc6619-79a9-45be-a827-095f35558ad1")</f>
        <v>b8cc6619-79a9-45be-a827-095f35558ad1</v>
      </c>
      <c r="C1999" s="7">
        <f>IFERROR(__xludf.DUMMYFUNCTION("""COMPUTED_VALUE"""),0.0)</f>
        <v>0</v>
      </c>
      <c r="D1999" s="6">
        <f>IFERROR(__xludf.DUMMYFUNCTION("""COMPUTED_VALUE"""),45705.0)</f>
        <v>45705</v>
      </c>
      <c r="E1999" s="7" t="str">
        <f>IFERROR(__xludf.DUMMYFUNCTION("""COMPUTED_VALUE"""),"FRANQUIA_D&amp;G_SP")</f>
        <v>FRANQUIA_D&amp;G_SP</v>
      </c>
      <c r="F1999" s="7" t="str">
        <f>IFERROR(__xludf.DUMMYFUNCTION("""COMPUTED_VALUE"""),"MOTORCYCLE")</f>
        <v>MOTORCYCLE</v>
      </c>
      <c r="G1999" s="7" t="str">
        <f>IFERROR(__xludf.DUMMYFUNCTION("""COMPUTED_VALUE"""),"ABC")</f>
        <v>ABC</v>
      </c>
    </row>
    <row r="2000">
      <c r="A2000" s="6">
        <f>IFERROR(__xludf.DUMMYFUNCTION("""COMPUTED_VALUE"""),45705.0)</f>
        <v>45705</v>
      </c>
      <c r="B2000" s="7" t="str">
        <f>IFERROR(__xludf.DUMMYFUNCTION("""COMPUTED_VALUE"""),"bed7ef6f-a92e-40d4-a38f-3e8d3cb414d0")</f>
        <v>bed7ef6f-a92e-40d4-a38f-3e8d3cb414d0</v>
      </c>
      <c r="C2000" s="7">
        <f>IFERROR(__xludf.DUMMYFUNCTION("""COMPUTED_VALUE"""),0.0)</f>
        <v>0</v>
      </c>
      <c r="D2000" s="6">
        <f>IFERROR(__xludf.DUMMYFUNCTION("""COMPUTED_VALUE"""),45705.0)</f>
        <v>45705</v>
      </c>
      <c r="E2000" s="7" t="str">
        <f>IFERROR(__xludf.DUMMYFUNCTION("""COMPUTED_VALUE"""),"FRANQUIA_D&amp;G_SP")</f>
        <v>FRANQUIA_D&amp;G_SP</v>
      </c>
      <c r="F2000" s="7" t="str">
        <f>IFERROR(__xludf.DUMMYFUNCTION("""COMPUTED_VALUE"""),"MOTORCYCLE")</f>
        <v>MOTORCYCLE</v>
      </c>
      <c r="G2000" s="7" t="str">
        <f>IFERROR(__xludf.DUMMYFUNCTION("""COMPUTED_VALUE"""),"SAO PAULO")</f>
        <v>SAO PAULO</v>
      </c>
    </row>
    <row r="2001">
      <c r="A2001" s="6">
        <f>IFERROR(__xludf.DUMMYFUNCTION("""COMPUTED_VALUE"""),45705.0)</f>
        <v>45705</v>
      </c>
      <c r="B2001" s="7" t="str">
        <f>IFERROR(__xludf.DUMMYFUNCTION("""COMPUTED_VALUE"""),"142f1ff7-d433-465a-8841-9f9f3f18a068")</f>
        <v>142f1ff7-d433-465a-8841-9f9f3f18a068</v>
      </c>
      <c r="C2001" s="7">
        <f>IFERROR(__xludf.DUMMYFUNCTION("""COMPUTED_VALUE"""),235.0)</f>
        <v>235</v>
      </c>
      <c r="D2001" s="6">
        <f>IFERROR(__xludf.DUMMYFUNCTION("""COMPUTED_VALUE"""),45470.0)</f>
        <v>45470</v>
      </c>
      <c r="E2001" s="7" t="str">
        <f>IFERROR(__xludf.DUMMYFUNCTION("""COMPUTED_VALUE"""),"FRANQUIA_D&amp;G_SP")</f>
        <v>FRANQUIA_D&amp;G_SP</v>
      </c>
      <c r="F2001" s="7" t="str">
        <f>IFERROR(__xludf.DUMMYFUNCTION("""COMPUTED_VALUE"""),"BICYCLE")</f>
        <v>BICYCLE</v>
      </c>
      <c r="G2001" s="7" t="str">
        <f>IFERROR(__xludf.DUMMYFUNCTION("""COMPUTED_VALUE"""),"SAO PAULO")</f>
        <v>SAO PAULO</v>
      </c>
    </row>
    <row r="2002">
      <c r="A2002" s="6">
        <f>IFERROR(__xludf.DUMMYFUNCTION("""COMPUTED_VALUE"""),45705.0)</f>
        <v>45705</v>
      </c>
      <c r="B2002" s="7" t="str">
        <f>IFERROR(__xludf.DUMMYFUNCTION("""COMPUTED_VALUE"""),"de62d210-b1b9-465e-bad7-45fa743806f6")</f>
        <v>de62d210-b1b9-465e-bad7-45fa743806f6</v>
      </c>
      <c r="C2002" s="7">
        <f>IFERROR(__xludf.DUMMYFUNCTION("""COMPUTED_VALUE"""),10.0)</f>
        <v>10</v>
      </c>
      <c r="D2002" s="6">
        <f>IFERROR(__xludf.DUMMYFUNCTION("""COMPUTED_VALUE"""),45695.0)</f>
        <v>45695</v>
      </c>
      <c r="E2002" s="7" t="str">
        <f>IFERROR(__xludf.DUMMYFUNCTION("""COMPUTED_VALUE"""),"FRANQUIA_D&amp;G_SP")</f>
        <v>FRANQUIA_D&amp;G_SP</v>
      </c>
      <c r="F2002" s="7" t="str">
        <f>IFERROR(__xludf.DUMMYFUNCTION("""COMPUTED_VALUE"""),"EMOTORCYCLE")</f>
        <v>EMOTORCYCLE</v>
      </c>
      <c r="G2002" s="7" t="str">
        <f>IFERROR(__xludf.DUMMYFUNCTION("""COMPUTED_VALUE"""),"SAO PAULO")</f>
        <v>SAO PAULO</v>
      </c>
    </row>
    <row r="2003">
      <c r="A2003" s="6">
        <f>IFERROR(__xludf.DUMMYFUNCTION("""COMPUTED_VALUE"""),45705.0)</f>
        <v>45705</v>
      </c>
      <c r="B2003" s="7" t="str">
        <f>IFERROR(__xludf.DUMMYFUNCTION("""COMPUTED_VALUE"""),"a8b44eab-0c86-4cfb-a10b-19d30404f510")</f>
        <v>a8b44eab-0c86-4cfb-a10b-19d30404f510</v>
      </c>
      <c r="C2003" s="7">
        <f>IFERROR(__xludf.DUMMYFUNCTION("""COMPUTED_VALUE"""),1.0)</f>
        <v>1</v>
      </c>
      <c r="D2003" s="6">
        <f>IFERROR(__xludf.DUMMYFUNCTION("""COMPUTED_VALUE"""),45704.0)</f>
        <v>45704</v>
      </c>
      <c r="E2003" s="7" t="str">
        <f>IFERROR(__xludf.DUMMYFUNCTION("""COMPUTED_VALUE"""),"FRANQUIA_D&amp;G_SP")</f>
        <v>FRANQUIA_D&amp;G_SP</v>
      </c>
      <c r="F2003" s="7" t="str">
        <f>IFERROR(__xludf.DUMMYFUNCTION("""COMPUTED_VALUE"""),"BICYCLE")</f>
        <v>BICYCLE</v>
      </c>
      <c r="G2003" s="7" t="str">
        <f>IFERROR(__xludf.DUMMYFUNCTION("""COMPUTED_VALUE"""),"SAO PAULO")</f>
        <v>SAO PAULO</v>
      </c>
    </row>
    <row r="2004">
      <c r="A2004" s="6">
        <f>IFERROR(__xludf.DUMMYFUNCTION("""COMPUTED_VALUE"""),45705.0)</f>
        <v>45705</v>
      </c>
      <c r="B2004" s="7" t="str">
        <f>IFERROR(__xludf.DUMMYFUNCTION("""COMPUTED_VALUE"""),"4f82f70e-2582-4543-b40f-d6249ce89958")</f>
        <v>4f82f70e-2582-4543-b40f-d6249ce89958</v>
      </c>
      <c r="C2004" s="7">
        <f>IFERROR(__xludf.DUMMYFUNCTION("""COMPUTED_VALUE"""),0.0)</f>
        <v>0</v>
      </c>
      <c r="D2004" s="6">
        <f>IFERROR(__xludf.DUMMYFUNCTION("""COMPUTED_VALUE"""),45705.0)</f>
        <v>45705</v>
      </c>
      <c r="E2004" s="7" t="str">
        <f>IFERROR(__xludf.DUMMYFUNCTION("""COMPUTED_VALUE"""),"FRANQUIA_D&amp;G_SP")</f>
        <v>FRANQUIA_D&amp;G_SP</v>
      </c>
      <c r="F2004" s="7" t="str">
        <f>IFERROR(__xludf.DUMMYFUNCTION("""COMPUTED_VALUE"""),"MOTORCYCLE")</f>
        <v>MOTORCYCLE</v>
      </c>
      <c r="G2004" s="7" t="str">
        <f>IFERROR(__xludf.DUMMYFUNCTION("""COMPUTED_VALUE"""),"SAO PAULO")</f>
        <v>SAO PAULO</v>
      </c>
    </row>
    <row r="2005">
      <c r="A2005" s="6">
        <f>IFERROR(__xludf.DUMMYFUNCTION("""COMPUTED_VALUE"""),45705.0)</f>
        <v>45705</v>
      </c>
      <c r="B2005" s="7" t="str">
        <f>IFERROR(__xludf.DUMMYFUNCTION("""COMPUTED_VALUE"""),"e793ee2b-c028-457f-b90f-1ad587135778")</f>
        <v>e793ee2b-c028-457f-b90f-1ad587135778</v>
      </c>
      <c r="C2005" s="7">
        <f>IFERROR(__xludf.DUMMYFUNCTION("""COMPUTED_VALUE"""),0.0)</f>
        <v>0</v>
      </c>
      <c r="D2005" s="6">
        <f>IFERROR(__xludf.DUMMYFUNCTION("""COMPUTED_VALUE"""),45705.0)</f>
        <v>45705</v>
      </c>
      <c r="E2005" s="7" t="str">
        <f>IFERROR(__xludf.DUMMYFUNCTION("""COMPUTED_VALUE"""),"FRANQUIA_D&amp;G_SP")</f>
        <v>FRANQUIA_D&amp;G_SP</v>
      </c>
      <c r="F2005" s="7" t="str">
        <f>IFERROR(__xludf.DUMMYFUNCTION("""COMPUTED_VALUE"""),"BICYCLE")</f>
        <v>BICYCLE</v>
      </c>
      <c r="G2005" s="7" t="str">
        <f>IFERROR(__xludf.DUMMYFUNCTION("""COMPUTED_VALUE"""),"SAO PAULO")</f>
        <v>SAO PAULO</v>
      </c>
    </row>
    <row r="2006">
      <c r="A2006" s="6">
        <f>IFERROR(__xludf.DUMMYFUNCTION("""COMPUTED_VALUE"""),45705.0)</f>
        <v>45705</v>
      </c>
      <c r="B2006" s="7" t="str">
        <f>IFERROR(__xludf.DUMMYFUNCTION("""COMPUTED_VALUE"""),"32b082a1-016f-4cf2-b8af-16022f28a33e")</f>
        <v>32b082a1-016f-4cf2-b8af-16022f28a33e</v>
      </c>
      <c r="C2006" s="7">
        <f>IFERROR(__xludf.DUMMYFUNCTION("""COMPUTED_VALUE"""),0.0)</f>
        <v>0</v>
      </c>
      <c r="D2006" s="6">
        <f>IFERROR(__xludf.DUMMYFUNCTION("""COMPUTED_VALUE"""),0.0)</f>
        <v>0</v>
      </c>
      <c r="E2006" s="7" t="str">
        <f>IFERROR(__xludf.DUMMYFUNCTION("""COMPUTED_VALUE"""),"FRANQUIA_D&amp;G_SP")</f>
        <v>FRANQUIA_D&amp;G_SP</v>
      </c>
      <c r="F2006" s="7" t="str">
        <f>IFERROR(__xludf.DUMMYFUNCTION("""COMPUTED_VALUE"""),"BICYCLE")</f>
        <v>BICYCLE</v>
      </c>
      <c r="G2006" s="7" t="str">
        <f>IFERROR(__xludf.DUMMYFUNCTION("""COMPUTED_VALUE"""),"0")</f>
        <v>0</v>
      </c>
    </row>
    <row r="2007">
      <c r="A2007" s="6">
        <f>IFERROR(__xludf.DUMMYFUNCTION("""COMPUTED_VALUE"""),45705.0)</f>
        <v>45705</v>
      </c>
      <c r="B2007" s="7" t="str">
        <f>IFERROR(__xludf.DUMMYFUNCTION("""COMPUTED_VALUE"""),"b5324257-afd5-461d-8e7d-e98a613e773d")</f>
        <v>b5324257-afd5-461d-8e7d-e98a613e773d</v>
      </c>
      <c r="C2007" s="7">
        <f>IFERROR(__xludf.DUMMYFUNCTION("""COMPUTED_VALUE"""),1.0)</f>
        <v>1</v>
      </c>
      <c r="D2007" s="6">
        <f>IFERROR(__xludf.DUMMYFUNCTION("""COMPUTED_VALUE"""),45704.0)</f>
        <v>45704</v>
      </c>
      <c r="E2007" s="7" t="str">
        <f>IFERROR(__xludf.DUMMYFUNCTION("""COMPUTED_VALUE"""),"FRANQUIA_D&amp;G_SP")</f>
        <v>FRANQUIA_D&amp;G_SP</v>
      </c>
      <c r="F2007" s="7" t="str">
        <f>IFERROR(__xludf.DUMMYFUNCTION("""COMPUTED_VALUE"""),"BICYCLE")</f>
        <v>BICYCLE</v>
      </c>
      <c r="G2007" s="7" t="str">
        <f>IFERROR(__xludf.DUMMYFUNCTION("""COMPUTED_VALUE"""),"SAO PAULO")</f>
        <v>SAO PAULO</v>
      </c>
    </row>
    <row r="2008">
      <c r="A2008" s="6">
        <f>IFERROR(__xludf.DUMMYFUNCTION("""COMPUTED_VALUE"""),45705.0)</f>
        <v>45705</v>
      </c>
      <c r="B2008" s="7" t="str">
        <f>IFERROR(__xludf.DUMMYFUNCTION("""COMPUTED_VALUE"""),"cb081d1d-8f9c-4cb2-9585-ef363409d7ec")</f>
        <v>cb081d1d-8f9c-4cb2-9585-ef363409d7ec</v>
      </c>
      <c r="C2008" s="7">
        <f>IFERROR(__xludf.DUMMYFUNCTION("""COMPUTED_VALUE"""),284.0)</f>
        <v>284</v>
      </c>
      <c r="D2008" s="6">
        <f>IFERROR(__xludf.DUMMYFUNCTION("""COMPUTED_VALUE"""),45421.0)</f>
        <v>45421</v>
      </c>
      <c r="E2008" s="7" t="str">
        <f>IFERROR(__xludf.DUMMYFUNCTION("""COMPUTED_VALUE"""),"FRANQUIA_D&amp;G_SP")</f>
        <v>FRANQUIA_D&amp;G_SP</v>
      </c>
      <c r="F2008" s="7" t="str">
        <f>IFERROR(__xludf.DUMMYFUNCTION("""COMPUTED_VALUE"""),"Bike")</f>
        <v>Bike</v>
      </c>
      <c r="G2008" s="7" t="str">
        <f>IFERROR(__xludf.DUMMYFUNCTION("""COMPUTED_VALUE"""),"SAO PAULO")</f>
        <v>SAO PAULO</v>
      </c>
    </row>
    <row r="2009">
      <c r="A2009" s="6">
        <f>IFERROR(__xludf.DUMMYFUNCTION("""COMPUTED_VALUE"""),45705.0)</f>
        <v>45705</v>
      </c>
      <c r="B2009" s="7" t="str">
        <f>IFERROR(__xludf.DUMMYFUNCTION("""COMPUTED_VALUE"""),"f2e1fb8d-54c4-4fcd-a559-6c44c6471883")</f>
        <v>f2e1fb8d-54c4-4fcd-a559-6c44c6471883</v>
      </c>
      <c r="C2009" s="7">
        <f>IFERROR(__xludf.DUMMYFUNCTION("""COMPUTED_VALUE"""),0.0)</f>
        <v>0</v>
      </c>
      <c r="D2009" s="6">
        <f>IFERROR(__xludf.DUMMYFUNCTION("""COMPUTED_VALUE"""),45705.0)</f>
        <v>45705</v>
      </c>
      <c r="E2009" s="7" t="str">
        <f>IFERROR(__xludf.DUMMYFUNCTION("""COMPUTED_VALUE"""),"FRANQUIA_D&amp;G_SP")</f>
        <v>FRANQUIA_D&amp;G_SP</v>
      </c>
      <c r="F2009" s="7" t="str">
        <f>IFERROR(__xludf.DUMMYFUNCTION("""COMPUTED_VALUE"""),"BICYCLE")</f>
        <v>BICYCLE</v>
      </c>
      <c r="G2009" s="7" t="str">
        <f>IFERROR(__xludf.DUMMYFUNCTION("""COMPUTED_VALUE"""),"SAO PAULO")</f>
        <v>SAO PAULO</v>
      </c>
    </row>
    <row r="2010">
      <c r="A2010" s="6">
        <f>IFERROR(__xludf.DUMMYFUNCTION("""COMPUTED_VALUE"""),45705.0)</f>
        <v>45705</v>
      </c>
      <c r="B2010" s="7" t="str">
        <f>IFERROR(__xludf.DUMMYFUNCTION("""COMPUTED_VALUE"""),"a60fed2c-68d4-40f4-8aa6-92fc48ca1417")</f>
        <v>a60fed2c-68d4-40f4-8aa6-92fc48ca1417</v>
      </c>
      <c r="C2010" s="7">
        <f>IFERROR(__xludf.DUMMYFUNCTION("""COMPUTED_VALUE"""),0.0)</f>
        <v>0</v>
      </c>
      <c r="D2010" s="6">
        <f>IFERROR(__xludf.DUMMYFUNCTION("""COMPUTED_VALUE"""),45705.0)</f>
        <v>45705</v>
      </c>
      <c r="E2010" s="7" t="str">
        <f>IFERROR(__xludf.DUMMYFUNCTION("""COMPUTED_VALUE"""),"FRANQUIA_D&amp;G_SP")</f>
        <v>FRANQUIA_D&amp;G_SP</v>
      </c>
      <c r="F2010" s="7" t="str">
        <f>IFERROR(__xludf.DUMMYFUNCTION("""COMPUTED_VALUE"""),"MOTORCYCLE")</f>
        <v>MOTORCYCLE</v>
      </c>
      <c r="G2010" s="7" t="str">
        <f>IFERROR(__xludf.DUMMYFUNCTION("""COMPUTED_VALUE"""),"SAO PAULO")</f>
        <v>SAO PAULO</v>
      </c>
    </row>
    <row r="2011">
      <c r="A2011" s="6">
        <f>IFERROR(__xludf.DUMMYFUNCTION("""COMPUTED_VALUE"""),45705.0)</f>
        <v>45705</v>
      </c>
      <c r="B2011" s="7" t="str">
        <f>IFERROR(__xludf.DUMMYFUNCTION("""COMPUTED_VALUE"""),"642724bf-99c0-4bef-b7eb-6ee96f6c7d41")</f>
        <v>642724bf-99c0-4bef-b7eb-6ee96f6c7d41</v>
      </c>
      <c r="C2011" s="7">
        <f>IFERROR(__xludf.DUMMYFUNCTION("""COMPUTED_VALUE"""),139.0)</f>
        <v>139</v>
      </c>
      <c r="D2011" s="6">
        <f>IFERROR(__xludf.DUMMYFUNCTION("""COMPUTED_VALUE"""),45566.0)</f>
        <v>45566</v>
      </c>
      <c r="E2011" s="7" t="str">
        <f>IFERROR(__xludf.DUMMYFUNCTION("""COMPUTED_VALUE"""),"FRANQUIA_D&amp;G_SP")</f>
        <v>FRANQUIA_D&amp;G_SP</v>
      </c>
      <c r="F2011" s="7" t="str">
        <f>IFERROR(__xludf.DUMMYFUNCTION("""COMPUTED_VALUE"""),"BICYCLE")</f>
        <v>BICYCLE</v>
      </c>
      <c r="G2011" s="7" t="str">
        <f>IFERROR(__xludf.DUMMYFUNCTION("""COMPUTED_VALUE"""),"SAO PAULO")</f>
        <v>SAO PAULO</v>
      </c>
    </row>
    <row r="2012">
      <c r="A2012" s="6">
        <f>IFERROR(__xludf.DUMMYFUNCTION("""COMPUTED_VALUE"""),45705.0)</f>
        <v>45705</v>
      </c>
      <c r="B2012" s="7" t="str">
        <f>IFERROR(__xludf.DUMMYFUNCTION("""COMPUTED_VALUE"""),"040ec1da-539e-4779-84da-12296052c9a2")</f>
        <v>040ec1da-539e-4779-84da-12296052c9a2</v>
      </c>
      <c r="C2012" s="7">
        <f>IFERROR(__xludf.DUMMYFUNCTION("""COMPUTED_VALUE"""),0.0)</f>
        <v>0</v>
      </c>
      <c r="D2012" s="6">
        <f>IFERROR(__xludf.DUMMYFUNCTION("""COMPUTED_VALUE"""),45705.0)</f>
        <v>45705</v>
      </c>
      <c r="E2012" s="7" t="str">
        <f>IFERROR(__xludf.DUMMYFUNCTION("""COMPUTED_VALUE"""),"FRANQUIA_D&amp;G_SP")</f>
        <v>FRANQUIA_D&amp;G_SP</v>
      </c>
      <c r="F2012" s="7" t="str">
        <f>IFERROR(__xludf.DUMMYFUNCTION("""COMPUTED_VALUE"""),"MOTORCYCLE")</f>
        <v>MOTORCYCLE</v>
      </c>
      <c r="G2012" s="7" t="str">
        <f>IFERROR(__xludf.DUMMYFUNCTION("""COMPUTED_VALUE"""),"SAO PAULO")</f>
        <v>SAO PAULO</v>
      </c>
    </row>
    <row r="2013">
      <c r="A2013" s="6">
        <f>IFERROR(__xludf.DUMMYFUNCTION("""COMPUTED_VALUE"""),45705.0)</f>
        <v>45705</v>
      </c>
      <c r="B2013" s="7" t="str">
        <f>IFERROR(__xludf.DUMMYFUNCTION("""COMPUTED_VALUE"""),"92735f73-e4c4-48be-a5da-8c6d78ad4ffb")</f>
        <v>92735f73-e4c4-48be-a5da-8c6d78ad4ffb</v>
      </c>
      <c r="C2013" s="7">
        <f>IFERROR(__xludf.DUMMYFUNCTION("""COMPUTED_VALUE"""),0.0)</f>
        <v>0</v>
      </c>
      <c r="D2013" s="6">
        <f>IFERROR(__xludf.DUMMYFUNCTION("""COMPUTED_VALUE"""),45705.0)</f>
        <v>45705</v>
      </c>
      <c r="E2013" s="7" t="str">
        <f>IFERROR(__xludf.DUMMYFUNCTION("""COMPUTED_VALUE"""),"FRANQUIA_D&amp;G_SP")</f>
        <v>FRANQUIA_D&amp;G_SP</v>
      </c>
      <c r="F2013" s="7" t="str">
        <f>IFERROR(__xludf.DUMMYFUNCTION("""COMPUTED_VALUE"""),"MOTORCYCLE")</f>
        <v>MOTORCYCLE</v>
      </c>
      <c r="G2013" s="7" t="str">
        <f>IFERROR(__xludf.DUMMYFUNCTION("""COMPUTED_VALUE"""),"SAO PAULO")</f>
        <v>SAO PAULO</v>
      </c>
    </row>
    <row r="2014">
      <c r="A2014" s="6">
        <f>IFERROR(__xludf.DUMMYFUNCTION("""COMPUTED_VALUE"""),45705.0)</f>
        <v>45705</v>
      </c>
      <c r="B2014" s="7" t="str">
        <f>IFERROR(__xludf.DUMMYFUNCTION("""COMPUTED_VALUE"""),"332c26a7-4e2c-4805-aff9-c3027b784b1b")</f>
        <v>332c26a7-4e2c-4805-aff9-c3027b784b1b</v>
      </c>
      <c r="C2014" s="7">
        <f>IFERROR(__xludf.DUMMYFUNCTION("""COMPUTED_VALUE"""),73.0)</f>
        <v>73</v>
      </c>
      <c r="D2014" s="6">
        <f>IFERROR(__xludf.DUMMYFUNCTION("""COMPUTED_VALUE"""),45632.0)</f>
        <v>45632</v>
      </c>
      <c r="E2014" s="7" t="str">
        <f>IFERROR(__xludf.DUMMYFUNCTION("""COMPUTED_VALUE"""),"FRANQUIA_D&amp;G_SP")</f>
        <v>FRANQUIA_D&amp;G_SP</v>
      </c>
      <c r="F2014" s="7" t="str">
        <f>IFERROR(__xludf.DUMMYFUNCTION("""COMPUTED_VALUE"""),"BICYCLE")</f>
        <v>BICYCLE</v>
      </c>
      <c r="G2014" s="7" t="str">
        <f>IFERROR(__xludf.DUMMYFUNCTION("""COMPUTED_VALUE"""),"SAO PAULO")</f>
        <v>SAO PAULO</v>
      </c>
    </row>
    <row r="2015">
      <c r="A2015" s="6">
        <f>IFERROR(__xludf.DUMMYFUNCTION("""COMPUTED_VALUE"""),45705.0)</f>
        <v>45705</v>
      </c>
      <c r="B2015" s="7" t="str">
        <f>IFERROR(__xludf.DUMMYFUNCTION("""COMPUTED_VALUE"""),"6d9c75c7-3536-43d2-953c-5858402460a0")</f>
        <v>6d9c75c7-3536-43d2-953c-5858402460a0</v>
      </c>
      <c r="C2015" s="7">
        <f>IFERROR(__xludf.DUMMYFUNCTION("""COMPUTED_VALUE"""),63.0)</f>
        <v>63</v>
      </c>
      <c r="D2015" s="6">
        <f>IFERROR(__xludf.DUMMYFUNCTION("""COMPUTED_VALUE"""),45642.0)</f>
        <v>45642</v>
      </c>
      <c r="E2015" s="7" t="str">
        <f>IFERROR(__xludf.DUMMYFUNCTION("""COMPUTED_VALUE"""),"FRANQUIA_D&amp;G_SP")</f>
        <v>FRANQUIA_D&amp;G_SP</v>
      </c>
      <c r="F2015" s="7" t="str">
        <f>IFERROR(__xludf.DUMMYFUNCTION("""COMPUTED_VALUE"""),"MOTORCYCLE")</f>
        <v>MOTORCYCLE</v>
      </c>
      <c r="G2015" s="7" t="str">
        <f>IFERROR(__xludf.DUMMYFUNCTION("""COMPUTED_VALUE"""),"SAO PAULO")</f>
        <v>SAO PAULO</v>
      </c>
    </row>
    <row r="2016">
      <c r="A2016" s="6">
        <f>IFERROR(__xludf.DUMMYFUNCTION("""COMPUTED_VALUE"""),45705.0)</f>
        <v>45705</v>
      </c>
      <c r="B2016" s="7" t="str">
        <f>IFERROR(__xludf.DUMMYFUNCTION("""COMPUTED_VALUE"""),"3d900dbb-05f6-41e4-988f-febe4fae6ee9")</f>
        <v>3d900dbb-05f6-41e4-988f-febe4fae6ee9</v>
      </c>
      <c r="C2016" s="7">
        <f>IFERROR(__xludf.DUMMYFUNCTION("""COMPUTED_VALUE"""),1.0)</f>
        <v>1</v>
      </c>
      <c r="D2016" s="6">
        <f>IFERROR(__xludf.DUMMYFUNCTION("""COMPUTED_VALUE"""),45704.0)</f>
        <v>45704</v>
      </c>
      <c r="E2016" s="7" t="str">
        <f>IFERROR(__xludf.DUMMYFUNCTION("""COMPUTED_VALUE"""),"FRANQUIA_D&amp;G_SP")</f>
        <v>FRANQUIA_D&amp;G_SP</v>
      </c>
      <c r="F2016" s="7" t="str">
        <f>IFERROR(__xludf.DUMMYFUNCTION("""COMPUTED_VALUE"""),"MOTORCYCLE")</f>
        <v>MOTORCYCLE</v>
      </c>
      <c r="G2016" s="7" t="str">
        <f>IFERROR(__xludf.DUMMYFUNCTION("""COMPUTED_VALUE"""),"SAO PAULO")</f>
        <v>SAO PAULO</v>
      </c>
    </row>
    <row r="2017">
      <c r="A2017" s="6">
        <f>IFERROR(__xludf.DUMMYFUNCTION("""COMPUTED_VALUE"""),45705.0)</f>
        <v>45705</v>
      </c>
      <c r="B2017" s="7" t="str">
        <f>IFERROR(__xludf.DUMMYFUNCTION("""COMPUTED_VALUE"""),"a7ab4343-c1fb-4219-92c8-cb5c41146673")</f>
        <v>a7ab4343-c1fb-4219-92c8-cb5c41146673</v>
      </c>
      <c r="C2017" s="7">
        <f>IFERROR(__xludf.DUMMYFUNCTION("""COMPUTED_VALUE"""),0.0)</f>
        <v>0</v>
      </c>
      <c r="D2017" s="6">
        <f>IFERROR(__xludf.DUMMYFUNCTION("""COMPUTED_VALUE"""),45705.0)</f>
        <v>45705</v>
      </c>
      <c r="E2017" s="7" t="str">
        <f>IFERROR(__xludf.DUMMYFUNCTION("""COMPUTED_VALUE"""),"FRANQUIA_D&amp;G_SP")</f>
        <v>FRANQUIA_D&amp;G_SP</v>
      </c>
      <c r="F2017" s="7" t="str">
        <f>IFERROR(__xludf.DUMMYFUNCTION("""COMPUTED_VALUE"""),"MOTORCYCLE")</f>
        <v>MOTORCYCLE</v>
      </c>
      <c r="G2017" s="7" t="str">
        <f>IFERROR(__xludf.DUMMYFUNCTION("""COMPUTED_VALUE"""),"ABC")</f>
        <v>ABC</v>
      </c>
    </row>
    <row r="2018">
      <c r="A2018" s="6">
        <f>IFERROR(__xludf.DUMMYFUNCTION("""COMPUTED_VALUE"""),45705.0)</f>
        <v>45705</v>
      </c>
      <c r="B2018" s="7" t="str">
        <f>IFERROR(__xludf.DUMMYFUNCTION("""COMPUTED_VALUE"""),"273cc0d0-3fbc-4920-bbbb-1cec5661d23e")</f>
        <v>273cc0d0-3fbc-4920-bbbb-1cec5661d23e</v>
      </c>
      <c r="C2018" s="7">
        <f>IFERROR(__xludf.DUMMYFUNCTION("""COMPUTED_VALUE"""),553.0)</f>
        <v>553</v>
      </c>
      <c r="D2018" s="6">
        <f>IFERROR(__xludf.DUMMYFUNCTION("""COMPUTED_VALUE"""),45152.0)</f>
        <v>45152</v>
      </c>
      <c r="E2018" s="7" t="str">
        <f>IFERROR(__xludf.DUMMYFUNCTION("""COMPUTED_VALUE"""),"FRANQUIA_D&amp;G_SP")</f>
        <v>FRANQUIA_D&amp;G_SP</v>
      </c>
      <c r="F2018" s="7" t="str">
        <f>IFERROR(__xludf.DUMMYFUNCTION("""COMPUTED_VALUE"""),"MOTORCYCLE")</f>
        <v>MOTORCYCLE</v>
      </c>
      <c r="G2018" s="7" t="str">
        <f>IFERROR(__xludf.DUMMYFUNCTION("""COMPUTED_VALUE"""),"SAO PAULO")</f>
        <v>SAO PAULO</v>
      </c>
    </row>
    <row r="2019">
      <c r="A2019" s="6">
        <f>IFERROR(__xludf.DUMMYFUNCTION("""COMPUTED_VALUE"""),45705.0)</f>
        <v>45705</v>
      </c>
      <c r="B2019" s="7" t="str">
        <f>IFERROR(__xludf.DUMMYFUNCTION("""COMPUTED_VALUE"""),"36ea505d-a751-4916-8d74-6d5c0e9f32d8")</f>
        <v>36ea505d-a751-4916-8d74-6d5c0e9f32d8</v>
      </c>
      <c r="C2019" s="7">
        <f>IFERROR(__xludf.DUMMYFUNCTION("""COMPUTED_VALUE"""),98.0)</f>
        <v>98</v>
      </c>
      <c r="D2019" s="6">
        <f>IFERROR(__xludf.DUMMYFUNCTION("""COMPUTED_VALUE"""),45607.0)</f>
        <v>45607</v>
      </c>
      <c r="E2019" s="7" t="str">
        <f>IFERROR(__xludf.DUMMYFUNCTION("""COMPUTED_VALUE"""),"FRANQUIA_D&amp;G_SP")</f>
        <v>FRANQUIA_D&amp;G_SP</v>
      </c>
      <c r="F2019" s="7" t="str">
        <f>IFERROR(__xludf.DUMMYFUNCTION("""COMPUTED_VALUE"""),"BICYCLE")</f>
        <v>BICYCLE</v>
      </c>
      <c r="G2019" s="7" t="str">
        <f>IFERROR(__xludf.DUMMYFUNCTION("""COMPUTED_VALUE"""),"SAO PAULO")</f>
        <v>SAO PAULO</v>
      </c>
    </row>
    <row r="2020">
      <c r="A2020" s="6">
        <f>IFERROR(__xludf.DUMMYFUNCTION("""COMPUTED_VALUE"""),45705.0)</f>
        <v>45705</v>
      </c>
      <c r="B2020" s="7" t="str">
        <f>IFERROR(__xludf.DUMMYFUNCTION("""COMPUTED_VALUE"""),"092fcc9f-dedc-4fc7-98b2-71463cdcc4d8")</f>
        <v>092fcc9f-dedc-4fc7-98b2-71463cdcc4d8</v>
      </c>
      <c r="C2020" s="7">
        <f>IFERROR(__xludf.DUMMYFUNCTION("""COMPUTED_VALUE"""),0.0)</f>
        <v>0</v>
      </c>
      <c r="D2020" s="6">
        <f>IFERROR(__xludf.DUMMYFUNCTION("""COMPUTED_VALUE"""),45705.0)</f>
        <v>45705</v>
      </c>
      <c r="E2020" s="7" t="str">
        <f>IFERROR(__xludf.DUMMYFUNCTION("""COMPUTED_VALUE"""),"FRANQUIA_D&amp;G_SP")</f>
        <v>FRANQUIA_D&amp;G_SP</v>
      </c>
      <c r="F2020" s="7" t="str">
        <f>IFERROR(__xludf.DUMMYFUNCTION("""COMPUTED_VALUE"""),"BICYCLE")</f>
        <v>BICYCLE</v>
      </c>
      <c r="G2020" s="7" t="str">
        <f>IFERROR(__xludf.DUMMYFUNCTION("""COMPUTED_VALUE"""),"SAO PAULO")</f>
        <v>SAO PAULO</v>
      </c>
    </row>
    <row r="2021">
      <c r="A2021" s="6">
        <f>IFERROR(__xludf.DUMMYFUNCTION("""COMPUTED_VALUE"""),45705.0)</f>
        <v>45705</v>
      </c>
      <c r="B2021" s="7" t="str">
        <f>IFERROR(__xludf.DUMMYFUNCTION("""COMPUTED_VALUE"""),"7b39d9d5-1234-4cc6-bad7-01e3e99ead8c")</f>
        <v>7b39d9d5-1234-4cc6-bad7-01e3e99ead8c</v>
      </c>
      <c r="C2021" s="7">
        <f>IFERROR(__xludf.DUMMYFUNCTION("""COMPUTED_VALUE"""),9.0)</f>
        <v>9</v>
      </c>
      <c r="D2021" s="6">
        <f>IFERROR(__xludf.DUMMYFUNCTION("""COMPUTED_VALUE"""),45696.0)</f>
        <v>45696</v>
      </c>
      <c r="E2021" s="7" t="str">
        <f>IFERROR(__xludf.DUMMYFUNCTION("""COMPUTED_VALUE"""),"FRANQUIA_D&amp;G_SP")</f>
        <v>FRANQUIA_D&amp;G_SP</v>
      </c>
      <c r="F2021" s="7" t="str">
        <f>IFERROR(__xludf.DUMMYFUNCTION("""COMPUTED_VALUE"""),"MOTORCYCLE")</f>
        <v>MOTORCYCLE</v>
      </c>
      <c r="G2021" s="7" t="str">
        <f>IFERROR(__xludf.DUMMYFUNCTION("""COMPUTED_VALUE"""),"SAO PAULO")</f>
        <v>SAO PAULO</v>
      </c>
    </row>
    <row r="2022">
      <c r="A2022" s="6">
        <f>IFERROR(__xludf.DUMMYFUNCTION("""COMPUTED_VALUE"""),45705.0)</f>
        <v>45705</v>
      </c>
      <c r="B2022" s="7" t="str">
        <f>IFERROR(__xludf.DUMMYFUNCTION("""COMPUTED_VALUE"""),"2e94ca9a-95ce-4b35-a2cf-24e5873a4daa")</f>
        <v>2e94ca9a-95ce-4b35-a2cf-24e5873a4daa</v>
      </c>
      <c r="C2022" s="7">
        <f>IFERROR(__xludf.DUMMYFUNCTION("""COMPUTED_VALUE"""),161.0)</f>
        <v>161</v>
      </c>
      <c r="D2022" s="6">
        <f>IFERROR(__xludf.DUMMYFUNCTION("""COMPUTED_VALUE"""),45544.0)</f>
        <v>45544</v>
      </c>
      <c r="E2022" s="7" t="str">
        <f>IFERROR(__xludf.DUMMYFUNCTION("""COMPUTED_VALUE"""),"FRANQUIA_D&amp;G_SP")</f>
        <v>FRANQUIA_D&amp;G_SP</v>
      </c>
      <c r="F2022" s="7" t="str">
        <f>IFERROR(__xludf.DUMMYFUNCTION("""COMPUTED_VALUE"""),"BICYCLE")</f>
        <v>BICYCLE</v>
      </c>
      <c r="G2022" s="7" t="str">
        <f>IFERROR(__xludf.DUMMYFUNCTION("""COMPUTED_VALUE"""),"SAO PAULO")</f>
        <v>SAO PAULO</v>
      </c>
    </row>
    <row r="2023">
      <c r="A2023" s="6">
        <f>IFERROR(__xludf.DUMMYFUNCTION("""COMPUTED_VALUE"""),45705.0)</f>
        <v>45705</v>
      </c>
      <c r="B2023" s="7" t="str">
        <f>IFERROR(__xludf.DUMMYFUNCTION("""COMPUTED_VALUE"""),"252b85d4-b50a-4faa-9c01-feeab8772875")</f>
        <v>252b85d4-b50a-4faa-9c01-feeab8772875</v>
      </c>
      <c r="C2023" s="7">
        <f>IFERROR(__xludf.DUMMYFUNCTION("""COMPUTED_VALUE"""),0.0)</f>
        <v>0</v>
      </c>
      <c r="D2023" s="6">
        <f>IFERROR(__xludf.DUMMYFUNCTION("""COMPUTED_VALUE"""),45705.0)</f>
        <v>45705</v>
      </c>
      <c r="E2023" s="7" t="str">
        <f>IFERROR(__xludf.DUMMYFUNCTION("""COMPUTED_VALUE"""),"FRANQUIA_D&amp;G_SP")</f>
        <v>FRANQUIA_D&amp;G_SP</v>
      </c>
      <c r="F2023" s="7" t="str">
        <f>IFERROR(__xludf.DUMMYFUNCTION("""COMPUTED_VALUE"""),"MOTORCYCLE")</f>
        <v>MOTORCYCLE</v>
      </c>
      <c r="G2023" s="7" t="str">
        <f>IFERROR(__xludf.DUMMYFUNCTION("""COMPUTED_VALUE"""),"SUZANO")</f>
        <v>SUZANO</v>
      </c>
    </row>
    <row r="2024">
      <c r="A2024" s="6">
        <f>IFERROR(__xludf.DUMMYFUNCTION("""COMPUTED_VALUE"""),45705.0)</f>
        <v>45705</v>
      </c>
      <c r="B2024" s="7" t="str">
        <f>IFERROR(__xludf.DUMMYFUNCTION("""COMPUTED_VALUE"""),"53b36467-34e2-441c-b54a-405d46a8c9b0")</f>
        <v>53b36467-34e2-441c-b54a-405d46a8c9b0</v>
      </c>
      <c r="C2024" s="7">
        <f>IFERROR(__xludf.DUMMYFUNCTION("""COMPUTED_VALUE"""),65.0)</f>
        <v>65</v>
      </c>
      <c r="D2024" s="6">
        <f>IFERROR(__xludf.DUMMYFUNCTION("""COMPUTED_VALUE"""),45640.0)</f>
        <v>45640</v>
      </c>
      <c r="E2024" s="7" t="str">
        <f>IFERROR(__xludf.DUMMYFUNCTION("""COMPUTED_VALUE"""),"FRANQUIA_D&amp;G_SP")</f>
        <v>FRANQUIA_D&amp;G_SP</v>
      </c>
      <c r="F2024" s="7" t="str">
        <f>IFERROR(__xludf.DUMMYFUNCTION("""COMPUTED_VALUE"""),"MOTORCYCLE")</f>
        <v>MOTORCYCLE</v>
      </c>
      <c r="G2024" s="7" t="str">
        <f>IFERROR(__xludf.DUMMYFUNCTION("""COMPUTED_VALUE"""),"SUZANO")</f>
        <v>SUZANO</v>
      </c>
    </row>
    <row r="2025">
      <c r="A2025" s="6">
        <f>IFERROR(__xludf.DUMMYFUNCTION("""COMPUTED_VALUE"""),45705.0)</f>
        <v>45705</v>
      </c>
      <c r="B2025" s="7" t="str">
        <f>IFERROR(__xludf.DUMMYFUNCTION("""COMPUTED_VALUE"""),"3e3bcdf0-a566-47df-a6c3-703a98318232")</f>
        <v>3e3bcdf0-a566-47df-a6c3-703a98318232</v>
      </c>
      <c r="C2025" s="7">
        <f>IFERROR(__xludf.DUMMYFUNCTION("""COMPUTED_VALUE"""),9.0)</f>
        <v>9</v>
      </c>
      <c r="D2025" s="6">
        <f>IFERROR(__xludf.DUMMYFUNCTION("""COMPUTED_VALUE"""),45696.0)</f>
        <v>45696</v>
      </c>
      <c r="E2025" s="7" t="str">
        <f>IFERROR(__xludf.DUMMYFUNCTION("""COMPUTED_VALUE"""),"FRANQUIA_D&amp;G_SP")</f>
        <v>FRANQUIA_D&amp;G_SP</v>
      </c>
      <c r="F2025" s="7" t="str">
        <f>IFERROR(__xludf.DUMMYFUNCTION("""COMPUTED_VALUE"""),"MOTORCYCLE")</f>
        <v>MOTORCYCLE</v>
      </c>
      <c r="G2025" s="7" t="str">
        <f>IFERROR(__xludf.DUMMYFUNCTION("""COMPUTED_VALUE"""),"SAO PAULO")</f>
        <v>SAO PAULO</v>
      </c>
    </row>
    <row r="2026">
      <c r="A2026" s="6">
        <f>IFERROR(__xludf.DUMMYFUNCTION("""COMPUTED_VALUE"""),45705.0)</f>
        <v>45705</v>
      </c>
      <c r="B2026" s="7" t="str">
        <f>IFERROR(__xludf.DUMMYFUNCTION("""COMPUTED_VALUE"""),"5aac31b8-9ec0-4b4c-a66a-b0bc21ae64c2")</f>
        <v>5aac31b8-9ec0-4b4c-a66a-b0bc21ae64c2</v>
      </c>
      <c r="C2026" s="7">
        <f>IFERROR(__xludf.DUMMYFUNCTION("""COMPUTED_VALUE"""),7.0)</f>
        <v>7</v>
      </c>
      <c r="D2026" s="6">
        <f>IFERROR(__xludf.DUMMYFUNCTION("""COMPUTED_VALUE"""),45698.0)</f>
        <v>45698</v>
      </c>
      <c r="E2026" s="7" t="str">
        <f>IFERROR(__xludf.DUMMYFUNCTION("""COMPUTED_VALUE"""),"FRANQUIA_D&amp;G_SP")</f>
        <v>FRANQUIA_D&amp;G_SP</v>
      </c>
      <c r="F2026" s="7" t="str">
        <f>IFERROR(__xludf.DUMMYFUNCTION("""COMPUTED_VALUE"""),"MOTORCYCLE")</f>
        <v>MOTORCYCLE</v>
      </c>
      <c r="G2026" s="7" t="str">
        <f>IFERROR(__xludf.DUMMYFUNCTION("""COMPUTED_VALUE"""),"SAO PAULO")</f>
        <v>SAO PAULO</v>
      </c>
    </row>
    <row r="2027">
      <c r="A2027" s="6">
        <f>IFERROR(__xludf.DUMMYFUNCTION("""COMPUTED_VALUE"""),45705.0)</f>
        <v>45705</v>
      </c>
      <c r="B2027" s="7" t="str">
        <f>IFERROR(__xludf.DUMMYFUNCTION("""COMPUTED_VALUE"""),"3ab5a4b2-a106-450b-8fee-56187c4aeac2")</f>
        <v>3ab5a4b2-a106-450b-8fee-56187c4aeac2</v>
      </c>
      <c r="C2027" s="7">
        <f>IFERROR(__xludf.DUMMYFUNCTION("""COMPUTED_VALUE"""),498.0)</f>
        <v>498</v>
      </c>
      <c r="D2027" s="6">
        <f>IFERROR(__xludf.DUMMYFUNCTION("""COMPUTED_VALUE"""),45207.0)</f>
        <v>45207</v>
      </c>
      <c r="E2027" s="7" t="str">
        <f>IFERROR(__xludf.DUMMYFUNCTION("""COMPUTED_VALUE"""),"FRANQUIA_D&amp;G_SP")</f>
        <v>FRANQUIA_D&amp;G_SP</v>
      </c>
      <c r="F2027" s="7" t="str">
        <f>IFERROR(__xludf.DUMMYFUNCTION("""COMPUTED_VALUE"""),"BICYCLE")</f>
        <v>BICYCLE</v>
      </c>
      <c r="G2027" s="7" t="str">
        <f>IFERROR(__xludf.DUMMYFUNCTION("""COMPUTED_VALUE"""),"SAO PAULO")</f>
        <v>SAO PAULO</v>
      </c>
    </row>
    <row r="2028">
      <c r="A2028" s="6">
        <f>IFERROR(__xludf.DUMMYFUNCTION("""COMPUTED_VALUE"""),45705.0)</f>
        <v>45705</v>
      </c>
      <c r="B2028" s="7" t="str">
        <f>IFERROR(__xludf.DUMMYFUNCTION("""COMPUTED_VALUE"""),"d3951bce-0cad-47c4-ab3f-c65faf20e91b")</f>
        <v>d3951bce-0cad-47c4-ab3f-c65faf20e91b</v>
      </c>
      <c r="C2028" s="7">
        <f>IFERROR(__xludf.DUMMYFUNCTION("""COMPUTED_VALUE"""),43.0)</f>
        <v>43</v>
      </c>
      <c r="D2028" s="6">
        <f>IFERROR(__xludf.DUMMYFUNCTION("""COMPUTED_VALUE"""),45662.0)</f>
        <v>45662</v>
      </c>
      <c r="E2028" s="7" t="str">
        <f>IFERROR(__xludf.DUMMYFUNCTION("""COMPUTED_VALUE"""),"FRANQUIA_D&amp;G_SP")</f>
        <v>FRANQUIA_D&amp;G_SP</v>
      </c>
      <c r="F2028" s="7" t="str">
        <f>IFERROR(__xludf.DUMMYFUNCTION("""COMPUTED_VALUE"""),"MOTORCYCLE")</f>
        <v>MOTORCYCLE</v>
      </c>
      <c r="G2028" s="7" t="str">
        <f>IFERROR(__xludf.DUMMYFUNCTION("""COMPUTED_VALUE"""),"SAO PAULO")</f>
        <v>SAO PAULO</v>
      </c>
    </row>
    <row r="2029">
      <c r="A2029" s="6">
        <f>IFERROR(__xludf.DUMMYFUNCTION("""COMPUTED_VALUE"""),45705.0)</f>
        <v>45705</v>
      </c>
      <c r="B2029" s="7" t="str">
        <f>IFERROR(__xludf.DUMMYFUNCTION("""COMPUTED_VALUE"""),"9c67b6c9-02f6-450d-a2fa-49fbccca9faf")</f>
        <v>9c67b6c9-02f6-450d-a2fa-49fbccca9faf</v>
      </c>
      <c r="C2029" s="7">
        <f>IFERROR(__xludf.DUMMYFUNCTION("""COMPUTED_VALUE"""),2.0)</f>
        <v>2</v>
      </c>
      <c r="D2029" s="6">
        <f>IFERROR(__xludf.DUMMYFUNCTION("""COMPUTED_VALUE"""),45703.0)</f>
        <v>45703</v>
      </c>
      <c r="E2029" s="7" t="str">
        <f>IFERROR(__xludf.DUMMYFUNCTION("""COMPUTED_VALUE"""),"FRANQUIA_D&amp;G_SP")</f>
        <v>FRANQUIA_D&amp;G_SP</v>
      </c>
      <c r="F2029" s="7" t="str">
        <f>IFERROR(__xludf.DUMMYFUNCTION("""COMPUTED_VALUE"""),"MOTORCYCLE")</f>
        <v>MOTORCYCLE</v>
      </c>
      <c r="G2029" s="7" t="str">
        <f>IFERROR(__xludf.DUMMYFUNCTION("""COMPUTED_VALUE"""),"SAO PAULO")</f>
        <v>SAO PAULO</v>
      </c>
    </row>
    <row r="2030">
      <c r="A2030" s="6">
        <f>IFERROR(__xludf.DUMMYFUNCTION("""COMPUTED_VALUE"""),45705.0)</f>
        <v>45705</v>
      </c>
      <c r="B2030" s="7" t="str">
        <f>IFERROR(__xludf.DUMMYFUNCTION("""COMPUTED_VALUE"""),"61c065d0-d9b6-4bf6-b270-c56e1ebef633")</f>
        <v>61c065d0-d9b6-4bf6-b270-c56e1ebef633</v>
      </c>
      <c r="C2030" s="7">
        <f>IFERROR(__xludf.DUMMYFUNCTION("""COMPUTED_VALUE"""),1.0)</f>
        <v>1</v>
      </c>
      <c r="D2030" s="6">
        <f>IFERROR(__xludf.DUMMYFUNCTION("""COMPUTED_VALUE"""),45704.0)</f>
        <v>45704</v>
      </c>
      <c r="E2030" s="7" t="str">
        <f>IFERROR(__xludf.DUMMYFUNCTION("""COMPUTED_VALUE"""),"FRANQUIA_D&amp;G_SP")</f>
        <v>FRANQUIA_D&amp;G_SP</v>
      </c>
      <c r="F2030" s="7" t="str">
        <f>IFERROR(__xludf.DUMMYFUNCTION("""COMPUTED_VALUE"""),"BICYCLE")</f>
        <v>BICYCLE</v>
      </c>
      <c r="G2030" s="7" t="str">
        <f>IFERROR(__xludf.DUMMYFUNCTION("""COMPUTED_VALUE"""),"SAO PAULO")</f>
        <v>SAO PAULO</v>
      </c>
    </row>
    <row r="2031">
      <c r="A2031" s="6">
        <f>IFERROR(__xludf.DUMMYFUNCTION("""COMPUTED_VALUE"""),45705.0)</f>
        <v>45705</v>
      </c>
      <c r="B2031" s="7" t="str">
        <f>IFERROR(__xludf.DUMMYFUNCTION("""COMPUTED_VALUE"""),"51518463-c0a7-4f0f-bee1-f013c63d43f2")</f>
        <v>51518463-c0a7-4f0f-bee1-f013c63d43f2</v>
      </c>
      <c r="C2031" s="7">
        <f>IFERROR(__xludf.DUMMYFUNCTION("""COMPUTED_VALUE"""),1.0)</f>
        <v>1</v>
      </c>
      <c r="D2031" s="6">
        <f>IFERROR(__xludf.DUMMYFUNCTION("""COMPUTED_VALUE"""),45704.0)</f>
        <v>45704</v>
      </c>
      <c r="E2031" s="7" t="str">
        <f>IFERROR(__xludf.DUMMYFUNCTION("""COMPUTED_VALUE"""),"FRANQUIA_D&amp;G_SP")</f>
        <v>FRANQUIA_D&amp;G_SP</v>
      </c>
      <c r="F2031" s="7" t="str">
        <f>IFERROR(__xludf.DUMMYFUNCTION("""COMPUTED_VALUE"""),"BICYCLE")</f>
        <v>BICYCLE</v>
      </c>
      <c r="G2031" s="7" t="str">
        <f>IFERROR(__xludf.DUMMYFUNCTION("""COMPUTED_VALUE"""),"SAO PAULO")</f>
        <v>SAO PAULO</v>
      </c>
    </row>
    <row r="2032">
      <c r="A2032" s="6">
        <f>IFERROR(__xludf.DUMMYFUNCTION("""COMPUTED_VALUE"""),45705.0)</f>
        <v>45705</v>
      </c>
      <c r="B2032" s="7" t="str">
        <f>IFERROR(__xludf.DUMMYFUNCTION("""COMPUTED_VALUE"""),"fb886109-1b26-471b-a990-99c4a0241d37")</f>
        <v>fb886109-1b26-471b-a990-99c4a0241d37</v>
      </c>
      <c r="C2032" s="7">
        <f>IFERROR(__xludf.DUMMYFUNCTION("""COMPUTED_VALUE"""),195.0)</f>
        <v>195</v>
      </c>
      <c r="D2032" s="6">
        <f>IFERROR(__xludf.DUMMYFUNCTION("""COMPUTED_VALUE"""),45510.0)</f>
        <v>45510</v>
      </c>
      <c r="E2032" s="7" t="str">
        <f>IFERROR(__xludf.DUMMYFUNCTION("""COMPUTED_VALUE"""),"FRANQUIA_D&amp;G_SP")</f>
        <v>FRANQUIA_D&amp;G_SP</v>
      </c>
      <c r="F2032" s="7" t="str">
        <f>IFERROR(__xludf.DUMMYFUNCTION("""COMPUTED_VALUE"""),"MOTORCYCLE")</f>
        <v>MOTORCYCLE</v>
      </c>
      <c r="G2032" s="7" t="str">
        <f>IFERROR(__xludf.DUMMYFUNCTION("""COMPUTED_VALUE"""),"SAO PAULO")</f>
        <v>SAO PAULO</v>
      </c>
    </row>
    <row r="2033">
      <c r="A2033" s="6">
        <f>IFERROR(__xludf.DUMMYFUNCTION("""COMPUTED_VALUE"""),45705.0)</f>
        <v>45705</v>
      </c>
      <c r="B2033" s="7" t="str">
        <f>IFERROR(__xludf.DUMMYFUNCTION("""COMPUTED_VALUE"""),"78f420bb-ef45-417b-92d8-b5e0dac65f4f")</f>
        <v>78f420bb-ef45-417b-92d8-b5e0dac65f4f</v>
      </c>
      <c r="C2033" s="7">
        <f>IFERROR(__xludf.DUMMYFUNCTION("""COMPUTED_VALUE"""),30.0)</f>
        <v>30</v>
      </c>
      <c r="D2033" s="6">
        <f>IFERROR(__xludf.DUMMYFUNCTION("""COMPUTED_VALUE"""),45675.0)</f>
        <v>45675</v>
      </c>
      <c r="E2033" s="7" t="str">
        <f>IFERROR(__xludf.DUMMYFUNCTION("""COMPUTED_VALUE"""),"FRANQUIA_D&amp;G_SP")</f>
        <v>FRANQUIA_D&amp;G_SP</v>
      </c>
      <c r="F2033" s="7" t="str">
        <f>IFERROR(__xludf.DUMMYFUNCTION("""COMPUTED_VALUE"""),"MOTORCYCLE")</f>
        <v>MOTORCYCLE</v>
      </c>
      <c r="G2033" s="7" t="str">
        <f>IFERROR(__xludf.DUMMYFUNCTION("""COMPUTED_VALUE"""),"SAO PAULO")</f>
        <v>SAO PAULO</v>
      </c>
    </row>
    <row r="2034">
      <c r="A2034" s="6">
        <f>IFERROR(__xludf.DUMMYFUNCTION("""COMPUTED_VALUE"""),45705.0)</f>
        <v>45705</v>
      </c>
      <c r="B2034" s="7" t="str">
        <f>IFERROR(__xludf.DUMMYFUNCTION("""COMPUTED_VALUE"""),"c6805351-e18a-4eab-8d82-c4eb3a324902")</f>
        <v>c6805351-e18a-4eab-8d82-c4eb3a324902</v>
      </c>
      <c r="C2034" s="7">
        <f>IFERROR(__xludf.DUMMYFUNCTION("""COMPUTED_VALUE"""),1.0)</f>
        <v>1</v>
      </c>
      <c r="D2034" s="6">
        <f>IFERROR(__xludf.DUMMYFUNCTION("""COMPUTED_VALUE"""),45704.0)</f>
        <v>45704</v>
      </c>
      <c r="E2034" s="7" t="str">
        <f>IFERROR(__xludf.DUMMYFUNCTION("""COMPUTED_VALUE"""),"FRANQUIA_D&amp;G_SP")</f>
        <v>FRANQUIA_D&amp;G_SP</v>
      </c>
      <c r="F2034" s="7" t="str">
        <f>IFERROR(__xludf.DUMMYFUNCTION("""COMPUTED_VALUE"""),"MOTORCYCLE")</f>
        <v>MOTORCYCLE</v>
      </c>
      <c r="G2034" s="7" t="str">
        <f>IFERROR(__xludf.DUMMYFUNCTION("""COMPUTED_VALUE"""),"SAO PAULO")</f>
        <v>SAO PAULO</v>
      </c>
    </row>
    <row r="2035">
      <c r="A2035" s="6">
        <f>IFERROR(__xludf.DUMMYFUNCTION("""COMPUTED_VALUE"""),45705.0)</f>
        <v>45705</v>
      </c>
      <c r="B2035" s="7" t="str">
        <f>IFERROR(__xludf.DUMMYFUNCTION("""COMPUTED_VALUE"""),"a9593acd-8aad-4c63-b550-8a31c6603dd5")</f>
        <v>a9593acd-8aad-4c63-b550-8a31c6603dd5</v>
      </c>
      <c r="C2035" s="7">
        <f>IFERROR(__xludf.DUMMYFUNCTION("""COMPUTED_VALUE"""),42.0)</f>
        <v>42</v>
      </c>
      <c r="D2035" s="6">
        <f>IFERROR(__xludf.DUMMYFUNCTION("""COMPUTED_VALUE"""),45663.0)</f>
        <v>45663</v>
      </c>
      <c r="E2035" s="7" t="str">
        <f>IFERROR(__xludf.DUMMYFUNCTION("""COMPUTED_VALUE"""),"FRANQUIA_D&amp;G_SP")</f>
        <v>FRANQUIA_D&amp;G_SP</v>
      </c>
      <c r="F2035" s="7" t="str">
        <f>IFERROR(__xludf.DUMMYFUNCTION("""COMPUTED_VALUE"""),"MOTORCYCLE")</f>
        <v>MOTORCYCLE</v>
      </c>
      <c r="G2035" s="7" t="str">
        <f>IFERROR(__xludf.DUMMYFUNCTION("""COMPUTED_VALUE"""),"SAO PAULO")</f>
        <v>SAO PAULO</v>
      </c>
    </row>
    <row r="2036">
      <c r="A2036" s="6">
        <f>IFERROR(__xludf.DUMMYFUNCTION("""COMPUTED_VALUE"""),45705.0)</f>
        <v>45705</v>
      </c>
      <c r="B2036" s="7" t="str">
        <f>IFERROR(__xludf.DUMMYFUNCTION("""COMPUTED_VALUE"""),"c7b9761c-6f8d-451c-a11d-9d7831e04d99")</f>
        <v>c7b9761c-6f8d-451c-a11d-9d7831e04d99</v>
      </c>
      <c r="C2036" s="7">
        <f>IFERROR(__xludf.DUMMYFUNCTION("""COMPUTED_VALUE"""),98.0)</f>
        <v>98</v>
      </c>
      <c r="D2036" s="6">
        <f>IFERROR(__xludf.DUMMYFUNCTION("""COMPUTED_VALUE"""),45607.0)</f>
        <v>45607</v>
      </c>
      <c r="E2036" s="7" t="str">
        <f>IFERROR(__xludf.DUMMYFUNCTION("""COMPUTED_VALUE"""),"FRANQUIA_D&amp;G_SP")</f>
        <v>FRANQUIA_D&amp;G_SP</v>
      </c>
      <c r="F2036" s="7" t="str">
        <f>IFERROR(__xludf.DUMMYFUNCTION("""COMPUTED_VALUE"""),"BICYCLE")</f>
        <v>BICYCLE</v>
      </c>
      <c r="G2036" s="7" t="str">
        <f>IFERROR(__xludf.DUMMYFUNCTION("""COMPUTED_VALUE"""),"SAO PAULO")</f>
        <v>SAO PAULO</v>
      </c>
    </row>
    <row r="2037">
      <c r="A2037" s="6">
        <f>IFERROR(__xludf.DUMMYFUNCTION("""COMPUTED_VALUE"""),45705.0)</f>
        <v>45705</v>
      </c>
      <c r="B2037" s="7" t="str">
        <f>IFERROR(__xludf.DUMMYFUNCTION("""COMPUTED_VALUE"""),"7652c762-2896-482e-99a5-c3985619517c")</f>
        <v>7652c762-2896-482e-99a5-c3985619517c</v>
      </c>
      <c r="C2037" s="7">
        <f>IFERROR(__xludf.DUMMYFUNCTION("""COMPUTED_VALUE"""),0.0)</f>
        <v>0</v>
      </c>
      <c r="D2037" s="6">
        <f>IFERROR(__xludf.DUMMYFUNCTION("""COMPUTED_VALUE"""),45705.0)</f>
        <v>45705</v>
      </c>
      <c r="E2037" s="7" t="str">
        <f>IFERROR(__xludf.DUMMYFUNCTION("""COMPUTED_VALUE"""),"FRANQUIA_D&amp;G_SP")</f>
        <v>FRANQUIA_D&amp;G_SP</v>
      </c>
      <c r="F2037" s="7" t="str">
        <f>IFERROR(__xludf.DUMMYFUNCTION("""COMPUTED_VALUE"""),"MOTORCYCLE")</f>
        <v>MOTORCYCLE</v>
      </c>
      <c r="G2037" s="7" t="str">
        <f>IFERROR(__xludf.DUMMYFUNCTION("""COMPUTED_VALUE"""),"SAO PAULO")</f>
        <v>SAO PAULO</v>
      </c>
    </row>
    <row r="2038">
      <c r="A2038" s="6">
        <f>IFERROR(__xludf.DUMMYFUNCTION("""COMPUTED_VALUE"""),45705.0)</f>
        <v>45705</v>
      </c>
      <c r="B2038" s="7" t="str">
        <f>IFERROR(__xludf.DUMMYFUNCTION("""COMPUTED_VALUE"""),"8dc7b860-ab36-47e7-bef7-1ad0a94a619f")</f>
        <v>8dc7b860-ab36-47e7-bef7-1ad0a94a619f</v>
      </c>
      <c r="C2038" s="7">
        <f>IFERROR(__xludf.DUMMYFUNCTION("""COMPUTED_VALUE"""),0.0)</f>
        <v>0</v>
      </c>
      <c r="D2038" s="6">
        <f>IFERROR(__xludf.DUMMYFUNCTION("""COMPUTED_VALUE"""),45705.0)</f>
        <v>45705</v>
      </c>
      <c r="E2038" s="7" t="str">
        <f>IFERROR(__xludf.DUMMYFUNCTION("""COMPUTED_VALUE"""),"FRANQUIA_D&amp;G_SP")</f>
        <v>FRANQUIA_D&amp;G_SP</v>
      </c>
      <c r="F2038" s="7" t="str">
        <f>IFERROR(__xludf.DUMMYFUNCTION("""COMPUTED_VALUE"""),"BICYCLE")</f>
        <v>BICYCLE</v>
      </c>
      <c r="G2038" s="7" t="str">
        <f>IFERROR(__xludf.DUMMYFUNCTION("""COMPUTED_VALUE"""),"SAO PAULO")</f>
        <v>SAO PAULO</v>
      </c>
    </row>
    <row r="2039">
      <c r="A2039" s="6">
        <f>IFERROR(__xludf.DUMMYFUNCTION("""COMPUTED_VALUE"""),45705.0)</f>
        <v>45705</v>
      </c>
      <c r="B2039" s="7" t="str">
        <f>IFERROR(__xludf.DUMMYFUNCTION("""COMPUTED_VALUE"""),"3b2c3091-50a3-4f7f-b20e-9eec465ac8bc")</f>
        <v>3b2c3091-50a3-4f7f-b20e-9eec465ac8bc</v>
      </c>
      <c r="C2039" s="7">
        <f>IFERROR(__xludf.DUMMYFUNCTION("""COMPUTED_VALUE"""),111.0)</f>
        <v>111</v>
      </c>
      <c r="D2039" s="6">
        <f>IFERROR(__xludf.DUMMYFUNCTION("""COMPUTED_VALUE"""),45594.0)</f>
        <v>45594</v>
      </c>
      <c r="E2039" s="7" t="str">
        <f>IFERROR(__xludf.DUMMYFUNCTION("""COMPUTED_VALUE"""),"FRANQUIA_D&amp;G_SP")</f>
        <v>FRANQUIA_D&amp;G_SP</v>
      </c>
      <c r="F2039" s="7" t="str">
        <f>IFERROR(__xludf.DUMMYFUNCTION("""COMPUTED_VALUE"""),"MOTORCYCLE")</f>
        <v>MOTORCYCLE</v>
      </c>
      <c r="G2039" s="7" t="str">
        <f>IFERROR(__xludf.DUMMYFUNCTION("""COMPUTED_VALUE"""),"SAO PAULO")</f>
        <v>SAO PAULO</v>
      </c>
    </row>
    <row r="2040">
      <c r="A2040" s="6">
        <f>IFERROR(__xludf.DUMMYFUNCTION("""COMPUTED_VALUE"""),45705.0)</f>
        <v>45705</v>
      </c>
      <c r="B2040" s="7" t="str">
        <f>IFERROR(__xludf.DUMMYFUNCTION("""COMPUTED_VALUE"""),"c944d398-6898-4b29-911a-d82d1b1fb923")</f>
        <v>c944d398-6898-4b29-911a-d82d1b1fb923</v>
      </c>
      <c r="C2040" s="7">
        <f>IFERROR(__xludf.DUMMYFUNCTION("""COMPUTED_VALUE"""),84.0)</f>
        <v>84</v>
      </c>
      <c r="D2040" s="6">
        <f>IFERROR(__xludf.DUMMYFUNCTION("""COMPUTED_VALUE"""),45621.0)</f>
        <v>45621</v>
      </c>
      <c r="E2040" s="7" t="str">
        <f>IFERROR(__xludf.DUMMYFUNCTION("""COMPUTED_VALUE"""),"FRANQUIA_D&amp;G_SP")</f>
        <v>FRANQUIA_D&amp;G_SP</v>
      </c>
      <c r="F2040" s="7" t="str">
        <f>IFERROR(__xludf.DUMMYFUNCTION("""COMPUTED_VALUE"""),"BICYCLE")</f>
        <v>BICYCLE</v>
      </c>
      <c r="G2040" s="7" t="str">
        <f>IFERROR(__xludf.DUMMYFUNCTION("""COMPUTED_VALUE"""),"SAO PAULO")</f>
        <v>SAO PAULO</v>
      </c>
    </row>
    <row r="2041">
      <c r="A2041" s="6">
        <f>IFERROR(__xludf.DUMMYFUNCTION("""COMPUTED_VALUE"""),45705.0)</f>
        <v>45705</v>
      </c>
      <c r="B2041" s="7" t="str">
        <f>IFERROR(__xludf.DUMMYFUNCTION("""COMPUTED_VALUE"""),"b8afc7e0-7082-4945-badb-716e535a418b")</f>
        <v>b8afc7e0-7082-4945-badb-716e535a418b</v>
      </c>
      <c r="C2041" s="7">
        <f>IFERROR(__xludf.DUMMYFUNCTION("""COMPUTED_VALUE"""),23.0)</f>
        <v>23</v>
      </c>
      <c r="D2041" s="6">
        <f>IFERROR(__xludf.DUMMYFUNCTION("""COMPUTED_VALUE"""),45682.0)</f>
        <v>45682</v>
      </c>
      <c r="E2041" s="7" t="str">
        <f>IFERROR(__xludf.DUMMYFUNCTION("""COMPUTED_VALUE"""),"FRANQUIA_D&amp;G_SP")</f>
        <v>FRANQUIA_D&amp;G_SP</v>
      </c>
      <c r="F2041" s="7" t="str">
        <f>IFERROR(__xludf.DUMMYFUNCTION("""COMPUTED_VALUE"""),"MOTORCYCLE")</f>
        <v>MOTORCYCLE</v>
      </c>
      <c r="G2041" s="7" t="str">
        <f>IFERROR(__xludf.DUMMYFUNCTION("""COMPUTED_VALUE"""),"SAO PAULO")</f>
        <v>SAO PAULO</v>
      </c>
    </row>
    <row r="2042">
      <c r="A2042" s="6">
        <f>IFERROR(__xludf.DUMMYFUNCTION("""COMPUTED_VALUE"""),45705.0)</f>
        <v>45705</v>
      </c>
      <c r="B2042" s="7" t="str">
        <f>IFERROR(__xludf.DUMMYFUNCTION("""COMPUTED_VALUE"""),"b8c5b2df-75d0-4c94-bc9c-a8e8482d6b53")</f>
        <v>b8c5b2df-75d0-4c94-bc9c-a8e8482d6b53</v>
      </c>
      <c r="C2042" s="7">
        <f>IFERROR(__xludf.DUMMYFUNCTION("""COMPUTED_VALUE"""),0.0)</f>
        <v>0</v>
      </c>
      <c r="D2042" s="6">
        <f>IFERROR(__xludf.DUMMYFUNCTION("""COMPUTED_VALUE"""),45705.0)</f>
        <v>45705</v>
      </c>
      <c r="E2042" s="7" t="str">
        <f>IFERROR(__xludf.DUMMYFUNCTION("""COMPUTED_VALUE"""),"FRANQUIA_D&amp;G_SP")</f>
        <v>FRANQUIA_D&amp;G_SP</v>
      </c>
      <c r="F2042" s="7" t="str">
        <f>IFERROR(__xludf.DUMMYFUNCTION("""COMPUTED_VALUE"""),"MOTORCYCLE")</f>
        <v>MOTORCYCLE</v>
      </c>
      <c r="G2042" s="7" t="str">
        <f>IFERROR(__xludf.DUMMYFUNCTION("""COMPUTED_VALUE"""),"SAO PAULO")</f>
        <v>SAO PAULO</v>
      </c>
    </row>
    <row r="2043">
      <c r="A2043" s="6">
        <f>IFERROR(__xludf.DUMMYFUNCTION("""COMPUTED_VALUE"""),45705.0)</f>
        <v>45705</v>
      </c>
      <c r="B2043" s="7" t="str">
        <f>IFERROR(__xludf.DUMMYFUNCTION("""COMPUTED_VALUE"""),"7480f0ab-6a4d-4178-a722-f99e4ef24497")</f>
        <v>7480f0ab-6a4d-4178-a722-f99e4ef24497</v>
      </c>
      <c r="C2043" s="7">
        <f>IFERROR(__xludf.DUMMYFUNCTION("""COMPUTED_VALUE"""),7.0)</f>
        <v>7</v>
      </c>
      <c r="D2043" s="6">
        <f>IFERROR(__xludf.DUMMYFUNCTION("""COMPUTED_VALUE"""),45698.0)</f>
        <v>45698</v>
      </c>
      <c r="E2043" s="7" t="str">
        <f>IFERROR(__xludf.DUMMYFUNCTION("""COMPUTED_VALUE"""),"FRANQUIA_D&amp;G_SP")</f>
        <v>FRANQUIA_D&amp;G_SP</v>
      </c>
      <c r="F2043" s="7" t="str">
        <f>IFERROR(__xludf.DUMMYFUNCTION("""COMPUTED_VALUE"""),"EMOTORCYCLE")</f>
        <v>EMOTORCYCLE</v>
      </c>
      <c r="G2043" s="7" t="str">
        <f>IFERROR(__xludf.DUMMYFUNCTION("""COMPUTED_VALUE"""),"SAO PAULO")</f>
        <v>SAO PAULO</v>
      </c>
    </row>
    <row r="2044">
      <c r="A2044" s="6">
        <f>IFERROR(__xludf.DUMMYFUNCTION("""COMPUTED_VALUE"""),45705.0)</f>
        <v>45705</v>
      </c>
      <c r="B2044" s="7" t="str">
        <f>IFERROR(__xludf.DUMMYFUNCTION("""COMPUTED_VALUE"""),"098c0939-fbee-473b-9bd0-f57006c87891")</f>
        <v>098c0939-fbee-473b-9bd0-f57006c87891</v>
      </c>
      <c r="C2044" s="7">
        <f>IFERROR(__xludf.DUMMYFUNCTION("""COMPUTED_VALUE"""),228.0)</f>
        <v>228</v>
      </c>
      <c r="D2044" s="6">
        <f>IFERROR(__xludf.DUMMYFUNCTION("""COMPUTED_VALUE"""),45477.0)</f>
        <v>45477</v>
      </c>
      <c r="E2044" s="7" t="str">
        <f>IFERROR(__xludf.DUMMYFUNCTION("""COMPUTED_VALUE"""),"FRANQUIA_D&amp;G_SP")</f>
        <v>FRANQUIA_D&amp;G_SP</v>
      </c>
      <c r="F2044" s="7" t="str">
        <f>IFERROR(__xludf.DUMMYFUNCTION("""COMPUTED_VALUE"""),"MOTORCYCLE")</f>
        <v>MOTORCYCLE</v>
      </c>
      <c r="G2044" s="7" t="str">
        <f>IFERROR(__xludf.DUMMYFUNCTION("""COMPUTED_VALUE"""),"SAO PAULO")</f>
        <v>SAO PAULO</v>
      </c>
    </row>
    <row r="2045">
      <c r="A2045" s="6">
        <f>IFERROR(__xludf.DUMMYFUNCTION("""COMPUTED_VALUE"""),45705.0)</f>
        <v>45705</v>
      </c>
      <c r="B2045" s="7" t="str">
        <f>IFERROR(__xludf.DUMMYFUNCTION("""COMPUTED_VALUE"""),"aa61f8fa-6a87-4a28-bb25-6164489aaa48")</f>
        <v>aa61f8fa-6a87-4a28-bb25-6164489aaa48</v>
      </c>
      <c r="C2045" s="7">
        <f>IFERROR(__xludf.DUMMYFUNCTION("""COMPUTED_VALUE"""),0.0)</f>
        <v>0</v>
      </c>
      <c r="D2045" s="6">
        <f>IFERROR(__xludf.DUMMYFUNCTION("""COMPUTED_VALUE"""),0.0)</f>
        <v>0</v>
      </c>
      <c r="E2045" s="7" t="str">
        <f>IFERROR(__xludf.DUMMYFUNCTION("""COMPUTED_VALUE"""),"FRANQUIA_D&amp;G_SP")</f>
        <v>FRANQUIA_D&amp;G_SP</v>
      </c>
      <c r="F2045" s="7" t="str">
        <f>IFERROR(__xludf.DUMMYFUNCTION("""COMPUTED_VALUE"""),"MOTORCYCLE")</f>
        <v>MOTORCYCLE</v>
      </c>
      <c r="G2045" s="7" t="str">
        <f>IFERROR(__xludf.DUMMYFUNCTION("""COMPUTED_VALUE"""),"0")</f>
        <v>0</v>
      </c>
    </row>
    <row r="2046">
      <c r="A2046" s="6">
        <f>IFERROR(__xludf.DUMMYFUNCTION("""COMPUTED_VALUE"""),45705.0)</f>
        <v>45705</v>
      </c>
      <c r="B2046" s="7" t="str">
        <f>IFERROR(__xludf.DUMMYFUNCTION("""COMPUTED_VALUE"""),"46a5cc3c-6c89-4b0e-91a3-092b1eb902ba")</f>
        <v>46a5cc3c-6c89-4b0e-91a3-092b1eb902ba</v>
      </c>
      <c r="C2046" s="7">
        <f>IFERROR(__xludf.DUMMYFUNCTION("""COMPUTED_VALUE"""),2.0)</f>
        <v>2</v>
      </c>
      <c r="D2046" s="6">
        <f>IFERROR(__xludf.DUMMYFUNCTION("""COMPUTED_VALUE"""),45703.0)</f>
        <v>45703</v>
      </c>
      <c r="E2046" s="7" t="str">
        <f>IFERROR(__xludf.DUMMYFUNCTION("""COMPUTED_VALUE"""),"FRANQUIA_D&amp;G_SP")</f>
        <v>FRANQUIA_D&amp;G_SP</v>
      </c>
      <c r="F2046" s="7" t="str">
        <f>IFERROR(__xludf.DUMMYFUNCTION("""COMPUTED_VALUE"""),"MOTORCYCLE")</f>
        <v>MOTORCYCLE</v>
      </c>
      <c r="G2046" s="7" t="str">
        <f>IFERROR(__xludf.DUMMYFUNCTION("""COMPUTED_VALUE"""),"SAO PAULO")</f>
        <v>SAO PAULO</v>
      </c>
    </row>
    <row r="2047">
      <c r="A2047" s="6">
        <f>IFERROR(__xludf.DUMMYFUNCTION("""COMPUTED_VALUE"""),45705.0)</f>
        <v>45705</v>
      </c>
      <c r="B2047" s="7" t="str">
        <f>IFERROR(__xludf.DUMMYFUNCTION("""COMPUTED_VALUE"""),"58dbee21-ad53-4888-aa99-3406b8efb683")</f>
        <v>58dbee21-ad53-4888-aa99-3406b8efb683</v>
      </c>
      <c r="C2047" s="7">
        <f>IFERROR(__xludf.DUMMYFUNCTION("""COMPUTED_VALUE"""),82.0)</f>
        <v>82</v>
      </c>
      <c r="D2047" s="6">
        <f>IFERROR(__xludf.DUMMYFUNCTION("""COMPUTED_VALUE"""),45623.0)</f>
        <v>45623</v>
      </c>
      <c r="E2047" s="7" t="str">
        <f>IFERROR(__xludf.DUMMYFUNCTION("""COMPUTED_VALUE"""),"FRANQUIA_D&amp;G_SP")</f>
        <v>FRANQUIA_D&amp;G_SP</v>
      </c>
      <c r="F2047" s="7" t="str">
        <f>IFERROR(__xludf.DUMMYFUNCTION("""COMPUTED_VALUE"""),"BICYCLE")</f>
        <v>BICYCLE</v>
      </c>
      <c r="G2047" s="7" t="str">
        <f>IFERROR(__xludf.DUMMYFUNCTION("""COMPUTED_VALUE"""),"SAO PAULO")</f>
        <v>SAO PAULO</v>
      </c>
    </row>
    <row r="2048">
      <c r="A2048" s="6">
        <f>IFERROR(__xludf.DUMMYFUNCTION("""COMPUTED_VALUE"""),45705.0)</f>
        <v>45705</v>
      </c>
      <c r="B2048" s="7" t="str">
        <f>IFERROR(__xludf.DUMMYFUNCTION("""COMPUTED_VALUE"""),"a2bedc4c-c6e6-4c7b-acec-fe4e5fdc9fc6")</f>
        <v>a2bedc4c-c6e6-4c7b-acec-fe4e5fdc9fc6</v>
      </c>
      <c r="C2048" s="7">
        <f>IFERROR(__xludf.DUMMYFUNCTION("""COMPUTED_VALUE"""),113.0)</f>
        <v>113</v>
      </c>
      <c r="D2048" s="6">
        <f>IFERROR(__xludf.DUMMYFUNCTION("""COMPUTED_VALUE"""),45592.0)</f>
        <v>45592</v>
      </c>
      <c r="E2048" s="7" t="str">
        <f>IFERROR(__xludf.DUMMYFUNCTION("""COMPUTED_VALUE"""),"FRANQUIA_D&amp;G_SP")</f>
        <v>FRANQUIA_D&amp;G_SP</v>
      </c>
      <c r="F2048" s="7" t="str">
        <f>IFERROR(__xludf.DUMMYFUNCTION("""COMPUTED_VALUE"""),"MOTORCYCLE")</f>
        <v>MOTORCYCLE</v>
      </c>
      <c r="G2048" s="7" t="str">
        <f>IFERROR(__xludf.DUMMYFUNCTION("""COMPUTED_VALUE"""),"SAO PAULO")</f>
        <v>SAO PAULO</v>
      </c>
    </row>
    <row r="2049">
      <c r="A2049" s="6">
        <f>IFERROR(__xludf.DUMMYFUNCTION("""COMPUTED_VALUE"""),45705.0)</f>
        <v>45705</v>
      </c>
      <c r="B2049" s="7" t="str">
        <f>IFERROR(__xludf.DUMMYFUNCTION("""COMPUTED_VALUE"""),"db3c4362-8953-46c9-9591-ac22bdb9fea6")</f>
        <v>db3c4362-8953-46c9-9591-ac22bdb9fea6</v>
      </c>
      <c r="C2049" s="7">
        <f>IFERROR(__xludf.DUMMYFUNCTION("""COMPUTED_VALUE"""),398.0)</f>
        <v>398</v>
      </c>
      <c r="D2049" s="6">
        <f>IFERROR(__xludf.DUMMYFUNCTION("""COMPUTED_VALUE"""),45307.0)</f>
        <v>45307</v>
      </c>
      <c r="E2049" s="7" t="str">
        <f>IFERROR(__xludf.DUMMYFUNCTION("""COMPUTED_VALUE"""),"FRANQUIA_D&amp;G_SP")</f>
        <v>FRANQUIA_D&amp;G_SP</v>
      </c>
      <c r="F2049" s="7" t="str">
        <f>IFERROR(__xludf.DUMMYFUNCTION("""COMPUTED_VALUE"""),"MOTORCYCLE")</f>
        <v>MOTORCYCLE</v>
      </c>
      <c r="G2049" s="7" t="str">
        <f>IFERROR(__xludf.DUMMYFUNCTION("""COMPUTED_VALUE"""),"SAO PAULO")</f>
        <v>SAO PAULO</v>
      </c>
    </row>
    <row r="2050">
      <c r="A2050" s="6">
        <f>IFERROR(__xludf.DUMMYFUNCTION("""COMPUTED_VALUE"""),45705.0)</f>
        <v>45705</v>
      </c>
      <c r="B2050" s="7" t="str">
        <f>IFERROR(__xludf.DUMMYFUNCTION("""COMPUTED_VALUE"""),"4e93d10c-1bae-4c77-8820-68b1221ec3e5")</f>
        <v>4e93d10c-1bae-4c77-8820-68b1221ec3e5</v>
      </c>
      <c r="C2050" s="7">
        <f>IFERROR(__xludf.DUMMYFUNCTION("""COMPUTED_VALUE"""),7.0)</f>
        <v>7</v>
      </c>
      <c r="D2050" s="6">
        <f>IFERROR(__xludf.DUMMYFUNCTION("""COMPUTED_VALUE"""),45698.0)</f>
        <v>45698</v>
      </c>
      <c r="E2050" s="7" t="str">
        <f>IFERROR(__xludf.DUMMYFUNCTION("""COMPUTED_VALUE"""),"FRANQUIA_D&amp;G_SP")</f>
        <v>FRANQUIA_D&amp;G_SP</v>
      </c>
      <c r="F2050" s="7" t="str">
        <f>IFERROR(__xludf.DUMMYFUNCTION("""COMPUTED_VALUE"""),"BICYCLE")</f>
        <v>BICYCLE</v>
      </c>
      <c r="G2050" s="7" t="str">
        <f>IFERROR(__xludf.DUMMYFUNCTION("""COMPUTED_VALUE"""),"SAO PAULO")</f>
        <v>SAO PAULO</v>
      </c>
    </row>
    <row r="2051">
      <c r="A2051" s="6">
        <f>IFERROR(__xludf.DUMMYFUNCTION("""COMPUTED_VALUE"""),45705.0)</f>
        <v>45705</v>
      </c>
      <c r="B2051" s="7" t="str">
        <f>IFERROR(__xludf.DUMMYFUNCTION("""COMPUTED_VALUE"""),"58b8be49-5df8-47b6-a9bb-5c80e1e3d81b")</f>
        <v>58b8be49-5df8-47b6-a9bb-5c80e1e3d81b</v>
      </c>
      <c r="C2051" s="7">
        <f>IFERROR(__xludf.DUMMYFUNCTION("""COMPUTED_VALUE"""),136.0)</f>
        <v>136</v>
      </c>
      <c r="D2051" s="6">
        <f>IFERROR(__xludf.DUMMYFUNCTION("""COMPUTED_VALUE"""),45569.0)</f>
        <v>45569</v>
      </c>
      <c r="E2051" s="7" t="str">
        <f>IFERROR(__xludf.DUMMYFUNCTION("""COMPUTED_VALUE"""),"FRANQUIA_D&amp;G_SP")</f>
        <v>FRANQUIA_D&amp;G_SP</v>
      </c>
      <c r="F2051" s="7" t="str">
        <f>IFERROR(__xludf.DUMMYFUNCTION("""COMPUTED_VALUE"""),"BICYCLE")</f>
        <v>BICYCLE</v>
      </c>
      <c r="G2051" s="7" t="str">
        <f>IFERROR(__xludf.DUMMYFUNCTION("""COMPUTED_VALUE"""),"SAO PAULO")</f>
        <v>SAO PAULO</v>
      </c>
    </row>
    <row r="2052">
      <c r="A2052" s="6">
        <f>IFERROR(__xludf.DUMMYFUNCTION("""COMPUTED_VALUE"""),45705.0)</f>
        <v>45705</v>
      </c>
      <c r="B2052" s="7" t="str">
        <f>IFERROR(__xludf.DUMMYFUNCTION("""COMPUTED_VALUE"""),"d7ed22b2-bf56-4573-afa5-f8448187a449")</f>
        <v>d7ed22b2-bf56-4573-afa5-f8448187a449</v>
      </c>
      <c r="C2052" s="7">
        <f>IFERROR(__xludf.DUMMYFUNCTION("""COMPUTED_VALUE"""),0.0)</f>
        <v>0</v>
      </c>
      <c r="D2052" s="6">
        <f>IFERROR(__xludf.DUMMYFUNCTION("""COMPUTED_VALUE"""),45705.0)</f>
        <v>45705</v>
      </c>
      <c r="E2052" s="7" t="str">
        <f>IFERROR(__xludf.DUMMYFUNCTION("""COMPUTED_VALUE"""),"FRANQUIA_D&amp;G_SP")</f>
        <v>FRANQUIA_D&amp;G_SP</v>
      </c>
      <c r="F2052" s="7" t="str">
        <f>IFERROR(__xludf.DUMMYFUNCTION("""COMPUTED_VALUE"""),"BICYCLE")</f>
        <v>BICYCLE</v>
      </c>
      <c r="G2052" s="7" t="str">
        <f>IFERROR(__xludf.DUMMYFUNCTION("""COMPUTED_VALUE"""),"SAO PAULO")</f>
        <v>SAO PAULO</v>
      </c>
    </row>
    <row r="2053">
      <c r="A2053" s="6">
        <f>IFERROR(__xludf.DUMMYFUNCTION("""COMPUTED_VALUE"""),45705.0)</f>
        <v>45705</v>
      </c>
      <c r="B2053" s="7" t="str">
        <f>IFERROR(__xludf.DUMMYFUNCTION("""COMPUTED_VALUE"""),"22c12c76-900e-4714-8221-4f9794c635ad")</f>
        <v>22c12c76-900e-4714-8221-4f9794c635ad</v>
      </c>
      <c r="C2053" s="7">
        <f>IFERROR(__xludf.DUMMYFUNCTION("""COMPUTED_VALUE"""),0.0)</f>
        <v>0</v>
      </c>
      <c r="D2053" s="6">
        <f>IFERROR(__xludf.DUMMYFUNCTION("""COMPUTED_VALUE"""),45705.0)</f>
        <v>45705</v>
      </c>
      <c r="E2053" s="7" t="str">
        <f>IFERROR(__xludf.DUMMYFUNCTION("""COMPUTED_VALUE"""),"FRANQUIA_D&amp;G_SP")</f>
        <v>FRANQUIA_D&amp;G_SP</v>
      </c>
      <c r="F2053" s="7" t="str">
        <f>IFERROR(__xludf.DUMMYFUNCTION("""COMPUTED_VALUE"""),"MOTORCYCLE")</f>
        <v>MOTORCYCLE</v>
      </c>
      <c r="G2053" s="7" t="str">
        <f>IFERROR(__xludf.DUMMYFUNCTION("""COMPUTED_VALUE"""),"SANTOS")</f>
        <v>SANTOS</v>
      </c>
    </row>
    <row r="2054">
      <c r="A2054" s="6">
        <f>IFERROR(__xludf.DUMMYFUNCTION("""COMPUTED_VALUE"""),45705.0)</f>
        <v>45705</v>
      </c>
      <c r="B2054" s="7" t="str">
        <f>IFERROR(__xludf.DUMMYFUNCTION("""COMPUTED_VALUE"""),"aa58b539-071b-4d30-b4b3-7efde27c58fb")</f>
        <v>aa58b539-071b-4d30-b4b3-7efde27c58fb</v>
      </c>
      <c r="C2054" s="7">
        <f>IFERROR(__xludf.DUMMYFUNCTION("""COMPUTED_VALUE"""),6.0)</f>
        <v>6</v>
      </c>
      <c r="D2054" s="6">
        <f>IFERROR(__xludf.DUMMYFUNCTION("""COMPUTED_VALUE"""),45699.0)</f>
        <v>45699</v>
      </c>
      <c r="E2054" s="7" t="str">
        <f>IFERROR(__xludf.DUMMYFUNCTION("""COMPUTED_VALUE"""),"FRANQUIA_D&amp;G_SP")</f>
        <v>FRANQUIA_D&amp;G_SP</v>
      </c>
      <c r="F2054" s="7" t="str">
        <f>IFERROR(__xludf.DUMMYFUNCTION("""COMPUTED_VALUE"""),"BICYCLE")</f>
        <v>BICYCLE</v>
      </c>
      <c r="G2054" s="7" t="str">
        <f>IFERROR(__xludf.DUMMYFUNCTION("""COMPUTED_VALUE"""),"SAO PAULO")</f>
        <v>SAO PAULO</v>
      </c>
    </row>
    <row r="2055">
      <c r="A2055" s="6">
        <f>IFERROR(__xludf.DUMMYFUNCTION("""COMPUTED_VALUE"""),45705.0)</f>
        <v>45705</v>
      </c>
      <c r="B2055" s="7" t="str">
        <f>IFERROR(__xludf.DUMMYFUNCTION("""COMPUTED_VALUE"""),"3c0b0d5e-9d2a-439d-8445-f3129a8abbdd")</f>
        <v>3c0b0d5e-9d2a-439d-8445-f3129a8abbdd</v>
      </c>
      <c r="C2055" s="7">
        <f>IFERROR(__xludf.DUMMYFUNCTION("""COMPUTED_VALUE"""),37.0)</f>
        <v>37</v>
      </c>
      <c r="D2055" s="6">
        <f>IFERROR(__xludf.DUMMYFUNCTION("""COMPUTED_VALUE"""),45668.0)</f>
        <v>45668</v>
      </c>
      <c r="E2055" s="7" t="str">
        <f>IFERROR(__xludf.DUMMYFUNCTION("""COMPUTED_VALUE"""),"FRANQUIA_D&amp;G_SP")</f>
        <v>FRANQUIA_D&amp;G_SP</v>
      </c>
      <c r="F2055" s="7" t="str">
        <f>IFERROR(__xludf.DUMMYFUNCTION("""COMPUTED_VALUE"""),"MOTORCYCLE")</f>
        <v>MOTORCYCLE</v>
      </c>
      <c r="G2055" s="7" t="str">
        <f>IFERROR(__xludf.DUMMYFUNCTION("""COMPUTED_VALUE"""),"SAO PAULO")</f>
        <v>SAO PAULO</v>
      </c>
    </row>
    <row r="2056">
      <c r="A2056" s="6">
        <f>IFERROR(__xludf.DUMMYFUNCTION("""COMPUTED_VALUE"""),45705.0)</f>
        <v>45705</v>
      </c>
      <c r="B2056" s="7" t="str">
        <f>IFERROR(__xludf.DUMMYFUNCTION("""COMPUTED_VALUE"""),"f22ce347-ddcd-4d28-bf2e-159ff6539c79")</f>
        <v>f22ce347-ddcd-4d28-bf2e-159ff6539c79</v>
      </c>
      <c r="C2056" s="7">
        <f>IFERROR(__xludf.DUMMYFUNCTION("""COMPUTED_VALUE"""),0.0)</f>
        <v>0</v>
      </c>
      <c r="D2056" s="6">
        <f>IFERROR(__xludf.DUMMYFUNCTION("""COMPUTED_VALUE"""),45705.0)</f>
        <v>45705</v>
      </c>
      <c r="E2056" s="7" t="str">
        <f>IFERROR(__xludf.DUMMYFUNCTION("""COMPUTED_VALUE"""),"FRANQUIA_D&amp;G_SP")</f>
        <v>FRANQUIA_D&amp;G_SP</v>
      </c>
      <c r="F2056" s="7" t="str">
        <f>IFERROR(__xludf.DUMMYFUNCTION("""COMPUTED_VALUE"""),"MOTORCYCLE")</f>
        <v>MOTORCYCLE</v>
      </c>
      <c r="G2056" s="7" t="str">
        <f>IFERROR(__xludf.DUMMYFUNCTION("""COMPUTED_VALUE"""),"ABC")</f>
        <v>ABC</v>
      </c>
    </row>
    <row r="2057">
      <c r="A2057" s="6">
        <f>IFERROR(__xludf.DUMMYFUNCTION("""COMPUTED_VALUE"""),45705.0)</f>
        <v>45705</v>
      </c>
      <c r="B2057" s="7" t="str">
        <f>IFERROR(__xludf.DUMMYFUNCTION("""COMPUTED_VALUE"""),"7ac10385-925d-4a02-b3b4-89a4fecaa8bf")</f>
        <v>7ac10385-925d-4a02-b3b4-89a4fecaa8bf</v>
      </c>
      <c r="C2057" s="7">
        <f>IFERROR(__xludf.DUMMYFUNCTION("""COMPUTED_VALUE"""),268.0)</f>
        <v>268</v>
      </c>
      <c r="D2057" s="6">
        <f>IFERROR(__xludf.DUMMYFUNCTION("""COMPUTED_VALUE"""),45437.0)</f>
        <v>45437</v>
      </c>
      <c r="E2057" s="7" t="str">
        <f>IFERROR(__xludf.DUMMYFUNCTION("""COMPUTED_VALUE"""),"FRANQUIA_D&amp;G_SP")</f>
        <v>FRANQUIA_D&amp;G_SP</v>
      </c>
      <c r="F2057" s="7" t="str">
        <f>IFERROR(__xludf.DUMMYFUNCTION("""COMPUTED_VALUE"""),"BICYCLE")</f>
        <v>BICYCLE</v>
      </c>
      <c r="G2057" s="7" t="str">
        <f>IFERROR(__xludf.DUMMYFUNCTION("""COMPUTED_VALUE"""),"SAO PAULO")</f>
        <v>SAO PAULO</v>
      </c>
    </row>
    <row r="2058">
      <c r="A2058" s="6">
        <f>IFERROR(__xludf.DUMMYFUNCTION("""COMPUTED_VALUE"""),45705.0)</f>
        <v>45705</v>
      </c>
      <c r="B2058" s="7" t="str">
        <f>IFERROR(__xludf.DUMMYFUNCTION("""COMPUTED_VALUE"""),"d9fcb3d4-83d3-4906-a44c-edad0ad568aa")</f>
        <v>d9fcb3d4-83d3-4906-a44c-edad0ad568aa</v>
      </c>
      <c r="C2058" s="7">
        <f>IFERROR(__xludf.DUMMYFUNCTION("""COMPUTED_VALUE"""),0.0)</f>
        <v>0</v>
      </c>
      <c r="D2058" s="6">
        <f>IFERROR(__xludf.DUMMYFUNCTION("""COMPUTED_VALUE"""),45705.0)</f>
        <v>45705</v>
      </c>
      <c r="E2058" s="7" t="str">
        <f>IFERROR(__xludf.DUMMYFUNCTION("""COMPUTED_VALUE"""),"FRANQUIA_D&amp;G_SP")</f>
        <v>FRANQUIA_D&amp;G_SP</v>
      </c>
      <c r="F2058" s="7" t="str">
        <f>IFERROR(__xludf.DUMMYFUNCTION("""COMPUTED_VALUE"""),"BICYCLE")</f>
        <v>BICYCLE</v>
      </c>
      <c r="G2058" s="7" t="str">
        <f>IFERROR(__xludf.DUMMYFUNCTION("""COMPUTED_VALUE"""),"SAO PAULO")</f>
        <v>SAO PAULO</v>
      </c>
    </row>
    <row r="2059">
      <c r="A2059" s="6">
        <f>IFERROR(__xludf.DUMMYFUNCTION("""COMPUTED_VALUE"""),45705.0)</f>
        <v>45705</v>
      </c>
      <c r="B2059" s="7" t="str">
        <f>IFERROR(__xludf.DUMMYFUNCTION("""COMPUTED_VALUE"""),"0b6b7c61-fa04-4a78-a267-dfd20f53c9fa")</f>
        <v>0b6b7c61-fa04-4a78-a267-dfd20f53c9fa</v>
      </c>
      <c r="C2059" s="7">
        <f>IFERROR(__xludf.DUMMYFUNCTION("""COMPUTED_VALUE"""),0.0)</f>
        <v>0</v>
      </c>
      <c r="D2059" s="6">
        <f>IFERROR(__xludf.DUMMYFUNCTION("""COMPUTED_VALUE"""),45705.0)</f>
        <v>45705</v>
      </c>
      <c r="E2059" s="7" t="str">
        <f>IFERROR(__xludf.DUMMYFUNCTION("""COMPUTED_VALUE"""),"FRANQUIA_D&amp;G_SP")</f>
        <v>FRANQUIA_D&amp;G_SP</v>
      </c>
      <c r="F2059" s="7" t="str">
        <f>IFERROR(__xludf.DUMMYFUNCTION("""COMPUTED_VALUE"""),"MOTORCYCLE")</f>
        <v>MOTORCYCLE</v>
      </c>
      <c r="G2059" s="7" t="str">
        <f>IFERROR(__xludf.DUMMYFUNCTION("""COMPUTED_VALUE"""),"SAO PAULO")</f>
        <v>SAO PAULO</v>
      </c>
    </row>
    <row r="2060">
      <c r="A2060" s="6">
        <f>IFERROR(__xludf.DUMMYFUNCTION("""COMPUTED_VALUE"""),45705.0)</f>
        <v>45705</v>
      </c>
      <c r="B2060" s="7" t="str">
        <f>IFERROR(__xludf.DUMMYFUNCTION("""COMPUTED_VALUE"""),"1555e8a1-5fa4-4cab-9d17-c1a1c442aa77")</f>
        <v>1555e8a1-5fa4-4cab-9d17-c1a1c442aa77</v>
      </c>
      <c r="C2060" s="7">
        <f>IFERROR(__xludf.DUMMYFUNCTION("""COMPUTED_VALUE"""),1084.0)</f>
        <v>1084</v>
      </c>
      <c r="D2060" s="6">
        <f>IFERROR(__xludf.DUMMYFUNCTION("""COMPUTED_VALUE"""),44621.0)</f>
        <v>44621</v>
      </c>
      <c r="E2060" s="7" t="str">
        <f>IFERROR(__xludf.DUMMYFUNCTION("""COMPUTED_VALUE"""),"FRANQUIA_D&amp;G_SP")</f>
        <v>FRANQUIA_D&amp;G_SP</v>
      </c>
      <c r="F2060" s="7" t="str">
        <f>IFERROR(__xludf.DUMMYFUNCTION("""COMPUTED_VALUE"""),"MOTORCYCLE")</f>
        <v>MOTORCYCLE</v>
      </c>
      <c r="G2060" s="7" t="str">
        <f>IFERROR(__xludf.DUMMYFUNCTION("""COMPUTED_VALUE"""),"SAO PAULO")</f>
        <v>SAO PAULO</v>
      </c>
    </row>
    <row r="2061">
      <c r="A2061" s="6">
        <f>IFERROR(__xludf.DUMMYFUNCTION("""COMPUTED_VALUE"""),45705.0)</f>
        <v>45705</v>
      </c>
      <c r="B2061" s="7" t="str">
        <f>IFERROR(__xludf.DUMMYFUNCTION("""COMPUTED_VALUE"""),"5c9d3dc1-7585-41df-bc06-69b4e486c2e8")</f>
        <v>5c9d3dc1-7585-41df-bc06-69b4e486c2e8</v>
      </c>
      <c r="C2061" s="7">
        <f>IFERROR(__xludf.DUMMYFUNCTION("""COMPUTED_VALUE"""),0.0)</f>
        <v>0</v>
      </c>
      <c r="D2061" s="6">
        <f>IFERROR(__xludf.DUMMYFUNCTION("""COMPUTED_VALUE"""),45705.0)</f>
        <v>45705</v>
      </c>
      <c r="E2061" s="7" t="str">
        <f>IFERROR(__xludf.DUMMYFUNCTION("""COMPUTED_VALUE"""),"FRANQUIA_D&amp;G_SP")</f>
        <v>FRANQUIA_D&amp;G_SP</v>
      </c>
      <c r="F2061" s="7" t="str">
        <f>IFERROR(__xludf.DUMMYFUNCTION("""COMPUTED_VALUE"""),"MOTORCYCLE")</f>
        <v>MOTORCYCLE</v>
      </c>
      <c r="G2061" s="7" t="str">
        <f>IFERROR(__xludf.DUMMYFUNCTION("""COMPUTED_VALUE"""),"SAO PAULO")</f>
        <v>SAO PAULO</v>
      </c>
    </row>
    <row r="2062">
      <c r="A2062" s="6">
        <f>IFERROR(__xludf.DUMMYFUNCTION("""COMPUTED_VALUE"""),45705.0)</f>
        <v>45705</v>
      </c>
      <c r="B2062" s="7" t="str">
        <f>IFERROR(__xludf.DUMMYFUNCTION("""COMPUTED_VALUE"""),"4890e1ba-4f83-45ee-a225-ae2625c6ef99")</f>
        <v>4890e1ba-4f83-45ee-a225-ae2625c6ef99</v>
      </c>
      <c r="C2062" s="7">
        <f>IFERROR(__xludf.DUMMYFUNCTION("""COMPUTED_VALUE"""),0.0)</f>
        <v>0</v>
      </c>
      <c r="D2062" s="6">
        <f>IFERROR(__xludf.DUMMYFUNCTION("""COMPUTED_VALUE"""),45705.0)</f>
        <v>45705</v>
      </c>
      <c r="E2062" s="7" t="str">
        <f>IFERROR(__xludf.DUMMYFUNCTION("""COMPUTED_VALUE"""),"FRANQUIA_D&amp;G_SP")</f>
        <v>FRANQUIA_D&amp;G_SP</v>
      </c>
      <c r="F2062" s="7" t="str">
        <f>IFERROR(__xludf.DUMMYFUNCTION("""COMPUTED_VALUE"""),"MOTORCYCLE")</f>
        <v>MOTORCYCLE</v>
      </c>
      <c r="G2062" s="7" t="str">
        <f>IFERROR(__xludf.DUMMYFUNCTION("""COMPUTED_VALUE"""),"SAO PAULO")</f>
        <v>SAO PAULO</v>
      </c>
    </row>
    <row r="2063">
      <c r="A2063" s="6">
        <f>IFERROR(__xludf.DUMMYFUNCTION("""COMPUTED_VALUE"""),45705.0)</f>
        <v>45705</v>
      </c>
      <c r="B2063" s="7" t="str">
        <f>IFERROR(__xludf.DUMMYFUNCTION("""COMPUTED_VALUE"""),"ae003a83-0e0b-4bd0-accf-7968efe861e4")</f>
        <v>ae003a83-0e0b-4bd0-accf-7968efe861e4</v>
      </c>
      <c r="C2063" s="7">
        <f>IFERROR(__xludf.DUMMYFUNCTION("""COMPUTED_VALUE"""),0.0)</f>
        <v>0</v>
      </c>
      <c r="D2063" s="6">
        <f>IFERROR(__xludf.DUMMYFUNCTION("""COMPUTED_VALUE"""),45705.0)</f>
        <v>45705</v>
      </c>
      <c r="E2063" s="7" t="str">
        <f>IFERROR(__xludf.DUMMYFUNCTION("""COMPUTED_VALUE"""),"FRANQUIA_D&amp;G_SP")</f>
        <v>FRANQUIA_D&amp;G_SP</v>
      </c>
      <c r="F2063" s="7" t="str">
        <f>IFERROR(__xludf.DUMMYFUNCTION("""COMPUTED_VALUE"""),"MOTORCYCLE")</f>
        <v>MOTORCYCLE</v>
      </c>
      <c r="G2063" s="7" t="str">
        <f>IFERROR(__xludf.DUMMYFUNCTION("""COMPUTED_VALUE"""),"SAO PAULO")</f>
        <v>SAO PAULO</v>
      </c>
    </row>
    <row r="2064">
      <c r="A2064" s="6">
        <f>IFERROR(__xludf.DUMMYFUNCTION("""COMPUTED_VALUE"""),45705.0)</f>
        <v>45705</v>
      </c>
      <c r="B2064" s="7" t="str">
        <f>IFERROR(__xludf.DUMMYFUNCTION("""COMPUTED_VALUE"""),"de708c46-cf2f-4a92-afbd-cf04142edb29")</f>
        <v>de708c46-cf2f-4a92-afbd-cf04142edb29</v>
      </c>
      <c r="C2064" s="7">
        <f>IFERROR(__xludf.DUMMYFUNCTION("""COMPUTED_VALUE"""),28.0)</f>
        <v>28</v>
      </c>
      <c r="D2064" s="6">
        <f>IFERROR(__xludf.DUMMYFUNCTION("""COMPUTED_VALUE"""),45677.0)</f>
        <v>45677</v>
      </c>
      <c r="E2064" s="7" t="str">
        <f>IFERROR(__xludf.DUMMYFUNCTION("""COMPUTED_VALUE"""),"FRANQUIA_D&amp;G_SP")</f>
        <v>FRANQUIA_D&amp;G_SP</v>
      </c>
      <c r="F2064" s="7" t="str">
        <f>IFERROR(__xludf.DUMMYFUNCTION("""COMPUTED_VALUE"""),"BICYCLE")</f>
        <v>BICYCLE</v>
      </c>
      <c r="G2064" s="7" t="str">
        <f>IFERROR(__xludf.DUMMYFUNCTION("""COMPUTED_VALUE"""),"SAO PAULO")</f>
        <v>SAO PAULO</v>
      </c>
    </row>
    <row r="2065">
      <c r="A2065" s="6">
        <f>IFERROR(__xludf.DUMMYFUNCTION("""COMPUTED_VALUE"""),45705.0)</f>
        <v>45705</v>
      </c>
      <c r="B2065" s="7" t="str">
        <f>IFERROR(__xludf.DUMMYFUNCTION("""COMPUTED_VALUE"""),"3c923cbe-11e7-4f0b-a5ab-c4f90f2c63b8")</f>
        <v>3c923cbe-11e7-4f0b-a5ab-c4f90f2c63b8</v>
      </c>
      <c r="C2065" s="7">
        <f>IFERROR(__xludf.DUMMYFUNCTION("""COMPUTED_VALUE"""),18.0)</f>
        <v>18</v>
      </c>
      <c r="D2065" s="6">
        <f>IFERROR(__xludf.DUMMYFUNCTION("""COMPUTED_VALUE"""),45687.0)</f>
        <v>45687</v>
      </c>
      <c r="E2065" s="7" t="str">
        <f>IFERROR(__xludf.DUMMYFUNCTION("""COMPUTED_VALUE"""),"FRANQUIA_D&amp;G_SP")</f>
        <v>FRANQUIA_D&amp;G_SP</v>
      </c>
      <c r="F2065" s="7" t="str">
        <f>IFERROR(__xludf.DUMMYFUNCTION("""COMPUTED_VALUE"""),"MOTORCYCLE")</f>
        <v>MOTORCYCLE</v>
      </c>
      <c r="G2065" s="7" t="str">
        <f>IFERROR(__xludf.DUMMYFUNCTION("""COMPUTED_VALUE"""),"SAO PAULO")</f>
        <v>SAO PAULO</v>
      </c>
    </row>
    <row r="2066">
      <c r="A2066" s="6">
        <f>IFERROR(__xludf.DUMMYFUNCTION("""COMPUTED_VALUE"""),45705.0)</f>
        <v>45705</v>
      </c>
      <c r="B2066" s="7" t="str">
        <f>IFERROR(__xludf.DUMMYFUNCTION("""COMPUTED_VALUE"""),"ad63f53f-070d-4e07-a549-fabce8d8ccac")</f>
        <v>ad63f53f-070d-4e07-a549-fabce8d8ccac</v>
      </c>
      <c r="C2066" s="7">
        <f>IFERROR(__xludf.DUMMYFUNCTION("""COMPUTED_VALUE"""),1.0)</f>
        <v>1</v>
      </c>
      <c r="D2066" s="6">
        <f>IFERROR(__xludf.DUMMYFUNCTION("""COMPUTED_VALUE"""),45704.0)</f>
        <v>45704</v>
      </c>
      <c r="E2066" s="7" t="str">
        <f>IFERROR(__xludf.DUMMYFUNCTION("""COMPUTED_VALUE"""),"FRANQUIA_D&amp;G_SP")</f>
        <v>FRANQUIA_D&amp;G_SP</v>
      </c>
      <c r="F2066" s="7" t="str">
        <f>IFERROR(__xludf.DUMMYFUNCTION("""COMPUTED_VALUE"""),"MOTORCYCLE")</f>
        <v>MOTORCYCLE</v>
      </c>
      <c r="G2066" s="7" t="str">
        <f>IFERROR(__xludf.DUMMYFUNCTION("""COMPUTED_VALUE"""),"ABC")</f>
        <v>ABC</v>
      </c>
    </row>
    <row r="2067">
      <c r="A2067" s="6">
        <f>IFERROR(__xludf.DUMMYFUNCTION("""COMPUTED_VALUE"""),45705.0)</f>
        <v>45705</v>
      </c>
      <c r="B2067" s="7" t="str">
        <f>IFERROR(__xludf.DUMMYFUNCTION("""COMPUTED_VALUE"""),"15742706-74b4-4f7b-8506-1e0fb7b78810")</f>
        <v>15742706-74b4-4f7b-8506-1e0fb7b78810</v>
      </c>
      <c r="C2067" s="7">
        <f>IFERROR(__xludf.DUMMYFUNCTION("""COMPUTED_VALUE"""),3.0)</f>
        <v>3</v>
      </c>
      <c r="D2067" s="6">
        <f>IFERROR(__xludf.DUMMYFUNCTION("""COMPUTED_VALUE"""),45702.0)</f>
        <v>45702</v>
      </c>
      <c r="E2067" s="7" t="str">
        <f>IFERROR(__xludf.DUMMYFUNCTION("""COMPUTED_VALUE"""),"FRANQUIA_D&amp;G_SP")</f>
        <v>FRANQUIA_D&amp;G_SP</v>
      </c>
      <c r="F2067" s="7" t="str">
        <f>IFERROR(__xludf.DUMMYFUNCTION("""COMPUTED_VALUE"""),"MOTORCYCLE")</f>
        <v>MOTORCYCLE</v>
      </c>
      <c r="G2067" s="7" t="str">
        <f>IFERROR(__xludf.DUMMYFUNCTION("""COMPUTED_VALUE"""),"SAO PAULO")</f>
        <v>SAO PAULO</v>
      </c>
    </row>
    <row r="2068">
      <c r="A2068" s="6">
        <f>IFERROR(__xludf.DUMMYFUNCTION("""COMPUTED_VALUE"""),45705.0)</f>
        <v>45705</v>
      </c>
      <c r="B2068" s="7" t="str">
        <f>IFERROR(__xludf.DUMMYFUNCTION("""COMPUTED_VALUE"""),"b83cd2ba-bcb0-402a-aae8-6406b53bc079")</f>
        <v>b83cd2ba-bcb0-402a-aae8-6406b53bc079</v>
      </c>
      <c r="C2068" s="7">
        <f>IFERROR(__xludf.DUMMYFUNCTION("""COMPUTED_VALUE"""),0.0)</f>
        <v>0</v>
      </c>
      <c r="D2068" s="6">
        <f>IFERROR(__xludf.DUMMYFUNCTION("""COMPUTED_VALUE"""),45705.0)</f>
        <v>45705</v>
      </c>
      <c r="E2068" s="7" t="str">
        <f>IFERROR(__xludf.DUMMYFUNCTION("""COMPUTED_VALUE"""),"FRANQUIA_D&amp;G_SP")</f>
        <v>FRANQUIA_D&amp;G_SP</v>
      </c>
      <c r="F2068" s="7" t="str">
        <f>IFERROR(__xludf.DUMMYFUNCTION("""COMPUTED_VALUE"""),"MOTORCYCLE")</f>
        <v>MOTORCYCLE</v>
      </c>
      <c r="G2068" s="7" t="str">
        <f>IFERROR(__xludf.DUMMYFUNCTION("""COMPUTED_VALUE"""),"SAO PAULO")</f>
        <v>SAO PAULO</v>
      </c>
    </row>
    <row r="2069">
      <c r="A2069" s="6">
        <f>IFERROR(__xludf.DUMMYFUNCTION("""COMPUTED_VALUE"""),45705.0)</f>
        <v>45705</v>
      </c>
      <c r="B2069" s="7" t="str">
        <f>IFERROR(__xludf.DUMMYFUNCTION("""COMPUTED_VALUE"""),"01021fea-f084-44ef-8602-a36d77014f8c")</f>
        <v>01021fea-f084-44ef-8602-a36d77014f8c</v>
      </c>
      <c r="C2069" s="7">
        <f>IFERROR(__xludf.DUMMYFUNCTION("""COMPUTED_VALUE"""),399.0)</f>
        <v>399</v>
      </c>
      <c r="D2069" s="6">
        <f>IFERROR(__xludf.DUMMYFUNCTION("""COMPUTED_VALUE"""),45306.0)</f>
        <v>45306</v>
      </c>
      <c r="E2069" s="7" t="str">
        <f>IFERROR(__xludf.DUMMYFUNCTION("""COMPUTED_VALUE"""),"FRANQUIA_D&amp;G_SP")</f>
        <v>FRANQUIA_D&amp;G_SP</v>
      </c>
      <c r="F2069" s="7" t="str">
        <f>IFERROR(__xludf.DUMMYFUNCTION("""COMPUTED_VALUE"""),"MOTORCYCLE")</f>
        <v>MOTORCYCLE</v>
      </c>
      <c r="G2069" s="7" t="str">
        <f>IFERROR(__xludf.DUMMYFUNCTION("""COMPUTED_VALUE"""),"SAO PAULO")</f>
        <v>SAO PAULO</v>
      </c>
    </row>
    <row r="2070">
      <c r="A2070" s="6">
        <f>IFERROR(__xludf.DUMMYFUNCTION("""COMPUTED_VALUE"""),45705.0)</f>
        <v>45705</v>
      </c>
      <c r="B2070" s="7" t="str">
        <f>IFERROR(__xludf.DUMMYFUNCTION("""COMPUTED_VALUE"""),"00e37ad2-576c-46bf-baf9-937e8680c831")</f>
        <v>00e37ad2-576c-46bf-baf9-937e8680c831</v>
      </c>
      <c r="C2070" s="7">
        <f>IFERROR(__xludf.DUMMYFUNCTION("""COMPUTED_VALUE"""),42.0)</f>
        <v>42</v>
      </c>
      <c r="D2070" s="6">
        <f>IFERROR(__xludf.DUMMYFUNCTION("""COMPUTED_VALUE"""),45663.0)</f>
        <v>45663</v>
      </c>
      <c r="E2070" s="7" t="str">
        <f>IFERROR(__xludf.DUMMYFUNCTION("""COMPUTED_VALUE"""),"FRANQUIA_D&amp;G_SP")</f>
        <v>FRANQUIA_D&amp;G_SP</v>
      </c>
      <c r="F2070" s="7" t="str">
        <f>IFERROR(__xludf.DUMMYFUNCTION("""COMPUTED_VALUE"""),"BICYCLE")</f>
        <v>BICYCLE</v>
      </c>
      <c r="G2070" s="7" t="str">
        <f>IFERROR(__xludf.DUMMYFUNCTION("""COMPUTED_VALUE"""),"SAO PAULO")</f>
        <v>SAO PAULO</v>
      </c>
    </row>
    <row r="2071">
      <c r="A2071" s="6">
        <f>IFERROR(__xludf.DUMMYFUNCTION("""COMPUTED_VALUE"""),45705.0)</f>
        <v>45705</v>
      </c>
      <c r="B2071" s="7" t="str">
        <f>IFERROR(__xludf.DUMMYFUNCTION("""COMPUTED_VALUE"""),"0bdba89d-d2fa-4225-b8a4-3d2ab19f2373")</f>
        <v>0bdba89d-d2fa-4225-b8a4-3d2ab19f2373</v>
      </c>
      <c r="C2071" s="7">
        <f>IFERROR(__xludf.DUMMYFUNCTION("""COMPUTED_VALUE"""),3.0)</f>
        <v>3</v>
      </c>
      <c r="D2071" s="6">
        <f>IFERROR(__xludf.DUMMYFUNCTION("""COMPUTED_VALUE"""),45702.0)</f>
        <v>45702</v>
      </c>
      <c r="E2071" s="7" t="str">
        <f>IFERROR(__xludf.DUMMYFUNCTION("""COMPUTED_VALUE"""),"FRANQUIA_D&amp;G_SP")</f>
        <v>FRANQUIA_D&amp;G_SP</v>
      </c>
      <c r="F2071" s="7" t="str">
        <f>IFERROR(__xludf.DUMMYFUNCTION("""COMPUTED_VALUE"""),"MOTORCYCLE")</f>
        <v>MOTORCYCLE</v>
      </c>
      <c r="G2071" s="7" t="str">
        <f>IFERROR(__xludf.DUMMYFUNCTION("""COMPUTED_VALUE"""),"SAO PAULO")</f>
        <v>SAO PAULO</v>
      </c>
    </row>
    <row r="2072">
      <c r="A2072" s="6">
        <f>IFERROR(__xludf.DUMMYFUNCTION("""COMPUTED_VALUE"""),45705.0)</f>
        <v>45705</v>
      </c>
      <c r="B2072" s="7" t="str">
        <f>IFERROR(__xludf.DUMMYFUNCTION("""COMPUTED_VALUE"""),"f4275c56-16a5-4956-b9a4-5de31c192c61")</f>
        <v>f4275c56-16a5-4956-b9a4-5de31c192c61</v>
      </c>
      <c r="C2072" s="7">
        <f>IFERROR(__xludf.DUMMYFUNCTION("""COMPUTED_VALUE"""),25.0)</f>
        <v>25</v>
      </c>
      <c r="D2072" s="6">
        <f>IFERROR(__xludf.DUMMYFUNCTION("""COMPUTED_VALUE"""),45680.0)</f>
        <v>45680</v>
      </c>
      <c r="E2072" s="7" t="str">
        <f>IFERROR(__xludf.DUMMYFUNCTION("""COMPUTED_VALUE"""),"FRANQUIA_D&amp;G_SP")</f>
        <v>FRANQUIA_D&amp;G_SP</v>
      </c>
      <c r="F2072" s="7" t="str">
        <f>IFERROR(__xludf.DUMMYFUNCTION("""COMPUTED_VALUE"""),"MOTORCYCLE")</f>
        <v>MOTORCYCLE</v>
      </c>
      <c r="G2072" s="7" t="str">
        <f>IFERROR(__xludf.DUMMYFUNCTION("""COMPUTED_VALUE"""),"SAO PAULO")</f>
        <v>SAO PAULO</v>
      </c>
    </row>
    <row r="2073">
      <c r="A2073" s="6">
        <f>IFERROR(__xludf.DUMMYFUNCTION("""COMPUTED_VALUE"""),45705.0)</f>
        <v>45705</v>
      </c>
      <c r="B2073" s="7" t="str">
        <f>IFERROR(__xludf.DUMMYFUNCTION("""COMPUTED_VALUE"""),"adbeeacc-f429-4f51-b86b-b3188f4e0537")</f>
        <v>adbeeacc-f429-4f51-b86b-b3188f4e0537</v>
      </c>
      <c r="C2073" s="7">
        <f>IFERROR(__xludf.DUMMYFUNCTION("""COMPUTED_VALUE"""),0.0)</f>
        <v>0</v>
      </c>
      <c r="D2073" s="6">
        <f>IFERROR(__xludf.DUMMYFUNCTION("""COMPUTED_VALUE"""),45705.0)</f>
        <v>45705</v>
      </c>
      <c r="E2073" s="7" t="str">
        <f>IFERROR(__xludf.DUMMYFUNCTION("""COMPUTED_VALUE"""),"FRANQUIA_D&amp;G_SP")</f>
        <v>FRANQUIA_D&amp;G_SP</v>
      </c>
      <c r="F2073" s="7" t="str">
        <f>IFERROR(__xludf.DUMMYFUNCTION("""COMPUTED_VALUE"""),"MOTORCYCLE")</f>
        <v>MOTORCYCLE</v>
      </c>
      <c r="G2073" s="7" t="str">
        <f>IFERROR(__xludf.DUMMYFUNCTION("""COMPUTED_VALUE"""),"SAO PAULO")</f>
        <v>SAO PAULO</v>
      </c>
    </row>
    <row r="2074">
      <c r="A2074" s="6">
        <f>IFERROR(__xludf.DUMMYFUNCTION("""COMPUTED_VALUE"""),45705.0)</f>
        <v>45705</v>
      </c>
      <c r="B2074" s="7" t="str">
        <f>IFERROR(__xludf.DUMMYFUNCTION("""COMPUTED_VALUE"""),"b57ab9c8-768b-4449-a699-700515fdf899")</f>
        <v>b57ab9c8-768b-4449-a699-700515fdf899</v>
      </c>
      <c r="C2074" s="7">
        <f>IFERROR(__xludf.DUMMYFUNCTION("""COMPUTED_VALUE"""),0.0)</f>
        <v>0</v>
      </c>
      <c r="D2074" s="6">
        <f>IFERROR(__xludf.DUMMYFUNCTION("""COMPUTED_VALUE"""),45705.0)</f>
        <v>45705</v>
      </c>
      <c r="E2074" s="7" t="str">
        <f>IFERROR(__xludf.DUMMYFUNCTION("""COMPUTED_VALUE"""),"FRANQUIA_D&amp;G_SP")</f>
        <v>FRANQUIA_D&amp;G_SP</v>
      </c>
      <c r="F2074" s="7" t="str">
        <f>IFERROR(__xludf.DUMMYFUNCTION("""COMPUTED_VALUE"""),"BICYCLE")</f>
        <v>BICYCLE</v>
      </c>
      <c r="G2074" s="7" t="str">
        <f>IFERROR(__xludf.DUMMYFUNCTION("""COMPUTED_VALUE"""),"SAO PAULO")</f>
        <v>SAO PAULO</v>
      </c>
    </row>
    <row r="2075">
      <c r="A2075" s="6">
        <f>IFERROR(__xludf.DUMMYFUNCTION("""COMPUTED_VALUE"""),45705.0)</f>
        <v>45705</v>
      </c>
      <c r="B2075" s="7" t="str">
        <f>IFERROR(__xludf.DUMMYFUNCTION("""COMPUTED_VALUE"""),"6ba0fcde-43eb-443b-a7be-c54de502342b")</f>
        <v>6ba0fcde-43eb-443b-a7be-c54de502342b</v>
      </c>
      <c r="C2075" s="7">
        <f>IFERROR(__xludf.DUMMYFUNCTION("""COMPUTED_VALUE"""),4.0)</f>
        <v>4</v>
      </c>
      <c r="D2075" s="6">
        <f>IFERROR(__xludf.DUMMYFUNCTION("""COMPUTED_VALUE"""),45701.0)</f>
        <v>45701</v>
      </c>
      <c r="E2075" s="7" t="str">
        <f>IFERROR(__xludf.DUMMYFUNCTION("""COMPUTED_VALUE"""),"FRANQUIA_D&amp;G_SP")</f>
        <v>FRANQUIA_D&amp;G_SP</v>
      </c>
      <c r="F2075" s="7" t="str">
        <f>IFERROR(__xludf.DUMMYFUNCTION("""COMPUTED_VALUE"""),"BICYCLE")</f>
        <v>BICYCLE</v>
      </c>
      <c r="G2075" s="7" t="str">
        <f>IFERROR(__xludf.DUMMYFUNCTION("""COMPUTED_VALUE"""),"SAO PAULO")</f>
        <v>SAO PAULO</v>
      </c>
    </row>
    <row r="2076">
      <c r="A2076" s="6">
        <f>IFERROR(__xludf.DUMMYFUNCTION("""COMPUTED_VALUE"""),45705.0)</f>
        <v>45705</v>
      </c>
      <c r="B2076" s="7" t="str">
        <f>IFERROR(__xludf.DUMMYFUNCTION("""COMPUTED_VALUE"""),"b59bb520-4f92-4444-95ac-7c1bab2ea218")</f>
        <v>b59bb520-4f92-4444-95ac-7c1bab2ea218</v>
      </c>
      <c r="C2076" s="7">
        <f>IFERROR(__xludf.DUMMYFUNCTION("""COMPUTED_VALUE"""),1.0)</f>
        <v>1</v>
      </c>
      <c r="D2076" s="6">
        <f>IFERROR(__xludf.DUMMYFUNCTION("""COMPUTED_VALUE"""),45704.0)</f>
        <v>45704</v>
      </c>
      <c r="E2076" s="7" t="str">
        <f>IFERROR(__xludf.DUMMYFUNCTION("""COMPUTED_VALUE"""),"FRANQUIA_D&amp;G_SP")</f>
        <v>FRANQUIA_D&amp;G_SP</v>
      </c>
      <c r="F2076" s="7" t="str">
        <f>IFERROR(__xludf.DUMMYFUNCTION("""COMPUTED_VALUE"""),"MOTORCYCLE")</f>
        <v>MOTORCYCLE</v>
      </c>
      <c r="G2076" s="7" t="str">
        <f>IFERROR(__xludf.DUMMYFUNCTION("""COMPUTED_VALUE"""),"SAO PAULO")</f>
        <v>SAO PAULO</v>
      </c>
    </row>
    <row r="2077">
      <c r="A2077" s="6">
        <f>IFERROR(__xludf.DUMMYFUNCTION("""COMPUTED_VALUE"""),45705.0)</f>
        <v>45705</v>
      </c>
      <c r="B2077" s="7" t="str">
        <f>IFERROR(__xludf.DUMMYFUNCTION("""COMPUTED_VALUE"""),"d847938a-1311-4a7e-a74e-4dbded6cc19e")</f>
        <v>d847938a-1311-4a7e-a74e-4dbded6cc19e</v>
      </c>
      <c r="C2077" s="7">
        <f>IFERROR(__xludf.DUMMYFUNCTION("""COMPUTED_VALUE"""),0.0)</f>
        <v>0</v>
      </c>
      <c r="D2077" s="6">
        <f>IFERROR(__xludf.DUMMYFUNCTION("""COMPUTED_VALUE"""),45705.0)</f>
        <v>45705</v>
      </c>
      <c r="E2077" s="7" t="str">
        <f>IFERROR(__xludf.DUMMYFUNCTION("""COMPUTED_VALUE"""),"FRANQUIA_D&amp;G_SP")</f>
        <v>FRANQUIA_D&amp;G_SP</v>
      </c>
      <c r="F2077" s="7" t="str">
        <f>IFERROR(__xludf.DUMMYFUNCTION("""COMPUTED_VALUE"""),"MOTORCYCLE")</f>
        <v>MOTORCYCLE</v>
      </c>
      <c r="G2077" s="7" t="str">
        <f>IFERROR(__xludf.DUMMYFUNCTION("""COMPUTED_VALUE"""),"SAO PAULO")</f>
        <v>SAO PAULO</v>
      </c>
    </row>
    <row r="2078">
      <c r="A2078" s="6">
        <f>IFERROR(__xludf.DUMMYFUNCTION("""COMPUTED_VALUE"""),45705.0)</f>
        <v>45705</v>
      </c>
      <c r="B2078" s="7" t="str">
        <f>IFERROR(__xludf.DUMMYFUNCTION("""COMPUTED_VALUE"""),"7dfb6fd6-8989-4ee6-95ed-f604c856379d")</f>
        <v>7dfb6fd6-8989-4ee6-95ed-f604c856379d</v>
      </c>
      <c r="C2078" s="7">
        <f>IFERROR(__xludf.DUMMYFUNCTION("""COMPUTED_VALUE"""),0.0)</f>
        <v>0</v>
      </c>
      <c r="D2078" s="6">
        <f>IFERROR(__xludf.DUMMYFUNCTION("""COMPUTED_VALUE"""),45705.0)</f>
        <v>45705</v>
      </c>
      <c r="E2078" s="7" t="str">
        <f>IFERROR(__xludf.DUMMYFUNCTION("""COMPUTED_VALUE"""),"FRANQUIA_D&amp;G_SP")</f>
        <v>FRANQUIA_D&amp;G_SP</v>
      </c>
      <c r="F2078" s="7" t="str">
        <f>IFERROR(__xludf.DUMMYFUNCTION("""COMPUTED_VALUE"""),"MOTORCYCLE")</f>
        <v>MOTORCYCLE</v>
      </c>
      <c r="G2078" s="7" t="str">
        <f>IFERROR(__xludf.DUMMYFUNCTION("""COMPUTED_VALUE"""),"SAO PAULO")</f>
        <v>SAO PAULO</v>
      </c>
    </row>
    <row r="2079">
      <c r="A2079" s="6">
        <f>IFERROR(__xludf.DUMMYFUNCTION("""COMPUTED_VALUE"""),45705.0)</f>
        <v>45705</v>
      </c>
      <c r="B2079" s="7" t="str">
        <f>IFERROR(__xludf.DUMMYFUNCTION("""COMPUTED_VALUE"""),"64d9ac2f-31ce-4831-b054-8624def6262c")</f>
        <v>64d9ac2f-31ce-4831-b054-8624def6262c</v>
      </c>
      <c r="C2079" s="7">
        <f>IFERROR(__xludf.DUMMYFUNCTION("""COMPUTED_VALUE"""),558.0)</f>
        <v>558</v>
      </c>
      <c r="D2079" s="6">
        <f>IFERROR(__xludf.DUMMYFUNCTION("""COMPUTED_VALUE"""),45147.0)</f>
        <v>45147</v>
      </c>
      <c r="E2079" s="7" t="str">
        <f>IFERROR(__xludf.DUMMYFUNCTION("""COMPUTED_VALUE"""),"FRANQUIA_D&amp;G_SP")</f>
        <v>FRANQUIA_D&amp;G_SP</v>
      </c>
      <c r="F2079" s="7" t="str">
        <f>IFERROR(__xludf.DUMMYFUNCTION("""COMPUTED_VALUE"""),"MOTORCYCLE")</f>
        <v>MOTORCYCLE</v>
      </c>
      <c r="G2079" s="7" t="str">
        <f>IFERROR(__xludf.DUMMYFUNCTION("""COMPUTED_VALUE"""),"SAO PAULO")</f>
        <v>SAO PAULO</v>
      </c>
    </row>
    <row r="2080">
      <c r="A2080" s="6">
        <f>IFERROR(__xludf.DUMMYFUNCTION("""COMPUTED_VALUE"""),45705.0)</f>
        <v>45705</v>
      </c>
      <c r="B2080" s="7" t="str">
        <f>IFERROR(__xludf.DUMMYFUNCTION("""COMPUTED_VALUE"""),"d40385b2-2439-41a2-8271-c61b9ead2eda")</f>
        <v>d40385b2-2439-41a2-8271-c61b9ead2eda</v>
      </c>
      <c r="C2080" s="7">
        <f>IFERROR(__xludf.DUMMYFUNCTION("""COMPUTED_VALUE"""),389.0)</f>
        <v>389</v>
      </c>
      <c r="D2080" s="6">
        <f>IFERROR(__xludf.DUMMYFUNCTION("""COMPUTED_VALUE"""),45316.0)</f>
        <v>45316</v>
      </c>
      <c r="E2080" s="7" t="str">
        <f>IFERROR(__xludf.DUMMYFUNCTION("""COMPUTED_VALUE"""),"FRANQUIA_D&amp;G_SP")</f>
        <v>FRANQUIA_D&amp;G_SP</v>
      </c>
      <c r="F2080" s="7" t="str">
        <f>IFERROR(__xludf.DUMMYFUNCTION("""COMPUTED_VALUE"""),"MOTORCYCLE")</f>
        <v>MOTORCYCLE</v>
      </c>
      <c r="G2080" s="7" t="str">
        <f>IFERROR(__xludf.DUMMYFUNCTION("""COMPUTED_VALUE"""),"SAO PAULO")</f>
        <v>SAO PAULO</v>
      </c>
    </row>
    <row r="2081">
      <c r="A2081" s="6">
        <f>IFERROR(__xludf.DUMMYFUNCTION("""COMPUTED_VALUE"""),45705.0)</f>
        <v>45705</v>
      </c>
      <c r="B2081" s="7" t="str">
        <f>IFERROR(__xludf.DUMMYFUNCTION("""COMPUTED_VALUE"""),"71be3bc1-e02c-48a9-8546-cdbb52c7fb94")</f>
        <v>71be3bc1-e02c-48a9-8546-cdbb52c7fb94</v>
      </c>
      <c r="C2081" s="7">
        <f>IFERROR(__xludf.DUMMYFUNCTION("""COMPUTED_VALUE"""),100.0)</f>
        <v>100</v>
      </c>
      <c r="D2081" s="6">
        <f>IFERROR(__xludf.DUMMYFUNCTION("""COMPUTED_VALUE"""),45605.0)</f>
        <v>45605</v>
      </c>
      <c r="E2081" s="7" t="str">
        <f>IFERROR(__xludf.DUMMYFUNCTION("""COMPUTED_VALUE"""),"FRANQUIA_D&amp;G_SP")</f>
        <v>FRANQUIA_D&amp;G_SP</v>
      </c>
      <c r="F2081" s="7" t="str">
        <f>IFERROR(__xludf.DUMMYFUNCTION("""COMPUTED_VALUE"""),"MOTORCYCLE")</f>
        <v>MOTORCYCLE</v>
      </c>
      <c r="G2081" s="7" t="str">
        <f>IFERROR(__xludf.DUMMYFUNCTION("""COMPUTED_VALUE"""),"SAO PAULO")</f>
        <v>SAO PAULO</v>
      </c>
    </row>
    <row r="2082">
      <c r="A2082" s="6">
        <f>IFERROR(__xludf.DUMMYFUNCTION("""COMPUTED_VALUE"""),45705.0)</f>
        <v>45705</v>
      </c>
      <c r="B2082" s="7" t="str">
        <f>IFERROR(__xludf.DUMMYFUNCTION("""COMPUTED_VALUE"""),"e03a969d-9382-4d2f-9917-babf030b3182")</f>
        <v>e03a969d-9382-4d2f-9917-babf030b3182</v>
      </c>
      <c r="C2082" s="7">
        <f>IFERROR(__xludf.DUMMYFUNCTION("""COMPUTED_VALUE"""),1.0)</f>
        <v>1</v>
      </c>
      <c r="D2082" s="6">
        <f>IFERROR(__xludf.DUMMYFUNCTION("""COMPUTED_VALUE"""),45704.0)</f>
        <v>45704</v>
      </c>
      <c r="E2082" s="7" t="str">
        <f>IFERROR(__xludf.DUMMYFUNCTION("""COMPUTED_VALUE"""),"FRANQUIA_D&amp;G_SP")</f>
        <v>FRANQUIA_D&amp;G_SP</v>
      </c>
      <c r="F2082" s="7" t="str">
        <f>IFERROR(__xludf.DUMMYFUNCTION("""COMPUTED_VALUE"""),"MOTORCYCLE")</f>
        <v>MOTORCYCLE</v>
      </c>
      <c r="G2082" s="7" t="str">
        <f>IFERROR(__xludf.DUMMYFUNCTION("""COMPUTED_VALUE"""),"ABC")</f>
        <v>ABC</v>
      </c>
    </row>
    <row r="2083">
      <c r="A2083" s="6">
        <f>IFERROR(__xludf.DUMMYFUNCTION("""COMPUTED_VALUE"""),45705.0)</f>
        <v>45705</v>
      </c>
      <c r="B2083" s="7" t="str">
        <f>IFERROR(__xludf.DUMMYFUNCTION("""COMPUTED_VALUE"""),"fca5cc0d-6bba-479c-9a44-36dca05218e5")</f>
        <v>fca5cc0d-6bba-479c-9a44-36dca05218e5</v>
      </c>
      <c r="C2083" s="7">
        <f>IFERROR(__xludf.DUMMYFUNCTION("""COMPUTED_VALUE"""),13.0)</f>
        <v>13</v>
      </c>
      <c r="D2083" s="6">
        <f>IFERROR(__xludf.DUMMYFUNCTION("""COMPUTED_VALUE"""),45692.0)</f>
        <v>45692</v>
      </c>
      <c r="E2083" s="7" t="str">
        <f>IFERROR(__xludf.DUMMYFUNCTION("""COMPUTED_VALUE"""),"FRANQUIA_D&amp;G_SP")</f>
        <v>FRANQUIA_D&amp;G_SP</v>
      </c>
      <c r="F2083" s="7" t="str">
        <f>IFERROR(__xludf.DUMMYFUNCTION("""COMPUTED_VALUE"""),"MOTORCYCLE")</f>
        <v>MOTORCYCLE</v>
      </c>
      <c r="G2083" s="7" t="str">
        <f>IFERROR(__xludf.DUMMYFUNCTION("""COMPUTED_VALUE"""),"SAO PAULO")</f>
        <v>SAO PAULO</v>
      </c>
    </row>
    <row r="2084">
      <c r="A2084" s="6">
        <f>IFERROR(__xludf.DUMMYFUNCTION("""COMPUTED_VALUE"""),45705.0)</f>
        <v>45705</v>
      </c>
      <c r="B2084" s="7" t="str">
        <f>IFERROR(__xludf.DUMMYFUNCTION("""COMPUTED_VALUE"""),"717660a8-babb-4705-855d-c1512e5da9b6")</f>
        <v>717660a8-babb-4705-855d-c1512e5da9b6</v>
      </c>
      <c r="C2084" s="7">
        <f>IFERROR(__xludf.DUMMYFUNCTION("""COMPUTED_VALUE"""),210.0)</f>
        <v>210</v>
      </c>
      <c r="D2084" s="6">
        <f>IFERROR(__xludf.DUMMYFUNCTION("""COMPUTED_VALUE"""),45495.0)</f>
        <v>45495</v>
      </c>
      <c r="E2084" s="7" t="str">
        <f>IFERROR(__xludf.DUMMYFUNCTION("""COMPUTED_VALUE"""),"FRANQUIA_D&amp;G_SP")</f>
        <v>FRANQUIA_D&amp;G_SP</v>
      </c>
      <c r="F2084" s="7" t="str">
        <f>IFERROR(__xludf.DUMMYFUNCTION("""COMPUTED_VALUE"""),"BICYCLE")</f>
        <v>BICYCLE</v>
      </c>
      <c r="G2084" s="7" t="str">
        <f>IFERROR(__xludf.DUMMYFUNCTION("""COMPUTED_VALUE"""),"SAO PAULO")</f>
        <v>SAO PAULO</v>
      </c>
    </row>
    <row r="2085">
      <c r="A2085" s="6">
        <f>IFERROR(__xludf.DUMMYFUNCTION("""COMPUTED_VALUE"""),45705.0)</f>
        <v>45705</v>
      </c>
      <c r="B2085" s="7" t="str">
        <f>IFERROR(__xludf.DUMMYFUNCTION("""COMPUTED_VALUE"""),"17364109-a632-434d-afa3-d1d283c15008")</f>
        <v>17364109-a632-434d-afa3-d1d283c15008</v>
      </c>
      <c r="C2085" s="7">
        <f>IFERROR(__xludf.DUMMYFUNCTION("""COMPUTED_VALUE"""),12.0)</f>
        <v>12</v>
      </c>
      <c r="D2085" s="6">
        <f>IFERROR(__xludf.DUMMYFUNCTION("""COMPUTED_VALUE"""),45693.0)</f>
        <v>45693</v>
      </c>
      <c r="E2085" s="7" t="str">
        <f>IFERROR(__xludf.DUMMYFUNCTION("""COMPUTED_VALUE"""),"FRANQUIA_D&amp;G_SP")</f>
        <v>FRANQUIA_D&amp;G_SP</v>
      </c>
      <c r="F2085" s="7" t="str">
        <f>IFERROR(__xludf.DUMMYFUNCTION("""COMPUTED_VALUE"""),"BICYCLE")</f>
        <v>BICYCLE</v>
      </c>
      <c r="G2085" s="7" t="str">
        <f>IFERROR(__xludf.DUMMYFUNCTION("""COMPUTED_VALUE"""),"SAO PAULO")</f>
        <v>SAO PAULO</v>
      </c>
    </row>
    <row r="2086">
      <c r="A2086" s="6">
        <f>IFERROR(__xludf.DUMMYFUNCTION("""COMPUTED_VALUE"""),45705.0)</f>
        <v>45705</v>
      </c>
      <c r="B2086" s="7" t="str">
        <f>IFERROR(__xludf.DUMMYFUNCTION("""COMPUTED_VALUE"""),"d20c31d7-892d-4f6d-994c-036c99708459")</f>
        <v>d20c31d7-892d-4f6d-994c-036c99708459</v>
      </c>
      <c r="C2086" s="7">
        <f>IFERROR(__xludf.DUMMYFUNCTION("""COMPUTED_VALUE"""),149.0)</f>
        <v>149</v>
      </c>
      <c r="D2086" s="6">
        <f>IFERROR(__xludf.DUMMYFUNCTION("""COMPUTED_VALUE"""),45556.0)</f>
        <v>45556</v>
      </c>
      <c r="E2086" s="7" t="str">
        <f>IFERROR(__xludf.DUMMYFUNCTION("""COMPUTED_VALUE"""),"FRANQUIA_D&amp;G_SP")</f>
        <v>FRANQUIA_D&amp;G_SP</v>
      </c>
      <c r="F2086" s="7" t="str">
        <f>IFERROR(__xludf.DUMMYFUNCTION("""COMPUTED_VALUE"""),"BICYCLE")</f>
        <v>BICYCLE</v>
      </c>
      <c r="G2086" s="7" t="str">
        <f>IFERROR(__xludf.DUMMYFUNCTION("""COMPUTED_VALUE"""),"SAO PAULO")</f>
        <v>SAO PAULO</v>
      </c>
    </row>
    <row r="2087">
      <c r="A2087" s="6">
        <f>IFERROR(__xludf.DUMMYFUNCTION("""COMPUTED_VALUE"""),45705.0)</f>
        <v>45705</v>
      </c>
      <c r="B2087" s="7" t="str">
        <f>IFERROR(__xludf.DUMMYFUNCTION("""COMPUTED_VALUE"""),"5bcc9b23-f052-4afc-8d0a-b50e613721c7")</f>
        <v>5bcc9b23-f052-4afc-8d0a-b50e613721c7</v>
      </c>
      <c r="C2087" s="7">
        <f>IFERROR(__xludf.DUMMYFUNCTION("""COMPUTED_VALUE"""),0.0)</f>
        <v>0</v>
      </c>
      <c r="D2087" s="6">
        <f>IFERROR(__xludf.DUMMYFUNCTION("""COMPUTED_VALUE"""),45705.0)</f>
        <v>45705</v>
      </c>
      <c r="E2087" s="7" t="str">
        <f>IFERROR(__xludf.DUMMYFUNCTION("""COMPUTED_VALUE"""),"FRANQUIA_D&amp;G_SP")</f>
        <v>FRANQUIA_D&amp;G_SP</v>
      </c>
      <c r="F2087" s="7" t="str">
        <f>IFERROR(__xludf.DUMMYFUNCTION("""COMPUTED_VALUE"""),"BICYCLE")</f>
        <v>BICYCLE</v>
      </c>
      <c r="G2087" s="7" t="str">
        <f>IFERROR(__xludf.DUMMYFUNCTION("""COMPUTED_VALUE"""),"SAO PAULO")</f>
        <v>SAO PAULO</v>
      </c>
    </row>
    <row r="2088">
      <c r="A2088" s="6">
        <f>IFERROR(__xludf.DUMMYFUNCTION("""COMPUTED_VALUE"""),45705.0)</f>
        <v>45705</v>
      </c>
      <c r="B2088" s="7" t="str">
        <f>IFERROR(__xludf.DUMMYFUNCTION("""COMPUTED_VALUE"""),"e4067195-5670-46aa-8de2-29a4fdf5025c")</f>
        <v>e4067195-5670-46aa-8de2-29a4fdf5025c</v>
      </c>
      <c r="C2088" s="7">
        <f>IFERROR(__xludf.DUMMYFUNCTION("""COMPUTED_VALUE"""),0.0)</f>
        <v>0</v>
      </c>
      <c r="D2088" s="6">
        <f>IFERROR(__xludf.DUMMYFUNCTION("""COMPUTED_VALUE"""),0.0)</f>
        <v>0</v>
      </c>
      <c r="E2088" s="7" t="str">
        <f>IFERROR(__xludf.DUMMYFUNCTION("""COMPUTED_VALUE"""),"FRANQUIA_D&amp;G_SP")</f>
        <v>FRANQUIA_D&amp;G_SP</v>
      </c>
      <c r="F2088" s="7" t="str">
        <f>IFERROR(__xludf.DUMMYFUNCTION("""COMPUTED_VALUE"""),"BICYCLE")</f>
        <v>BICYCLE</v>
      </c>
      <c r="G2088" s="7" t="str">
        <f>IFERROR(__xludf.DUMMYFUNCTION("""COMPUTED_VALUE"""),"0")</f>
        <v>0</v>
      </c>
    </row>
    <row r="2089">
      <c r="A2089" s="6">
        <f>IFERROR(__xludf.DUMMYFUNCTION("""COMPUTED_VALUE"""),45705.0)</f>
        <v>45705</v>
      </c>
      <c r="B2089" s="7" t="str">
        <f>IFERROR(__xludf.DUMMYFUNCTION("""COMPUTED_VALUE"""),"4c9ff734-d9c9-4770-bc1b-8eda6111f75d")</f>
        <v>4c9ff734-d9c9-4770-bc1b-8eda6111f75d</v>
      </c>
      <c r="C2089" s="7">
        <f>IFERROR(__xludf.DUMMYFUNCTION("""COMPUTED_VALUE"""),145.0)</f>
        <v>145</v>
      </c>
      <c r="D2089" s="6">
        <f>IFERROR(__xludf.DUMMYFUNCTION("""COMPUTED_VALUE"""),45560.0)</f>
        <v>45560</v>
      </c>
      <c r="E2089" s="7" t="str">
        <f>IFERROR(__xludf.DUMMYFUNCTION("""COMPUTED_VALUE"""),"FRANQUIA_D&amp;G_SP")</f>
        <v>FRANQUIA_D&amp;G_SP</v>
      </c>
      <c r="F2089" s="7" t="str">
        <f>IFERROR(__xludf.DUMMYFUNCTION("""COMPUTED_VALUE"""),"BICYCLE")</f>
        <v>BICYCLE</v>
      </c>
      <c r="G2089" s="7" t="str">
        <f>IFERROR(__xludf.DUMMYFUNCTION("""COMPUTED_VALUE"""),"SAO PAULO")</f>
        <v>SAO PAULO</v>
      </c>
    </row>
    <row r="2090">
      <c r="A2090" s="6">
        <f>IFERROR(__xludf.DUMMYFUNCTION("""COMPUTED_VALUE"""),45705.0)</f>
        <v>45705</v>
      </c>
      <c r="B2090" s="7" t="str">
        <f>IFERROR(__xludf.DUMMYFUNCTION("""COMPUTED_VALUE"""),"08374e6c-d15e-472b-9620-28f0f9b93f40")</f>
        <v>08374e6c-d15e-472b-9620-28f0f9b93f40</v>
      </c>
      <c r="C2090" s="7">
        <f>IFERROR(__xludf.DUMMYFUNCTION("""COMPUTED_VALUE"""),0.0)</f>
        <v>0</v>
      </c>
      <c r="D2090" s="6">
        <f>IFERROR(__xludf.DUMMYFUNCTION("""COMPUTED_VALUE"""),45705.0)</f>
        <v>45705</v>
      </c>
      <c r="E2090" s="7" t="str">
        <f>IFERROR(__xludf.DUMMYFUNCTION("""COMPUTED_VALUE"""),"FRANQUIA_D&amp;G_SP")</f>
        <v>FRANQUIA_D&amp;G_SP</v>
      </c>
      <c r="F2090" s="7" t="str">
        <f>IFERROR(__xludf.DUMMYFUNCTION("""COMPUTED_VALUE"""),"BICYCLE")</f>
        <v>BICYCLE</v>
      </c>
      <c r="G2090" s="7" t="str">
        <f>IFERROR(__xludf.DUMMYFUNCTION("""COMPUTED_VALUE"""),"SAO PAULO")</f>
        <v>SAO PAULO</v>
      </c>
    </row>
    <row r="2091">
      <c r="A2091" s="6">
        <f>IFERROR(__xludf.DUMMYFUNCTION("""COMPUTED_VALUE"""),45705.0)</f>
        <v>45705</v>
      </c>
      <c r="B2091" s="7" t="str">
        <f>IFERROR(__xludf.DUMMYFUNCTION("""COMPUTED_VALUE"""),"586da3ca-99e0-4fc1-838f-b590f94a1634")</f>
        <v>586da3ca-99e0-4fc1-838f-b590f94a1634</v>
      </c>
      <c r="C2091" s="7">
        <f>IFERROR(__xludf.DUMMYFUNCTION("""COMPUTED_VALUE"""),206.0)</f>
        <v>206</v>
      </c>
      <c r="D2091" s="6">
        <f>IFERROR(__xludf.DUMMYFUNCTION("""COMPUTED_VALUE"""),45499.0)</f>
        <v>45499</v>
      </c>
      <c r="E2091" s="7" t="str">
        <f>IFERROR(__xludf.DUMMYFUNCTION("""COMPUTED_VALUE"""),"FRANQUIA_D&amp;G_SP")</f>
        <v>FRANQUIA_D&amp;G_SP</v>
      </c>
      <c r="F2091" s="7" t="str">
        <f>IFERROR(__xludf.DUMMYFUNCTION("""COMPUTED_VALUE"""),"MOTORCYCLE")</f>
        <v>MOTORCYCLE</v>
      </c>
      <c r="G2091" s="7" t="str">
        <f>IFERROR(__xludf.DUMMYFUNCTION("""COMPUTED_VALUE"""),"SAO PAULO")</f>
        <v>SAO PAULO</v>
      </c>
    </row>
    <row r="2092">
      <c r="A2092" s="6">
        <f>IFERROR(__xludf.DUMMYFUNCTION("""COMPUTED_VALUE"""),45705.0)</f>
        <v>45705</v>
      </c>
      <c r="B2092" s="7" t="str">
        <f>IFERROR(__xludf.DUMMYFUNCTION("""COMPUTED_VALUE"""),"fb0eecaa-ee90-44c2-927a-25c447683129")</f>
        <v>fb0eecaa-ee90-44c2-927a-25c447683129</v>
      </c>
      <c r="C2092" s="7">
        <f>IFERROR(__xludf.DUMMYFUNCTION("""COMPUTED_VALUE"""),112.0)</f>
        <v>112</v>
      </c>
      <c r="D2092" s="6">
        <f>IFERROR(__xludf.DUMMYFUNCTION("""COMPUTED_VALUE"""),45593.0)</f>
        <v>45593</v>
      </c>
      <c r="E2092" s="7" t="str">
        <f>IFERROR(__xludf.DUMMYFUNCTION("""COMPUTED_VALUE"""),"FRANQUIA_D&amp;G_SP")</f>
        <v>FRANQUIA_D&amp;G_SP</v>
      </c>
      <c r="F2092" s="7" t="str">
        <f>IFERROR(__xludf.DUMMYFUNCTION("""COMPUTED_VALUE"""),"MOTORCYCLE")</f>
        <v>MOTORCYCLE</v>
      </c>
      <c r="G2092" s="7" t="str">
        <f>IFERROR(__xludf.DUMMYFUNCTION("""COMPUTED_VALUE"""),"SAO PAULO")</f>
        <v>SAO PAULO</v>
      </c>
    </row>
    <row r="2093">
      <c r="A2093" s="6">
        <f>IFERROR(__xludf.DUMMYFUNCTION("""COMPUTED_VALUE"""),45705.0)</f>
        <v>45705</v>
      </c>
      <c r="B2093" s="7" t="str">
        <f>IFERROR(__xludf.DUMMYFUNCTION("""COMPUTED_VALUE"""),"9fad7790-efd2-4d68-8451-91ddb1080f96")</f>
        <v>9fad7790-efd2-4d68-8451-91ddb1080f96</v>
      </c>
      <c r="C2093" s="7">
        <f>IFERROR(__xludf.DUMMYFUNCTION("""COMPUTED_VALUE"""),158.0)</f>
        <v>158</v>
      </c>
      <c r="D2093" s="6">
        <f>IFERROR(__xludf.DUMMYFUNCTION("""COMPUTED_VALUE"""),45547.0)</f>
        <v>45547</v>
      </c>
      <c r="E2093" s="7" t="str">
        <f>IFERROR(__xludf.DUMMYFUNCTION("""COMPUTED_VALUE"""),"FRANQUIA_D&amp;G_SP")</f>
        <v>FRANQUIA_D&amp;G_SP</v>
      </c>
      <c r="F2093" s="7" t="str">
        <f>IFERROR(__xludf.DUMMYFUNCTION("""COMPUTED_VALUE"""),"BICYCLE")</f>
        <v>BICYCLE</v>
      </c>
      <c r="G2093" s="7" t="str">
        <f>IFERROR(__xludf.DUMMYFUNCTION("""COMPUTED_VALUE"""),"SAO PAULO")</f>
        <v>SAO PAULO</v>
      </c>
    </row>
    <row r="2094">
      <c r="A2094" s="6">
        <f>IFERROR(__xludf.DUMMYFUNCTION("""COMPUTED_VALUE"""),45705.0)</f>
        <v>45705</v>
      </c>
      <c r="B2094" s="7" t="str">
        <f>IFERROR(__xludf.DUMMYFUNCTION("""COMPUTED_VALUE"""),"e0b8dc46-4cda-41ea-b5ea-71d33b20feaf")</f>
        <v>e0b8dc46-4cda-41ea-b5ea-71d33b20feaf</v>
      </c>
      <c r="C2094" s="7">
        <f>IFERROR(__xludf.DUMMYFUNCTION("""COMPUTED_VALUE"""),8.0)</f>
        <v>8</v>
      </c>
      <c r="D2094" s="6">
        <f>IFERROR(__xludf.DUMMYFUNCTION("""COMPUTED_VALUE"""),45697.0)</f>
        <v>45697</v>
      </c>
      <c r="E2094" s="7" t="str">
        <f>IFERROR(__xludf.DUMMYFUNCTION("""COMPUTED_VALUE"""),"FRANQUIA_D&amp;G_SP")</f>
        <v>FRANQUIA_D&amp;G_SP</v>
      </c>
      <c r="F2094" s="7" t="str">
        <f>IFERROR(__xludf.DUMMYFUNCTION("""COMPUTED_VALUE"""),"EMOTORCYCLE")</f>
        <v>EMOTORCYCLE</v>
      </c>
      <c r="G2094" s="7" t="str">
        <f>IFERROR(__xludf.DUMMYFUNCTION("""COMPUTED_VALUE"""),"SAO PAULO")</f>
        <v>SAO PAULO</v>
      </c>
    </row>
    <row r="2095">
      <c r="A2095" s="6">
        <f>IFERROR(__xludf.DUMMYFUNCTION("""COMPUTED_VALUE"""),45705.0)</f>
        <v>45705</v>
      </c>
      <c r="B2095" s="7" t="str">
        <f>IFERROR(__xludf.DUMMYFUNCTION("""COMPUTED_VALUE"""),"16476e6c-8368-4b84-a838-52d8710f2d6a")</f>
        <v>16476e6c-8368-4b84-a838-52d8710f2d6a</v>
      </c>
      <c r="C2095" s="7">
        <f>IFERROR(__xludf.DUMMYFUNCTION("""COMPUTED_VALUE"""),0.0)</f>
        <v>0</v>
      </c>
      <c r="D2095" s="6">
        <f>IFERROR(__xludf.DUMMYFUNCTION("""COMPUTED_VALUE"""),45705.0)</f>
        <v>45705</v>
      </c>
      <c r="E2095" s="7" t="str">
        <f>IFERROR(__xludf.DUMMYFUNCTION("""COMPUTED_VALUE"""),"FRANQUIA_D&amp;G_SP")</f>
        <v>FRANQUIA_D&amp;G_SP</v>
      </c>
      <c r="F2095" s="7" t="str">
        <f>IFERROR(__xludf.DUMMYFUNCTION("""COMPUTED_VALUE"""),"MOTORCYCLE")</f>
        <v>MOTORCYCLE</v>
      </c>
      <c r="G2095" s="7" t="str">
        <f>IFERROR(__xludf.DUMMYFUNCTION("""COMPUTED_VALUE"""),"SAO PAULO")</f>
        <v>SAO PAULO</v>
      </c>
    </row>
    <row r="2096">
      <c r="A2096" s="6">
        <f>IFERROR(__xludf.DUMMYFUNCTION("""COMPUTED_VALUE"""),45705.0)</f>
        <v>45705</v>
      </c>
      <c r="B2096" s="7" t="str">
        <f>IFERROR(__xludf.DUMMYFUNCTION("""COMPUTED_VALUE"""),"6b1fa4bb-2923-4a72-a34e-685c57476627")</f>
        <v>6b1fa4bb-2923-4a72-a34e-685c57476627</v>
      </c>
      <c r="C2096" s="7">
        <f>IFERROR(__xludf.DUMMYFUNCTION("""COMPUTED_VALUE"""),60.0)</f>
        <v>60</v>
      </c>
      <c r="D2096" s="6">
        <f>IFERROR(__xludf.DUMMYFUNCTION("""COMPUTED_VALUE"""),45645.0)</f>
        <v>45645</v>
      </c>
      <c r="E2096" s="7" t="str">
        <f>IFERROR(__xludf.DUMMYFUNCTION("""COMPUTED_VALUE"""),"FRANQUIA_D&amp;G_SP")</f>
        <v>FRANQUIA_D&amp;G_SP</v>
      </c>
      <c r="F2096" s="7" t="str">
        <f>IFERROR(__xludf.DUMMYFUNCTION("""COMPUTED_VALUE"""),"MOTORCYCLE")</f>
        <v>MOTORCYCLE</v>
      </c>
      <c r="G2096" s="7" t="str">
        <f>IFERROR(__xludf.DUMMYFUNCTION("""COMPUTED_VALUE"""),"TABOAO DA SERRA")</f>
        <v>TABOAO DA SERRA</v>
      </c>
    </row>
    <row r="2097">
      <c r="A2097" s="6">
        <f>IFERROR(__xludf.DUMMYFUNCTION("""COMPUTED_VALUE"""),45705.0)</f>
        <v>45705</v>
      </c>
      <c r="B2097" s="7" t="str">
        <f>IFERROR(__xludf.DUMMYFUNCTION("""COMPUTED_VALUE"""),"42b2e123-3394-4870-a2e3-fc0bdc0a89f0")</f>
        <v>42b2e123-3394-4870-a2e3-fc0bdc0a89f0</v>
      </c>
      <c r="C2097" s="7">
        <f>IFERROR(__xludf.DUMMYFUNCTION("""COMPUTED_VALUE"""),14.0)</f>
        <v>14</v>
      </c>
      <c r="D2097" s="6">
        <f>IFERROR(__xludf.DUMMYFUNCTION("""COMPUTED_VALUE"""),45691.0)</f>
        <v>45691</v>
      </c>
      <c r="E2097" s="7" t="str">
        <f>IFERROR(__xludf.DUMMYFUNCTION("""COMPUTED_VALUE"""),"FRANQUIA_D&amp;G_SP")</f>
        <v>FRANQUIA_D&amp;G_SP</v>
      </c>
      <c r="F2097" s="7" t="str">
        <f>IFERROR(__xludf.DUMMYFUNCTION("""COMPUTED_VALUE"""),"MOTORCYCLE")</f>
        <v>MOTORCYCLE</v>
      </c>
      <c r="G2097" s="7" t="str">
        <f>IFERROR(__xludf.DUMMYFUNCTION("""COMPUTED_VALUE"""),"SAO PAULO")</f>
        <v>SAO PAULO</v>
      </c>
    </row>
    <row r="2098">
      <c r="A2098" s="6">
        <f>IFERROR(__xludf.DUMMYFUNCTION("""COMPUTED_VALUE"""),45705.0)</f>
        <v>45705</v>
      </c>
      <c r="B2098" s="7" t="str">
        <f>IFERROR(__xludf.DUMMYFUNCTION("""COMPUTED_VALUE"""),"448a85d9-f920-4324-92c9-06dc6846c1ca")</f>
        <v>448a85d9-f920-4324-92c9-06dc6846c1ca</v>
      </c>
      <c r="C2098" s="7">
        <f>IFERROR(__xludf.DUMMYFUNCTION("""COMPUTED_VALUE"""),327.0)</f>
        <v>327</v>
      </c>
      <c r="D2098" s="6">
        <f>IFERROR(__xludf.DUMMYFUNCTION("""COMPUTED_VALUE"""),45378.0)</f>
        <v>45378</v>
      </c>
      <c r="E2098" s="7" t="str">
        <f>IFERROR(__xludf.DUMMYFUNCTION("""COMPUTED_VALUE"""),"FRANQUIA_D&amp;G_SP")</f>
        <v>FRANQUIA_D&amp;G_SP</v>
      </c>
      <c r="F2098" s="7" t="str">
        <f>IFERROR(__xludf.DUMMYFUNCTION("""COMPUTED_VALUE"""),"BICYCLE")</f>
        <v>BICYCLE</v>
      </c>
      <c r="G2098" s="7" t="str">
        <f>IFERROR(__xludf.DUMMYFUNCTION("""COMPUTED_VALUE"""),"SAO PAULO")</f>
        <v>SAO PAULO</v>
      </c>
    </row>
    <row r="2099">
      <c r="A2099" s="6">
        <f>IFERROR(__xludf.DUMMYFUNCTION("""COMPUTED_VALUE"""),45705.0)</f>
        <v>45705</v>
      </c>
      <c r="B2099" s="7" t="str">
        <f>IFERROR(__xludf.DUMMYFUNCTION("""COMPUTED_VALUE"""),"cc1f08c8-dcf4-47ea-8ccc-1eafa226df2a")</f>
        <v>cc1f08c8-dcf4-47ea-8ccc-1eafa226df2a</v>
      </c>
      <c r="C2099" s="7">
        <f>IFERROR(__xludf.DUMMYFUNCTION("""COMPUTED_VALUE"""),0.0)</f>
        <v>0</v>
      </c>
      <c r="D2099" s="6">
        <f>IFERROR(__xludf.DUMMYFUNCTION("""COMPUTED_VALUE"""),45705.0)</f>
        <v>45705</v>
      </c>
      <c r="E2099" s="7" t="str">
        <f>IFERROR(__xludf.DUMMYFUNCTION("""COMPUTED_VALUE"""),"FRANQUIA_D&amp;G_SP")</f>
        <v>FRANQUIA_D&amp;G_SP</v>
      </c>
      <c r="F2099" s="7" t="str">
        <f>IFERROR(__xludf.DUMMYFUNCTION("""COMPUTED_VALUE"""),"MOTORCYCLE")</f>
        <v>MOTORCYCLE</v>
      </c>
      <c r="G2099" s="7" t="str">
        <f>IFERROR(__xludf.DUMMYFUNCTION("""COMPUTED_VALUE"""),"SAO PAULO")</f>
        <v>SAO PAULO</v>
      </c>
    </row>
    <row r="2100">
      <c r="A2100" s="6">
        <f>IFERROR(__xludf.DUMMYFUNCTION("""COMPUTED_VALUE"""),45705.0)</f>
        <v>45705</v>
      </c>
      <c r="B2100" s="7" t="str">
        <f>IFERROR(__xludf.DUMMYFUNCTION("""COMPUTED_VALUE"""),"e2171cac-9395-47f9-bb7a-30cf30ce516a")</f>
        <v>e2171cac-9395-47f9-bb7a-30cf30ce516a</v>
      </c>
      <c r="C2100" s="7">
        <f>IFERROR(__xludf.DUMMYFUNCTION("""COMPUTED_VALUE"""),127.0)</f>
        <v>127</v>
      </c>
      <c r="D2100" s="6">
        <f>IFERROR(__xludf.DUMMYFUNCTION("""COMPUTED_VALUE"""),45578.0)</f>
        <v>45578</v>
      </c>
      <c r="E2100" s="7" t="str">
        <f>IFERROR(__xludf.DUMMYFUNCTION("""COMPUTED_VALUE"""),"FRANQUIA_D&amp;G_SP")</f>
        <v>FRANQUIA_D&amp;G_SP</v>
      </c>
      <c r="F2100" s="7" t="str">
        <f>IFERROR(__xludf.DUMMYFUNCTION("""COMPUTED_VALUE"""),"MOTORCYCLE")</f>
        <v>MOTORCYCLE</v>
      </c>
      <c r="G2100" s="7" t="str">
        <f>IFERROR(__xludf.DUMMYFUNCTION("""COMPUTED_VALUE"""),"ABC")</f>
        <v>ABC</v>
      </c>
    </row>
    <row r="2101">
      <c r="A2101" s="6">
        <f>IFERROR(__xludf.DUMMYFUNCTION("""COMPUTED_VALUE"""),45705.0)</f>
        <v>45705</v>
      </c>
      <c r="B2101" s="7" t="str">
        <f>IFERROR(__xludf.DUMMYFUNCTION("""COMPUTED_VALUE"""),"acdd10c2-21cb-4f3a-b306-47d42924d335")</f>
        <v>acdd10c2-21cb-4f3a-b306-47d42924d335</v>
      </c>
      <c r="C2101" s="7">
        <f>IFERROR(__xludf.DUMMYFUNCTION("""COMPUTED_VALUE"""),1.0)</f>
        <v>1</v>
      </c>
      <c r="D2101" s="6">
        <f>IFERROR(__xludf.DUMMYFUNCTION("""COMPUTED_VALUE"""),45704.0)</f>
        <v>45704</v>
      </c>
      <c r="E2101" s="7" t="str">
        <f>IFERROR(__xludf.DUMMYFUNCTION("""COMPUTED_VALUE"""),"FRANQUIA_D&amp;G_SP")</f>
        <v>FRANQUIA_D&amp;G_SP</v>
      </c>
      <c r="F2101" s="7" t="str">
        <f>IFERROR(__xludf.DUMMYFUNCTION("""COMPUTED_VALUE"""),"BICYCLE")</f>
        <v>BICYCLE</v>
      </c>
      <c r="G2101" s="7" t="str">
        <f>IFERROR(__xludf.DUMMYFUNCTION("""COMPUTED_VALUE"""),"SAO PAULO")</f>
        <v>SAO PAULO</v>
      </c>
    </row>
    <row r="2102">
      <c r="A2102" s="6">
        <f>IFERROR(__xludf.DUMMYFUNCTION("""COMPUTED_VALUE"""),45705.0)</f>
        <v>45705</v>
      </c>
      <c r="B2102" s="7" t="str">
        <f>IFERROR(__xludf.DUMMYFUNCTION("""COMPUTED_VALUE"""),"19708b60-fd04-4964-956c-c5e0fee1e4cb")</f>
        <v>19708b60-fd04-4964-956c-c5e0fee1e4cb</v>
      </c>
      <c r="C2102" s="7">
        <f>IFERROR(__xludf.DUMMYFUNCTION("""COMPUTED_VALUE"""),35.0)</f>
        <v>35</v>
      </c>
      <c r="D2102" s="6">
        <f>IFERROR(__xludf.DUMMYFUNCTION("""COMPUTED_VALUE"""),45670.0)</f>
        <v>45670</v>
      </c>
      <c r="E2102" s="7" t="str">
        <f>IFERROR(__xludf.DUMMYFUNCTION("""COMPUTED_VALUE"""),"FRANQUIA_D&amp;G_SP")</f>
        <v>FRANQUIA_D&amp;G_SP</v>
      </c>
      <c r="F2102" s="7" t="str">
        <f>IFERROR(__xludf.DUMMYFUNCTION("""COMPUTED_VALUE"""),"BICYCLE")</f>
        <v>BICYCLE</v>
      </c>
      <c r="G2102" s="7" t="str">
        <f>IFERROR(__xludf.DUMMYFUNCTION("""COMPUTED_VALUE"""),"SAO PAULO")</f>
        <v>SAO PAULO</v>
      </c>
    </row>
    <row r="2103">
      <c r="A2103" s="6">
        <f>IFERROR(__xludf.DUMMYFUNCTION("""COMPUTED_VALUE"""),45705.0)</f>
        <v>45705</v>
      </c>
      <c r="B2103" s="7" t="str">
        <f>IFERROR(__xludf.DUMMYFUNCTION("""COMPUTED_VALUE"""),"f3bceafe-064e-4e99-a589-c12837af3a85")</f>
        <v>f3bceafe-064e-4e99-a589-c12837af3a85</v>
      </c>
      <c r="C2103" s="7">
        <f>IFERROR(__xludf.DUMMYFUNCTION("""COMPUTED_VALUE"""),61.0)</f>
        <v>61</v>
      </c>
      <c r="D2103" s="6">
        <f>IFERROR(__xludf.DUMMYFUNCTION("""COMPUTED_VALUE"""),45644.0)</f>
        <v>45644</v>
      </c>
      <c r="E2103" s="7" t="str">
        <f>IFERROR(__xludf.DUMMYFUNCTION("""COMPUTED_VALUE"""),"FRANQUIA_D&amp;G_SP")</f>
        <v>FRANQUIA_D&amp;G_SP</v>
      </c>
      <c r="F2103" s="7" t="str">
        <f>IFERROR(__xludf.DUMMYFUNCTION("""COMPUTED_VALUE"""),"MOTORCYCLE")</f>
        <v>MOTORCYCLE</v>
      </c>
      <c r="G2103" s="7" t="str">
        <f>IFERROR(__xludf.DUMMYFUNCTION("""COMPUTED_VALUE"""),"SAO PAULO")</f>
        <v>SAO PAULO</v>
      </c>
    </row>
    <row r="2104">
      <c r="A2104" s="6">
        <f>IFERROR(__xludf.DUMMYFUNCTION("""COMPUTED_VALUE"""),45705.0)</f>
        <v>45705</v>
      </c>
      <c r="B2104" s="7" t="str">
        <f>IFERROR(__xludf.DUMMYFUNCTION("""COMPUTED_VALUE"""),"5da7a1c2-8a64-4365-97c1-8ee97d005561")</f>
        <v>5da7a1c2-8a64-4365-97c1-8ee97d005561</v>
      </c>
      <c r="C2104" s="7">
        <f>IFERROR(__xludf.DUMMYFUNCTION("""COMPUTED_VALUE"""),0.0)</f>
        <v>0</v>
      </c>
      <c r="D2104" s="6">
        <f>IFERROR(__xludf.DUMMYFUNCTION("""COMPUTED_VALUE"""),45705.0)</f>
        <v>45705</v>
      </c>
      <c r="E2104" s="7" t="str">
        <f>IFERROR(__xludf.DUMMYFUNCTION("""COMPUTED_VALUE"""),"FRANQUIA_D&amp;G_SP")</f>
        <v>FRANQUIA_D&amp;G_SP</v>
      </c>
      <c r="F2104" s="7" t="str">
        <f>IFERROR(__xludf.DUMMYFUNCTION("""COMPUTED_VALUE"""),"MOTORCYCLE")</f>
        <v>MOTORCYCLE</v>
      </c>
      <c r="G2104" s="7" t="str">
        <f>IFERROR(__xludf.DUMMYFUNCTION("""COMPUTED_VALUE"""),"SAO PAULO")</f>
        <v>SAO PAULO</v>
      </c>
    </row>
    <row r="2105">
      <c r="A2105" s="6">
        <f>IFERROR(__xludf.DUMMYFUNCTION("""COMPUTED_VALUE"""),45705.0)</f>
        <v>45705</v>
      </c>
      <c r="B2105" s="7" t="str">
        <f>IFERROR(__xludf.DUMMYFUNCTION("""COMPUTED_VALUE"""),"b5a78106-6014-4bb7-a048-c40ffb1b0cbc")</f>
        <v>b5a78106-6014-4bb7-a048-c40ffb1b0cbc</v>
      </c>
      <c r="C2105" s="7">
        <f>IFERROR(__xludf.DUMMYFUNCTION("""COMPUTED_VALUE"""),0.0)</f>
        <v>0</v>
      </c>
      <c r="D2105" s="6">
        <f>IFERROR(__xludf.DUMMYFUNCTION("""COMPUTED_VALUE"""),45705.0)</f>
        <v>45705</v>
      </c>
      <c r="E2105" s="7" t="str">
        <f>IFERROR(__xludf.DUMMYFUNCTION("""COMPUTED_VALUE"""),"FRANQUIA_D&amp;G_SP")</f>
        <v>FRANQUIA_D&amp;G_SP</v>
      </c>
      <c r="F2105" s="7" t="str">
        <f>IFERROR(__xludf.DUMMYFUNCTION("""COMPUTED_VALUE"""),"BICYCLE")</f>
        <v>BICYCLE</v>
      </c>
      <c r="G2105" s="7" t="str">
        <f>IFERROR(__xludf.DUMMYFUNCTION("""COMPUTED_VALUE"""),"SAO PAULO")</f>
        <v>SAO PAULO</v>
      </c>
    </row>
    <row r="2106">
      <c r="A2106" s="6">
        <f>IFERROR(__xludf.DUMMYFUNCTION("""COMPUTED_VALUE"""),45705.0)</f>
        <v>45705</v>
      </c>
      <c r="B2106" s="7" t="str">
        <f>IFERROR(__xludf.DUMMYFUNCTION("""COMPUTED_VALUE"""),"162bcc4f-ea9f-4620-8a25-ed3491d4aa56")</f>
        <v>162bcc4f-ea9f-4620-8a25-ed3491d4aa56</v>
      </c>
      <c r="C2106" s="7">
        <f>IFERROR(__xludf.DUMMYFUNCTION("""COMPUTED_VALUE"""),0.0)</f>
        <v>0</v>
      </c>
      <c r="D2106" s="6">
        <f>IFERROR(__xludf.DUMMYFUNCTION("""COMPUTED_VALUE"""),45705.0)</f>
        <v>45705</v>
      </c>
      <c r="E2106" s="7" t="str">
        <f>IFERROR(__xludf.DUMMYFUNCTION("""COMPUTED_VALUE"""),"FRANQUIA_D&amp;G_SP")</f>
        <v>FRANQUIA_D&amp;G_SP</v>
      </c>
      <c r="F2106" s="7" t="str">
        <f>IFERROR(__xludf.DUMMYFUNCTION("""COMPUTED_VALUE"""),"BICYCLE")</f>
        <v>BICYCLE</v>
      </c>
      <c r="G2106" s="7" t="str">
        <f>IFERROR(__xludf.DUMMYFUNCTION("""COMPUTED_VALUE"""),"SAO PAULO")</f>
        <v>SAO PAULO</v>
      </c>
    </row>
    <row r="2107">
      <c r="A2107" s="6">
        <f>IFERROR(__xludf.DUMMYFUNCTION("""COMPUTED_VALUE"""),45705.0)</f>
        <v>45705</v>
      </c>
      <c r="B2107" s="7" t="str">
        <f>IFERROR(__xludf.DUMMYFUNCTION("""COMPUTED_VALUE"""),"67543433-0869-4b00-ae02-977c45219639")</f>
        <v>67543433-0869-4b00-ae02-977c45219639</v>
      </c>
      <c r="C2107" s="7">
        <f>IFERROR(__xludf.DUMMYFUNCTION("""COMPUTED_VALUE"""),1737.0)</f>
        <v>1737</v>
      </c>
      <c r="D2107" s="6">
        <f>IFERROR(__xludf.DUMMYFUNCTION("""COMPUTED_VALUE"""),43968.0)</f>
        <v>43968</v>
      </c>
      <c r="E2107" s="7" t="str">
        <f>IFERROR(__xludf.DUMMYFUNCTION("""COMPUTED_VALUE"""),"FRANQUIA_D&amp;G_SP")</f>
        <v>FRANQUIA_D&amp;G_SP</v>
      </c>
      <c r="F2107" s="7" t="str">
        <f>IFERROR(__xludf.DUMMYFUNCTION("""COMPUTED_VALUE"""),"BICYCLE")</f>
        <v>BICYCLE</v>
      </c>
      <c r="G2107" s="7" t="str">
        <f>IFERROR(__xludf.DUMMYFUNCTION("""COMPUTED_VALUE"""),"ABC")</f>
        <v>ABC</v>
      </c>
    </row>
    <row r="2108">
      <c r="A2108" s="6">
        <f>IFERROR(__xludf.DUMMYFUNCTION("""COMPUTED_VALUE"""),45705.0)</f>
        <v>45705</v>
      </c>
      <c r="B2108" s="7" t="str">
        <f>IFERROR(__xludf.DUMMYFUNCTION("""COMPUTED_VALUE"""),"35ed704c-9226-48ba-a7a6-30000f5c9d90")</f>
        <v>35ed704c-9226-48ba-a7a6-30000f5c9d90</v>
      </c>
      <c r="C2108" s="7">
        <f>IFERROR(__xludf.DUMMYFUNCTION("""COMPUTED_VALUE"""),112.0)</f>
        <v>112</v>
      </c>
      <c r="D2108" s="6">
        <f>IFERROR(__xludf.DUMMYFUNCTION("""COMPUTED_VALUE"""),45593.0)</f>
        <v>45593</v>
      </c>
      <c r="E2108" s="7" t="str">
        <f>IFERROR(__xludf.DUMMYFUNCTION("""COMPUTED_VALUE"""),"FRANQUIA_D&amp;G_SP")</f>
        <v>FRANQUIA_D&amp;G_SP</v>
      </c>
      <c r="F2108" s="7" t="str">
        <f>IFERROR(__xludf.DUMMYFUNCTION("""COMPUTED_VALUE"""),"MOTORCYCLE")</f>
        <v>MOTORCYCLE</v>
      </c>
      <c r="G2108" s="7" t="str">
        <f>IFERROR(__xludf.DUMMYFUNCTION("""COMPUTED_VALUE"""),"SAO PAULO")</f>
        <v>SAO PAULO</v>
      </c>
    </row>
    <row r="2109">
      <c r="A2109" s="6">
        <f>IFERROR(__xludf.DUMMYFUNCTION("""COMPUTED_VALUE"""),45705.0)</f>
        <v>45705</v>
      </c>
      <c r="B2109" s="7" t="str">
        <f>IFERROR(__xludf.DUMMYFUNCTION("""COMPUTED_VALUE"""),"2d80d750-8483-44e8-a64d-b3591f0af38b")</f>
        <v>2d80d750-8483-44e8-a64d-b3591f0af38b</v>
      </c>
      <c r="C2109" s="7">
        <f>IFERROR(__xludf.DUMMYFUNCTION("""COMPUTED_VALUE"""),116.0)</f>
        <v>116</v>
      </c>
      <c r="D2109" s="6">
        <f>IFERROR(__xludf.DUMMYFUNCTION("""COMPUTED_VALUE"""),45589.0)</f>
        <v>45589</v>
      </c>
      <c r="E2109" s="7" t="str">
        <f>IFERROR(__xludf.DUMMYFUNCTION("""COMPUTED_VALUE"""),"FRANQUIA_D&amp;G_SP")</f>
        <v>FRANQUIA_D&amp;G_SP</v>
      </c>
      <c r="F2109" s="7" t="str">
        <f>IFERROR(__xludf.DUMMYFUNCTION("""COMPUTED_VALUE"""),"MOTORCYCLE")</f>
        <v>MOTORCYCLE</v>
      </c>
      <c r="G2109" s="7" t="str">
        <f>IFERROR(__xludf.DUMMYFUNCTION("""COMPUTED_VALUE"""),"SAO PAULO")</f>
        <v>SAO PAULO</v>
      </c>
    </row>
    <row r="2110">
      <c r="A2110" s="6">
        <f>IFERROR(__xludf.DUMMYFUNCTION("""COMPUTED_VALUE"""),45705.0)</f>
        <v>45705</v>
      </c>
      <c r="B2110" s="7" t="str">
        <f>IFERROR(__xludf.DUMMYFUNCTION("""COMPUTED_VALUE"""),"3d8c5c51-f6ae-492d-9487-3b29346b5d77")</f>
        <v>3d8c5c51-f6ae-492d-9487-3b29346b5d77</v>
      </c>
      <c r="C2110" s="7">
        <f>IFERROR(__xludf.DUMMYFUNCTION("""COMPUTED_VALUE"""),1.0)</f>
        <v>1</v>
      </c>
      <c r="D2110" s="6">
        <f>IFERROR(__xludf.DUMMYFUNCTION("""COMPUTED_VALUE"""),45704.0)</f>
        <v>45704</v>
      </c>
      <c r="E2110" s="7" t="str">
        <f>IFERROR(__xludf.DUMMYFUNCTION("""COMPUTED_VALUE"""),"FRANQUIA_D&amp;G_SP")</f>
        <v>FRANQUIA_D&amp;G_SP</v>
      </c>
      <c r="F2110" s="7" t="str">
        <f>IFERROR(__xludf.DUMMYFUNCTION("""COMPUTED_VALUE"""),"MOTORCYCLE")</f>
        <v>MOTORCYCLE</v>
      </c>
      <c r="G2110" s="7" t="str">
        <f>IFERROR(__xludf.DUMMYFUNCTION("""COMPUTED_VALUE"""),"ABC")</f>
        <v>ABC</v>
      </c>
    </row>
    <row r="2111">
      <c r="A2111" s="6">
        <f>IFERROR(__xludf.DUMMYFUNCTION("""COMPUTED_VALUE"""),45705.0)</f>
        <v>45705</v>
      </c>
      <c r="B2111" s="7" t="str">
        <f>IFERROR(__xludf.DUMMYFUNCTION("""COMPUTED_VALUE"""),"d06c3d65-b95a-4d1b-ae01-d8e07d5c3902")</f>
        <v>d06c3d65-b95a-4d1b-ae01-d8e07d5c3902</v>
      </c>
      <c r="C2111" s="7">
        <f>IFERROR(__xludf.DUMMYFUNCTION("""COMPUTED_VALUE"""),2.0)</f>
        <v>2</v>
      </c>
      <c r="D2111" s="6">
        <f>IFERROR(__xludf.DUMMYFUNCTION("""COMPUTED_VALUE"""),45703.0)</f>
        <v>45703</v>
      </c>
      <c r="E2111" s="7" t="str">
        <f>IFERROR(__xludf.DUMMYFUNCTION("""COMPUTED_VALUE"""),"FRANQUIA_D&amp;G_SP")</f>
        <v>FRANQUIA_D&amp;G_SP</v>
      </c>
      <c r="F2111" s="7" t="str">
        <f>IFERROR(__xludf.DUMMYFUNCTION("""COMPUTED_VALUE"""),"EBIKE")</f>
        <v>EBIKE</v>
      </c>
      <c r="G2111" s="7" t="str">
        <f>IFERROR(__xludf.DUMMYFUNCTION("""COMPUTED_VALUE"""),"SUZANO")</f>
        <v>SUZANO</v>
      </c>
    </row>
    <row r="2112">
      <c r="A2112" s="6">
        <f>IFERROR(__xludf.DUMMYFUNCTION("""COMPUTED_VALUE"""),45705.0)</f>
        <v>45705</v>
      </c>
      <c r="B2112" s="7" t="str">
        <f>IFERROR(__xludf.DUMMYFUNCTION("""COMPUTED_VALUE"""),"2cff22d0-5538-4f9d-82bd-6cefd3394716")</f>
        <v>2cff22d0-5538-4f9d-82bd-6cefd3394716</v>
      </c>
      <c r="C2112" s="7">
        <f>IFERROR(__xludf.DUMMYFUNCTION("""COMPUTED_VALUE"""),10.0)</f>
        <v>10</v>
      </c>
      <c r="D2112" s="6">
        <f>IFERROR(__xludf.DUMMYFUNCTION("""COMPUTED_VALUE"""),45695.0)</f>
        <v>45695</v>
      </c>
      <c r="E2112" s="7" t="str">
        <f>IFERROR(__xludf.DUMMYFUNCTION("""COMPUTED_VALUE"""),"FRANQUIA_D&amp;G_SP")</f>
        <v>FRANQUIA_D&amp;G_SP</v>
      </c>
      <c r="F2112" s="7" t="str">
        <f>IFERROR(__xludf.DUMMYFUNCTION("""COMPUTED_VALUE"""),"BICYCLE")</f>
        <v>BICYCLE</v>
      </c>
      <c r="G2112" s="7" t="str">
        <f>IFERROR(__xludf.DUMMYFUNCTION("""COMPUTED_VALUE"""),"SAO PAULO")</f>
        <v>SAO PAULO</v>
      </c>
    </row>
    <row r="2113">
      <c r="A2113" s="6">
        <f>IFERROR(__xludf.DUMMYFUNCTION("""COMPUTED_VALUE"""),45705.0)</f>
        <v>45705</v>
      </c>
      <c r="B2113" s="7" t="str">
        <f>IFERROR(__xludf.DUMMYFUNCTION("""COMPUTED_VALUE"""),"993045da-3f4d-45f3-a9be-4f519fb53ab7")</f>
        <v>993045da-3f4d-45f3-a9be-4f519fb53ab7</v>
      </c>
      <c r="C2113" s="7">
        <f>IFERROR(__xludf.DUMMYFUNCTION("""COMPUTED_VALUE"""),22.0)</f>
        <v>22</v>
      </c>
      <c r="D2113" s="6">
        <f>IFERROR(__xludf.DUMMYFUNCTION("""COMPUTED_VALUE"""),45683.0)</f>
        <v>45683</v>
      </c>
      <c r="E2113" s="7" t="str">
        <f>IFERROR(__xludf.DUMMYFUNCTION("""COMPUTED_VALUE"""),"FRANQUIA_D&amp;G_SP")</f>
        <v>FRANQUIA_D&amp;G_SP</v>
      </c>
      <c r="F2113" s="7" t="str">
        <f>IFERROR(__xludf.DUMMYFUNCTION("""COMPUTED_VALUE"""),"MOTORCYCLE")</f>
        <v>MOTORCYCLE</v>
      </c>
      <c r="G2113" s="7" t="str">
        <f>IFERROR(__xludf.DUMMYFUNCTION("""COMPUTED_VALUE"""),"ABC")</f>
        <v>ABC</v>
      </c>
    </row>
    <row r="2114">
      <c r="A2114" s="6">
        <f>IFERROR(__xludf.DUMMYFUNCTION("""COMPUTED_VALUE"""),45705.0)</f>
        <v>45705</v>
      </c>
      <c r="B2114" s="7" t="str">
        <f>IFERROR(__xludf.DUMMYFUNCTION("""COMPUTED_VALUE"""),"359bb5e2-22a0-4f11-b14d-c9e7f08a1339")</f>
        <v>359bb5e2-22a0-4f11-b14d-c9e7f08a1339</v>
      </c>
      <c r="C2114" s="7">
        <f>IFERROR(__xludf.DUMMYFUNCTION("""COMPUTED_VALUE"""),1.0)</f>
        <v>1</v>
      </c>
      <c r="D2114" s="6">
        <f>IFERROR(__xludf.DUMMYFUNCTION("""COMPUTED_VALUE"""),45704.0)</f>
        <v>45704</v>
      </c>
      <c r="E2114" s="7" t="str">
        <f>IFERROR(__xludf.DUMMYFUNCTION("""COMPUTED_VALUE"""),"FRANQUIA_D&amp;G_SP")</f>
        <v>FRANQUIA_D&amp;G_SP</v>
      </c>
      <c r="F2114" s="7" t="str">
        <f>IFERROR(__xludf.DUMMYFUNCTION("""COMPUTED_VALUE"""),"BICYCLE")</f>
        <v>BICYCLE</v>
      </c>
      <c r="G2114" s="7" t="str">
        <f>IFERROR(__xludf.DUMMYFUNCTION("""COMPUTED_VALUE"""),"RESTAURANTE PARCEIRO")</f>
        <v>RESTAURANTE PARCEIRO</v>
      </c>
    </row>
    <row r="2115">
      <c r="A2115" s="6">
        <f>IFERROR(__xludf.DUMMYFUNCTION("""COMPUTED_VALUE"""),45705.0)</f>
        <v>45705</v>
      </c>
      <c r="B2115" s="7" t="str">
        <f>IFERROR(__xludf.DUMMYFUNCTION("""COMPUTED_VALUE"""),"68f8937b-67e3-4dea-ac0e-c6713b361795")</f>
        <v>68f8937b-67e3-4dea-ac0e-c6713b361795</v>
      </c>
      <c r="C2115" s="7">
        <f>IFERROR(__xludf.DUMMYFUNCTION("""COMPUTED_VALUE"""),0.0)</f>
        <v>0</v>
      </c>
      <c r="D2115" s="6">
        <f>IFERROR(__xludf.DUMMYFUNCTION("""COMPUTED_VALUE"""),45705.0)</f>
        <v>45705</v>
      </c>
      <c r="E2115" s="7" t="str">
        <f>IFERROR(__xludf.DUMMYFUNCTION("""COMPUTED_VALUE"""),"FRANQUIA_D&amp;G_SP")</f>
        <v>FRANQUIA_D&amp;G_SP</v>
      </c>
      <c r="F2115" s="7" t="str">
        <f>IFERROR(__xludf.DUMMYFUNCTION("""COMPUTED_VALUE"""),"BICYCLE")</f>
        <v>BICYCLE</v>
      </c>
      <c r="G2115" s="7" t="str">
        <f>IFERROR(__xludf.DUMMYFUNCTION("""COMPUTED_VALUE"""),"ABC")</f>
        <v>ABC</v>
      </c>
    </row>
    <row r="2116">
      <c r="A2116" s="6">
        <f>IFERROR(__xludf.DUMMYFUNCTION("""COMPUTED_VALUE"""),45705.0)</f>
        <v>45705</v>
      </c>
      <c r="B2116" s="7" t="str">
        <f>IFERROR(__xludf.DUMMYFUNCTION("""COMPUTED_VALUE"""),"f3bd4827-9d03-40db-a5a2-0426d8f3ba32")</f>
        <v>f3bd4827-9d03-40db-a5a2-0426d8f3ba32</v>
      </c>
      <c r="C2116" s="7">
        <f>IFERROR(__xludf.DUMMYFUNCTION("""COMPUTED_VALUE"""),46.0)</f>
        <v>46</v>
      </c>
      <c r="D2116" s="6">
        <f>IFERROR(__xludf.DUMMYFUNCTION("""COMPUTED_VALUE"""),45659.0)</f>
        <v>45659</v>
      </c>
      <c r="E2116" s="7" t="str">
        <f>IFERROR(__xludf.DUMMYFUNCTION("""COMPUTED_VALUE"""),"FRANQUIA_D&amp;G_SP")</f>
        <v>FRANQUIA_D&amp;G_SP</v>
      </c>
      <c r="F2116" s="7" t="str">
        <f>IFERROR(__xludf.DUMMYFUNCTION("""COMPUTED_VALUE"""),"MOTORCYCLE")</f>
        <v>MOTORCYCLE</v>
      </c>
      <c r="G2116" s="7" t="str">
        <f>IFERROR(__xludf.DUMMYFUNCTION("""COMPUTED_VALUE"""),"SAO PAULO")</f>
        <v>SAO PAULO</v>
      </c>
    </row>
    <row r="2117">
      <c r="A2117" s="6">
        <f>IFERROR(__xludf.DUMMYFUNCTION("""COMPUTED_VALUE"""),45705.0)</f>
        <v>45705</v>
      </c>
      <c r="B2117" s="7" t="str">
        <f>IFERROR(__xludf.DUMMYFUNCTION("""COMPUTED_VALUE"""),"b2647722-0089-4724-95b2-9ab7012220de")</f>
        <v>b2647722-0089-4724-95b2-9ab7012220de</v>
      </c>
      <c r="C2117" s="7">
        <f>IFERROR(__xludf.DUMMYFUNCTION("""COMPUTED_VALUE"""),1.0)</f>
        <v>1</v>
      </c>
      <c r="D2117" s="6">
        <f>IFERROR(__xludf.DUMMYFUNCTION("""COMPUTED_VALUE"""),45704.0)</f>
        <v>45704</v>
      </c>
      <c r="E2117" s="7" t="str">
        <f>IFERROR(__xludf.DUMMYFUNCTION("""COMPUTED_VALUE"""),"FRANQUIA_D&amp;G_SP")</f>
        <v>FRANQUIA_D&amp;G_SP</v>
      </c>
      <c r="F2117" s="7" t="str">
        <f>IFERROR(__xludf.DUMMYFUNCTION("""COMPUTED_VALUE"""),"MOTORCYCLE")</f>
        <v>MOTORCYCLE</v>
      </c>
      <c r="G2117" s="7" t="str">
        <f>IFERROR(__xludf.DUMMYFUNCTION("""COMPUTED_VALUE"""),"TABOAO DA SERRA")</f>
        <v>TABOAO DA SERRA</v>
      </c>
    </row>
    <row r="2118">
      <c r="A2118" s="6">
        <f>IFERROR(__xludf.DUMMYFUNCTION("""COMPUTED_VALUE"""),45705.0)</f>
        <v>45705</v>
      </c>
      <c r="B2118" s="7" t="str">
        <f>IFERROR(__xludf.DUMMYFUNCTION("""COMPUTED_VALUE"""),"1bd077e4-10b7-4fbc-8d46-c23a282e397b")</f>
        <v>1bd077e4-10b7-4fbc-8d46-c23a282e397b</v>
      </c>
      <c r="C2118" s="7">
        <f>IFERROR(__xludf.DUMMYFUNCTION("""COMPUTED_VALUE"""),5.0)</f>
        <v>5</v>
      </c>
      <c r="D2118" s="6">
        <f>IFERROR(__xludf.DUMMYFUNCTION("""COMPUTED_VALUE"""),45700.0)</f>
        <v>45700</v>
      </c>
      <c r="E2118" s="7" t="str">
        <f>IFERROR(__xludf.DUMMYFUNCTION("""COMPUTED_VALUE"""),"FRANQUIA_D&amp;G_SP")</f>
        <v>FRANQUIA_D&amp;G_SP</v>
      </c>
      <c r="F2118" s="7" t="str">
        <f>IFERROR(__xludf.DUMMYFUNCTION("""COMPUTED_VALUE"""),"MOTORCYCLE")</f>
        <v>MOTORCYCLE</v>
      </c>
      <c r="G2118" s="7" t="str">
        <f>IFERROR(__xludf.DUMMYFUNCTION("""COMPUTED_VALUE"""),"SAO PAULO")</f>
        <v>SAO PAULO</v>
      </c>
    </row>
    <row r="2119">
      <c r="A2119" s="6">
        <f>IFERROR(__xludf.DUMMYFUNCTION("""COMPUTED_VALUE"""),45705.0)</f>
        <v>45705</v>
      </c>
      <c r="B2119" s="7" t="str">
        <f>IFERROR(__xludf.DUMMYFUNCTION("""COMPUTED_VALUE"""),"5604fb7d-e3a8-4429-a772-3c25443f67f6")</f>
        <v>5604fb7d-e3a8-4429-a772-3c25443f67f6</v>
      </c>
      <c r="C2119" s="7">
        <f>IFERROR(__xludf.DUMMYFUNCTION("""COMPUTED_VALUE"""),42.0)</f>
        <v>42</v>
      </c>
      <c r="D2119" s="6">
        <f>IFERROR(__xludf.DUMMYFUNCTION("""COMPUTED_VALUE"""),45663.0)</f>
        <v>45663</v>
      </c>
      <c r="E2119" s="7" t="str">
        <f>IFERROR(__xludf.DUMMYFUNCTION("""COMPUTED_VALUE"""),"FRANQUIA_D&amp;G_SP")</f>
        <v>FRANQUIA_D&amp;G_SP</v>
      </c>
      <c r="F2119" s="7" t="str">
        <f>IFERROR(__xludf.DUMMYFUNCTION("""COMPUTED_VALUE"""),"EMOTORCYCLE")</f>
        <v>EMOTORCYCLE</v>
      </c>
      <c r="G2119" s="7" t="str">
        <f>IFERROR(__xludf.DUMMYFUNCTION("""COMPUTED_VALUE"""),"SAO PAULO")</f>
        <v>SAO PAULO</v>
      </c>
    </row>
    <row r="2120">
      <c r="A2120" s="6">
        <f>IFERROR(__xludf.DUMMYFUNCTION("""COMPUTED_VALUE"""),45705.0)</f>
        <v>45705</v>
      </c>
      <c r="B2120" s="7" t="str">
        <f>IFERROR(__xludf.DUMMYFUNCTION("""COMPUTED_VALUE"""),"eccaf061-0ea9-41d1-8b3a-d4047177ef15")</f>
        <v>eccaf061-0ea9-41d1-8b3a-d4047177ef15</v>
      </c>
      <c r="C2120" s="7">
        <f>IFERROR(__xludf.DUMMYFUNCTION("""COMPUTED_VALUE"""),9.0)</f>
        <v>9</v>
      </c>
      <c r="D2120" s="6">
        <f>IFERROR(__xludf.DUMMYFUNCTION("""COMPUTED_VALUE"""),45696.0)</f>
        <v>45696</v>
      </c>
      <c r="E2120" s="7" t="str">
        <f>IFERROR(__xludf.DUMMYFUNCTION("""COMPUTED_VALUE"""),"FRANQUIA_D&amp;G_SP")</f>
        <v>FRANQUIA_D&amp;G_SP</v>
      </c>
      <c r="F2120" s="7" t="str">
        <f>IFERROR(__xludf.DUMMYFUNCTION("""COMPUTED_VALUE"""),"BICYCLE")</f>
        <v>BICYCLE</v>
      </c>
      <c r="G2120" s="7" t="str">
        <f>IFERROR(__xludf.DUMMYFUNCTION("""COMPUTED_VALUE"""),"SAO PAULO")</f>
        <v>SAO PAULO</v>
      </c>
    </row>
    <row r="2121">
      <c r="A2121" s="6">
        <f>IFERROR(__xludf.DUMMYFUNCTION("""COMPUTED_VALUE"""),45705.0)</f>
        <v>45705</v>
      </c>
      <c r="B2121" s="7" t="str">
        <f>IFERROR(__xludf.DUMMYFUNCTION("""COMPUTED_VALUE"""),"8c6d29f8-57fc-4271-a35e-3acb25d010e7")</f>
        <v>8c6d29f8-57fc-4271-a35e-3acb25d010e7</v>
      </c>
      <c r="C2121" s="7">
        <f>IFERROR(__xludf.DUMMYFUNCTION("""COMPUTED_VALUE"""),0.0)</f>
        <v>0</v>
      </c>
      <c r="D2121" s="6">
        <f>IFERROR(__xludf.DUMMYFUNCTION("""COMPUTED_VALUE"""),0.0)</f>
        <v>0</v>
      </c>
      <c r="E2121" s="7" t="str">
        <f>IFERROR(__xludf.DUMMYFUNCTION("""COMPUTED_VALUE"""),"FRANQUIA_D&amp;G_SP")</f>
        <v>FRANQUIA_D&amp;G_SP</v>
      </c>
      <c r="F2121" s="7" t="str">
        <f>IFERROR(__xludf.DUMMYFUNCTION("""COMPUTED_VALUE"""),"BICYCLE")</f>
        <v>BICYCLE</v>
      </c>
      <c r="G2121" s="7" t="str">
        <f>IFERROR(__xludf.DUMMYFUNCTION("""COMPUTED_VALUE"""),"0")</f>
        <v>0</v>
      </c>
    </row>
    <row r="2122">
      <c r="A2122" s="6">
        <f>IFERROR(__xludf.DUMMYFUNCTION("""COMPUTED_VALUE"""),45705.0)</f>
        <v>45705</v>
      </c>
      <c r="B2122" s="7" t="str">
        <f>IFERROR(__xludf.DUMMYFUNCTION("""COMPUTED_VALUE"""),"c984a8b6-2d03-4954-b1aa-81e434367a22")</f>
        <v>c984a8b6-2d03-4954-b1aa-81e434367a22</v>
      </c>
      <c r="C2122" s="7">
        <f>IFERROR(__xludf.DUMMYFUNCTION("""COMPUTED_VALUE"""),65.0)</f>
        <v>65</v>
      </c>
      <c r="D2122" s="6">
        <f>IFERROR(__xludf.DUMMYFUNCTION("""COMPUTED_VALUE"""),45640.0)</f>
        <v>45640</v>
      </c>
      <c r="E2122" s="7" t="str">
        <f>IFERROR(__xludf.DUMMYFUNCTION("""COMPUTED_VALUE"""),"FRANQUIA_D&amp;G_SP")</f>
        <v>FRANQUIA_D&amp;G_SP</v>
      </c>
      <c r="F2122" s="7" t="str">
        <f>IFERROR(__xludf.DUMMYFUNCTION("""COMPUTED_VALUE"""),"BICYCLE")</f>
        <v>BICYCLE</v>
      </c>
      <c r="G2122" s="7" t="str">
        <f>IFERROR(__xludf.DUMMYFUNCTION("""COMPUTED_VALUE"""),"SAO PAULO")</f>
        <v>SAO PAULO</v>
      </c>
    </row>
    <row r="2123">
      <c r="A2123" s="6">
        <f>IFERROR(__xludf.DUMMYFUNCTION("""COMPUTED_VALUE"""),45705.0)</f>
        <v>45705</v>
      </c>
      <c r="B2123" s="7" t="str">
        <f>IFERROR(__xludf.DUMMYFUNCTION("""COMPUTED_VALUE"""),"b58e50f7-554c-4905-9820-42c777057136")</f>
        <v>b58e50f7-554c-4905-9820-42c777057136</v>
      </c>
      <c r="C2123" s="7">
        <f>IFERROR(__xludf.DUMMYFUNCTION("""COMPUTED_VALUE"""),3.0)</f>
        <v>3</v>
      </c>
      <c r="D2123" s="6">
        <f>IFERROR(__xludf.DUMMYFUNCTION("""COMPUTED_VALUE"""),45702.0)</f>
        <v>45702</v>
      </c>
      <c r="E2123" s="7" t="str">
        <f>IFERROR(__xludf.DUMMYFUNCTION("""COMPUTED_VALUE"""),"FRANQUIA_D&amp;G_SP")</f>
        <v>FRANQUIA_D&amp;G_SP</v>
      </c>
      <c r="F2123" s="7" t="str">
        <f>IFERROR(__xludf.DUMMYFUNCTION("""COMPUTED_VALUE"""),"BICYCLE")</f>
        <v>BICYCLE</v>
      </c>
      <c r="G2123" s="7" t="str">
        <f>IFERROR(__xludf.DUMMYFUNCTION("""COMPUTED_VALUE"""),"SAO PAULO")</f>
        <v>SAO PAULO</v>
      </c>
    </row>
    <row r="2124">
      <c r="A2124" s="6">
        <f>IFERROR(__xludf.DUMMYFUNCTION("""COMPUTED_VALUE"""),45705.0)</f>
        <v>45705</v>
      </c>
      <c r="B2124" s="7" t="str">
        <f>IFERROR(__xludf.DUMMYFUNCTION("""COMPUTED_VALUE"""),"c86321ba-f786-408d-a637-e793823c5574")</f>
        <v>c86321ba-f786-408d-a637-e793823c5574</v>
      </c>
      <c r="C2124" s="7">
        <f>IFERROR(__xludf.DUMMYFUNCTION("""COMPUTED_VALUE"""),264.0)</f>
        <v>264</v>
      </c>
      <c r="D2124" s="6">
        <f>IFERROR(__xludf.DUMMYFUNCTION("""COMPUTED_VALUE"""),45441.0)</f>
        <v>45441</v>
      </c>
      <c r="E2124" s="7" t="str">
        <f>IFERROR(__xludf.DUMMYFUNCTION("""COMPUTED_VALUE"""),"FRANQUIA_D&amp;G_SP")</f>
        <v>FRANQUIA_D&amp;G_SP</v>
      </c>
      <c r="F2124" s="7" t="str">
        <f>IFERROR(__xludf.DUMMYFUNCTION("""COMPUTED_VALUE"""),"BICYCLE")</f>
        <v>BICYCLE</v>
      </c>
      <c r="G2124" s="7" t="str">
        <f>IFERROR(__xludf.DUMMYFUNCTION("""COMPUTED_VALUE"""),"SAO PAULO")</f>
        <v>SAO PAULO</v>
      </c>
    </row>
    <row r="2125">
      <c r="A2125" s="6">
        <f>IFERROR(__xludf.DUMMYFUNCTION("""COMPUTED_VALUE"""),45705.0)</f>
        <v>45705</v>
      </c>
      <c r="B2125" s="7" t="str">
        <f>IFERROR(__xludf.DUMMYFUNCTION("""COMPUTED_VALUE"""),"9e1d165d-d260-4a23-bad3-f77ddc969a73")</f>
        <v>9e1d165d-d260-4a23-bad3-f77ddc969a73</v>
      </c>
      <c r="C2125" s="7">
        <f>IFERROR(__xludf.DUMMYFUNCTION("""COMPUTED_VALUE"""),159.0)</f>
        <v>159</v>
      </c>
      <c r="D2125" s="6">
        <f>IFERROR(__xludf.DUMMYFUNCTION("""COMPUTED_VALUE"""),45546.0)</f>
        <v>45546</v>
      </c>
      <c r="E2125" s="7" t="str">
        <f>IFERROR(__xludf.DUMMYFUNCTION("""COMPUTED_VALUE"""),"FRANQUIA_D&amp;G_SP")</f>
        <v>FRANQUIA_D&amp;G_SP</v>
      </c>
      <c r="F2125" s="7" t="str">
        <f>IFERROR(__xludf.DUMMYFUNCTION("""COMPUTED_VALUE"""),"BICYCLE")</f>
        <v>BICYCLE</v>
      </c>
      <c r="G2125" s="7" t="str">
        <f>IFERROR(__xludf.DUMMYFUNCTION("""COMPUTED_VALUE"""),"SAO PAULO")</f>
        <v>SAO PAULO</v>
      </c>
    </row>
    <row r="2126">
      <c r="A2126" s="6">
        <f>IFERROR(__xludf.DUMMYFUNCTION("""COMPUTED_VALUE"""),45705.0)</f>
        <v>45705</v>
      </c>
      <c r="B2126" s="7" t="str">
        <f>IFERROR(__xludf.DUMMYFUNCTION("""COMPUTED_VALUE"""),"d70a8c53-a515-402f-9c98-ba05f5466fd8")</f>
        <v>d70a8c53-a515-402f-9c98-ba05f5466fd8</v>
      </c>
      <c r="C2126" s="7">
        <f>IFERROR(__xludf.DUMMYFUNCTION("""COMPUTED_VALUE"""),0.0)</f>
        <v>0</v>
      </c>
      <c r="D2126" s="6">
        <f>IFERROR(__xludf.DUMMYFUNCTION("""COMPUTED_VALUE"""),45705.0)</f>
        <v>45705</v>
      </c>
      <c r="E2126" s="7" t="str">
        <f>IFERROR(__xludf.DUMMYFUNCTION("""COMPUTED_VALUE"""),"FRANQUIA_D&amp;G_SP")</f>
        <v>FRANQUIA_D&amp;G_SP</v>
      </c>
      <c r="F2126" s="7" t="str">
        <f>IFERROR(__xludf.DUMMYFUNCTION("""COMPUTED_VALUE"""),"MOTORCYCLE")</f>
        <v>MOTORCYCLE</v>
      </c>
      <c r="G2126" s="7" t="str">
        <f>IFERROR(__xludf.DUMMYFUNCTION("""COMPUTED_VALUE"""),"SAO PAULO")</f>
        <v>SAO PAULO</v>
      </c>
    </row>
    <row r="2127">
      <c r="A2127" s="6">
        <f>IFERROR(__xludf.DUMMYFUNCTION("""COMPUTED_VALUE"""),45705.0)</f>
        <v>45705</v>
      </c>
      <c r="B2127" s="7" t="str">
        <f>IFERROR(__xludf.DUMMYFUNCTION("""COMPUTED_VALUE"""),"4d6cc990-98c9-46c2-8b21-75c328413c40")</f>
        <v>4d6cc990-98c9-46c2-8b21-75c328413c40</v>
      </c>
      <c r="C2127" s="7">
        <f>IFERROR(__xludf.DUMMYFUNCTION("""COMPUTED_VALUE"""),558.0)</f>
        <v>558</v>
      </c>
      <c r="D2127" s="6">
        <f>IFERROR(__xludf.DUMMYFUNCTION("""COMPUTED_VALUE"""),45147.0)</f>
        <v>45147</v>
      </c>
      <c r="E2127" s="7" t="str">
        <f>IFERROR(__xludf.DUMMYFUNCTION("""COMPUTED_VALUE"""),"FRANQUIA_D&amp;G_SP")</f>
        <v>FRANQUIA_D&amp;G_SP</v>
      </c>
      <c r="F2127" s="7" t="str">
        <f>IFERROR(__xludf.DUMMYFUNCTION("""COMPUTED_VALUE"""),"MOTORCYCLE")</f>
        <v>MOTORCYCLE</v>
      </c>
      <c r="G2127" s="7" t="str">
        <f>IFERROR(__xludf.DUMMYFUNCTION("""COMPUTED_VALUE"""),"SAO PAULO")</f>
        <v>SAO PAULO</v>
      </c>
    </row>
    <row r="2128">
      <c r="A2128" s="6">
        <f>IFERROR(__xludf.DUMMYFUNCTION("""COMPUTED_VALUE"""),45705.0)</f>
        <v>45705</v>
      </c>
      <c r="B2128" s="7" t="str">
        <f>IFERROR(__xludf.DUMMYFUNCTION("""COMPUTED_VALUE"""),"059f039f-aea5-414c-ae3a-b7c448ec542a")</f>
        <v>059f039f-aea5-414c-ae3a-b7c448ec542a</v>
      </c>
      <c r="C2128" s="7">
        <f>IFERROR(__xludf.DUMMYFUNCTION("""COMPUTED_VALUE"""),8.0)</f>
        <v>8</v>
      </c>
      <c r="D2128" s="6">
        <f>IFERROR(__xludf.DUMMYFUNCTION("""COMPUTED_VALUE"""),45697.0)</f>
        <v>45697</v>
      </c>
      <c r="E2128" s="7" t="str">
        <f>IFERROR(__xludf.DUMMYFUNCTION("""COMPUTED_VALUE"""),"FRANQUIA_D&amp;G_SP")</f>
        <v>FRANQUIA_D&amp;G_SP</v>
      </c>
      <c r="F2128" s="7" t="str">
        <f>IFERROR(__xludf.DUMMYFUNCTION("""COMPUTED_VALUE"""),"MOTORCYCLE")</f>
        <v>MOTORCYCLE</v>
      </c>
      <c r="G2128" s="7" t="str">
        <f>IFERROR(__xludf.DUMMYFUNCTION("""COMPUTED_VALUE"""),"ABC")</f>
        <v>ABC</v>
      </c>
    </row>
    <row r="2129">
      <c r="A2129" s="6">
        <f>IFERROR(__xludf.DUMMYFUNCTION("""COMPUTED_VALUE"""),45705.0)</f>
        <v>45705</v>
      </c>
      <c r="B2129" s="7" t="str">
        <f>IFERROR(__xludf.DUMMYFUNCTION("""COMPUTED_VALUE"""),"1b07bb2a-ad94-414f-bc9a-477d84c37d03")</f>
        <v>1b07bb2a-ad94-414f-bc9a-477d84c37d03</v>
      </c>
      <c r="C2129" s="7">
        <f>IFERROR(__xludf.DUMMYFUNCTION("""COMPUTED_VALUE"""),371.0)</f>
        <v>371</v>
      </c>
      <c r="D2129" s="6">
        <f>IFERROR(__xludf.DUMMYFUNCTION("""COMPUTED_VALUE"""),45334.0)</f>
        <v>45334</v>
      </c>
      <c r="E2129" s="7" t="str">
        <f>IFERROR(__xludf.DUMMYFUNCTION("""COMPUTED_VALUE"""),"FRANQUIA_D&amp;G_SP")</f>
        <v>FRANQUIA_D&amp;G_SP</v>
      </c>
      <c r="F2129" s="7" t="str">
        <f>IFERROR(__xludf.DUMMYFUNCTION("""COMPUTED_VALUE"""),"MOTORCYCLE")</f>
        <v>MOTORCYCLE</v>
      </c>
      <c r="G2129" s="7" t="str">
        <f>IFERROR(__xludf.DUMMYFUNCTION("""COMPUTED_VALUE"""),"SAO PAULO")</f>
        <v>SAO PAULO</v>
      </c>
    </row>
    <row r="2130">
      <c r="A2130" s="6">
        <f>IFERROR(__xludf.DUMMYFUNCTION("""COMPUTED_VALUE"""),45705.0)</f>
        <v>45705</v>
      </c>
      <c r="B2130" s="7" t="str">
        <f>IFERROR(__xludf.DUMMYFUNCTION("""COMPUTED_VALUE"""),"80b044e0-728f-42fb-9c37-3099bc01b023")</f>
        <v>80b044e0-728f-42fb-9c37-3099bc01b023</v>
      </c>
      <c r="C2130" s="7">
        <f>IFERROR(__xludf.DUMMYFUNCTION("""COMPUTED_VALUE"""),0.0)</f>
        <v>0</v>
      </c>
      <c r="D2130" s="6">
        <f>IFERROR(__xludf.DUMMYFUNCTION("""COMPUTED_VALUE"""),45705.0)</f>
        <v>45705</v>
      </c>
      <c r="E2130" s="7" t="str">
        <f>IFERROR(__xludf.DUMMYFUNCTION("""COMPUTED_VALUE"""),"FRANQUIA_D&amp;G_SP")</f>
        <v>FRANQUIA_D&amp;G_SP</v>
      </c>
      <c r="F2130" s="7" t="str">
        <f>IFERROR(__xludf.DUMMYFUNCTION("""COMPUTED_VALUE"""),"MOTORCYCLE")</f>
        <v>MOTORCYCLE</v>
      </c>
      <c r="G2130" s="7" t="str">
        <f>IFERROR(__xludf.DUMMYFUNCTION("""COMPUTED_VALUE"""),"SAO PAULO")</f>
        <v>SAO PAULO</v>
      </c>
    </row>
    <row r="2131">
      <c r="A2131" s="6">
        <f>IFERROR(__xludf.DUMMYFUNCTION("""COMPUTED_VALUE"""),45705.0)</f>
        <v>45705</v>
      </c>
      <c r="B2131" s="7" t="str">
        <f>IFERROR(__xludf.DUMMYFUNCTION("""COMPUTED_VALUE"""),"f15144fe-44d5-42d4-ad00-a36ef4462e0c")</f>
        <v>f15144fe-44d5-42d4-ad00-a36ef4462e0c</v>
      </c>
      <c r="C2131" s="7">
        <f>IFERROR(__xludf.DUMMYFUNCTION("""COMPUTED_VALUE"""),0.0)</f>
        <v>0</v>
      </c>
      <c r="D2131" s="6">
        <f>IFERROR(__xludf.DUMMYFUNCTION("""COMPUTED_VALUE"""),45705.0)</f>
        <v>45705</v>
      </c>
      <c r="E2131" s="7" t="str">
        <f>IFERROR(__xludf.DUMMYFUNCTION("""COMPUTED_VALUE"""),"FRANQUIA_D&amp;G_SP")</f>
        <v>FRANQUIA_D&amp;G_SP</v>
      </c>
      <c r="F2131" s="7" t="str">
        <f>IFERROR(__xludf.DUMMYFUNCTION("""COMPUTED_VALUE"""),"MOTORCYCLE")</f>
        <v>MOTORCYCLE</v>
      </c>
      <c r="G2131" s="7" t="str">
        <f>IFERROR(__xludf.DUMMYFUNCTION("""COMPUTED_VALUE"""),"SAO PAULO")</f>
        <v>SAO PAULO</v>
      </c>
    </row>
    <row r="2132">
      <c r="A2132" s="6">
        <f>IFERROR(__xludf.DUMMYFUNCTION("""COMPUTED_VALUE"""),45705.0)</f>
        <v>45705</v>
      </c>
      <c r="B2132" s="7" t="str">
        <f>IFERROR(__xludf.DUMMYFUNCTION("""COMPUTED_VALUE"""),"9a02ad2f-f5b1-4670-9269-2f9dde58a387")</f>
        <v>9a02ad2f-f5b1-4670-9269-2f9dde58a387</v>
      </c>
      <c r="C2132" s="7">
        <f>IFERROR(__xludf.DUMMYFUNCTION("""COMPUTED_VALUE"""),109.0)</f>
        <v>109</v>
      </c>
      <c r="D2132" s="6">
        <f>IFERROR(__xludf.DUMMYFUNCTION("""COMPUTED_VALUE"""),45596.0)</f>
        <v>45596</v>
      </c>
      <c r="E2132" s="7" t="str">
        <f>IFERROR(__xludf.DUMMYFUNCTION("""COMPUTED_VALUE"""),"FRANQUIA_D&amp;G_SP")</f>
        <v>FRANQUIA_D&amp;G_SP</v>
      </c>
      <c r="F2132" s="7" t="str">
        <f>IFERROR(__xludf.DUMMYFUNCTION("""COMPUTED_VALUE"""),"MOTORCYCLE")</f>
        <v>MOTORCYCLE</v>
      </c>
      <c r="G2132" s="7" t="str">
        <f>IFERROR(__xludf.DUMMYFUNCTION("""COMPUTED_VALUE"""),"SAO PAULO")</f>
        <v>SAO PAULO</v>
      </c>
    </row>
    <row r="2133">
      <c r="A2133" s="6">
        <f>IFERROR(__xludf.DUMMYFUNCTION("""COMPUTED_VALUE"""),45705.0)</f>
        <v>45705</v>
      </c>
      <c r="B2133" s="7" t="str">
        <f>IFERROR(__xludf.DUMMYFUNCTION("""COMPUTED_VALUE"""),"93853ebc-0f0b-4513-b3d9-a2e1363ac277")</f>
        <v>93853ebc-0f0b-4513-b3d9-a2e1363ac277</v>
      </c>
      <c r="C2133" s="7">
        <f>IFERROR(__xludf.DUMMYFUNCTION("""COMPUTED_VALUE"""),202.0)</f>
        <v>202</v>
      </c>
      <c r="D2133" s="6">
        <f>IFERROR(__xludf.DUMMYFUNCTION("""COMPUTED_VALUE"""),45503.0)</f>
        <v>45503</v>
      </c>
      <c r="E2133" s="7" t="str">
        <f>IFERROR(__xludf.DUMMYFUNCTION("""COMPUTED_VALUE"""),"FRANQUIA_D&amp;G_SP")</f>
        <v>FRANQUIA_D&amp;G_SP</v>
      </c>
      <c r="F2133" s="7" t="str">
        <f>IFERROR(__xludf.DUMMYFUNCTION("""COMPUTED_VALUE"""),"BICYCLE")</f>
        <v>BICYCLE</v>
      </c>
      <c r="G2133" s="7" t="str">
        <f>IFERROR(__xludf.DUMMYFUNCTION("""COMPUTED_VALUE"""),"SAO PAULO")</f>
        <v>SAO PAULO</v>
      </c>
    </row>
    <row r="2134">
      <c r="A2134" s="6">
        <f>IFERROR(__xludf.DUMMYFUNCTION("""COMPUTED_VALUE"""),45705.0)</f>
        <v>45705</v>
      </c>
      <c r="B2134" s="7" t="str">
        <f>IFERROR(__xludf.DUMMYFUNCTION("""COMPUTED_VALUE"""),"40eae35f-6e0a-416a-9a54-71aa95cd9635")</f>
        <v>40eae35f-6e0a-416a-9a54-71aa95cd9635</v>
      </c>
      <c r="C2134" s="7">
        <f>IFERROR(__xludf.DUMMYFUNCTION("""COMPUTED_VALUE"""),0.0)</f>
        <v>0</v>
      </c>
      <c r="D2134" s="6">
        <f>IFERROR(__xludf.DUMMYFUNCTION("""COMPUTED_VALUE"""),45705.0)</f>
        <v>45705</v>
      </c>
      <c r="E2134" s="7" t="str">
        <f>IFERROR(__xludf.DUMMYFUNCTION("""COMPUTED_VALUE"""),"FRANQUIA_D&amp;G_SP")</f>
        <v>FRANQUIA_D&amp;G_SP</v>
      </c>
      <c r="F2134" s="7" t="str">
        <f>IFERROR(__xludf.DUMMYFUNCTION("""COMPUTED_VALUE"""),"MOTORCYCLE")</f>
        <v>MOTORCYCLE</v>
      </c>
      <c r="G2134" s="7" t="str">
        <f>IFERROR(__xludf.DUMMYFUNCTION("""COMPUTED_VALUE"""),"SAO PAULO")</f>
        <v>SAO PAULO</v>
      </c>
    </row>
    <row r="2135">
      <c r="A2135" s="6">
        <f>IFERROR(__xludf.DUMMYFUNCTION("""COMPUTED_VALUE"""),45705.0)</f>
        <v>45705</v>
      </c>
      <c r="B2135" s="7" t="str">
        <f>IFERROR(__xludf.DUMMYFUNCTION("""COMPUTED_VALUE"""),"f485a404-401c-4b72-9dca-73dfbebe9a21")</f>
        <v>f485a404-401c-4b72-9dca-73dfbebe9a21</v>
      </c>
      <c r="C2135" s="7">
        <f>IFERROR(__xludf.DUMMYFUNCTION("""COMPUTED_VALUE"""),35.0)</f>
        <v>35</v>
      </c>
      <c r="D2135" s="6">
        <f>IFERROR(__xludf.DUMMYFUNCTION("""COMPUTED_VALUE"""),45670.0)</f>
        <v>45670</v>
      </c>
      <c r="E2135" s="7" t="str">
        <f>IFERROR(__xludf.DUMMYFUNCTION("""COMPUTED_VALUE"""),"FRANQUIA_D&amp;G_SP")</f>
        <v>FRANQUIA_D&amp;G_SP</v>
      </c>
      <c r="F2135" s="7" t="str">
        <f>IFERROR(__xludf.DUMMYFUNCTION("""COMPUTED_VALUE"""),"BICYCLE")</f>
        <v>BICYCLE</v>
      </c>
      <c r="G2135" s="7" t="str">
        <f>IFERROR(__xludf.DUMMYFUNCTION("""COMPUTED_VALUE"""),"SAO PAULO")</f>
        <v>SAO PAULO</v>
      </c>
    </row>
    <row r="2136">
      <c r="A2136" s="6">
        <f>IFERROR(__xludf.DUMMYFUNCTION("""COMPUTED_VALUE"""),45705.0)</f>
        <v>45705</v>
      </c>
      <c r="B2136" s="7" t="str">
        <f>IFERROR(__xludf.DUMMYFUNCTION("""COMPUTED_VALUE"""),"7b6f04de-8c82-4515-966e-e928acb1ca56")</f>
        <v>7b6f04de-8c82-4515-966e-e928acb1ca56</v>
      </c>
      <c r="C2136" s="7">
        <f>IFERROR(__xludf.DUMMYFUNCTION("""COMPUTED_VALUE"""),84.0)</f>
        <v>84</v>
      </c>
      <c r="D2136" s="6">
        <f>IFERROR(__xludf.DUMMYFUNCTION("""COMPUTED_VALUE"""),45621.0)</f>
        <v>45621</v>
      </c>
      <c r="E2136" s="7" t="str">
        <f>IFERROR(__xludf.DUMMYFUNCTION("""COMPUTED_VALUE"""),"FRANQUIA_D&amp;G_SP")</f>
        <v>FRANQUIA_D&amp;G_SP</v>
      </c>
      <c r="F2136" s="7" t="str">
        <f>IFERROR(__xludf.DUMMYFUNCTION("""COMPUTED_VALUE"""),"MOTORCYCLE")</f>
        <v>MOTORCYCLE</v>
      </c>
      <c r="G2136" s="7" t="str">
        <f>IFERROR(__xludf.DUMMYFUNCTION("""COMPUTED_VALUE"""),"SAO PAULO")</f>
        <v>SAO PAULO</v>
      </c>
    </row>
    <row r="2137">
      <c r="A2137" s="6">
        <f>IFERROR(__xludf.DUMMYFUNCTION("""COMPUTED_VALUE"""),45705.0)</f>
        <v>45705</v>
      </c>
      <c r="B2137" s="7" t="str">
        <f>IFERROR(__xludf.DUMMYFUNCTION("""COMPUTED_VALUE"""),"d6672a7d-1917-433a-af14-7014918b7036")</f>
        <v>d6672a7d-1917-433a-af14-7014918b7036</v>
      </c>
      <c r="C2137" s="7">
        <f>IFERROR(__xludf.DUMMYFUNCTION("""COMPUTED_VALUE"""),55.0)</f>
        <v>55</v>
      </c>
      <c r="D2137" s="6">
        <f>IFERROR(__xludf.DUMMYFUNCTION("""COMPUTED_VALUE"""),45650.0)</f>
        <v>45650</v>
      </c>
      <c r="E2137" s="7" t="str">
        <f>IFERROR(__xludf.DUMMYFUNCTION("""COMPUTED_VALUE"""),"FRANQUIA_D&amp;G_SP")</f>
        <v>FRANQUIA_D&amp;G_SP</v>
      </c>
      <c r="F2137" s="7" t="str">
        <f>IFERROR(__xludf.DUMMYFUNCTION("""COMPUTED_VALUE"""),"BICYCLE")</f>
        <v>BICYCLE</v>
      </c>
      <c r="G2137" s="7" t="str">
        <f>IFERROR(__xludf.DUMMYFUNCTION("""COMPUTED_VALUE"""),"SAO PAULO")</f>
        <v>SAO PAULO</v>
      </c>
    </row>
    <row r="2138">
      <c r="A2138" s="6">
        <f>IFERROR(__xludf.DUMMYFUNCTION("""COMPUTED_VALUE"""),45705.0)</f>
        <v>45705</v>
      </c>
      <c r="B2138" s="7" t="str">
        <f>IFERROR(__xludf.DUMMYFUNCTION("""COMPUTED_VALUE"""),"741a1585-b706-4654-b2f6-09fd11c0bb62")</f>
        <v>741a1585-b706-4654-b2f6-09fd11c0bb62</v>
      </c>
      <c r="C2138" s="7">
        <f>IFERROR(__xludf.DUMMYFUNCTION("""COMPUTED_VALUE"""),1.0)</f>
        <v>1</v>
      </c>
      <c r="D2138" s="6">
        <f>IFERROR(__xludf.DUMMYFUNCTION("""COMPUTED_VALUE"""),45704.0)</f>
        <v>45704</v>
      </c>
      <c r="E2138" s="7" t="str">
        <f>IFERROR(__xludf.DUMMYFUNCTION("""COMPUTED_VALUE"""),"FRANQUIA_D&amp;G_SP")</f>
        <v>FRANQUIA_D&amp;G_SP</v>
      </c>
      <c r="F2138" s="7" t="str">
        <f>IFERROR(__xludf.DUMMYFUNCTION("""COMPUTED_VALUE"""),"MOTORCYCLE")</f>
        <v>MOTORCYCLE</v>
      </c>
      <c r="G2138" s="7" t="str">
        <f>IFERROR(__xludf.DUMMYFUNCTION("""COMPUTED_VALUE"""),"SAO PAULO")</f>
        <v>SAO PAULO</v>
      </c>
    </row>
    <row r="2139">
      <c r="A2139" s="6">
        <f>IFERROR(__xludf.DUMMYFUNCTION("""COMPUTED_VALUE"""),45705.0)</f>
        <v>45705</v>
      </c>
      <c r="B2139" s="7" t="str">
        <f>IFERROR(__xludf.DUMMYFUNCTION("""COMPUTED_VALUE"""),"537e3a72-5972-43e5-bd25-5bc5437354c0")</f>
        <v>537e3a72-5972-43e5-bd25-5bc5437354c0</v>
      </c>
      <c r="C2139" s="7">
        <f>IFERROR(__xludf.DUMMYFUNCTION("""COMPUTED_VALUE"""),141.0)</f>
        <v>141</v>
      </c>
      <c r="D2139" s="6">
        <f>IFERROR(__xludf.DUMMYFUNCTION("""COMPUTED_VALUE"""),45564.0)</f>
        <v>45564</v>
      </c>
      <c r="E2139" s="7" t="str">
        <f>IFERROR(__xludf.DUMMYFUNCTION("""COMPUTED_VALUE"""),"FRANQUIA_D&amp;G_SP")</f>
        <v>FRANQUIA_D&amp;G_SP</v>
      </c>
      <c r="F2139" s="7" t="str">
        <f>IFERROR(__xludf.DUMMYFUNCTION("""COMPUTED_VALUE"""),"MOTORCYCLE")</f>
        <v>MOTORCYCLE</v>
      </c>
      <c r="G2139" s="7" t="str">
        <f>IFERROR(__xludf.DUMMYFUNCTION("""COMPUTED_VALUE"""),"SAO PAULO")</f>
        <v>SAO PAULO</v>
      </c>
    </row>
    <row r="2140">
      <c r="A2140" s="6">
        <f>IFERROR(__xludf.DUMMYFUNCTION("""COMPUTED_VALUE"""),45705.0)</f>
        <v>45705</v>
      </c>
      <c r="B2140" s="7" t="str">
        <f>IFERROR(__xludf.DUMMYFUNCTION("""COMPUTED_VALUE"""),"de1907cb-0bd1-49ed-acfd-c0d4d7884fcb")</f>
        <v>de1907cb-0bd1-49ed-acfd-c0d4d7884fcb</v>
      </c>
      <c r="C2140" s="7">
        <f>IFERROR(__xludf.DUMMYFUNCTION("""COMPUTED_VALUE"""),6.0)</f>
        <v>6</v>
      </c>
      <c r="D2140" s="6">
        <f>IFERROR(__xludf.DUMMYFUNCTION("""COMPUTED_VALUE"""),45699.0)</f>
        <v>45699</v>
      </c>
      <c r="E2140" s="7" t="str">
        <f>IFERROR(__xludf.DUMMYFUNCTION("""COMPUTED_VALUE"""),"FRANQUIA_D&amp;G_SP")</f>
        <v>FRANQUIA_D&amp;G_SP</v>
      </c>
      <c r="F2140" s="7" t="str">
        <f>IFERROR(__xludf.DUMMYFUNCTION("""COMPUTED_VALUE"""),"MOTORCYCLE")</f>
        <v>MOTORCYCLE</v>
      </c>
      <c r="G2140" s="7" t="str">
        <f>IFERROR(__xludf.DUMMYFUNCTION("""COMPUTED_VALUE"""),"SAO PAULO")</f>
        <v>SAO PAULO</v>
      </c>
    </row>
    <row r="2141">
      <c r="A2141" s="6">
        <f>IFERROR(__xludf.DUMMYFUNCTION("""COMPUTED_VALUE"""),45705.0)</f>
        <v>45705</v>
      </c>
      <c r="B2141" s="7" t="str">
        <f>IFERROR(__xludf.DUMMYFUNCTION("""COMPUTED_VALUE"""),"d0838b20-6371-4efa-ad9d-123f33f3ebda")</f>
        <v>d0838b20-6371-4efa-ad9d-123f33f3ebda</v>
      </c>
      <c r="C2141" s="7">
        <f>IFERROR(__xludf.DUMMYFUNCTION("""COMPUTED_VALUE"""),736.0)</f>
        <v>736</v>
      </c>
      <c r="D2141" s="6">
        <f>IFERROR(__xludf.DUMMYFUNCTION("""COMPUTED_VALUE"""),44969.0)</f>
        <v>44969</v>
      </c>
      <c r="E2141" s="7" t="str">
        <f>IFERROR(__xludf.DUMMYFUNCTION("""COMPUTED_VALUE"""),"FRANQUIA_D&amp;G_SP")</f>
        <v>FRANQUIA_D&amp;G_SP</v>
      </c>
      <c r="F2141" s="7" t="str">
        <f>IFERROR(__xludf.DUMMYFUNCTION("""COMPUTED_VALUE"""),"MOTORCYCLE")</f>
        <v>MOTORCYCLE</v>
      </c>
      <c r="G2141" s="7" t="str">
        <f>IFERROR(__xludf.DUMMYFUNCTION("""COMPUTED_VALUE"""),"SAO PAULO")</f>
        <v>SAO PAULO</v>
      </c>
    </row>
    <row r="2142">
      <c r="A2142" s="6">
        <f>IFERROR(__xludf.DUMMYFUNCTION("""COMPUTED_VALUE"""),45705.0)</f>
        <v>45705</v>
      </c>
      <c r="B2142" s="7" t="str">
        <f>IFERROR(__xludf.DUMMYFUNCTION("""COMPUTED_VALUE"""),"56c0e8c1-01c4-457b-8d7f-dc8f47256546")</f>
        <v>56c0e8c1-01c4-457b-8d7f-dc8f47256546</v>
      </c>
      <c r="C2142" s="7">
        <f>IFERROR(__xludf.DUMMYFUNCTION("""COMPUTED_VALUE"""),2.0)</f>
        <v>2</v>
      </c>
      <c r="D2142" s="6">
        <f>IFERROR(__xludf.DUMMYFUNCTION("""COMPUTED_VALUE"""),45703.0)</f>
        <v>45703</v>
      </c>
      <c r="E2142" s="7" t="str">
        <f>IFERROR(__xludf.DUMMYFUNCTION("""COMPUTED_VALUE"""),"FRANQUIA_D&amp;G_SP")</f>
        <v>FRANQUIA_D&amp;G_SP</v>
      </c>
      <c r="F2142" s="7" t="str">
        <f>IFERROR(__xludf.DUMMYFUNCTION("""COMPUTED_VALUE"""),"MOTORCYCLE")</f>
        <v>MOTORCYCLE</v>
      </c>
      <c r="G2142" s="7" t="str">
        <f>IFERROR(__xludf.DUMMYFUNCTION("""COMPUTED_VALUE"""),"SAO PAULO")</f>
        <v>SAO PAULO</v>
      </c>
    </row>
    <row r="2143">
      <c r="A2143" s="6">
        <f>IFERROR(__xludf.DUMMYFUNCTION("""COMPUTED_VALUE"""),45705.0)</f>
        <v>45705</v>
      </c>
      <c r="B2143" s="7" t="str">
        <f>IFERROR(__xludf.DUMMYFUNCTION("""COMPUTED_VALUE"""),"1f5185d7-ab99-4dd3-9bba-535dc9ecdacc")</f>
        <v>1f5185d7-ab99-4dd3-9bba-535dc9ecdacc</v>
      </c>
      <c r="C2143" s="7">
        <f>IFERROR(__xludf.DUMMYFUNCTION("""COMPUTED_VALUE"""),1.0)</f>
        <v>1</v>
      </c>
      <c r="D2143" s="6">
        <f>IFERROR(__xludf.DUMMYFUNCTION("""COMPUTED_VALUE"""),45704.0)</f>
        <v>45704</v>
      </c>
      <c r="E2143" s="7" t="str">
        <f>IFERROR(__xludf.DUMMYFUNCTION("""COMPUTED_VALUE"""),"FRANQUIA_D&amp;G_SP")</f>
        <v>FRANQUIA_D&amp;G_SP</v>
      </c>
      <c r="F2143" s="7" t="str">
        <f>IFERROR(__xludf.DUMMYFUNCTION("""COMPUTED_VALUE"""),"BICYCLE")</f>
        <v>BICYCLE</v>
      </c>
      <c r="G2143" s="7" t="str">
        <f>IFERROR(__xludf.DUMMYFUNCTION("""COMPUTED_VALUE"""),"SAO PAULO")</f>
        <v>SAO PAULO</v>
      </c>
    </row>
    <row r="2144">
      <c r="A2144" s="6">
        <f>IFERROR(__xludf.DUMMYFUNCTION("""COMPUTED_VALUE"""),45705.0)</f>
        <v>45705</v>
      </c>
      <c r="B2144" s="7" t="str">
        <f>IFERROR(__xludf.DUMMYFUNCTION("""COMPUTED_VALUE"""),"d9ef4ce9-63a0-4590-a17d-fb5d0d3b43cf")</f>
        <v>d9ef4ce9-63a0-4590-a17d-fb5d0d3b43cf</v>
      </c>
      <c r="C2144" s="7">
        <f>IFERROR(__xludf.DUMMYFUNCTION("""COMPUTED_VALUE"""),109.0)</f>
        <v>109</v>
      </c>
      <c r="D2144" s="6">
        <f>IFERROR(__xludf.DUMMYFUNCTION("""COMPUTED_VALUE"""),45596.0)</f>
        <v>45596</v>
      </c>
      <c r="E2144" s="7" t="str">
        <f>IFERROR(__xludf.DUMMYFUNCTION("""COMPUTED_VALUE"""),"FRANQUIA_D&amp;G_SP")</f>
        <v>FRANQUIA_D&amp;G_SP</v>
      </c>
      <c r="F2144" s="7" t="str">
        <f>IFERROR(__xludf.DUMMYFUNCTION("""COMPUTED_VALUE"""),"BICYCLE")</f>
        <v>BICYCLE</v>
      </c>
      <c r="G2144" s="7" t="str">
        <f>IFERROR(__xludf.DUMMYFUNCTION("""COMPUTED_VALUE"""),"SAO PAULO")</f>
        <v>SAO PAULO</v>
      </c>
    </row>
    <row r="2145">
      <c r="A2145" s="6">
        <f>IFERROR(__xludf.DUMMYFUNCTION("""COMPUTED_VALUE"""),45705.0)</f>
        <v>45705</v>
      </c>
      <c r="B2145" s="7" t="str">
        <f>IFERROR(__xludf.DUMMYFUNCTION("""COMPUTED_VALUE"""),"3bff6e2a-273a-48c3-a2f3-e7818d3e177a")</f>
        <v>3bff6e2a-273a-48c3-a2f3-e7818d3e177a</v>
      </c>
      <c r="C2145" s="7">
        <f>IFERROR(__xludf.DUMMYFUNCTION("""COMPUTED_VALUE"""),0.0)</f>
        <v>0</v>
      </c>
      <c r="D2145" s="6">
        <f>IFERROR(__xludf.DUMMYFUNCTION("""COMPUTED_VALUE"""),45705.0)</f>
        <v>45705</v>
      </c>
      <c r="E2145" s="7" t="str">
        <f>IFERROR(__xludf.DUMMYFUNCTION("""COMPUTED_VALUE"""),"FRANQUIA_D&amp;G_SP")</f>
        <v>FRANQUIA_D&amp;G_SP</v>
      </c>
      <c r="F2145" s="7" t="str">
        <f>IFERROR(__xludf.DUMMYFUNCTION("""COMPUTED_VALUE"""),"BICYCLE")</f>
        <v>BICYCLE</v>
      </c>
      <c r="G2145" s="7" t="str">
        <f>IFERROR(__xludf.DUMMYFUNCTION("""COMPUTED_VALUE"""),"SUZANO")</f>
        <v>SUZANO</v>
      </c>
    </row>
    <row r="2146">
      <c r="A2146" s="6">
        <f>IFERROR(__xludf.DUMMYFUNCTION("""COMPUTED_VALUE"""),45705.0)</f>
        <v>45705</v>
      </c>
      <c r="B2146" s="7" t="str">
        <f>IFERROR(__xludf.DUMMYFUNCTION("""COMPUTED_VALUE"""),"915e72d2-b383-4227-b47f-d1fec1c0596b")</f>
        <v>915e72d2-b383-4227-b47f-d1fec1c0596b</v>
      </c>
      <c r="C2146" s="7">
        <f>IFERROR(__xludf.DUMMYFUNCTION("""COMPUTED_VALUE"""),0.0)</f>
        <v>0</v>
      </c>
      <c r="D2146" s="6">
        <f>IFERROR(__xludf.DUMMYFUNCTION("""COMPUTED_VALUE"""),45705.0)</f>
        <v>45705</v>
      </c>
      <c r="E2146" s="7" t="str">
        <f>IFERROR(__xludf.DUMMYFUNCTION("""COMPUTED_VALUE"""),"FRANQUIA_D&amp;G_SP")</f>
        <v>FRANQUIA_D&amp;G_SP</v>
      </c>
      <c r="F2146" s="7" t="str">
        <f>IFERROR(__xludf.DUMMYFUNCTION("""COMPUTED_VALUE"""),"BICYCLE")</f>
        <v>BICYCLE</v>
      </c>
      <c r="G2146" s="7" t="str">
        <f>IFERROR(__xludf.DUMMYFUNCTION("""COMPUTED_VALUE"""),"SAO PAULO")</f>
        <v>SAO PAULO</v>
      </c>
    </row>
    <row r="2147">
      <c r="A2147" s="6">
        <f>IFERROR(__xludf.DUMMYFUNCTION("""COMPUTED_VALUE"""),45705.0)</f>
        <v>45705</v>
      </c>
      <c r="B2147" s="7" t="str">
        <f>IFERROR(__xludf.DUMMYFUNCTION("""COMPUTED_VALUE"""),"2633a2c1-20bd-4482-97b1-bf1aeac27b67")</f>
        <v>2633a2c1-20bd-4482-97b1-bf1aeac27b67</v>
      </c>
      <c r="C2147" s="7">
        <f>IFERROR(__xludf.DUMMYFUNCTION("""COMPUTED_VALUE"""),45.0)</f>
        <v>45</v>
      </c>
      <c r="D2147" s="6">
        <f>IFERROR(__xludf.DUMMYFUNCTION("""COMPUTED_VALUE"""),45660.0)</f>
        <v>45660</v>
      </c>
      <c r="E2147" s="7" t="str">
        <f>IFERROR(__xludf.DUMMYFUNCTION("""COMPUTED_VALUE"""),"FRANQUIA_D&amp;G_SP")</f>
        <v>FRANQUIA_D&amp;G_SP</v>
      </c>
      <c r="F2147" s="7" t="str">
        <f>IFERROR(__xludf.DUMMYFUNCTION("""COMPUTED_VALUE"""),"BICYCLE")</f>
        <v>BICYCLE</v>
      </c>
      <c r="G2147" s="7" t="str">
        <f>IFERROR(__xludf.DUMMYFUNCTION("""COMPUTED_VALUE"""),"SAO PAULO")</f>
        <v>SAO PAULO</v>
      </c>
    </row>
    <row r="2148">
      <c r="A2148" s="6">
        <f>IFERROR(__xludf.DUMMYFUNCTION("""COMPUTED_VALUE"""),45705.0)</f>
        <v>45705</v>
      </c>
      <c r="B2148" s="7" t="str">
        <f>IFERROR(__xludf.DUMMYFUNCTION("""COMPUTED_VALUE"""),"1b00845e-3d35-4b21-92dc-d8eb0d49a2dc")</f>
        <v>1b00845e-3d35-4b21-92dc-d8eb0d49a2dc</v>
      </c>
      <c r="C2148" s="7">
        <f>IFERROR(__xludf.DUMMYFUNCTION("""COMPUTED_VALUE"""),40.0)</f>
        <v>40</v>
      </c>
      <c r="D2148" s="6">
        <f>IFERROR(__xludf.DUMMYFUNCTION("""COMPUTED_VALUE"""),45665.0)</f>
        <v>45665</v>
      </c>
      <c r="E2148" s="7" t="str">
        <f>IFERROR(__xludf.DUMMYFUNCTION("""COMPUTED_VALUE"""),"FRANQUIA_D&amp;G_SP")</f>
        <v>FRANQUIA_D&amp;G_SP</v>
      </c>
      <c r="F2148" s="7" t="str">
        <f>IFERROR(__xludf.DUMMYFUNCTION("""COMPUTED_VALUE"""),"MOTORCYCLE")</f>
        <v>MOTORCYCLE</v>
      </c>
      <c r="G2148" s="7" t="str">
        <f>IFERROR(__xludf.DUMMYFUNCTION("""COMPUTED_VALUE"""),"SAO PAULO")</f>
        <v>SAO PAULO</v>
      </c>
    </row>
    <row r="2149">
      <c r="A2149" s="6">
        <f>IFERROR(__xludf.DUMMYFUNCTION("""COMPUTED_VALUE"""),45705.0)</f>
        <v>45705</v>
      </c>
      <c r="B2149" s="7" t="str">
        <f>IFERROR(__xludf.DUMMYFUNCTION("""COMPUTED_VALUE"""),"8777c7dc-4c14-4de7-9bab-cd07c016f854")</f>
        <v>8777c7dc-4c14-4de7-9bab-cd07c016f854</v>
      </c>
      <c r="C2149" s="7">
        <f>IFERROR(__xludf.DUMMYFUNCTION("""COMPUTED_VALUE"""),280.0)</f>
        <v>280</v>
      </c>
      <c r="D2149" s="6">
        <f>IFERROR(__xludf.DUMMYFUNCTION("""COMPUTED_VALUE"""),45425.0)</f>
        <v>45425</v>
      </c>
      <c r="E2149" s="7" t="str">
        <f>IFERROR(__xludf.DUMMYFUNCTION("""COMPUTED_VALUE"""),"FRANQUIA_D&amp;G_SP")</f>
        <v>FRANQUIA_D&amp;G_SP</v>
      </c>
      <c r="F2149" s="7" t="str">
        <f>IFERROR(__xludf.DUMMYFUNCTION("""COMPUTED_VALUE"""),"BICYCLE")</f>
        <v>BICYCLE</v>
      </c>
      <c r="G2149" s="7" t="str">
        <f>IFERROR(__xludf.DUMMYFUNCTION("""COMPUTED_VALUE"""),"SAO PAULO")</f>
        <v>SAO PAULO</v>
      </c>
    </row>
    <row r="2150">
      <c r="A2150" s="6">
        <f>IFERROR(__xludf.DUMMYFUNCTION("""COMPUTED_VALUE"""),45705.0)</f>
        <v>45705</v>
      </c>
      <c r="B2150" s="7" t="str">
        <f>IFERROR(__xludf.DUMMYFUNCTION("""COMPUTED_VALUE"""),"e0751e27-4cd8-42f9-9aef-614fd000a694")</f>
        <v>e0751e27-4cd8-42f9-9aef-614fd000a694</v>
      </c>
      <c r="C2150" s="7">
        <f>IFERROR(__xludf.DUMMYFUNCTION("""COMPUTED_VALUE"""),212.0)</f>
        <v>212</v>
      </c>
      <c r="D2150" s="6">
        <f>IFERROR(__xludf.DUMMYFUNCTION("""COMPUTED_VALUE"""),45493.0)</f>
        <v>45493</v>
      </c>
      <c r="E2150" s="7" t="str">
        <f>IFERROR(__xludf.DUMMYFUNCTION("""COMPUTED_VALUE"""),"FRANQUIA_D&amp;G_SP")</f>
        <v>FRANQUIA_D&amp;G_SP</v>
      </c>
      <c r="F2150" s="7" t="str">
        <f>IFERROR(__xludf.DUMMYFUNCTION("""COMPUTED_VALUE"""),"MOTORCYCLE")</f>
        <v>MOTORCYCLE</v>
      </c>
      <c r="G2150" s="7" t="str">
        <f>IFERROR(__xludf.DUMMYFUNCTION("""COMPUTED_VALUE"""),"SAO PAULO")</f>
        <v>SAO PAULO</v>
      </c>
    </row>
    <row r="2151">
      <c r="A2151" s="6">
        <f>IFERROR(__xludf.DUMMYFUNCTION("""COMPUTED_VALUE"""),45705.0)</f>
        <v>45705</v>
      </c>
      <c r="B2151" s="7" t="str">
        <f>IFERROR(__xludf.DUMMYFUNCTION("""COMPUTED_VALUE"""),"ce0c2c29-8614-4576-939d-6268d452ccc2")</f>
        <v>ce0c2c29-8614-4576-939d-6268d452ccc2</v>
      </c>
      <c r="C2151" s="7">
        <f>IFERROR(__xludf.DUMMYFUNCTION("""COMPUTED_VALUE"""),593.0)</f>
        <v>593</v>
      </c>
      <c r="D2151" s="6">
        <f>IFERROR(__xludf.DUMMYFUNCTION("""COMPUTED_VALUE"""),45112.0)</f>
        <v>45112</v>
      </c>
      <c r="E2151" s="7" t="str">
        <f>IFERROR(__xludf.DUMMYFUNCTION("""COMPUTED_VALUE"""),"FRANQUIA_D&amp;G_SP")</f>
        <v>FRANQUIA_D&amp;G_SP</v>
      </c>
      <c r="F2151" s="7" t="str">
        <f>IFERROR(__xludf.DUMMYFUNCTION("""COMPUTED_VALUE"""),"BICYCLE")</f>
        <v>BICYCLE</v>
      </c>
      <c r="G2151" s="7" t="str">
        <f>IFERROR(__xludf.DUMMYFUNCTION("""COMPUTED_VALUE"""),"SAO PAULO")</f>
        <v>SAO PAULO</v>
      </c>
    </row>
    <row r="2152">
      <c r="A2152" s="6">
        <f>IFERROR(__xludf.DUMMYFUNCTION("""COMPUTED_VALUE"""),45705.0)</f>
        <v>45705</v>
      </c>
      <c r="B2152" s="7" t="str">
        <f>IFERROR(__xludf.DUMMYFUNCTION("""COMPUTED_VALUE"""),"fdc764a0-e91c-4bed-ba24-367132ef94f8")</f>
        <v>fdc764a0-e91c-4bed-ba24-367132ef94f8</v>
      </c>
      <c r="C2152" s="7">
        <f>IFERROR(__xludf.DUMMYFUNCTION("""COMPUTED_VALUE"""),0.0)</f>
        <v>0</v>
      </c>
      <c r="D2152" s="6">
        <f>IFERROR(__xludf.DUMMYFUNCTION("""COMPUTED_VALUE"""),45705.0)</f>
        <v>45705</v>
      </c>
      <c r="E2152" s="7" t="str">
        <f>IFERROR(__xludf.DUMMYFUNCTION("""COMPUTED_VALUE"""),"FRANQUIA_D&amp;G_SP")</f>
        <v>FRANQUIA_D&amp;G_SP</v>
      </c>
      <c r="F2152" s="7" t="str">
        <f>IFERROR(__xludf.DUMMYFUNCTION("""COMPUTED_VALUE"""),"MOTORCYCLE")</f>
        <v>MOTORCYCLE</v>
      </c>
      <c r="G2152" s="7" t="str">
        <f>IFERROR(__xludf.DUMMYFUNCTION("""COMPUTED_VALUE"""),"SAO PAULO")</f>
        <v>SAO PAULO</v>
      </c>
    </row>
    <row r="2153">
      <c r="A2153" s="6">
        <f>IFERROR(__xludf.DUMMYFUNCTION("""COMPUTED_VALUE"""),45705.0)</f>
        <v>45705</v>
      </c>
      <c r="B2153" s="7" t="str">
        <f>IFERROR(__xludf.DUMMYFUNCTION("""COMPUTED_VALUE"""),"ee7cf2c7-8935-45c5-9398-0d28bae54350")</f>
        <v>ee7cf2c7-8935-45c5-9398-0d28bae54350</v>
      </c>
      <c r="C2153" s="7">
        <f>IFERROR(__xludf.DUMMYFUNCTION("""COMPUTED_VALUE"""),2.0)</f>
        <v>2</v>
      </c>
      <c r="D2153" s="6">
        <f>IFERROR(__xludf.DUMMYFUNCTION("""COMPUTED_VALUE"""),45703.0)</f>
        <v>45703</v>
      </c>
      <c r="E2153" s="7" t="str">
        <f>IFERROR(__xludf.DUMMYFUNCTION("""COMPUTED_VALUE"""),"FRANQUIA_D&amp;G_SP")</f>
        <v>FRANQUIA_D&amp;G_SP</v>
      </c>
      <c r="F2153" s="7" t="str">
        <f>IFERROR(__xludf.DUMMYFUNCTION("""COMPUTED_VALUE"""),"MOTORCYCLE")</f>
        <v>MOTORCYCLE</v>
      </c>
      <c r="G2153" s="7" t="str">
        <f>IFERROR(__xludf.DUMMYFUNCTION("""COMPUTED_VALUE"""),"SAO PAULO")</f>
        <v>SAO PAULO</v>
      </c>
    </row>
    <row r="2154">
      <c r="A2154" s="6">
        <f>IFERROR(__xludf.DUMMYFUNCTION("""COMPUTED_VALUE"""),45705.0)</f>
        <v>45705</v>
      </c>
      <c r="B2154" s="7" t="str">
        <f>IFERROR(__xludf.DUMMYFUNCTION("""COMPUTED_VALUE"""),"665969bd-7de8-4e03-8e7c-352dabd16729")</f>
        <v>665969bd-7de8-4e03-8e7c-352dabd16729</v>
      </c>
      <c r="C2154" s="7">
        <f>IFERROR(__xludf.DUMMYFUNCTION("""COMPUTED_VALUE"""),125.0)</f>
        <v>125</v>
      </c>
      <c r="D2154" s="6">
        <f>IFERROR(__xludf.DUMMYFUNCTION("""COMPUTED_VALUE"""),45580.0)</f>
        <v>45580</v>
      </c>
      <c r="E2154" s="7" t="str">
        <f>IFERROR(__xludf.DUMMYFUNCTION("""COMPUTED_VALUE"""),"FRANQUIA_D&amp;G_SP")</f>
        <v>FRANQUIA_D&amp;G_SP</v>
      </c>
      <c r="F2154" s="7" t="str">
        <f>IFERROR(__xludf.DUMMYFUNCTION("""COMPUTED_VALUE"""),"MOTORCYCLE")</f>
        <v>MOTORCYCLE</v>
      </c>
      <c r="G2154" s="7" t="str">
        <f>IFERROR(__xludf.DUMMYFUNCTION("""COMPUTED_VALUE"""),"SAO PAULO")</f>
        <v>SAO PAULO</v>
      </c>
    </row>
    <row r="2155">
      <c r="A2155" s="6">
        <f>IFERROR(__xludf.DUMMYFUNCTION("""COMPUTED_VALUE"""),45705.0)</f>
        <v>45705</v>
      </c>
      <c r="B2155" s="7" t="str">
        <f>IFERROR(__xludf.DUMMYFUNCTION("""COMPUTED_VALUE"""),"c94553d1-a5a0-4c39-9e26-f939a81ee0d7")</f>
        <v>c94553d1-a5a0-4c39-9e26-f939a81ee0d7</v>
      </c>
      <c r="C2155" s="7">
        <f>IFERROR(__xludf.DUMMYFUNCTION("""COMPUTED_VALUE"""),0.0)</f>
        <v>0</v>
      </c>
      <c r="D2155" s="6">
        <f>IFERROR(__xludf.DUMMYFUNCTION("""COMPUTED_VALUE"""),45705.0)</f>
        <v>45705</v>
      </c>
      <c r="E2155" s="7" t="str">
        <f>IFERROR(__xludf.DUMMYFUNCTION("""COMPUTED_VALUE"""),"FRANQUIA_D&amp;G_SP")</f>
        <v>FRANQUIA_D&amp;G_SP</v>
      </c>
      <c r="F2155" s="7" t="str">
        <f>IFERROR(__xludf.DUMMYFUNCTION("""COMPUTED_VALUE"""),"MOTORCYCLE")</f>
        <v>MOTORCYCLE</v>
      </c>
      <c r="G2155" s="7" t="str">
        <f>IFERROR(__xludf.DUMMYFUNCTION("""COMPUTED_VALUE"""),"ABC")</f>
        <v>ABC</v>
      </c>
    </row>
    <row r="2156">
      <c r="A2156" s="6">
        <f>IFERROR(__xludf.DUMMYFUNCTION("""COMPUTED_VALUE"""),45705.0)</f>
        <v>45705</v>
      </c>
      <c r="B2156" s="7" t="str">
        <f>IFERROR(__xludf.DUMMYFUNCTION("""COMPUTED_VALUE"""),"c47eb952-0948-4cb1-bfe3-3211a0b7f823")</f>
        <v>c47eb952-0948-4cb1-bfe3-3211a0b7f823</v>
      </c>
      <c r="C2156" s="7">
        <f>IFERROR(__xludf.DUMMYFUNCTION("""COMPUTED_VALUE"""),1.0)</f>
        <v>1</v>
      </c>
      <c r="D2156" s="6">
        <f>IFERROR(__xludf.DUMMYFUNCTION("""COMPUTED_VALUE"""),45704.0)</f>
        <v>45704</v>
      </c>
      <c r="E2156" s="7" t="str">
        <f>IFERROR(__xludf.DUMMYFUNCTION("""COMPUTED_VALUE"""),"FRANQUIA_D&amp;G_SP")</f>
        <v>FRANQUIA_D&amp;G_SP</v>
      </c>
      <c r="F2156" s="7" t="str">
        <f>IFERROR(__xludf.DUMMYFUNCTION("""COMPUTED_VALUE"""),"MOTORCYCLE")</f>
        <v>MOTORCYCLE</v>
      </c>
      <c r="G2156" s="7" t="str">
        <f>IFERROR(__xludf.DUMMYFUNCTION("""COMPUTED_VALUE"""),"SAO PAULO")</f>
        <v>SAO PAULO</v>
      </c>
    </row>
    <row r="2157">
      <c r="A2157" s="6">
        <f>IFERROR(__xludf.DUMMYFUNCTION("""COMPUTED_VALUE"""),45705.0)</f>
        <v>45705</v>
      </c>
      <c r="B2157" s="7" t="str">
        <f>IFERROR(__xludf.DUMMYFUNCTION("""COMPUTED_VALUE"""),"e074ca0f-d269-44e5-be2f-9a9a57b4d614")</f>
        <v>e074ca0f-d269-44e5-be2f-9a9a57b4d614</v>
      </c>
      <c r="C2157" s="7">
        <f>IFERROR(__xludf.DUMMYFUNCTION("""COMPUTED_VALUE"""),5.0)</f>
        <v>5</v>
      </c>
      <c r="D2157" s="6">
        <f>IFERROR(__xludf.DUMMYFUNCTION("""COMPUTED_VALUE"""),45700.0)</f>
        <v>45700</v>
      </c>
      <c r="E2157" s="7" t="str">
        <f>IFERROR(__xludf.DUMMYFUNCTION("""COMPUTED_VALUE"""),"FRANQUIA_D&amp;G_SP")</f>
        <v>FRANQUIA_D&amp;G_SP</v>
      </c>
      <c r="F2157" s="7" t="str">
        <f>IFERROR(__xludf.DUMMYFUNCTION("""COMPUTED_VALUE"""),"MOTORCYCLE")</f>
        <v>MOTORCYCLE</v>
      </c>
      <c r="G2157" s="7" t="str">
        <f>IFERROR(__xludf.DUMMYFUNCTION("""COMPUTED_VALUE"""),"SAO PAULO")</f>
        <v>SAO PAULO</v>
      </c>
    </row>
    <row r="2158">
      <c r="A2158" s="6">
        <f>IFERROR(__xludf.DUMMYFUNCTION("""COMPUTED_VALUE"""),45705.0)</f>
        <v>45705</v>
      </c>
      <c r="B2158" s="7" t="str">
        <f>IFERROR(__xludf.DUMMYFUNCTION("""COMPUTED_VALUE"""),"c4c40b9b-93ce-4b6e-b760-b11c7c34d653")</f>
        <v>c4c40b9b-93ce-4b6e-b760-b11c7c34d653</v>
      </c>
      <c r="C2158" s="7">
        <f>IFERROR(__xludf.DUMMYFUNCTION("""COMPUTED_VALUE"""),33.0)</f>
        <v>33</v>
      </c>
      <c r="D2158" s="6">
        <f>IFERROR(__xludf.DUMMYFUNCTION("""COMPUTED_VALUE"""),45672.0)</f>
        <v>45672</v>
      </c>
      <c r="E2158" s="7" t="str">
        <f>IFERROR(__xludf.DUMMYFUNCTION("""COMPUTED_VALUE"""),"FRANQUIA_D&amp;G_SP")</f>
        <v>FRANQUIA_D&amp;G_SP</v>
      </c>
      <c r="F2158" s="7" t="str">
        <f>IFERROR(__xludf.DUMMYFUNCTION("""COMPUTED_VALUE"""),"MOTORCYCLE")</f>
        <v>MOTORCYCLE</v>
      </c>
      <c r="G2158" s="7" t="str">
        <f>IFERROR(__xludf.DUMMYFUNCTION("""COMPUTED_VALUE"""),"SAO PAULO")</f>
        <v>SAO PAULO</v>
      </c>
    </row>
    <row r="2159">
      <c r="A2159" s="6">
        <f>IFERROR(__xludf.DUMMYFUNCTION("""COMPUTED_VALUE"""),45705.0)</f>
        <v>45705</v>
      </c>
      <c r="B2159" s="7" t="str">
        <f>IFERROR(__xludf.DUMMYFUNCTION("""COMPUTED_VALUE"""),"c876fd57-3807-43ac-b6ab-f20f78c9e7b9")</f>
        <v>c876fd57-3807-43ac-b6ab-f20f78c9e7b9</v>
      </c>
      <c r="C2159" s="7">
        <f>IFERROR(__xludf.DUMMYFUNCTION("""COMPUTED_VALUE"""),946.0)</f>
        <v>946</v>
      </c>
      <c r="D2159" s="6">
        <f>IFERROR(__xludf.DUMMYFUNCTION("""COMPUTED_VALUE"""),44759.0)</f>
        <v>44759</v>
      </c>
      <c r="E2159" s="7" t="str">
        <f>IFERROR(__xludf.DUMMYFUNCTION("""COMPUTED_VALUE"""),"FRANQUIA_D&amp;G_SP")</f>
        <v>FRANQUIA_D&amp;G_SP</v>
      </c>
      <c r="F2159" s="7" t="str">
        <f>IFERROR(__xludf.DUMMYFUNCTION("""COMPUTED_VALUE"""),"MOTORCYCLE")</f>
        <v>MOTORCYCLE</v>
      </c>
      <c r="G2159" s="7" t="str">
        <f>IFERROR(__xludf.DUMMYFUNCTION("""COMPUTED_VALUE"""),"SAO PAULO")</f>
        <v>SAO PAULO</v>
      </c>
    </row>
    <row r="2160">
      <c r="A2160" s="6">
        <f>IFERROR(__xludf.DUMMYFUNCTION("""COMPUTED_VALUE"""),45705.0)</f>
        <v>45705</v>
      </c>
      <c r="B2160" s="7" t="str">
        <f>IFERROR(__xludf.DUMMYFUNCTION("""COMPUTED_VALUE"""),"b6093f33-fe36-4e4f-8d8f-fbcd613b1083")</f>
        <v>b6093f33-fe36-4e4f-8d8f-fbcd613b1083</v>
      </c>
      <c r="C2160" s="7">
        <f>IFERROR(__xludf.DUMMYFUNCTION("""COMPUTED_VALUE"""),1.0)</f>
        <v>1</v>
      </c>
      <c r="D2160" s="6">
        <f>IFERROR(__xludf.DUMMYFUNCTION("""COMPUTED_VALUE"""),45704.0)</f>
        <v>45704</v>
      </c>
      <c r="E2160" s="7" t="str">
        <f>IFERROR(__xludf.DUMMYFUNCTION("""COMPUTED_VALUE"""),"FRANQUIA_D&amp;G_SP")</f>
        <v>FRANQUIA_D&amp;G_SP</v>
      </c>
      <c r="F2160" s="7" t="str">
        <f>IFERROR(__xludf.DUMMYFUNCTION("""COMPUTED_VALUE"""),"EMOTORCYCLE")</f>
        <v>EMOTORCYCLE</v>
      </c>
      <c r="G2160" s="7" t="str">
        <f>IFERROR(__xludf.DUMMYFUNCTION("""COMPUTED_VALUE"""),"SUZANO")</f>
        <v>SUZANO</v>
      </c>
    </row>
    <row r="2161">
      <c r="A2161" s="6">
        <f>IFERROR(__xludf.DUMMYFUNCTION("""COMPUTED_VALUE"""),45705.0)</f>
        <v>45705</v>
      </c>
      <c r="B2161" s="7" t="str">
        <f>IFERROR(__xludf.DUMMYFUNCTION("""COMPUTED_VALUE"""),"b1a67e98-b101-4493-8d21-b551945fa7fc")</f>
        <v>b1a67e98-b101-4493-8d21-b551945fa7fc</v>
      </c>
      <c r="C2161" s="7">
        <f>IFERROR(__xludf.DUMMYFUNCTION("""COMPUTED_VALUE"""),53.0)</f>
        <v>53</v>
      </c>
      <c r="D2161" s="6">
        <f>IFERROR(__xludf.DUMMYFUNCTION("""COMPUTED_VALUE"""),45652.0)</f>
        <v>45652</v>
      </c>
      <c r="E2161" s="7" t="str">
        <f>IFERROR(__xludf.DUMMYFUNCTION("""COMPUTED_VALUE"""),"FRANQUIA_D&amp;G_SP")</f>
        <v>FRANQUIA_D&amp;G_SP</v>
      </c>
      <c r="F2161" s="7" t="str">
        <f>IFERROR(__xludf.DUMMYFUNCTION("""COMPUTED_VALUE"""),"MOTORCYCLE")</f>
        <v>MOTORCYCLE</v>
      </c>
      <c r="G2161" s="7" t="str">
        <f>IFERROR(__xludf.DUMMYFUNCTION("""COMPUTED_VALUE"""),"SAO PAULO")</f>
        <v>SAO PAULO</v>
      </c>
    </row>
    <row r="2162">
      <c r="A2162" s="6">
        <f>IFERROR(__xludf.DUMMYFUNCTION("""COMPUTED_VALUE"""),45705.0)</f>
        <v>45705</v>
      </c>
      <c r="B2162" s="7" t="str">
        <f>IFERROR(__xludf.DUMMYFUNCTION("""COMPUTED_VALUE"""),"9e809c1c-9f48-43f5-8142-268ad072f60b")</f>
        <v>9e809c1c-9f48-43f5-8142-268ad072f60b</v>
      </c>
      <c r="C2162" s="7">
        <f>IFERROR(__xludf.DUMMYFUNCTION("""COMPUTED_VALUE"""),0.0)</f>
        <v>0</v>
      </c>
      <c r="D2162" s="6">
        <f>IFERROR(__xludf.DUMMYFUNCTION("""COMPUTED_VALUE"""),45705.0)</f>
        <v>45705</v>
      </c>
      <c r="E2162" s="7" t="str">
        <f>IFERROR(__xludf.DUMMYFUNCTION("""COMPUTED_VALUE"""),"FRANQUIA_D&amp;G_SP")</f>
        <v>FRANQUIA_D&amp;G_SP</v>
      </c>
      <c r="F2162" s="7" t="str">
        <f>IFERROR(__xludf.DUMMYFUNCTION("""COMPUTED_VALUE"""),"BICYCLE")</f>
        <v>BICYCLE</v>
      </c>
      <c r="G2162" s="7" t="str">
        <f>IFERROR(__xludf.DUMMYFUNCTION("""COMPUTED_VALUE"""),"SAO PAULO")</f>
        <v>SAO PAULO</v>
      </c>
    </row>
    <row r="2163">
      <c r="A2163" s="6">
        <f>IFERROR(__xludf.DUMMYFUNCTION("""COMPUTED_VALUE"""),45705.0)</f>
        <v>45705</v>
      </c>
      <c r="B2163" s="7" t="str">
        <f>IFERROR(__xludf.DUMMYFUNCTION("""COMPUTED_VALUE"""),"b7fbf7f8-7541-46e7-90f9-0275d05fb5bc")</f>
        <v>b7fbf7f8-7541-46e7-90f9-0275d05fb5bc</v>
      </c>
      <c r="C2163" s="7">
        <f>IFERROR(__xludf.DUMMYFUNCTION("""COMPUTED_VALUE"""),0.0)</f>
        <v>0</v>
      </c>
      <c r="D2163" s="6">
        <f>IFERROR(__xludf.DUMMYFUNCTION("""COMPUTED_VALUE"""),45705.0)</f>
        <v>45705</v>
      </c>
      <c r="E2163" s="7" t="str">
        <f>IFERROR(__xludf.DUMMYFUNCTION("""COMPUTED_VALUE"""),"FRANQUIA_D&amp;G_SP")</f>
        <v>FRANQUIA_D&amp;G_SP</v>
      </c>
      <c r="F2163" s="7" t="str">
        <f>IFERROR(__xludf.DUMMYFUNCTION("""COMPUTED_VALUE"""),"BICYCLE")</f>
        <v>BICYCLE</v>
      </c>
      <c r="G2163" s="7" t="str">
        <f>IFERROR(__xludf.DUMMYFUNCTION("""COMPUTED_VALUE"""),"SAO PAULO")</f>
        <v>SAO PAULO</v>
      </c>
    </row>
    <row r="2164">
      <c r="A2164" s="6">
        <f>IFERROR(__xludf.DUMMYFUNCTION("""COMPUTED_VALUE"""),45705.0)</f>
        <v>45705</v>
      </c>
      <c r="B2164" s="7" t="str">
        <f>IFERROR(__xludf.DUMMYFUNCTION("""COMPUTED_VALUE"""),"38014485-105f-4525-8d05-582c5d3237c3")</f>
        <v>38014485-105f-4525-8d05-582c5d3237c3</v>
      </c>
      <c r="C2164" s="7">
        <f>IFERROR(__xludf.DUMMYFUNCTION("""COMPUTED_VALUE"""),5.0)</f>
        <v>5</v>
      </c>
      <c r="D2164" s="6">
        <f>IFERROR(__xludf.DUMMYFUNCTION("""COMPUTED_VALUE"""),45700.0)</f>
        <v>45700</v>
      </c>
      <c r="E2164" s="7" t="str">
        <f>IFERROR(__xludf.DUMMYFUNCTION("""COMPUTED_VALUE"""),"FRANQUIA_D&amp;G_SP")</f>
        <v>FRANQUIA_D&amp;G_SP</v>
      </c>
      <c r="F2164" s="7" t="str">
        <f>IFERROR(__xludf.DUMMYFUNCTION("""COMPUTED_VALUE"""),"MOTORCYCLE")</f>
        <v>MOTORCYCLE</v>
      </c>
      <c r="G2164" s="7" t="str">
        <f>IFERROR(__xludf.DUMMYFUNCTION("""COMPUTED_VALUE"""),"SAO PAULO")</f>
        <v>SAO PAULO</v>
      </c>
    </row>
    <row r="2165">
      <c r="A2165" s="6">
        <f>IFERROR(__xludf.DUMMYFUNCTION("""COMPUTED_VALUE"""),45705.0)</f>
        <v>45705</v>
      </c>
      <c r="B2165" s="7" t="str">
        <f>IFERROR(__xludf.DUMMYFUNCTION("""COMPUTED_VALUE"""),"fdf3b577-a3df-4d75-ae0f-1ac3c565c998")</f>
        <v>fdf3b577-a3df-4d75-ae0f-1ac3c565c998</v>
      </c>
      <c r="C2165" s="7">
        <f>IFERROR(__xludf.DUMMYFUNCTION("""COMPUTED_VALUE"""),1.0)</f>
        <v>1</v>
      </c>
      <c r="D2165" s="6">
        <f>IFERROR(__xludf.DUMMYFUNCTION("""COMPUTED_VALUE"""),45704.0)</f>
        <v>45704</v>
      </c>
      <c r="E2165" s="7" t="str">
        <f>IFERROR(__xludf.DUMMYFUNCTION("""COMPUTED_VALUE"""),"FRANQUIA_D&amp;G_SP")</f>
        <v>FRANQUIA_D&amp;G_SP</v>
      </c>
      <c r="F2165" s="7" t="str">
        <f>IFERROR(__xludf.DUMMYFUNCTION("""COMPUTED_VALUE"""),"MOTORCYCLE")</f>
        <v>MOTORCYCLE</v>
      </c>
      <c r="G2165" s="7" t="str">
        <f>IFERROR(__xludf.DUMMYFUNCTION("""COMPUTED_VALUE"""),"SAO PAULO")</f>
        <v>SAO PAULO</v>
      </c>
    </row>
    <row r="2166">
      <c r="A2166" s="6">
        <f>IFERROR(__xludf.DUMMYFUNCTION("""COMPUTED_VALUE"""),45705.0)</f>
        <v>45705</v>
      </c>
      <c r="B2166" s="7" t="str">
        <f>IFERROR(__xludf.DUMMYFUNCTION("""COMPUTED_VALUE"""),"1a4aa480-4275-427b-abdb-34ddab3b850b")</f>
        <v>1a4aa480-4275-427b-abdb-34ddab3b850b</v>
      </c>
      <c r="C2166" s="7">
        <f>IFERROR(__xludf.DUMMYFUNCTION("""COMPUTED_VALUE"""),0.0)</f>
        <v>0</v>
      </c>
      <c r="D2166" s="6">
        <f>IFERROR(__xludf.DUMMYFUNCTION("""COMPUTED_VALUE"""),45705.0)</f>
        <v>45705</v>
      </c>
      <c r="E2166" s="7" t="str">
        <f>IFERROR(__xludf.DUMMYFUNCTION("""COMPUTED_VALUE"""),"FRANQUIA_D&amp;G_SP")</f>
        <v>FRANQUIA_D&amp;G_SP</v>
      </c>
      <c r="F2166" s="7" t="str">
        <f>IFERROR(__xludf.DUMMYFUNCTION("""COMPUTED_VALUE"""),"EMOTORCYCLE")</f>
        <v>EMOTORCYCLE</v>
      </c>
      <c r="G2166" s="7" t="str">
        <f>IFERROR(__xludf.DUMMYFUNCTION("""COMPUTED_VALUE"""),"SAO PAULO")</f>
        <v>SAO PAULO</v>
      </c>
    </row>
    <row r="2167">
      <c r="A2167" s="6">
        <f>IFERROR(__xludf.DUMMYFUNCTION("""COMPUTED_VALUE"""),45705.0)</f>
        <v>45705</v>
      </c>
      <c r="B2167" s="7" t="str">
        <f>IFERROR(__xludf.DUMMYFUNCTION("""COMPUTED_VALUE"""),"34268bc7-b695-474d-8782-a901dcce6e6a")</f>
        <v>34268bc7-b695-474d-8782-a901dcce6e6a</v>
      </c>
      <c r="C2167" s="7">
        <f>IFERROR(__xludf.DUMMYFUNCTION("""COMPUTED_VALUE"""),0.0)</f>
        <v>0</v>
      </c>
      <c r="D2167" s="6">
        <f>IFERROR(__xludf.DUMMYFUNCTION("""COMPUTED_VALUE"""),45705.0)</f>
        <v>45705</v>
      </c>
      <c r="E2167" s="7" t="str">
        <f>IFERROR(__xludf.DUMMYFUNCTION("""COMPUTED_VALUE"""),"FRANQUIA_D&amp;G_SP")</f>
        <v>FRANQUIA_D&amp;G_SP</v>
      </c>
      <c r="F2167" s="7" t="str">
        <f>IFERROR(__xludf.DUMMYFUNCTION("""COMPUTED_VALUE"""),"EMOTORCYCLE")</f>
        <v>EMOTORCYCLE</v>
      </c>
      <c r="G2167" s="7" t="str">
        <f>IFERROR(__xludf.DUMMYFUNCTION("""COMPUTED_VALUE"""),"SAO PAULO")</f>
        <v>SAO PAULO</v>
      </c>
    </row>
    <row r="2168">
      <c r="A2168" s="6">
        <f>IFERROR(__xludf.DUMMYFUNCTION("""COMPUTED_VALUE"""),45705.0)</f>
        <v>45705</v>
      </c>
      <c r="B2168" s="7" t="str">
        <f>IFERROR(__xludf.DUMMYFUNCTION("""COMPUTED_VALUE"""),"353a22c7-4dc9-463a-ac03-81d8b8ffa1af")</f>
        <v>353a22c7-4dc9-463a-ac03-81d8b8ffa1af</v>
      </c>
      <c r="C2168" s="7">
        <f>IFERROR(__xludf.DUMMYFUNCTION("""COMPUTED_VALUE"""),0.0)</f>
        <v>0</v>
      </c>
      <c r="D2168" s="6">
        <f>IFERROR(__xludf.DUMMYFUNCTION("""COMPUTED_VALUE"""),0.0)</f>
        <v>0</v>
      </c>
      <c r="E2168" s="7" t="str">
        <f>IFERROR(__xludf.DUMMYFUNCTION("""COMPUTED_VALUE"""),"FRANQUIA_D&amp;G_SP")</f>
        <v>FRANQUIA_D&amp;G_SP</v>
      </c>
      <c r="F2168" s="7" t="str">
        <f>IFERROR(__xludf.DUMMYFUNCTION("""COMPUTED_VALUE"""),"MOTORCYCLE")</f>
        <v>MOTORCYCLE</v>
      </c>
      <c r="G2168" s="7" t="str">
        <f>IFERROR(__xludf.DUMMYFUNCTION("""COMPUTED_VALUE"""),"0")</f>
        <v>0</v>
      </c>
    </row>
    <row r="2169">
      <c r="A2169" s="6">
        <f>IFERROR(__xludf.DUMMYFUNCTION("""COMPUTED_VALUE"""),45705.0)</f>
        <v>45705</v>
      </c>
      <c r="B2169" s="7" t="str">
        <f>IFERROR(__xludf.DUMMYFUNCTION("""COMPUTED_VALUE"""),"817e7577-f795-4863-b7c1-fc22fe73d434")</f>
        <v>817e7577-f795-4863-b7c1-fc22fe73d434</v>
      </c>
      <c r="C2169" s="7">
        <f>IFERROR(__xludf.DUMMYFUNCTION("""COMPUTED_VALUE"""),26.0)</f>
        <v>26</v>
      </c>
      <c r="D2169" s="6">
        <f>IFERROR(__xludf.DUMMYFUNCTION("""COMPUTED_VALUE"""),45679.0)</f>
        <v>45679</v>
      </c>
      <c r="E2169" s="7" t="str">
        <f>IFERROR(__xludf.DUMMYFUNCTION("""COMPUTED_VALUE"""),"FRANQUIA_D&amp;G_SP")</f>
        <v>FRANQUIA_D&amp;G_SP</v>
      </c>
      <c r="F2169" s="7" t="str">
        <f>IFERROR(__xludf.DUMMYFUNCTION("""COMPUTED_VALUE"""),"MOTORCYCLE")</f>
        <v>MOTORCYCLE</v>
      </c>
      <c r="G2169" s="7" t="str">
        <f>IFERROR(__xludf.DUMMYFUNCTION("""COMPUTED_VALUE"""),"SAO PAULO")</f>
        <v>SAO PAULO</v>
      </c>
    </row>
    <row r="2170">
      <c r="A2170" s="6">
        <f>IFERROR(__xludf.DUMMYFUNCTION("""COMPUTED_VALUE"""),45705.0)</f>
        <v>45705</v>
      </c>
      <c r="B2170" s="7" t="str">
        <f>IFERROR(__xludf.DUMMYFUNCTION("""COMPUTED_VALUE"""),"8722da42-f254-45a7-8b86-f306d5cd57ea")</f>
        <v>8722da42-f254-45a7-8b86-f306d5cd57ea</v>
      </c>
      <c r="C2170" s="7">
        <f>IFERROR(__xludf.DUMMYFUNCTION("""COMPUTED_VALUE"""),1.0)</f>
        <v>1</v>
      </c>
      <c r="D2170" s="6">
        <f>IFERROR(__xludf.DUMMYFUNCTION("""COMPUTED_VALUE"""),45704.0)</f>
        <v>45704</v>
      </c>
      <c r="E2170" s="7" t="str">
        <f>IFERROR(__xludf.DUMMYFUNCTION("""COMPUTED_VALUE"""),"FRANQUIA_D&amp;G_SP")</f>
        <v>FRANQUIA_D&amp;G_SP</v>
      </c>
      <c r="F2170" s="7" t="str">
        <f>IFERROR(__xludf.DUMMYFUNCTION("""COMPUTED_VALUE"""),"MOTORCYCLE")</f>
        <v>MOTORCYCLE</v>
      </c>
      <c r="G2170" s="7" t="str">
        <f>IFERROR(__xludf.DUMMYFUNCTION("""COMPUTED_VALUE"""),"SAO PAULO")</f>
        <v>SAO PAULO</v>
      </c>
    </row>
    <row r="2171">
      <c r="A2171" s="6">
        <f>IFERROR(__xludf.DUMMYFUNCTION("""COMPUTED_VALUE"""),45705.0)</f>
        <v>45705</v>
      </c>
      <c r="B2171" s="7" t="str">
        <f>IFERROR(__xludf.DUMMYFUNCTION("""COMPUTED_VALUE"""),"9fb35c48-ca7e-4661-a60d-5609b379087e")</f>
        <v>9fb35c48-ca7e-4661-a60d-5609b379087e</v>
      </c>
      <c r="C2171" s="7">
        <f>IFERROR(__xludf.DUMMYFUNCTION("""COMPUTED_VALUE"""),0.0)</f>
        <v>0</v>
      </c>
      <c r="D2171" s="6">
        <f>IFERROR(__xludf.DUMMYFUNCTION("""COMPUTED_VALUE"""),45705.0)</f>
        <v>45705</v>
      </c>
      <c r="E2171" s="7" t="str">
        <f>IFERROR(__xludf.DUMMYFUNCTION("""COMPUTED_VALUE"""),"FRANQUIA_D&amp;G_SP")</f>
        <v>FRANQUIA_D&amp;G_SP</v>
      </c>
      <c r="F2171" s="7" t="str">
        <f>IFERROR(__xludf.DUMMYFUNCTION("""COMPUTED_VALUE"""),"MOTORCYCLE")</f>
        <v>MOTORCYCLE</v>
      </c>
      <c r="G2171" s="7" t="str">
        <f>IFERROR(__xludf.DUMMYFUNCTION("""COMPUTED_VALUE"""),"SAO PAULO")</f>
        <v>SAO PAULO</v>
      </c>
    </row>
    <row r="2172">
      <c r="A2172" s="6">
        <f>IFERROR(__xludf.DUMMYFUNCTION("""COMPUTED_VALUE"""),45705.0)</f>
        <v>45705</v>
      </c>
      <c r="B2172" s="7" t="str">
        <f>IFERROR(__xludf.DUMMYFUNCTION("""COMPUTED_VALUE"""),"4b1c0afc-c48d-40ad-a352-6b0764b069a1")</f>
        <v>4b1c0afc-c48d-40ad-a352-6b0764b069a1</v>
      </c>
      <c r="C2172" s="7">
        <f>IFERROR(__xludf.DUMMYFUNCTION("""COMPUTED_VALUE"""),1.0)</f>
        <v>1</v>
      </c>
      <c r="D2172" s="6">
        <f>IFERROR(__xludf.DUMMYFUNCTION("""COMPUTED_VALUE"""),45704.0)</f>
        <v>45704</v>
      </c>
      <c r="E2172" s="7" t="str">
        <f>IFERROR(__xludf.DUMMYFUNCTION("""COMPUTED_VALUE"""),"FRANQUIA_D&amp;G_SP")</f>
        <v>FRANQUIA_D&amp;G_SP</v>
      </c>
      <c r="F2172" s="7" t="str">
        <f>IFERROR(__xludf.DUMMYFUNCTION("""COMPUTED_VALUE"""),"BICYCLE")</f>
        <v>BICYCLE</v>
      </c>
      <c r="G2172" s="7" t="str">
        <f>IFERROR(__xludf.DUMMYFUNCTION("""COMPUTED_VALUE"""),"SAO PAULO")</f>
        <v>SAO PAULO</v>
      </c>
    </row>
    <row r="2173">
      <c r="A2173" s="6">
        <f>IFERROR(__xludf.DUMMYFUNCTION("""COMPUTED_VALUE"""),45705.0)</f>
        <v>45705</v>
      </c>
      <c r="B2173" s="7" t="str">
        <f>IFERROR(__xludf.DUMMYFUNCTION("""COMPUTED_VALUE"""),"61f5cd95-a1db-40a2-8e0e-b79b57c957df")</f>
        <v>61f5cd95-a1db-40a2-8e0e-b79b57c957df</v>
      </c>
      <c r="C2173" s="7">
        <f>IFERROR(__xludf.DUMMYFUNCTION("""COMPUTED_VALUE"""),14.0)</f>
        <v>14</v>
      </c>
      <c r="D2173" s="6">
        <f>IFERROR(__xludf.DUMMYFUNCTION("""COMPUTED_VALUE"""),45691.0)</f>
        <v>45691</v>
      </c>
      <c r="E2173" s="7" t="str">
        <f>IFERROR(__xludf.DUMMYFUNCTION("""COMPUTED_VALUE"""),"FRANQUIA_D&amp;G_SP")</f>
        <v>FRANQUIA_D&amp;G_SP</v>
      </c>
      <c r="F2173" s="7" t="str">
        <f>IFERROR(__xludf.DUMMYFUNCTION("""COMPUTED_VALUE"""),"BICYCLE")</f>
        <v>BICYCLE</v>
      </c>
      <c r="G2173" s="7" t="str">
        <f>IFERROR(__xludf.DUMMYFUNCTION("""COMPUTED_VALUE"""),"SAO PAULO")</f>
        <v>SAO PAULO</v>
      </c>
    </row>
    <row r="2174">
      <c r="A2174" s="6">
        <f>IFERROR(__xludf.DUMMYFUNCTION("""COMPUTED_VALUE"""),45705.0)</f>
        <v>45705</v>
      </c>
      <c r="B2174" s="7" t="str">
        <f>IFERROR(__xludf.DUMMYFUNCTION("""COMPUTED_VALUE"""),"e464bfe8-4d73-4702-8f89-b6cd81313ebd")</f>
        <v>e464bfe8-4d73-4702-8f89-b6cd81313ebd</v>
      </c>
      <c r="C2174" s="7">
        <f>IFERROR(__xludf.DUMMYFUNCTION("""COMPUTED_VALUE"""),1.0)</f>
        <v>1</v>
      </c>
      <c r="D2174" s="6">
        <f>IFERROR(__xludf.DUMMYFUNCTION("""COMPUTED_VALUE"""),45704.0)</f>
        <v>45704</v>
      </c>
      <c r="E2174" s="7" t="str">
        <f>IFERROR(__xludf.DUMMYFUNCTION("""COMPUTED_VALUE"""),"FRANQUIA_D&amp;G_SP")</f>
        <v>FRANQUIA_D&amp;G_SP</v>
      </c>
      <c r="F2174" s="7" t="str">
        <f>IFERROR(__xludf.DUMMYFUNCTION("""COMPUTED_VALUE"""),"MOTORCYCLE")</f>
        <v>MOTORCYCLE</v>
      </c>
      <c r="G2174" s="7" t="str">
        <f>IFERROR(__xludf.DUMMYFUNCTION("""COMPUTED_VALUE"""),"ABC")</f>
        <v>ABC</v>
      </c>
    </row>
    <row r="2175">
      <c r="A2175" s="6">
        <f>IFERROR(__xludf.DUMMYFUNCTION("""COMPUTED_VALUE"""),45705.0)</f>
        <v>45705</v>
      </c>
      <c r="B2175" s="7" t="str">
        <f>IFERROR(__xludf.DUMMYFUNCTION("""COMPUTED_VALUE"""),"62f1f275-b769-489d-bf5f-6086cbf3c905")</f>
        <v>62f1f275-b769-489d-bf5f-6086cbf3c905</v>
      </c>
      <c r="C2175" s="7">
        <f>IFERROR(__xludf.DUMMYFUNCTION("""COMPUTED_VALUE"""),50.0)</f>
        <v>50</v>
      </c>
      <c r="D2175" s="6">
        <f>IFERROR(__xludf.DUMMYFUNCTION("""COMPUTED_VALUE"""),45655.0)</f>
        <v>45655</v>
      </c>
      <c r="E2175" s="7" t="str">
        <f>IFERROR(__xludf.DUMMYFUNCTION("""COMPUTED_VALUE"""),"FRANQUIA_D&amp;G_SP")</f>
        <v>FRANQUIA_D&amp;G_SP</v>
      </c>
      <c r="F2175" s="7" t="str">
        <f>IFERROR(__xludf.DUMMYFUNCTION("""COMPUTED_VALUE"""),"MOTORCYCLE")</f>
        <v>MOTORCYCLE</v>
      </c>
      <c r="G2175" s="7" t="str">
        <f>IFERROR(__xludf.DUMMYFUNCTION("""COMPUTED_VALUE"""),"SAO PAULO")</f>
        <v>SAO PAULO</v>
      </c>
    </row>
    <row r="2176">
      <c r="A2176" s="6">
        <f>IFERROR(__xludf.DUMMYFUNCTION("""COMPUTED_VALUE"""),45705.0)</f>
        <v>45705</v>
      </c>
      <c r="B2176" s="7" t="str">
        <f>IFERROR(__xludf.DUMMYFUNCTION("""COMPUTED_VALUE"""),"c677d4c3-0dbc-49d9-8da8-c06b70683101")</f>
        <v>c677d4c3-0dbc-49d9-8da8-c06b70683101</v>
      </c>
      <c r="C2176" s="7">
        <f>IFERROR(__xludf.DUMMYFUNCTION("""COMPUTED_VALUE"""),0.0)</f>
        <v>0</v>
      </c>
      <c r="D2176" s="6">
        <f>IFERROR(__xludf.DUMMYFUNCTION("""COMPUTED_VALUE"""),45705.0)</f>
        <v>45705</v>
      </c>
      <c r="E2176" s="7" t="str">
        <f>IFERROR(__xludf.DUMMYFUNCTION("""COMPUTED_VALUE"""),"FRANQUIA_D&amp;G_SP")</f>
        <v>FRANQUIA_D&amp;G_SP</v>
      </c>
      <c r="F2176" s="7" t="str">
        <f>IFERROR(__xludf.DUMMYFUNCTION("""COMPUTED_VALUE"""),"MOTORCYCLE")</f>
        <v>MOTORCYCLE</v>
      </c>
      <c r="G2176" s="7" t="str">
        <f>IFERROR(__xludf.DUMMYFUNCTION("""COMPUTED_VALUE"""),"SAO PAULO")</f>
        <v>SAO PAULO</v>
      </c>
    </row>
    <row r="2177">
      <c r="A2177" s="6">
        <f>IFERROR(__xludf.DUMMYFUNCTION("""COMPUTED_VALUE"""),45705.0)</f>
        <v>45705</v>
      </c>
      <c r="B2177" s="7" t="str">
        <f>IFERROR(__xludf.DUMMYFUNCTION("""COMPUTED_VALUE"""),"e6ab4a09-0527-4fc7-b7b3-c0b896edf50a")</f>
        <v>e6ab4a09-0527-4fc7-b7b3-c0b896edf50a</v>
      </c>
      <c r="C2177" s="7">
        <f>IFERROR(__xludf.DUMMYFUNCTION("""COMPUTED_VALUE"""),1.0)</f>
        <v>1</v>
      </c>
      <c r="D2177" s="6">
        <f>IFERROR(__xludf.DUMMYFUNCTION("""COMPUTED_VALUE"""),45704.0)</f>
        <v>45704</v>
      </c>
      <c r="E2177" s="7" t="str">
        <f>IFERROR(__xludf.DUMMYFUNCTION("""COMPUTED_VALUE"""),"FRANQUIA_D&amp;G_SP")</f>
        <v>FRANQUIA_D&amp;G_SP</v>
      </c>
      <c r="F2177" s="7" t="str">
        <f>IFERROR(__xludf.DUMMYFUNCTION("""COMPUTED_VALUE"""),"MOTORCYCLE")</f>
        <v>MOTORCYCLE</v>
      </c>
      <c r="G2177" s="7" t="str">
        <f>IFERROR(__xludf.DUMMYFUNCTION("""COMPUTED_VALUE"""),"SAO PAULO")</f>
        <v>SAO PAULO</v>
      </c>
    </row>
    <row r="2178">
      <c r="A2178" s="6">
        <f>IFERROR(__xludf.DUMMYFUNCTION("""COMPUTED_VALUE"""),45705.0)</f>
        <v>45705</v>
      </c>
      <c r="B2178" s="7" t="str">
        <f>IFERROR(__xludf.DUMMYFUNCTION("""COMPUTED_VALUE"""),"d345b285-c397-4f78-8f9f-9c4438b456d1")</f>
        <v>d345b285-c397-4f78-8f9f-9c4438b456d1</v>
      </c>
      <c r="C2178" s="7">
        <f>IFERROR(__xludf.DUMMYFUNCTION("""COMPUTED_VALUE"""),5.0)</f>
        <v>5</v>
      </c>
      <c r="D2178" s="6">
        <f>IFERROR(__xludf.DUMMYFUNCTION("""COMPUTED_VALUE"""),45700.0)</f>
        <v>45700</v>
      </c>
      <c r="E2178" s="7" t="str">
        <f>IFERROR(__xludf.DUMMYFUNCTION("""COMPUTED_VALUE"""),"FRANQUIA_D&amp;G_SP")</f>
        <v>FRANQUIA_D&amp;G_SP</v>
      </c>
      <c r="F2178" s="7" t="str">
        <f>IFERROR(__xludf.DUMMYFUNCTION("""COMPUTED_VALUE"""),"MOTORCYCLE")</f>
        <v>MOTORCYCLE</v>
      </c>
      <c r="G2178" s="7" t="str">
        <f>IFERROR(__xludf.DUMMYFUNCTION("""COMPUTED_VALUE"""),"SAO PAULO")</f>
        <v>SAO PAULO</v>
      </c>
    </row>
    <row r="2179">
      <c r="A2179" s="6">
        <f>IFERROR(__xludf.DUMMYFUNCTION("""COMPUTED_VALUE"""),45705.0)</f>
        <v>45705</v>
      </c>
      <c r="B2179" s="7" t="str">
        <f>IFERROR(__xludf.DUMMYFUNCTION("""COMPUTED_VALUE"""),"d1023e53-c492-4421-b726-d1095fa1616b")</f>
        <v>d1023e53-c492-4421-b726-d1095fa1616b</v>
      </c>
      <c r="C2179" s="7">
        <f>IFERROR(__xludf.DUMMYFUNCTION("""COMPUTED_VALUE"""),0.0)</f>
        <v>0</v>
      </c>
      <c r="D2179" s="6">
        <f>IFERROR(__xludf.DUMMYFUNCTION("""COMPUTED_VALUE"""),45705.0)</f>
        <v>45705</v>
      </c>
      <c r="E2179" s="7" t="str">
        <f>IFERROR(__xludf.DUMMYFUNCTION("""COMPUTED_VALUE"""),"FRANQUIA_D&amp;G_SP")</f>
        <v>FRANQUIA_D&amp;G_SP</v>
      </c>
      <c r="F2179" s="7" t="str">
        <f>IFERROR(__xludf.DUMMYFUNCTION("""COMPUTED_VALUE"""),"BICYCLE")</f>
        <v>BICYCLE</v>
      </c>
      <c r="G2179" s="7" t="str">
        <f>IFERROR(__xludf.DUMMYFUNCTION("""COMPUTED_VALUE"""),"SAO PAULO")</f>
        <v>SAO PAULO</v>
      </c>
    </row>
    <row r="2180">
      <c r="A2180" s="6">
        <f>IFERROR(__xludf.DUMMYFUNCTION("""COMPUTED_VALUE"""),45705.0)</f>
        <v>45705</v>
      </c>
      <c r="B2180" s="7" t="str">
        <f>IFERROR(__xludf.DUMMYFUNCTION("""COMPUTED_VALUE"""),"b5fc65b5-7b96-486e-9d0e-513a1fa72da1")</f>
        <v>b5fc65b5-7b96-486e-9d0e-513a1fa72da1</v>
      </c>
      <c r="C2180" s="7">
        <f>IFERROR(__xludf.DUMMYFUNCTION("""COMPUTED_VALUE"""),7.0)</f>
        <v>7</v>
      </c>
      <c r="D2180" s="6">
        <f>IFERROR(__xludf.DUMMYFUNCTION("""COMPUTED_VALUE"""),45698.0)</f>
        <v>45698</v>
      </c>
      <c r="E2180" s="7" t="str">
        <f>IFERROR(__xludf.DUMMYFUNCTION("""COMPUTED_VALUE"""),"FRANQUIA_D&amp;G_SP")</f>
        <v>FRANQUIA_D&amp;G_SP</v>
      </c>
      <c r="F2180" s="7" t="str">
        <f>IFERROR(__xludf.DUMMYFUNCTION("""COMPUTED_VALUE"""),"MOTORCYCLE")</f>
        <v>MOTORCYCLE</v>
      </c>
      <c r="G2180" s="7" t="str">
        <f>IFERROR(__xludf.DUMMYFUNCTION("""COMPUTED_VALUE"""),"SAO PAULO")</f>
        <v>SAO PAULO</v>
      </c>
    </row>
    <row r="2181">
      <c r="A2181" s="6">
        <f>IFERROR(__xludf.DUMMYFUNCTION("""COMPUTED_VALUE"""),45705.0)</f>
        <v>45705</v>
      </c>
      <c r="B2181" s="7" t="str">
        <f>IFERROR(__xludf.DUMMYFUNCTION("""COMPUTED_VALUE"""),"c1350afe-0e07-422f-8a2a-a9857cf2e870")</f>
        <v>c1350afe-0e07-422f-8a2a-a9857cf2e870</v>
      </c>
      <c r="C2181" s="7">
        <f>IFERROR(__xludf.DUMMYFUNCTION("""COMPUTED_VALUE"""),1.0)</f>
        <v>1</v>
      </c>
      <c r="D2181" s="6">
        <f>IFERROR(__xludf.DUMMYFUNCTION("""COMPUTED_VALUE"""),45704.0)</f>
        <v>45704</v>
      </c>
      <c r="E2181" s="7" t="str">
        <f>IFERROR(__xludf.DUMMYFUNCTION("""COMPUTED_VALUE"""),"FRANQUIA_D&amp;G_SP")</f>
        <v>FRANQUIA_D&amp;G_SP</v>
      </c>
      <c r="F2181" s="7" t="str">
        <f>IFERROR(__xludf.DUMMYFUNCTION("""COMPUTED_VALUE"""),"MOTORCYCLE")</f>
        <v>MOTORCYCLE</v>
      </c>
      <c r="G2181" s="7" t="str">
        <f>IFERROR(__xludf.DUMMYFUNCTION("""COMPUTED_VALUE"""),"SAO PAULO")</f>
        <v>SAO PAULO</v>
      </c>
    </row>
    <row r="2182">
      <c r="A2182" s="6">
        <f>IFERROR(__xludf.DUMMYFUNCTION("""COMPUTED_VALUE"""),45705.0)</f>
        <v>45705</v>
      </c>
      <c r="B2182" s="7" t="str">
        <f>IFERROR(__xludf.DUMMYFUNCTION("""COMPUTED_VALUE"""),"63f4cbb3-26f9-4d75-b598-f6c1513b7ddd")</f>
        <v>63f4cbb3-26f9-4d75-b598-f6c1513b7ddd</v>
      </c>
      <c r="C2182" s="7">
        <f>IFERROR(__xludf.DUMMYFUNCTION("""COMPUTED_VALUE"""),359.0)</f>
        <v>359</v>
      </c>
      <c r="D2182" s="6">
        <f>IFERROR(__xludf.DUMMYFUNCTION("""COMPUTED_VALUE"""),45346.0)</f>
        <v>45346</v>
      </c>
      <c r="E2182" s="7" t="str">
        <f>IFERROR(__xludf.DUMMYFUNCTION("""COMPUTED_VALUE"""),"FRANQUIA_D&amp;G_SP")</f>
        <v>FRANQUIA_D&amp;G_SP</v>
      </c>
      <c r="F2182" s="7" t="str">
        <f>IFERROR(__xludf.DUMMYFUNCTION("""COMPUTED_VALUE"""),"BICYCLE")</f>
        <v>BICYCLE</v>
      </c>
      <c r="G2182" s="7" t="str">
        <f>IFERROR(__xludf.DUMMYFUNCTION("""COMPUTED_VALUE"""),"SAO PAULO")</f>
        <v>SAO PAULO</v>
      </c>
    </row>
    <row r="2183">
      <c r="A2183" s="6">
        <f>IFERROR(__xludf.DUMMYFUNCTION("""COMPUTED_VALUE"""),45705.0)</f>
        <v>45705</v>
      </c>
      <c r="B2183" s="7" t="str">
        <f>IFERROR(__xludf.DUMMYFUNCTION("""COMPUTED_VALUE"""),"5ef37971-984d-4948-9892-35b09f4071b4")</f>
        <v>5ef37971-984d-4948-9892-35b09f4071b4</v>
      </c>
      <c r="C2183" s="7">
        <f>IFERROR(__xludf.DUMMYFUNCTION("""COMPUTED_VALUE"""),0.0)</f>
        <v>0</v>
      </c>
      <c r="D2183" s="6">
        <f>IFERROR(__xludf.DUMMYFUNCTION("""COMPUTED_VALUE"""),45705.0)</f>
        <v>45705</v>
      </c>
      <c r="E2183" s="7" t="str">
        <f>IFERROR(__xludf.DUMMYFUNCTION("""COMPUTED_VALUE"""),"FRANQUIA_D&amp;G_SP")</f>
        <v>FRANQUIA_D&amp;G_SP</v>
      </c>
      <c r="F2183" s="7" t="str">
        <f>IFERROR(__xludf.DUMMYFUNCTION("""COMPUTED_VALUE"""),"MOTORCYCLE")</f>
        <v>MOTORCYCLE</v>
      </c>
      <c r="G2183" s="7" t="str">
        <f>IFERROR(__xludf.DUMMYFUNCTION("""COMPUTED_VALUE"""),"SAO PAULO")</f>
        <v>SAO PAULO</v>
      </c>
    </row>
    <row r="2184">
      <c r="A2184" s="6">
        <f>IFERROR(__xludf.DUMMYFUNCTION("""COMPUTED_VALUE"""),45705.0)</f>
        <v>45705</v>
      </c>
      <c r="B2184" s="7" t="str">
        <f>IFERROR(__xludf.DUMMYFUNCTION("""COMPUTED_VALUE"""),"5771e84f-226d-4e93-8753-62778abd58c9")</f>
        <v>5771e84f-226d-4e93-8753-62778abd58c9</v>
      </c>
      <c r="C2184" s="7">
        <f>IFERROR(__xludf.DUMMYFUNCTION("""COMPUTED_VALUE"""),0.0)</f>
        <v>0</v>
      </c>
      <c r="D2184" s="6">
        <f>IFERROR(__xludf.DUMMYFUNCTION("""COMPUTED_VALUE"""),45705.0)</f>
        <v>45705</v>
      </c>
      <c r="E2184" s="7" t="str">
        <f>IFERROR(__xludf.DUMMYFUNCTION("""COMPUTED_VALUE"""),"FRANQUIA_D&amp;G_SP")</f>
        <v>FRANQUIA_D&amp;G_SP</v>
      </c>
      <c r="F2184" s="7" t="str">
        <f>IFERROR(__xludf.DUMMYFUNCTION("""COMPUTED_VALUE"""),"EMOTORCYCLE")</f>
        <v>EMOTORCYCLE</v>
      </c>
      <c r="G2184" s="7" t="str">
        <f>IFERROR(__xludf.DUMMYFUNCTION("""COMPUTED_VALUE"""),"SAO PAULO")</f>
        <v>SAO PAULO</v>
      </c>
    </row>
    <row r="2185">
      <c r="A2185" s="6">
        <f>IFERROR(__xludf.DUMMYFUNCTION("""COMPUTED_VALUE"""),45705.0)</f>
        <v>45705</v>
      </c>
      <c r="B2185" s="7" t="str">
        <f>IFERROR(__xludf.DUMMYFUNCTION("""COMPUTED_VALUE"""),"a0b6a2a2-878d-4d6a-a1a2-ef21fa666b15")</f>
        <v>a0b6a2a2-878d-4d6a-a1a2-ef21fa666b15</v>
      </c>
      <c r="C2185" s="7">
        <f>IFERROR(__xludf.DUMMYFUNCTION("""COMPUTED_VALUE"""),2.0)</f>
        <v>2</v>
      </c>
      <c r="D2185" s="6">
        <f>IFERROR(__xludf.DUMMYFUNCTION("""COMPUTED_VALUE"""),45703.0)</f>
        <v>45703</v>
      </c>
      <c r="E2185" s="7" t="str">
        <f>IFERROR(__xludf.DUMMYFUNCTION("""COMPUTED_VALUE"""),"FRANQUIA_D&amp;G_SP")</f>
        <v>FRANQUIA_D&amp;G_SP</v>
      </c>
      <c r="F2185" s="7" t="str">
        <f>IFERROR(__xludf.DUMMYFUNCTION("""COMPUTED_VALUE"""),"MOTORCYCLE")</f>
        <v>MOTORCYCLE</v>
      </c>
      <c r="G2185" s="7" t="str">
        <f>IFERROR(__xludf.DUMMYFUNCTION("""COMPUTED_VALUE"""),"SAO PAULO")</f>
        <v>SAO PAULO</v>
      </c>
    </row>
    <row r="2186">
      <c r="A2186" s="6">
        <f>IFERROR(__xludf.DUMMYFUNCTION("""COMPUTED_VALUE"""),45705.0)</f>
        <v>45705</v>
      </c>
      <c r="B2186" s="7" t="str">
        <f>IFERROR(__xludf.DUMMYFUNCTION("""COMPUTED_VALUE"""),"ffec077b-858f-47dd-9b45-09badfe118aa")</f>
        <v>ffec077b-858f-47dd-9b45-09badfe118aa</v>
      </c>
      <c r="C2186" s="7">
        <f>IFERROR(__xludf.DUMMYFUNCTION("""COMPUTED_VALUE"""),133.0)</f>
        <v>133</v>
      </c>
      <c r="D2186" s="6">
        <f>IFERROR(__xludf.DUMMYFUNCTION("""COMPUTED_VALUE"""),45572.0)</f>
        <v>45572</v>
      </c>
      <c r="E2186" s="7" t="str">
        <f>IFERROR(__xludf.DUMMYFUNCTION("""COMPUTED_VALUE"""),"FRANQUIA_D&amp;G_SP")</f>
        <v>FRANQUIA_D&amp;G_SP</v>
      </c>
      <c r="F2186" s="7" t="str">
        <f>IFERROR(__xludf.DUMMYFUNCTION("""COMPUTED_VALUE"""),"MOTORCYCLE")</f>
        <v>MOTORCYCLE</v>
      </c>
      <c r="G2186" s="7" t="str">
        <f>IFERROR(__xludf.DUMMYFUNCTION("""COMPUTED_VALUE"""),"SAO PAULO")</f>
        <v>SAO PAULO</v>
      </c>
    </row>
    <row r="2187">
      <c r="A2187" s="6">
        <f>IFERROR(__xludf.DUMMYFUNCTION("""COMPUTED_VALUE"""),45705.0)</f>
        <v>45705</v>
      </c>
      <c r="B2187" s="7" t="str">
        <f>IFERROR(__xludf.DUMMYFUNCTION("""COMPUTED_VALUE"""),"68213b56-0f42-45f7-9eda-e631a9ffe49f")</f>
        <v>68213b56-0f42-45f7-9eda-e631a9ffe49f</v>
      </c>
      <c r="C2187" s="7">
        <f>IFERROR(__xludf.DUMMYFUNCTION("""COMPUTED_VALUE"""),50.0)</f>
        <v>50</v>
      </c>
      <c r="D2187" s="6">
        <f>IFERROR(__xludf.DUMMYFUNCTION("""COMPUTED_VALUE"""),45655.0)</f>
        <v>45655</v>
      </c>
      <c r="E2187" s="7" t="str">
        <f>IFERROR(__xludf.DUMMYFUNCTION("""COMPUTED_VALUE"""),"FRANQUIA_D&amp;G_SP")</f>
        <v>FRANQUIA_D&amp;G_SP</v>
      </c>
      <c r="F2187" s="7" t="str">
        <f>IFERROR(__xludf.DUMMYFUNCTION("""COMPUTED_VALUE"""),"BICYCLE")</f>
        <v>BICYCLE</v>
      </c>
      <c r="G2187" s="7" t="str">
        <f>IFERROR(__xludf.DUMMYFUNCTION("""COMPUTED_VALUE"""),"SAO PAULO")</f>
        <v>SAO PAULO</v>
      </c>
    </row>
    <row r="2188">
      <c r="A2188" s="6">
        <f>IFERROR(__xludf.DUMMYFUNCTION("""COMPUTED_VALUE"""),45705.0)</f>
        <v>45705</v>
      </c>
      <c r="B2188" s="7" t="str">
        <f>IFERROR(__xludf.DUMMYFUNCTION("""COMPUTED_VALUE"""),"f381f78b-e7ae-4ca6-b66c-7b54e9790917")</f>
        <v>f381f78b-e7ae-4ca6-b66c-7b54e9790917</v>
      </c>
      <c r="C2188" s="7">
        <f>IFERROR(__xludf.DUMMYFUNCTION("""COMPUTED_VALUE"""),1.0)</f>
        <v>1</v>
      </c>
      <c r="D2188" s="6">
        <f>IFERROR(__xludf.DUMMYFUNCTION("""COMPUTED_VALUE"""),45704.0)</f>
        <v>45704</v>
      </c>
      <c r="E2188" s="7" t="str">
        <f>IFERROR(__xludf.DUMMYFUNCTION("""COMPUTED_VALUE"""),"FRANQUIA_D&amp;G_SP")</f>
        <v>FRANQUIA_D&amp;G_SP</v>
      </c>
      <c r="F2188" s="7" t="str">
        <f>IFERROR(__xludf.DUMMYFUNCTION("""COMPUTED_VALUE"""),"BICYCLE")</f>
        <v>BICYCLE</v>
      </c>
      <c r="G2188" s="7" t="str">
        <f>IFERROR(__xludf.DUMMYFUNCTION("""COMPUTED_VALUE"""),"SAO PAULO")</f>
        <v>SAO PAULO</v>
      </c>
    </row>
    <row r="2189">
      <c r="A2189" s="6">
        <f>IFERROR(__xludf.DUMMYFUNCTION("""COMPUTED_VALUE"""),45705.0)</f>
        <v>45705</v>
      </c>
      <c r="B2189" s="7" t="str">
        <f>IFERROR(__xludf.DUMMYFUNCTION("""COMPUTED_VALUE"""),"eeb46d81-1822-45a2-8867-c4fb3ff23cdd")</f>
        <v>eeb46d81-1822-45a2-8867-c4fb3ff23cdd</v>
      </c>
      <c r="C2189" s="7">
        <f>IFERROR(__xludf.DUMMYFUNCTION("""COMPUTED_VALUE"""),509.0)</f>
        <v>509</v>
      </c>
      <c r="D2189" s="6">
        <f>IFERROR(__xludf.DUMMYFUNCTION("""COMPUTED_VALUE"""),45196.0)</f>
        <v>45196</v>
      </c>
      <c r="E2189" s="7" t="str">
        <f>IFERROR(__xludf.DUMMYFUNCTION("""COMPUTED_VALUE"""),"FRANQUIA_D&amp;G_SP")</f>
        <v>FRANQUIA_D&amp;G_SP</v>
      </c>
      <c r="F2189" s="7" t="str">
        <f>IFERROR(__xludf.DUMMYFUNCTION("""COMPUTED_VALUE"""),"BICYCLE")</f>
        <v>BICYCLE</v>
      </c>
      <c r="G2189" s="7" t="str">
        <f>IFERROR(__xludf.DUMMYFUNCTION("""COMPUTED_VALUE"""),"SAO PAULO")</f>
        <v>SAO PAULO</v>
      </c>
    </row>
    <row r="2190">
      <c r="A2190" s="6">
        <f>IFERROR(__xludf.DUMMYFUNCTION("""COMPUTED_VALUE"""),45705.0)</f>
        <v>45705</v>
      </c>
      <c r="B2190" s="7" t="str">
        <f>IFERROR(__xludf.DUMMYFUNCTION("""COMPUTED_VALUE"""),"24738da4-8c3b-4ad4-a65b-d8654b29c780")</f>
        <v>24738da4-8c3b-4ad4-a65b-d8654b29c780</v>
      </c>
      <c r="C2190" s="7">
        <f>IFERROR(__xludf.DUMMYFUNCTION("""COMPUTED_VALUE"""),122.0)</f>
        <v>122</v>
      </c>
      <c r="D2190" s="6">
        <f>IFERROR(__xludf.DUMMYFUNCTION("""COMPUTED_VALUE"""),45583.0)</f>
        <v>45583</v>
      </c>
      <c r="E2190" s="7" t="str">
        <f>IFERROR(__xludf.DUMMYFUNCTION("""COMPUTED_VALUE"""),"FRANQUIA_D&amp;G_SP")</f>
        <v>FRANQUIA_D&amp;G_SP</v>
      </c>
      <c r="F2190" s="7" t="str">
        <f>IFERROR(__xludf.DUMMYFUNCTION("""COMPUTED_VALUE"""),"MOTORCYCLE")</f>
        <v>MOTORCYCLE</v>
      </c>
      <c r="G2190" s="7" t="str">
        <f>IFERROR(__xludf.DUMMYFUNCTION("""COMPUTED_VALUE"""),"ABC")</f>
        <v>ABC</v>
      </c>
    </row>
    <row r="2191">
      <c r="A2191" s="6">
        <f>IFERROR(__xludf.DUMMYFUNCTION("""COMPUTED_VALUE"""),45705.0)</f>
        <v>45705</v>
      </c>
      <c r="B2191" s="7" t="str">
        <f>IFERROR(__xludf.DUMMYFUNCTION("""COMPUTED_VALUE"""),"c7e12ed0-68f9-4d63-bf40-2e0f006d43ff")</f>
        <v>c7e12ed0-68f9-4d63-bf40-2e0f006d43ff</v>
      </c>
      <c r="C2191" s="7">
        <f>IFERROR(__xludf.DUMMYFUNCTION("""COMPUTED_VALUE"""),24.0)</f>
        <v>24</v>
      </c>
      <c r="D2191" s="6">
        <f>IFERROR(__xludf.DUMMYFUNCTION("""COMPUTED_VALUE"""),45681.0)</f>
        <v>45681</v>
      </c>
      <c r="E2191" s="7" t="str">
        <f>IFERROR(__xludf.DUMMYFUNCTION("""COMPUTED_VALUE"""),"FRANQUIA_D&amp;G_SP")</f>
        <v>FRANQUIA_D&amp;G_SP</v>
      </c>
      <c r="F2191" s="7" t="str">
        <f>IFERROR(__xludf.DUMMYFUNCTION("""COMPUTED_VALUE"""),"MOTORCYCLE")</f>
        <v>MOTORCYCLE</v>
      </c>
      <c r="G2191" s="7" t="str">
        <f>IFERROR(__xludf.DUMMYFUNCTION("""COMPUTED_VALUE"""),"TABOAO DA SERRA")</f>
        <v>TABOAO DA SERRA</v>
      </c>
    </row>
    <row r="2192">
      <c r="A2192" s="6">
        <f>IFERROR(__xludf.DUMMYFUNCTION("""COMPUTED_VALUE"""),45705.0)</f>
        <v>45705</v>
      </c>
      <c r="B2192" s="7" t="str">
        <f>IFERROR(__xludf.DUMMYFUNCTION("""COMPUTED_VALUE"""),"cc856ced-09cc-4778-997f-672d18a41c19")</f>
        <v>cc856ced-09cc-4778-997f-672d18a41c19</v>
      </c>
      <c r="C2192" s="7">
        <f>IFERROR(__xludf.DUMMYFUNCTION("""COMPUTED_VALUE"""),59.0)</f>
        <v>59</v>
      </c>
      <c r="D2192" s="6">
        <f>IFERROR(__xludf.DUMMYFUNCTION("""COMPUTED_VALUE"""),45646.0)</f>
        <v>45646</v>
      </c>
      <c r="E2192" s="7" t="str">
        <f>IFERROR(__xludf.DUMMYFUNCTION("""COMPUTED_VALUE"""),"FRANQUIA_D&amp;G_SP")</f>
        <v>FRANQUIA_D&amp;G_SP</v>
      </c>
      <c r="F2192" s="7" t="str">
        <f>IFERROR(__xludf.DUMMYFUNCTION("""COMPUTED_VALUE"""),"BICYCLE")</f>
        <v>BICYCLE</v>
      </c>
      <c r="G2192" s="7" t="str">
        <f>IFERROR(__xludf.DUMMYFUNCTION("""COMPUTED_VALUE"""),"SAO PAULO")</f>
        <v>SAO PAULO</v>
      </c>
    </row>
    <row r="2193">
      <c r="A2193" s="6">
        <f>IFERROR(__xludf.DUMMYFUNCTION("""COMPUTED_VALUE"""),45705.0)</f>
        <v>45705</v>
      </c>
      <c r="B2193" s="7" t="str">
        <f>IFERROR(__xludf.DUMMYFUNCTION("""COMPUTED_VALUE"""),"7b1894f6-28f0-46bb-9e01-3bfc877a030a")</f>
        <v>7b1894f6-28f0-46bb-9e01-3bfc877a030a</v>
      </c>
      <c r="C2193" s="7">
        <f>IFERROR(__xludf.DUMMYFUNCTION("""COMPUTED_VALUE"""),0.0)</f>
        <v>0</v>
      </c>
      <c r="D2193" s="6">
        <f>IFERROR(__xludf.DUMMYFUNCTION("""COMPUTED_VALUE"""),45705.0)</f>
        <v>45705</v>
      </c>
      <c r="E2193" s="7" t="str">
        <f>IFERROR(__xludf.DUMMYFUNCTION("""COMPUTED_VALUE"""),"FRANQUIA_D&amp;G_SP")</f>
        <v>FRANQUIA_D&amp;G_SP</v>
      </c>
      <c r="F2193" s="7" t="str">
        <f>IFERROR(__xludf.DUMMYFUNCTION("""COMPUTED_VALUE"""),"MOTORCYCLE")</f>
        <v>MOTORCYCLE</v>
      </c>
      <c r="G2193" s="7" t="str">
        <f>IFERROR(__xludf.DUMMYFUNCTION("""COMPUTED_VALUE"""),"SAO PAULO")</f>
        <v>SAO PAULO</v>
      </c>
    </row>
    <row r="2194">
      <c r="A2194" s="6">
        <f>IFERROR(__xludf.DUMMYFUNCTION("""COMPUTED_VALUE"""),45705.0)</f>
        <v>45705</v>
      </c>
      <c r="B2194" s="7" t="str">
        <f>IFERROR(__xludf.DUMMYFUNCTION("""COMPUTED_VALUE"""),"ca98ac76-4c57-4060-90fe-bf70f34dd68c")</f>
        <v>ca98ac76-4c57-4060-90fe-bf70f34dd68c</v>
      </c>
      <c r="C2194" s="7">
        <f>IFERROR(__xludf.DUMMYFUNCTION("""COMPUTED_VALUE"""),0.0)</f>
        <v>0</v>
      </c>
      <c r="D2194" s="6">
        <f>IFERROR(__xludf.DUMMYFUNCTION("""COMPUTED_VALUE"""),45705.0)</f>
        <v>45705</v>
      </c>
      <c r="E2194" s="7" t="str">
        <f>IFERROR(__xludf.DUMMYFUNCTION("""COMPUTED_VALUE"""),"FRANQUIA_D&amp;G_SP")</f>
        <v>FRANQUIA_D&amp;G_SP</v>
      </c>
      <c r="F2194" s="7" t="str">
        <f>IFERROR(__xludf.DUMMYFUNCTION("""COMPUTED_VALUE"""),"MOTORCYCLE")</f>
        <v>MOTORCYCLE</v>
      </c>
      <c r="G2194" s="7" t="str">
        <f>IFERROR(__xludf.DUMMYFUNCTION("""COMPUTED_VALUE"""),"SAO PAULO")</f>
        <v>SAO PAULO</v>
      </c>
    </row>
    <row r="2195">
      <c r="A2195" s="6">
        <f>IFERROR(__xludf.DUMMYFUNCTION("""COMPUTED_VALUE"""),45705.0)</f>
        <v>45705</v>
      </c>
      <c r="B2195" s="7" t="str">
        <f>IFERROR(__xludf.DUMMYFUNCTION("""COMPUTED_VALUE"""),"38c7e25f-5094-4566-b342-4ed9b4fa1d88")</f>
        <v>38c7e25f-5094-4566-b342-4ed9b4fa1d88</v>
      </c>
      <c r="C2195" s="7">
        <f>IFERROR(__xludf.DUMMYFUNCTION("""COMPUTED_VALUE"""),14.0)</f>
        <v>14</v>
      </c>
      <c r="D2195" s="6">
        <f>IFERROR(__xludf.DUMMYFUNCTION("""COMPUTED_VALUE"""),45691.0)</f>
        <v>45691</v>
      </c>
      <c r="E2195" s="7" t="str">
        <f>IFERROR(__xludf.DUMMYFUNCTION("""COMPUTED_VALUE"""),"FRANQUIA_D&amp;G_SP")</f>
        <v>FRANQUIA_D&amp;G_SP</v>
      </c>
      <c r="F2195" s="7" t="str">
        <f>IFERROR(__xludf.DUMMYFUNCTION("""COMPUTED_VALUE"""),"BICYCLE")</f>
        <v>BICYCLE</v>
      </c>
      <c r="G2195" s="7" t="str">
        <f>IFERROR(__xludf.DUMMYFUNCTION("""COMPUTED_VALUE"""),"SAO PAULO")</f>
        <v>SAO PAULO</v>
      </c>
    </row>
    <row r="2196">
      <c r="A2196" s="6">
        <f>IFERROR(__xludf.DUMMYFUNCTION("""COMPUTED_VALUE"""),45705.0)</f>
        <v>45705</v>
      </c>
      <c r="B2196" s="7" t="str">
        <f>IFERROR(__xludf.DUMMYFUNCTION("""COMPUTED_VALUE"""),"011be726-d9bc-4100-9431-c589efc83b4a")</f>
        <v>011be726-d9bc-4100-9431-c589efc83b4a</v>
      </c>
      <c r="C2196" s="7">
        <f>IFERROR(__xludf.DUMMYFUNCTION("""COMPUTED_VALUE"""),479.0)</f>
        <v>479</v>
      </c>
      <c r="D2196" s="6">
        <f>IFERROR(__xludf.DUMMYFUNCTION("""COMPUTED_VALUE"""),45226.0)</f>
        <v>45226</v>
      </c>
      <c r="E2196" s="7" t="str">
        <f>IFERROR(__xludf.DUMMYFUNCTION("""COMPUTED_VALUE"""),"FRANQUIA_D&amp;G_SP")</f>
        <v>FRANQUIA_D&amp;G_SP</v>
      </c>
      <c r="F2196" s="7" t="str">
        <f>IFERROR(__xludf.DUMMYFUNCTION("""COMPUTED_VALUE"""),"BICYCLE")</f>
        <v>BICYCLE</v>
      </c>
      <c r="G2196" s="7" t="str">
        <f>IFERROR(__xludf.DUMMYFUNCTION("""COMPUTED_VALUE"""),"SAO PAULO")</f>
        <v>SAO PAULO</v>
      </c>
    </row>
    <row r="2197">
      <c r="A2197" s="6">
        <f>IFERROR(__xludf.DUMMYFUNCTION("""COMPUTED_VALUE"""),45705.0)</f>
        <v>45705</v>
      </c>
      <c r="B2197" s="7" t="str">
        <f>IFERROR(__xludf.DUMMYFUNCTION("""COMPUTED_VALUE"""),"af58fbb3-3c58-43e6-8d15-9d892968f696")</f>
        <v>af58fbb3-3c58-43e6-8d15-9d892968f696</v>
      </c>
      <c r="C2197" s="7">
        <f>IFERROR(__xludf.DUMMYFUNCTION("""COMPUTED_VALUE"""),12.0)</f>
        <v>12</v>
      </c>
      <c r="D2197" s="6">
        <f>IFERROR(__xludf.DUMMYFUNCTION("""COMPUTED_VALUE"""),45693.0)</f>
        <v>45693</v>
      </c>
      <c r="E2197" s="7" t="str">
        <f>IFERROR(__xludf.DUMMYFUNCTION("""COMPUTED_VALUE"""),"FRANQUIA_D&amp;G_SP")</f>
        <v>FRANQUIA_D&amp;G_SP</v>
      </c>
      <c r="F2197" s="7" t="str">
        <f>IFERROR(__xludf.DUMMYFUNCTION("""COMPUTED_VALUE"""),"MOTORCYCLE")</f>
        <v>MOTORCYCLE</v>
      </c>
      <c r="G2197" s="7" t="str">
        <f>IFERROR(__xludf.DUMMYFUNCTION("""COMPUTED_VALUE"""),"SAO PAULO")</f>
        <v>SAO PAULO</v>
      </c>
    </row>
    <row r="2198">
      <c r="A2198" s="6">
        <f>IFERROR(__xludf.DUMMYFUNCTION("""COMPUTED_VALUE"""),45705.0)</f>
        <v>45705</v>
      </c>
      <c r="B2198" s="7" t="str">
        <f>IFERROR(__xludf.DUMMYFUNCTION("""COMPUTED_VALUE"""),"30f49ed0-a0dc-45ff-8ee8-55a8ade2ebba")</f>
        <v>30f49ed0-a0dc-45ff-8ee8-55a8ade2ebba</v>
      </c>
      <c r="C2198" s="7">
        <f>IFERROR(__xludf.DUMMYFUNCTION("""COMPUTED_VALUE"""),1.0)</f>
        <v>1</v>
      </c>
      <c r="D2198" s="6">
        <f>IFERROR(__xludf.DUMMYFUNCTION("""COMPUTED_VALUE"""),45704.0)</f>
        <v>45704</v>
      </c>
      <c r="E2198" s="7" t="str">
        <f>IFERROR(__xludf.DUMMYFUNCTION("""COMPUTED_VALUE"""),"FRANQUIA_D&amp;G_SP")</f>
        <v>FRANQUIA_D&amp;G_SP</v>
      </c>
      <c r="F2198" s="7" t="str">
        <f>IFERROR(__xludf.DUMMYFUNCTION("""COMPUTED_VALUE"""),"MOTORCYCLE")</f>
        <v>MOTORCYCLE</v>
      </c>
      <c r="G2198" s="7" t="str">
        <f>IFERROR(__xludf.DUMMYFUNCTION("""COMPUTED_VALUE"""),"SAO PAULO")</f>
        <v>SAO PAULO</v>
      </c>
    </row>
    <row r="2199">
      <c r="A2199" s="6">
        <f>IFERROR(__xludf.DUMMYFUNCTION("""COMPUTED_VALUE"""),45705.0)</f>
        <v>45705</v>
      </c>
      <c r="B2199" s="7" t="str">
        <f>IFERROR(__xludf.DUMMYFUNCTION("""COMPUTED_VALUE"""),"f77792b7-14e9-4fd1-8ea3-93e0cc8f960a")</f>
        <v>f77792b7-14e9-4fd1-8ea3-93e0cc8f960a</v>
      </c>
      <c r="C2199" s="7">
        <f>IFERROR(__xludf.DUMMYFUNCTION("""COMPUTED_VALUE"""),33.0)</f>
        <v>33</v>
      </c>
      <c r="D2199" s="6">
        <f>IFERROR(__xludf.DUMMYFUNCTION("""COMPUTED_VALUE"""),45672.0)</f>
        <v>45672</v>
      </c>
      <c r="E2199" s="7" t="str">
        <f>IFERROR(__xludf.DUMMYFUNCTION("""COMPUTED_VALUE"""),"FRANQUIA_D&amp;G_SP")</f>
        <v>FRANQUIA_D&amp;G_SP</v>
      </c>
      <c r="F2199" s="7" t="str">
        <f>IFERROR(__xludf.DUMMYFUNCTION("""COMPUTED_VALUE"""),"MOTORCYCLE")</f>
        <v>MOTORCYCLE</v>
      </c>
      <c r="G2199" s="7" t="str">
        <f>IFERROR(__xludf.DUMMYFUNCTION("""COMPUTED_VALUE"""),"SAO PAULO")</f>
        <v>SAO PAULO</v>
      </c>
    </row>
    <row r="2200">
      <c r="A2200" s="6">
        <f>IFERROR(__xludf.DUMMYFUNCTION("""COMPUTED_VALUE"""),45705.0)</f>
        <v>45705</v>
      </c>
      <c r="B2200" s="7" t="str">
        <f>IFERROR(__xludf.DUMMYFUNCTION("""COMPUTED_VALUE"""),"2c0d0f83-b820-46f5-a562-6b9f3a6f7d49")</f>
        <v>2c0d0f83-b820-46f5-a562-6b9f3a6f7d49</v>
      </c>
      <c r="C2200" s="7">
        <f>IFERROR(__xludf.DUMMYFUNCTION("""COMPUTED_VALUE"""),1.0)</f>
        <v>1</v>
      </c>
      <c r="D2200" s="6">
        <f>IFERROR(__xludf.DUMMYFUNCTION("""COMPUTED_VALUE"""),45704.0)</f>
        <v>45704</v>
      </c>
      <c r="E2200" s="7" t="str">
        <f>IFERROR(__xludf.DUMMYFUNCTION("""COMPUTED_VALUE"""),"FRANQUIA_D&amp;G_SP")</f>
        <v>FRANQUIA_D&amp;G_SP</v>
      </c>
      <c r="F2200" s="7" t="str">
        <f>IFERROR(__xludf.DUMMYFUNCTION("""COMPUTED_VALUE"""),"BICYCLE")</f>
        <v>BICYCLE</v>
      </c>
      <c r="G2200" s="7" t="str">
        <f>IFERROR(__xludf.DUMMYFUNCTION("""COMPUTED_VALUE"""),"SAO PAULO")</f>
        <v>SAO PAULO</v>
      </c>
    </row>
    <row r="2201">
      <c r="A2201" s="6">
        <f>IFERROR(__xludf.DUMMYFUNCTION("""COMPUTED_VALUE"""),45705.0)</f>
        <v>45705</v>
      </c>
      <c r="B2201" s="7" t="str">
        <f>IFERROR(__xludf.DUMMYFUNCTION("""COMPUTED_VALUE"""),"19e18965-3996-4527-b7a6-8b151961c18c")</f>
        <v>19e18965-3996-4527-b7a6-8b151961c18c</v>
      </c>
      <c r="C2201" s="7">
        <f>IFERROR(__xludf.DUMMYFUNCTION("""COMPUTED_VALUE"""),0.0)</f>
        <v>0</v>
      </c>
      <c r="D2201" s="6">
        <f>IFERROR(__xludf.DUMMYFUNCTION("""COMPUTED_VALUE"""),45705.0)</f>
        <v>45705</v>
      </c>
      <c r="E2201" s="7" t="str">
        <f>IFERROR(__xludf.DUMMYFUNCTION("""COMPUTED_VALUE"""),"FRANQUIA_D&amp;G_SP")</f>
        <v>FRANQUIA_D&amp;G_SP</v>
      </c>
      <c r="F2201" s="7" t="str">
        <f>IFERROR(__xludf.DUMMYFUNCTION("""COMPUTED_VALUE"""),"EBIKE")</f>
        <v>EBIKE</v>
      </c>
      <c r="G2201" s="7" t="str">
        <f>IFERROR(__xludf.DUMMYFUNCTION("""COMPUTED_VALUE"""),"SAO PAULO")</f>
        <v>SAO PAULO</v>
      </c>
    </row>
    <row r="2202">
      <c r="A2202" s="6">
        <f>IFERROR(__xludf.DUMMYFUNCTION("""COMPUTED_VALUE"""),45705.0)</f>
        <v>45705</v>
      </c>
      <c r="B2202" s="7" t="str">
        <f>IFERROR(__xludf.DUMMYFUNCTION("""COMPUTED_VALUE"""),"5fc28b4c-3c01-4e5f-b4db-0da8540d3024")</f>
        <v>5fc28b4c-3c01-4e5f-b4db-0da8540d3024</v>
      </c>
      <c r="C2202" s="7">
        <f>IFERROR(__xludf.DUMMYFUNCTION("""COMPUTED_VALUE"""),32.0)</f>
        <v>32</v>
      </c>
      <c r="D2202" s="6">
        <f>IFERROR(__xludf.DUMMYFUNCTION("""COMPUTED_VALUE"""),45673.0)</f>
        <v>45673</v>
      </c>
      <c r="E2202" s="7" t="str">
        <f>IFERROR(__xludf.DUMMYFUNCTION("""COMPUTED_VALUE"""),"FRANQUIA_D&amp;G_SP")</f>
        <v>FRANQUIA_D&amp;G_SP</v>
      </c>
      <c r="F2202" s="7" t="str">
        <f>IFERROR(__xludf.DUMMYFUNCTION("""COMPUTED_VALUE"""),"MOTORCYCLE")</f>
        <v>MOTORCYCLE</v>
      </c>
      <c r="G2202" s="7" t="str">
        <f>IFERROR(__xludf.DUMMYFUNCTION("""COMPUTED_VALUE"""),"SAO PAULO")</f>
        <v>SAO PAULO</v>
      </c>
    </row>
    <row r="2203">
      <c r="A2203" s="6">
        <f>IFERROR(__xludf.DUMMYFUNCTION("""COMPUTED_VALUE"""),45705.0)</f>
        <v>45705</v>
      </c>
      <c r="B2203" s="7" t="str">
        <f>IFERROR(__xludf.DUMMYFUNCTION("""COMPUTED_VALUE"""),"739e90e1-dc4d-4695-8093-99116572f05d")</f>
        <v>739e90e1-dc4d-4695-8093-99116572f05d</v>
      </c>
      <c r="C2203" s="7">
        <f>IFERROR(__xludf.DUMMYFUNCTION("""COMPUTED_VALUE"""),0.0)</f>
        <v>0</v>
      </c>
      <c r="D2203" s="6">
        <f>IFERROR(__xludf.DUMMYFUNCTION("""COMPUTED_VALUE"""),45705.0)</f>
        <v>45705</v>
      </c>
      <c r="E2203" s="7" t="str">
        <f>IFERROR(__xludf.DUMMYFUNCTION("""COMPUTED_VALUE"""),"FRANQUIA_D&amp;G_SP")</f>
        <v>FRANQUIA_D&amp;G_SP</v>
      </c>
      <c r="F2203" s="7" t="str">
        <f>IFERROR(__xludf.DUMMYFUNCTION("""COMPUTED_VALUE"""),"MOTORCYCLE")</f>
        <v>MOTORCYCLE</v>
      </c>
      <c r="G2203" s="7" t="str">
        <f>IFERROR(__xludf.DUMMYFUNCTION("""COMPUTED_VALUE"""),"SAO PAULO")</f>
        <v>SAO PAULO</v>
      </c>
    </row>
    <row r="2204">
      <c r="A2204" s="6">
        <f>IFERROR(__xludf.DUMMYFUNCTION("""COMPUTED_VALUE"""),45705.0)</f>
        <v>45705</v>
      </c>
      <c r="B2204" s="7" t="str">
        <f>IFERROR(__xludf.DUMMYFUNCTION("""COMPUTED_VALUE"""),"eddd80cc-d432-44a1-aff9-283e3f4c5bfe")</f>
        <v>eddd80cc-d432-44a1-aff9-283e3f4c5bfe</v>
      </c>
      <c r="C2204" s="7">
        <f>IFERROR(__xludf.DUMMYFUNCTION("""COMPUTED_VALUE"""),22.0)</f>
        <v>22</v>
      </c>
      <c r="D2204" s="6">
        <f>IFERROR(__xludf.DUMMYFUNCTION("""COMPUTED_VALUE"""),45683.0)</f>
        <v>45683</v>
      </c>
      <c r="E2204" s="7" t="str">
        <f>IFERROR(__xludf.DUMMYFUNCTION("""COMPUTED_VALUE"""),"FRANQUIA_D&amp;G_SP")</f>
        <v>FRANQUIA_D&amp;G_SP</v>
      </c>
      <c r="F2204" s="7" t="str">
        <f>IFERROR(__xludf.DUMMYFUNCTION("""COMPUTED_VALUE"""),"MOTORCYCLE")</f>
        <v>MOTORCYCLE</v>
      </c>
      <c r="G2204" s="7" t="str">
        <f>IFERROR(__xludf.DUMMYFUNCTION("""COMPUTED_VALUE"""),"SAO PAULO")</f>
        <v>SAO PAULO</v>
      </c>
    </row>
    <row r="2205">
      <c r="A2205" s="6">
        <f>IFERROR(__xludf.DUMMYFUNCTION("""COMPUTED_VALUE"""),45705.0)</f>
        <v>45705</v>
      </c>
      <c r="B2205" s="7" t="str">
        <f>IFERROR(__xludf.DUMMYFUNCTION("""COMPUTED_VALUE"""),"e3759ad5-94b8-4d9f-a5ec-d49ea2a475d4")</f>
        <v>e3759ad5-94b8-4d9f-a5ec-d49ea2a475d4</v>
      </c>
      <c r="C2205" s="7">
        <f>IFERROR(__xludf.DUMMYFUNCTION("""COMPUTED_VALUE"""),1.0)</f>
        <v>1</v>
      </c>
      <c r="D2205" s="6">
        <f>IFERROR(__xludf.DUMMYFUNCTION("""COMPUTED_VALUE"""),45704.0)</f>
        <v>45704</v>
      </c>
      <c r="E2205" s="7" t="str">
        <f>IFERROR(__xludf.DUMMYFUNCTION("""COMPUTED_VALUE"""),"FRANQUIA_D&amp;G_SP")</f>
        <v>FRANQUIA_D&amp;G_SP</v>
      </c>
      <c r="F2205" s="7" t="str">
        <f>IFERROR(__xludf.DUMMYFUNCTION("""COMPUTED_VALUE"""),"BICYCLE")</f>
        <v>BICYCLE</v>
      </c>
      <c r="G2205" s="7" t="str">
        <f>IFERROR(__xludf.DUMMYFUNCTION("""COMPUTED_VALUE"""),"SAO PAULO")</f>
        <v>SAO PAULO</v>
      </c>
    </row>
    <row r="2206">
      <c r="A2206" s="6">
        <f>IFERROR(__xludf.DUMMYFUNCTION("""COMPUTED_VALUE"""),45705.0)</f>
        <v>45705</v>
      </c>
      <c r="B2206" s="7" t="str">
        <f>IFERROR(__xludf.DUMMYFUNCTION("""COMPUTED_VALUE"""),"eccc58e7-a804-4a57-bb17-0020a1a59408")</f>
        <v>eccc58e7-a804-4a57-bb17-0020a1a59408</v>
      </c>
      <c r="C2206" s="7">
        <f>IFERROR(__xludf.DUMMYFUNCTION("""COMPUTED_VALUE"""),8.0)</f>
        <v>8</v>
      </c>
      <c r="D2206" s="6">
        <f>IFERROR(__xludf.DUMMYFUNCTION("""COMPUTED_VALUE"""),45697.0)</f>
        <v>45697</v>
      </c>
      <c r="E2206" s="7" t="str">
        <f>IFERROR(__xludf.DUMMYFUNCTION("""COMPUTED_VALUE"""),"FRANQUIA_D&amp;G_SP")</f>
        <v>FRANQUIA_D&amp;G_SP</v>
      </c>
      <c r="F2206" s="7" t="str">
        <f>IFERROR(__xludf.DUMMYFUNCTION("""COMPUTED_VALUE"""),"MOTORCYCLE")</f>
        <v>MOTORCYCLE</v>
      </c>
      <c r="G2206" s="7" t="str">
        <f>IFERROR(__xludf.DUMMYFUNCTION("""COMPUTED_VALUE"""),"SAO PAULO")</f>
        <v>SAO PAULO</v>
      </c>
    </row>
    <row r="2207">
      <c r="A2207" s="6">
        <f>IFERROR(__xludf.DUMMYFUNCTION("""COMPUTED_VALUE"""),45705.0)</f>
        <v>45705</v>
      </c>
      <c r="B2207" s="7" t="str">
        <f>IFERROR(__xludf.DUMMYFUNCTION("""COMPUTED_VALUE"""),"5e73f96a-14b1-41b1-9e3a-495f3368b7f6")</f>
        <v>5e73f96a-14b1-41b1-9e3a-495f3368b7f6</v>
      </c>
      <c r="C2207" s="7">
        <f>IFERROR(__xludf.DUMMYFUNCTION("""COMPUTED_VALUE"""),201.0)</f>
        <v>201</v>
      </c>
      <c r="D2207" s="6">
        <f>IFERROR(__xludf.DUMMYFUNCTION("""COMPUTED_VALUE"""),45504.0)</f>
        <v>45504</v>
      </c>
      <c r="E2207" s="7" t="str">
        <f>IFERROR(__xludf.DUMMYFUNCTION("""COMPUTED_VALUE"""),"FRANQUIA_D&amp;G_SP")</f>
        <v>FRANQUIA_D&amp;G_SP</v>
      </c>
      <c r="F2207" s="7" t="str">
        <f>IFERROR(__xludf.DUMMYFUNCTION("""COMPUTED_VALUE"""),"BICYCLE")</f>
        <v>BICYCLE</v>
      </c>
      <c r="G2207" s="7" t="str">
        <f>IFERROR(__xludf.DUMMYFUNCTION("""COMPUTED_VALUE"""),"SUZANO")</f>
        <v>SUZANO</v>
      </c>
    </row>
    <row r="2208">
      <c r="A2208" s="6">
        <f>IFERROR(__xludf.DUMMYFUNCTION("""COMPUTED_VALUE"""),45705.0)</f>
        <v>45705</v>
      </c>
      <c r="B2208" s="7" t="str">
        <f>IFERROR(__xludf.DUMMYFUNCTION("""COMPUTED_VALUE"""),"a3fbcc20-4ffe-4c24-bd3f-f1e6c2a06375")</f>
        <v>a3fbcc20-4ffe-4c24-bd3f-f1e6c2a06375</v>
      </c>
      <c r="C2208" s="7">
        <f>IFERROR(__xludf.DUMMYFUNCTION("""COMPUTED_VALUE"""),0.0)</f>
        <v>0</v>
      </c>
      <c r="D2208" s="6">
        <f>IFERROR(__xludf.DUMMYFUNCTION("""COMPUTED_VALUE"""),45705.0)</f>
        <v>45705</v>
      </c>
      <c r="E2208" s="7" t="str">
        <f>IFERROR(__xludf.DUMMYFUNCTION("""COMPUTED_VALUE"""),"FRANQUIA_D&amp;G_SP")</f>
        <v>FRANQUIA_D&amp;G_SP</v>
      </c>
      <c r="F2208" s="7" t="str">
        <f>IFERROR(__xludf.DUMMYFUNCTION("""COMPUTED_VALUE"""),"MOTORCYCLE")</f>
        <v>MOTORCYCLE</v>
      </c>
      <c r="G2208" s="7" t="str">
        <f>IFERROR(__xludf.DUMMYFUNCTION("""COMPUTED_VALUE"""),"SAO PAULO")</f>
        <v>SAO PAULO</v>
      </c>
    </row>
    <row r="2209">
      <c r="A2209" s="6">
        <f>IFERROR(__xludf.DUMMYFUNCTION("""COMPUTED_VALUE"""),45705.0)</f>
        <v>45705</v>
      </c>
      <c r="B2209" s="7" t="str">
        <f>IFERROR(__xludf.DUMMYFUNCTION("""COMPUTED_VALUE"""),"d00c06ad-3c6e-455c-9b83-afe4c8390b79")</f>
        <v>d00c06ad-3c6e-455c-9b83-afe4c8390b79</v>
      </c>
      <c r="C2209" s="7">
        <f>IFERROR(__xludf.DUMMYFUNCTION("""COMPUTED_VALUE"""),21.0)</f>
        <v>21</v>
      </c>
      <c r="D2209" s="6">
        <f>IFERROR(__xludf.DUMMYFUNCTION("""COMPUTED_VALUE"""),45684.0)</f>
        <v>45684</v>
      </c>
      <c r="E2209" s="7" t="str">
        <f>IFERROR(__xludf.DUMMYFUNCTION("""COMPUTED_VALUE"""),"FRANQUIA_D&amp;G_SP")</f>
        <v>FRANQUIA_D&amp;G_SP</v>
      </c>
      <c r="F2209" s="7" t="str">
        <f>IFERROR(__xludf.DUMMYFUNCTION("""COMPUTED_VALUE"""),"MOTORCYCLE")</f>
        <v>MOTORCYCLE</v>
      </c>
      <c r="G2209" s="7" t="str">
        <f>IFERROR(__xludf.DUMMYFUNCTION("""COMPUTED_VALUE"""),"SAO PAULO")</f>
        <v>SAO PAULO</v>
      </c>
    </row>
    <row r="2210">
      <c r="A2210" s="6">
        <f>IFERROR(__xludf.DUMMYFUNCTION("""COMPUTED_VALUE"""),45705.0)</f>
        <v>45705</v>
      </c>
      <c r="B2210" s="7" t="str">
        <f>IFERROR(__xludf.DUMMYFUNCTION("""COMPUTED_VALUE"""),"445e41d5-fed0-442b-a15e-17e635711b03")</f>
        <v>445e41d5-fed0-442b-a15e-17e635711b03</v>
      </c>
      <c r="C2210" s="7">
        <f>IFERROR(__xludf.DUMMYFUNCTION("""COMPUTED_VALUE"""),0.0)</f>
        <v>0</v>
      </c>
      <c r="D2210" s="6">
        <f>IFERROR(__xludf.DUMMYFUNCTION("""COMPUTED_VALUE"""),45705.0)</f>
        <v>45705</v>
      </c>
      <c r="E2210" s="7" t="str">
        <f>IFERROR(__xludf.DUMMYFUNCTION("""COMPUTED_VALUE"""),"FRANQUIA_D&amp;G_SP")</f>
        <v>FRANQUIA_D&amp;G_SP</v>
      </c>
      <c r="F2210" s="7" t="str">
        <f>IFERROR(__xludf.DUMMYFUNCTION("""COMPUTED_VALUE"""),"EBIKE")</f>
        <v>EBIKE</v>
      </c>
      <c r="G2210" s="7" t="str">
        <f>IFERROR(__xludf.DUMMYFUNCTION("""COMPUTED_VALUE"""),"SAO PAULO")</f>
        <v>SAO PAULO</v>
      </c>
    </row>
    <row r="2211">
      <c r="A2211" s="6">
        <f>IFERROR(__xludf.DUMMYFUNCTION("""COMPUTED_VALUE"""),45705.0)</f>
        <v>45705</v>
      </c>
      <c r="B2211" s="7" t="str">
        <f>IFERROR(__xludf.DUMMYFUNCTION("""COMPUTED_VALUE"""),"57ca6d76-8ff6-4ccb-9a22-ea9822b8fde5")</f>
        <v>57ca6d76-8ff6-4ccb-9a22-ea9822b8fde5</v>
      </c>
      <c r="C2211" s="7">
        <f>IFERROR(__xludf.DUMMYFUNCTION("""COMPUTED_VALUE"""),1.0)</f>
        <v>1</v>
      </c>
      <c r="D2211" s="6">
        <f>IFERROR(__xludf.DUMMYFUNCTION("""COMPUTED_VALUE"""),45704.0)</f>
        <v>45704</v>
      </c>
      <c r="E2211" s="7" t="str">
        <f>IFERROR(__xludf.DUMMYFUNCTION("""COMPUTED_VALUE"""),"FRANQUIA_D&amp;G_SP")</f>
        <v>FRANQUIA_D&amp;G_SP</v>
      </c>
      <c r="F2211" s="7" t="str">
        <f>IFERROR(__xludf.DUMMYFUNCTION("""COMPUTED_VALUE"""),"BICYCLE")</f>
        <v>BICYCLE</v>
      </c>
      <c r="G2211" s="7" t="str">
        <f>IFERROR(__xludf.DUMMYFUNCTION("""COMPUTED_VALUE"""),"SAO PAULO")</f>
        <v>SAO PAULO</v>
      </c>
    </row>
    <row r="2212">
      <c r="A2212" s="6">
        <f>IFERROR(__xludf.DUMMYFUNCTION("""COMPUTED_VALUE"""),45705.0)</f>
        <v>45705</v>
      </c>
      <c r="B2212" s="7" t="str">
        <f>IFERROR(__xludf.DUMMYFUNCTION("""COMPUTED_VALUE"""),"0817aea1-f852-4ff7-94b5-c1e68dff21f4")</f>
        <v>0817aea1-f852-4ff7-94b5-c1e68dff21f4</v>
      </c>
      <c r="C2212" s="7">
        <f>IFERROR(__xludf.DUMMYFUNCTION("""COMPUTED_VALUE"""),244.0)</f>
        <v>244</v>
      </c>
      <c r="D2212" s="6">
        <f>IFERROR(__xludf.DUMMYFUNCTION("""COMPUTED_VALUE"""),45461.0)</f>
        <v>45461</v>
      </c>
      <c r="E2212" s="7" t="str">
        <f>IFERROR(__xludf.DUMMYFUNCTION("""COMPUTED_VALUE"""),"FRANQUIA_D&amp;G_SP")</f>
        <v>FRANQUIA_D&amp;G_SP</v>
      </c>
      <c r="F2212" s="7" t="str">
        <f>IFERROR(__xludf.DUMMYFUNCTION("""COMPUTED_VALUE"""),"BICYCLE")</f>
        <v>BICYCLE</v>
      </c>
      <c r="G2212" s="7" t="str">
        <f>IFERROR(__xludf.DUMMYFUNCTION("""COMPUTED_VALUE"""),"SAO PAULO")</f>
        <v>SAO PAULO</v>
      </c>
    </row>
    <row r="2213">
      <c r="A2213" s="6">
        <f>IFERROR(__xludf.DUMMYFUNCTION("""COMPUTED_VALUE"""),45705.0)</f>
        <v>45705</v>
      </c>
      <c r="B2213" s="7" t="str">
        <f>IFERROR(__xludf.DUMMYFUNCTION("""COMPUTED_VALUE"""),"0fc12b05-8b5d-46ac-a1d2-b43f2516b4bb")</f>
        <v>0fc12b05-8b5d-46ac-a1d2-b43f2516b4bb</v>
      </c>
      <c r="C2213" s="7">
        <f>IFERROR(__xludf.DUMMYFUNCTION("""COMPUTED_VALUE"""),0.0)</f>
        <v>0</v>
      </c>
      <c r="D2213" s="6">
        <f>IFERROR(__xludf.DUMMYFUNCTION("""COMPUTED_VALUE"""),45705.0)</f>
        <v>45705</v>
      </c>
      <c r="E2213" s="7" t="str">
        <f>IFERROR(__xludf.DUMMYFUNCTION("""COMPUTED_VALUE"""),"FRANQUIA_D&amp;G_SP")</f>
        <v>FRANQUIA_D&amp;G_SP</v>
      </c>
      <c r="F2213" s="7" t="str">
        <f>IFERROR(__xludf.DUMMYFUNCTION("""COMPUTED_VALUE"""),"BICYCLE")</f>
        <v>BICYCLE</v>
      </c>
      <c r="G2213" s="7" t="str">
        <f>IFERROR(__xludf.DUMMYFUNCTION("""COMPUTED_VALUE"""),"SAO PAULO")</f>
        <v>SAO PAULO</v>
      </c>
    </row>
    <row r="2214">
      <c r="A2214" s="6">
        <f>IFERROR(__xludf.DUMMYFUNCTION("""COMPUTED_VALUE"""),45705.0)</f>
        <v>45705</v>
      </c>
      <c r="B2214" s="7" t="str">
        <f>IFERROR(__xludf.DUMMYFUNCTION("""COMPUTED_VALUE"""),"27fce06b-0e28-4301-82ae-5365a8d97836")</f>
        <v>27fce06b-0e28-4301-82ae-5365a8d97836</v>
      </c>
      <c r="C2214" s="7">
        <f>IFERROR(__xludf.DUMMYFUNCTION("""COMPUTED_VALUE"""),54.0)</f>
        <v>54</v>
      </c>
      <c r="D2214" s="6">
        <f>IFERROR(__xludf.DUMMYFUNCTION("""COMPUTED_VALUE"""),45651.0)</f>
        <v>45651</v>
      </c>
      <c r="E2214" s="7" t="str">
        <f>IFERROR(__xludf.DUMMYFUNCTION("""COMPUTED_VALUE"""),"FRANQUIA_D&amp;G_SP")</f>
        <v>FRANQUIA_D&amp;G_SP</v>
      </c>
      <c r="F2214" s="7" t="str">
        <f>IFERROR(__xludf.DUMMYFUNCTION("""COMPUTED_VALUE"""),"BICYCLE")</f>
        <v>BICYCLE</v>
      </c>
      <c r="G2214" s="7" t="str">
        <f>IFERROR(__xludf.DUMMYFUNCTION("""COMPUTED_VALUE"""),"SAO PAULO")</f>
        <v>SAO PAULO</v>
      </c>
    </row>
    <row r="2215">
      <c r="A2215" s="6">
        <f>IFERROR(__xludf.DUMMYFUNCTION("""COMPUTED_VALUE"""),45705.0)</f>
        <v>45705</v>
      </c>
      <c r="B2215" s="7" t="str">
        <f>IFERROR(__xludf.DUMMYFUNCTION("""COMPUTED_VALUE"""),"f59bce52-290d-49f0-851c-fccac0dab3a8")</f>
        <v>f59bce52-290d-49f0-851c-fccac0dab3a8</v>
      </c>
      <c r="C2215" s="7">
        <f>IFERROR(__xludf.DUMMYFUNCTION("""COMPUTED_VALUE"""),575.0)</f>
        <v>575</v>
      </c>
      <c r="D2215" s="6">
        <f>IFERROR(__xludf.DUMMYFUNCTION("""COMPUTED_VALUE"""),45130.0)</f>
        <v>45130</v>
      </c>
      <c r="E2215" s="7" t="str">
        <f>IFERROR(__xludf.DUMMYFUNCTION("""COMPUTED_VALUE"""),"FRANQUIA_D&amp;G_SP")</f>
        <v>FRANQUIA_D&amp;G_SP</v>
      </c>
      <c r="F2215" s="7" t="str">
        <f>IFERROR(__xludf.DUMMYFUNCTION("""COMPUTED_VALUE"""),"BICYCLE")</f>
        <v>BICYCLE</v>
      </c>
      <c r="G2215" s="7" t="str">
        <f>IFERROR(__xludf.DUMMYFUNCTION("""COMPUTED_VALUE"""),"SAO PAULO")</f>
        <v>SAO PAULO</v>
      </c>
    </row>
    <row r="2216">
      <c r="A2216" s="6">
        <f>IFERROR(__xludf.DUMMYFUNCTION("""COMPUTED_VALUE"""),45705.0)</f>
        <v>45705</v>
      </c>
      <c r="B2216" s="7" t="str">
        <f>IFERROR(__xludf.DUMMYFUNCTION("""COMPUTED_VALUE"""),"cc5c6c61-9cb6-4f3a-a813-63fdf361d6f6")</f>
        <v>cc5c6c61-9cb6-4f3a-a813-63fdf361d6f6</v>
      </c>
      <c r="C2216" s="7">
        <f>IFERROR(__xludf.DUMMYFUNCTION("""COMPUTED_VALUE"""),0.0)</f>
        <v>0</v>
      </c>
      <c r="D2216" s="6">
        <f>IFERROR(__xludf.DUMMYFUNCTION("""COMPUTED_VALUE"""),45705.0)</f>
        <v>45705</v>
      </c>
      <c r="E2216" s="7" t="str">
        <f>IFERROR(__xludf.DUMMYFUNCTION("""COMPUTED_VALUE"""),"FRANQUIA_D&amp;G_SP")</f>
        <v>FRANQUIA_D&amp;G_SP</v>
      </c>
      <c r="F2216" s="7" t="str">
        <f>IFERROR(__xludf.DUMMYFUNCTION("""COMPUTED_VALUE"""),"MOTORCYCLE")</f>
        <v>MOTORCYCLE</v>
      </c>
      <c r="G2216" s="7" t="str">
        <f>IFERROR(__xludf.DUMMYFUNCTION("""COMPUTED_VALUE"""),"SAO PAULO")</f>
        <v>SAO PAULO</v>
      </c>
    </row>
    <row r="2217">
      <c r="A2217" s="6">
        <f>IFERROR(__xludf.DUMMYFUNCTION("""COMPUTED_VALUE"""),45705.0)</f>
        <v>45705</v>
      </c>
      <c r="B2217" s="7" t="str">
        <f>IFERROR(__xludf.DUMMYFUNCTION("""COMPUTED_VALUE"""),"54af6336-6964-4c04-a379-a96b3fe400e4")</f>
        <v>54af6336-6964-4c04-a379-a96b3fe400e4</v>
      </c>
      <c r="C2217" s="7">
        <f>IFERROR(__xludf.DUMMYFUNCTION("""COMPUTED_VALUE"""),2.0)</f>
        <v>2</v>
      </c>
      <c r="D2217" s="6">
        <f>IFERROR(__xludf.DUMMYFUNCTION("""COMPUTED_VALUE"""),45703.0)</f>
        <v>45703</v>
      </c>
      <c r="E2217" s="7" t="str">
        <f>IFERROR(__xludf.DUMMYFUNCTION("""COMPUTED_VALUE"""),"FRANQUIA_D&amp;G_SP")</f>
        <v>FRANQUIA_D&amp;G_SP</v>
      </c>
      <c r="F2217" s="7" t="str">
        <f>IFERROR(__xludf.DUMMYFUNCTION("""COMPUTED_VALUE"""),"EMOTORCYCLE")</f>
        <v>EMOTORCYCLE</v>
      </c>
      <c r="G2217" s="7" t="str">
        <f>IFERROR(__xludf.DUMMYFUNCTION("""COMPUTED_VALUE"""),"SAO PAULO")</f>
        <v>SAO PAULO</v>
      </c>
    </row>
    <row r="2218">
      <c r="A2218" s="6">
        <f>IFERROR(__xludf.DUMMYFUNCTION("""COMPUTED_VALUE"""),45705.0)</f>
        <v>45705</v>
      </c>
      <c r="B2218" s="7" t="str">
        <f>IFERROR(__xludf.DUMMYFUNCTION("""COMPUTED_VALUE"""),"235f195c-959a-4e50-8629-c61435c979d9")</f>
        <v>235f195c-959a-4e50-8629-c61435c979d9</v>
      </c>
      <c r="C2218" s="7">
        <f>IFERROR(__xludf.DUMMYFUNCTION("""COMPUTED_VALUE"""),347.0)</f>
        <v>347</v>
      </c>
      <c r="D2218" s="6">
        <f>IFERROR(__xludf.DUMMYFUNCTION("""COMPUTED_VALUE"""),45358.0)</f>
        <v>45358</v>
      </c>
      <c r="E2218" s="7" t="str">
        <f>IFERROR(__xludf.DUMMYFUNCTION("""COMPUTED_VALUE"""),"FRANQUIA_D&amp;G_SP")</f>
        <v>FRANQUIA_D&amp;G_SP</v>
      </c>
      <c r="F2218" s="7" t="str">
        <f>IFERROR(__xludf.DUMMYFUNCTION("""COMPUTED_VALUE"""),"BICYCLE")</f>
        <v>BICYCLE</v>
      </c>
      <c r="G2218" s="7" t="str">
        <f>IFERROR(__xludf.DUMMYFUNCTION("""COMPUTED_VALUE"""),"SAO PAULO")</f>
        <v>SAO PAULO</v>
      </c>
    </row>
    <row r="2219">
      <c r="A2219" s="6">
        <f>IFERROR(__xludf.DUMMYFUNCTION("""COMPUTED_VALUE"""),45705.0)</f>
        <v>45705</v>
      </c>
      <c r="B2219" s="7" t="str">
        <f>IFERROR(__xludf.DUMMYFUNCTION("""COMPUTED_VALUE"""),"f4b811fb-68a1-42b9-8327-cdf5892a420c")</f>
        <v>f4b811fb-68a1-42b9-8327-cdf5892a420c</v>
      </c>
      <c r="C2219" s="7">
        <f>IFERROR(__xludf.DUMMYFUNCTION("""COMPUTED_VALUE"""),281.0)</f>
        <v>281</v>
      </c>
      <c r="D2219" s="6">
        <f>IFERROR(__xludf.DUMMYFUNCTION("""COMPUTED_VALUE"""),45424.0)</f>
        <v>45424</v>
      </c>
      <c r="E2219" s="7" t="str">
        <f>IFERROR(__xludf.DUMMYFUNCTION("""COMPUTED_VALUE"""),"FRANQUIA_D&amp;G_SP")</f>
        <v>FRANQUIA_D&amp;G_SP</v>
      </c>
      <c r="F2219" s="7" t="str">
        <f>IFERROR(__xludf.DUMMYFUNCTION("""COMPUTED_VALUE"""),"MOTORCYCLE")</f>
        <v>MOTORCYCLE</v>
      </c>
      <c r="G2219" s="7" t="str">
        <f>IFERROR(__xludf.DUMMYFUNCTION("""COMPUTED_VALUE"""),"SAO PAULO")</f>
        <v>SAO PAULO</v>
      </c>
    </row>
    <row r="2220">
      <c r="A2220" s="6">
        <f>IFERROR(__xludf.DUMMYFUNCTION("""COMPUTED_VALUE"""),45705.0)</f>
        <v>45705</v>
      </c>
      <c r="B2220" s="7" t="str">
        <f>IFERROR(__xludf.DUMMYFUNCTION("""COMPUTED_VALUE"""),"7feee6f7-7bc0-42ed-83ef-1b7b73acda1d")</f>
        <v>7feee6f7-7bc0-42ed-83ef-1b7b73acda1d</v>
      </c>
      <c r="C2220" s="7">
        <f>IFERROR(__xludf.DUMMYFUNCTION("""COMPUTED_VALUE"""),6.0)</f>
        <v>6</v>
      </c>
      <c r="D2220" s="6">
        <f>IFERROR(__xludf.DUMMYFUNCTION("""COMPUTED_VALUE"""),45699.0)</f>
        <v>45699</v>
      </c>
      <c r="E2220" s="7" t="str">
        <f>IFERROR(__xludf.DUMMYFUNCTION("""COMPUTED_VALUE"""),"FRANQUIA_D&amp;G_SP")</f>
        <v>FRANQUIA_D&amp;G_SP</v>
      </c>
      <c r="F2220" s="7" t="str">
        <f>IFERROR(__xludf.DUMMYFUNCTION("""COMPUTED_VALUE"""),"MOTORCYCLE")</f>
        <v>MOTORCYCLE</v>
      </c>
      <c r="G2220" s="7" t="str">
        <f>IFERROR(__xludf.DUMMYFUNCTION("""COMPUTED_VALUE"""),"SAO PAULO")</f>
        <v>SAO PAULO</v>
      </c>
    </row>
    <row r="2221">
      <c r="A2221" s="6">
        <f>IFERROR(__xludf.DUMMYFUNCTION("""COMPUTED_VALUE"""),45705.0)</f>
        <v>45705</v>
      </c>
      <c r="B2221" s="7" t="str">
        <f>IFERROR(__xludf.DUMMYFUNCTION("""COMPUTED_VALUE"""),"825f3cc8-006e-4e5c-884f-7f1a9d39386e")</f>
        <v>825f3cc8-006e-4e5c-884f-7f1a9d39386e</v>
      </c>
      <c r="C2221" s="7">
        <f>IFERROR(__xludf.DUMMYFUNCTION("""COMPUTED_VALUE"""),0.0)</f>
        <v>0</v>
      </c>
      <c r="D2221" s="6">
        <f>IFERROR(__xludf.DUMMYFUNCTION("""COMPUTED_VALUE"""),45705.0)</f>
        <v>45705</v>
      </c>
      <c r="E2221" s="7" t="str">
        <f>IFERROR(__xludf.DUMMYFUNCTION("""COMPUTED_VALUE"""),"FRANQUIA_D&amp;G_SP")</f>
        <v>FRANQUIA_D&amp;G_SP</v>
      </c>
      <c r="F2221" s="7" t="str">
        <f>IFERROR(__xludf.DUMMYFUNCTION("""COMPUTED_VALUE"""),"BICYCLE")</f>
        <v>BICYCLE</v>
      </c>
      <c r="G2221" s="7" t="str">
        <f>IFERROR(__xludf.DUMMYFUNCTION("""COMPUTED_VALUE"""),"SAO PAULO")</f>
        <v>SAO PAULO</v>
      </c>
    </row>
    <row r="2222">
      <c r="A2222" s="6">
        <f>IFERROR(__xludf.DUMMYFUNCTION("""COMPUTED_VALUE"""),45705.0)</f>
        <v>45705</v>
      </c>
      <c r="B2222" s="7" t="str">
        <f>IFERROR(__xludf.DUMMYFUNCTION("""COMPUTED_VALUE"""),"80dcc353-596a-4056-82bf-799369e409a4")</f>
        <v>80dcc353-596a-4056-82bf-799369e409a4</v>
      </c>
      <c r="C2222" s="7">
        <f>IFERROR(__xludf.DUMMYFUNCTION("""COMPUTED_VALUE"""),204.0)</f>
        <v>204</v>
      </c>
      <c r="D2222" s="6">
        <f>IFERROR(__xludf.DUMMYFUNCTION("""COMPUTED_VALUE"""),45501.0)</f>
        <v>45501</v>
      </c>
      <c r="E2222" s="7" t="str">
        <f>IFERROR(__xludf.DUMMYFUNCTION("""COMPUTED_VALUE"""),"FRANQUIA_D&amp;G_SP")</f>
        <v>FRANQUIA_D&amp;G_SP</v>
      </c>
      <c r="F2222" s="7" t="str">
        <f>IFERROR(__xludf.DUMMYFUNCTION("""COMPUTED_VALUE"""),"MOTORCYCLE")</f>
        <v>MOTORCYCLE</v>
      </c>
      <c r="G2222" s="7" t="str">
        <f>IFERROR(__xludf.DUMMYFUNCTION("""COMPUTED_VALUE"""),"SAO PAULO")</f>
        <v>SAO PAULO</v>
      </c>
    </row>
    <row r="2223">
      <c r="A2223" s="6">
        <f>IFERROR(__xludf.DUMMYFUNCTION("""COMPUTED_VALUE"""),45705.0)</f>
        <v>45705</v>
      </c>
      <c r="B2223" s="7" t="str">
        <f>IFERROR(__xludf.DUMMYFUNCTION("""COMPUTED_VALUE"""),"14f1f9ac-6969-47ff-9220-286a15ee70cb")</f>
        <v>14f1f9ac-6969-47ff-9220-286a15ee70cb</v>
      </c>
      <c r="C2223" s="7">
        <f>IFERROR(__xludf.DUMMYFUNCTION("""COMPUTED_VALUE"""),96.0)</f>
        <v>96</v>
      </c>
      <c r="D2223" s="6">
        <f>IFERROR(__xludf.DUMMYFUNCTION("""COMPUTED_VALUE"""),45609.0)</f>
        <v>45609</v>
      </c>
      <c r="E2223" s="7" t="str">
        <f>IFERROR(__xludf.DUMMYFUNCTION("""COMPUTED_VALUE"""),"FRANQUIA_D&amp;G_SP")</f>
        <v>FRANQUIA_D&amp;G_SP</v>
      </c>
      <c r="F2223" s="7" t="str">
        <f>IFERROR(__xludf.DUMMYFUNCTION("""COMPUTED_VALUE"""),"MOTORCYCLE")</f>
        <v>MOTORCYCLE</v>
      </c>
      <c r="G2223" s="7" t="str">
        <f>IFERROR(__xludf.DUMMYFUNCTION("""COMPUTED_VALUE"""),"SAO PAULO")</f>
        <v>SAO PAULO</v>
      </c>
    </row>
    <row r="2224">
      <c r="A2224" s="6">
        <f>IFERROR(__xludf.DUMMYFUNCTION("""COMPUTED_VALUE"""),45705.0)</f>
        <v>45705</v>
      </c>
      <c r="B2224" s="7" t="str">
        <f>IFERROR(__xludf.DUMMYFUNCTION("""COMPUTED_VALUE"""),"25608e26-9e8d-47e5-ad97-419755f4254e")</f>
        <v>25608e26-9e8d-47e5-ad97-419755f4254e</v>
      </c>
      <c r="C2224" s="7">
        <f>IFERROR(__xludf.DUMMYFUNCTION("""COMPUTED_VALUE"""),0.0)</f>
        <v>0</v>
      </c>
      <c r="D2224" s="6">
        <f>IFERROR(__xludf.DUMMYFUNCTION("""COMPUTED_VALUE"""),45705.0)</f>
        <v>45705</v>
      </c>
      <c r="E2224" s="7" t="str">
        <f>IFERROR(__xludf.DUMMYFUNCTION("""COMPUTED_VALUE"""),"FRANQUIA_D&amp;G_SP")</f>
        <v>FRANQUIA_D&amp;G_SP</v>
      </c>
      <c r="F2224" s="7" t="str">
        <f>IFERROR(__xludf.DUMMYFUNCTION("""COMPUTED_VALUE"""),"MOTORCYCLE")</f>
        <v>MOTORCYCLE</v>
      </c>
      <c r="G2224" s="7" t="str">
        <f>IFERROR(__xludf.DUMMYFUNCTION("""COMPUTED_VALUE"""),"SAO PAULO")</f>
        <v>SAO PAULO</v>
      </c>
    </row>
    <row r="2225">
      <c r="A2225" s="6">
        <f>IFERROR(__xludf.DUMMYFUNCTION("""COMPUTED_VALUE"""),45705.0)</f>
        <v>45705</v>
      </c>
      <c r="B2225" s="7" t="str">
        <f>IFERROR(__xludf.DUMMYFUNCTION("""COMPUTED_VALUE"""),"8c5f280a-f660-43c7-8b42-adc8a96b6c50")</f>
        <v>8c5f280a-f660-43c7-8b42-adc8a96b6c50</v>
      </c>
      <c r="C2225" s="7">
        <f>IFERROR(__xludf.DUMMYFUNCTION("""COMPUTED_VALUE"""),46.0)</f>
        <v>46</v>
      </c>
      <c r="D2225" s="6">
        <f>IFERROR(__xludf.DUMMYFUNCTION("""COMPUTED_VALUE"""),45659.0)</f>
        <v>45659</v>
      </c>
      <c r="E2225" s="7" t="str">
        <f>IFERROR(__xludf.DUMMYFUNCTION("""COMPUTED_VALUE"""),"FRANQUIA_D&amp;G_SP")</f>
        <v>FRANQUIA_D&amp;G_SP</v>
      </c>
      <c r="F2225" s="7" t="str">
        <f>IFERROR(__xludf.DUMMYFUNCTION("""COMPUTED_VALUE"""),"MOTORCYCLE")</f>
        <v>MOTORCYCLE</v>
      </c>
      <c r="G2225" s="7" t="str">
        <f>IFERROR(__xludf.DUMMYFUNCTION("""COMPUTED_VALUE"""),"SAO PAULO")</f>
        <v>SAO PAULO</v>
      </c>
    </row>
    <row r="2226">
      <c r="A2226" s="6">
        <f>IFERROR(__xludf.DUMMYFUNCTION("""COMPUTED_VALUE"""),45705.0)</f>
        <v>45705</v>
      </c>
      <c r="B2226" s="7" t="str">
        <f>IFERROR(__xludf.DUMMYFUNCTION("""COMPUTED_VALUE"""),"ffc142aa-d3e0-46cc-8241-01b6232f1529")</f>
        <v>ffc142aa-d3e0-46cc-8241-01b6232f1529</v>
      </c>
      <c r="C2226" s="7">
        <f>IFERROR(__xludf.DUMMYFUNCTION("""COMPUTED_VALUE"""),43.0)</f>
        <v>43</v>
      </c>
      <c r="D2226" s="6">
        <f>IFERROR(__xludf.DUMMYFUNCTION("""COMPUTED_VALUE"""),45662.0)</f>
        <v>45662</v>
      </c>
      <c r="E2226" s="7" t="str">
        <f>IFERROR(__xludf.DUMMYFUNCTION("""COMPUTED_VALUE"""),"FRANQUIA_D&amp;G_SP")</f>
        <v>FRANQUIA_D&amp;G_SP</v>
      </c>
      <c r="F2226" s="7" t="str">
        <f>IFERROR(__xludf.DUMMYFUNCTION("""COMPUTED_VALUE"""),"MOTORCYCLE")</f>
        <v>MOTORCYCLE</v>
      </c>
      <c r="G2226" s="7" t="str">
        <f>IFERROR(__xludf.DUMMYFUNCTION("""COMPUTED_VALUE"""),"SAO PAULO")</f>
        <v>SAO PAULO</v>
      </c>
    </row>
    <row r="2227">
      <c r="A2227" s="6">
        <f>IFERROR(__xludf.DUMMYFUNCTION("""COMPUTED_VALUE"""),45705.0)</f>
        <v>45705</v>
      </c>
      <c r="B2227" s="7" t="str">
        <f>IFERROR(__xludf.DUMMYFUNCTION("""COMPUTED_VALUE"""),"73959635-aa54-48c5-a65c-b3a8ce6c0931")</f>
        <v>73959635-aa54-48c5-a65c-b3a8ce6c0931</v>
      </c>
      <c r="C2227" s="7">
        <f>IFERROR(__xludf.DUMMYFUNCTION("""COMPUTED_VALUE"""),0.0)</f>
        <v>0</v>
      </c>
      <c r="D2227" s="6">
        <f>IFERROR(__xludf.DUMMYFUNCTION("""COMPUTED_VALUE"""),45705.0)</f>
        <v>45705</v>
      </c>
      <c r="E2227" s="7" t="str">
        <f>IFERROR(__xludf.DUMMYFUNCTION("""COMPUTED_VALUE"""),"FRANQUIA_D&amp;G_SP")</f>
        <v>FRANQUIA_D&amp;G_SP</v>
      </c>
      <c r="F2227" s="7" t="str">
        <f>IFERROR(__xludf.DUMMYFUNCTION("""COMPUTED_VALUE"""),"EMOTORCYCLE")</f>
        <v>EMOTORCYCLE</v>
      </c>
      <c r="G2227" s="7" t="str">
        <f>IFERROR(__xludf.DUMMYFUNCTION("""COMPUTED_VALUE"""),"ABC")</f>
        <v>ABC</v>
      </c>
    </row>
    <row r="2228">
      <c r="A2228" s="6">
        <f>IFERROR(__xludf.DUMMYFUNCTION("""COMPUTED_VALUE"""),45705.0)</f>
        <v>45705</v>
      </c>
      <c r="B2228" s="7" t="str">
        <f>IFERROR(__xludf.DUMMYFUNCTION("""COMPUTED_VALUE"""),"5f052e93-7ae2-4436-9fab-a60640388986")</f>
        <v>5f052e93-7ae2-4436-9fab-a60640388986</v>
      </c>
      <c r="C2228" s="7">
        <f>IFERROR(__xludf.DUMMYFUNCTION("""COMPUTED_VALUE"""),32.0)</f>
        <v>32</v>
      </c>
      <c r="D2228" s="6">
        <f>IFERROR(__xludf.DUMMYFUNCTION("""COMPUTED_VALUE"""),45673.0)</f>
        <v>45673</v>
      </c>
      <c r="E2228" s="7" t="str">
        <f>IFERROR(__xludf.DUMMYFUNCTION("""COMPUTED_VALUE"""),"FRANQUIA_D&amp;G_SP")</f>
        <v>FRANQUIA_D&amp;G_SP</v>
      </c>
      <c r="F2228" s="7" t="str">
        <f>IFERROR(__xludf.DUMMYFUNCTION("""COMPUTED_VALUE"""),"MOTORCYCLE")</f>
        <v>MOTORCYCLE</v>
      </c>
      <c r="G2228" s="7" t="str">
        <f>IFERROR(__xludf.DUMMYFUNCTION("""COMPUTED_VALUE"""),"ABC")</f>
        <v>ABC</v>
      </c>
    </row>
    <row r="2229">
      <c r="A2229" s="6">
        <f>IFERROR(__xludf.DUMMYFUNCTION("""COMPUTED_VALUE"""),45705.0)</f>
        <v>45705</v>
      </c>
      <c r="B2229" s="7" t="str">
        <f>IFERROR(__xludf.DUMMYFUNCTION("""COMPUTED_VALUE"""),"d6218fea-ef2d-4740-8626-5c2a368cf944")</f>
        <v>d6218fea-ef2d-4740-8626-5c2a368cf944</v>
      </c>
      <c r="C2229" s="7">
        <f>IFERROR(__xludf.DUMMYFUNCTION("""COMPUTED_VALUE"""),0.0)</f>
        <v>0</v>
      </c>
      <c r="D2229" s="6">
        <f>IFERROR(__xludf.DUMMYFUNCTION("""COMPUTED_VALUE"""),0.0)</f>
        <v>0</v>
      </c>
      <c r="E2229" s="7" t="str">
        <f>IFERROR(__xludf.DUMMYFUNCTION("""COMPUTED_VALUE"""),"FRANQUIA_D&amp;G_SP")</f>
        <v>FRANQUIA_D&amp;G_SP</v>
      </c>
      <c r="F2229" s="7" t="str">
        <f>IFERROR(__xludf.DUMMYFUNCTION("""COMPUTED_VALUE"""),"MOTORCYCLE")</f>
        <v>MOTORCYCLE</v>
      </c>
      <c r="G2229" s="7" t="str">
        <f>IFERROR(__xludf.DUMMYFUNCTION("""COMPUTED_VALUE"""),"0")</f>
        <v>0</v>
      </c>
    </row>
    <row r="2230">
      <c r="A2230" s="6">
        <f>IFERROR(__xludf.DUMMYFUNCTION("""COMPUTED_VALUE"""),45705.0)</f>
        <v>45705</v>
      </c>
      <c r="B2230" s="7" t="str">
        <f>IFERROR(__xludf.DUMMYFUNCTION("""COMPUTED_VALUE"""),"8b0d7cef-2444-4b53-bec5-036394b2ab14")</f>
        <v>8b0d7cef-2444-4b53-bec5-036394b2ab14</v>
      </c>
      <c r="C2230" s="7">
        <f>IFERROR(__xludf.DUMMYFUNCTION("""COMPUTED_VALUE"""),0.0)</f>
        <v>0</v>
      </c>
      <c r="D2230" s="6">
        <f>IFERROR(__xludf.DUMMYFUNCTION("""COMPUTED_VALUE"""),45705.0)</f>
        <v>45705</v>
      </c>
      <c r="E2230" s="7" t="str">
        <f>IFERROR(__xludf.DUMMYFUNCTION("""COMPUTED_VALUE"""),"FRANQUIA_D&amp;G_SP")</f>
        <v>FRANQUIA_D&amp;G_SP</v>
      </c>
      <c r="F2230" s="7" t="str">
        <f>IFERROR(__xludf.DUMMYFUNCTION("""COMPUTED_VALUE"""),"MOTORCYCLE")</f>
        <v>MOTORCYCLE</v>
      </c>
      <c r="G2230" s="7" t="str">
        <f>IFERROR(__xludf.DUMMYFUNCTION("""COMPUTED_VALUE"""),"SAO PAULO")</f>
        <v>SAO PAULO</v>
      </c>
    </row>
    <row r="2231">
      <c r="A2231" s="6">
        <f>IFERROR(__xludf.DUMMYFUNCTION("""COMPUTED_VALUE"""),45705.0)</f>
        <v>45705</v>
      </c>
      <c r="B2231" s="7" t="str">
        <f>IFERROR(__xludf.DUMMYFUNCTION("""COMPUTED_VALUE"""),"c938d68b-2b2a-4eb1-ba88-61cc5cd6be74")</f>
        <v>c938d68b-2b2a-4eb1-ba88-61cc5cd6be74</v>
      </c>
      <c r="C2231" s="7">
        <f>IFERROR(__xludf.DUMMYFUNCTION("""COMPUTED_VALUE"""),0.0)</f>
        <v>0</v>
      </c>
      <c r="D2231" s="6">
        <f>IFERROR(__xludf.DUMMYFUNCTION("""COMPUTED_VALUE"""),45705.0)</f>
        <v>45705</v>
      </c>
      <c r="E2231" s="7" t="str">
        <f>IFERROR(__xludf.DUMMYFUNCTION("""COMPUTED_VALUE"""),"FRANQUIA_D&amp;G_SP")</f>
        <v>FRANQUIA_D&amp;G_SP</v>
      </c>
      <c r="F2231" s="7" t="str">
        <f>IFERROR(__xludf.DUMMYFUNCTION("""COMPUTED_VALUE"""),"MOTORCYCLE")</f>
        <v>MOTORCYCLE</v>
      </c>
      <c r="G2231" s="7" t="str">
        <f>IFERROR(__xludf.DUMMYFUNCTION("""COMPUTED_VALUE"""),"SAO PAULO")</f>
        <v>SAO PAULO</v>
      </c>
    </row>
    <row r="2232">
      <c r="A2232" s="6">
        <f>IFERROR(__xludf.DUMMYFUNCTION("""COMPUTED_VALUE"""),45705.0)</f>
        <v>45705</v>
      </c>
      <c r="B2232" s="7" t="str">
        <f>IFERROR(__xludf.DUMMYFUNCTION("""COMPUTED_VALUE"""),"5614be0e-6cda-45d2-8444-0bc273ece455")</f>
        <v>5614be0e-6cda-45d2-8444-0bc273ece455</v>
      </c>
      <c r="C2232" s="7">
        <f>IFERROR(__xludf.DUMMYFUNCTION("""COMPUTED_VALUE"""),0.0)</f>
        <v>0</v>
      </c>
      <c r="D2232" s="6">
        <f>IFERROR(__xludf.DUMMYFUNCTION("""COMPUTED_VALUE"""),45705.0)</f>
        <v>45705</v>
      </c>
      <c r="E2232" s="7" t="str">
        <f>IFERROR(__xludf.DUMMYFUNCTION("""COMPUTED_VALUE"""),"FRANQUIA_D&amp;G_SP")</f>
        <v>FRANQUIA_D&amp;G_SP</v>
      </c>
      <c r="F2232" s="7" t="str">
        <f>IFERROR(__xludf.DUMMYFUNCTION("""COMPUTED_VALUE"""),"BICYCLE")</f>
        <v>BICYCLE</v>
      </c>
      <c r="G2232" s="7" t="str">
        <f>IFERROR(__xludf.DUMMYFUNCTION("""COMPUTED_VALUE"""),"SAO PAULO")</f>
        <v>SAO PAULO</v>
      </c>
    </row>
    <row r="2233">
      <c r="A2233" s="6">
        <f>IFERROR(__xludf.DUMMYFUNCTION("""COMPUTED_VALUE"""),45705.0)</f>
        <v>45705</v>
      </c>
      <c r="B2233" s="7" t="str">
        <f>IFERROR(__xludf.DUMMYFUNCTION("""COMPUTED_VALUE"""),"215578b0-58e9-4187-b178-cffd9082040f")</f>
        <v>215578b0-58e9-4187-b178-cffd9082040f</v>
      </c>
      <c r="C2233" s="7">
        <f>IFERROR(__xludf.DUMMYFUNCTION("""COMPUTED_VALUE"""),198.0)</f>
        <v>198</v>
      </c>
      <c r="D2233" s="6">
        <f>IFERROR(__xludf.DUMMYFUNCTION("""COMPUTED_VALUE"""),45507.0)</f>
        <v>45507</v>
      </c>
      <c r="E2233" s="7" t="str">
        <f>IFERROR(__xludf.DUMMYFUNCTION("""COMPUTED_VALUE"""),"FRANQUIA_D&amp;G_SP")</f>
        <v>FRANQUIA_D&amp;G_SP</v>
      </c>
      <c r="F2233" s="7" t="str">
        <f>IFERROR(__xludf.DUMMYFUNCTION("""COMPUTED_VALUE"""),"BICYCLE")</f>
        <v>BICYCLE</v>
      </c>
      <c r="G2233" s="7" t="str">
        <f>IFERROR(__xludf.DUMMYFUNCTION("""COMPUTED_VALUE"""),"SAO PAULO")</f>
        <v>SAO PAULO</v>
      </c>
    </row>
    <row r="2234">
      <c r="A2234" s="6">
        <f>IFERROR(__xludf.DUMMYFUNCTION("""COMPUTED_VALUE"""),45705.0)</f>
        <v>45705</v>
      </c>
      <c r="B2234" s="7" t="str">
        <f>IFERROR(__xludf.DUMMYFUNCTION("""COMPUTED_VALUE"""),"97d0d313-8b97-4787-a77b-cbc028cf8837")</f>
        <v>97d0d313-8b97-4787-a77b-cbc028cf8837</v>
      </c>
      <c r="C2234" s="7">
        <f>IFERROR(__xludf.DUMMYFUNCTION("""COMPUTED_VALUE"""),1.0)</f>
        <v>1</v>
      </c>
      <c r="D2234" s="6">
        <f>IFERROR(__xludf.DUMMYFUNCTION("""COMPUTED_VALUE"""),45704.0)</f>
        <v>45704</v>
      </c>
      <c r="E2234" s="7" t="str">
        <f>IFERROR(__xludf.DUMMYFUNCTION("""COMPUTED_VALUE"""),"FRANQUIA_D&amp;G_SP")</f>
        <v>FRANQUIA_D&amp;G_SP</v>
      </c>
      <c r="F2234" s="7" t="str">
        <f>IFERROR(__xludf.DUMMYFUNCTION("""COMPUTED_VALUE"""),"MOTORCYCLE")</f>
        <v>MOTORCYCLE</v>
      </c>
      <c r="G2234" s="7" t="str">
        <f>IFERROR(__xludf.DUMMYFUNCTION("""COMPUTED_VALUE"""),"SAO PAULO")</f>
        <v>SAO PAULO</v>
      </c>
    </row>
    <row r="2235">
      <c r="A2235" s="6">
        <f>IFERROR(__xludf.DUMMYFUNCTION("""COMPUTED_VALUE"""),45705.0)</f>
        <v>45705</v>
      </c>
      <c r="B2235" s="7" t="str">
        <f>IFERROR(__xludf.DUMMYFUNCTION("""COMPUTED_VALUE"""),"eceb4474-f9e9-4493-ba09-e2c38cc5a9cd")</f>
        <v>eceb4474-f9e9-4493-ba09-e2c38cc5a9cd</v>
      </c>
      <c r="C2235" s="7">
        <f>IFERROR(__xludf.DUMMYFUNCTION("""COMPUTED_VALUE"""),0.0)</f>
        <v>0</v>
      </c>
      <c r="D2235" s="6">
        <f>IFERROR(__xludf.DUMMYFUNCTION("""COMPUTED_VALUE"""),45705.0)</f>
        <v>45705</v>
      </c>
      <c r="E2235" s="7" t="str">
        <f>IFERROR(__xludf.DUMMYFUNCTION("""COMPUTED_VALUE"""),"FRANQUIA_D&amp;G_SP")</f>
        <v>FRANQUIA_D&amp;G_SP</v>
      </c>
      <c r="F2235" s="7" t="str">
        <f>IFERROR(__xludf.DUMMYFUNCTION("""COMPUTED_VALUE"""),"MOTORCYCLE")</f>
        <v>MOTORCYCLE</v>
      </c>
      <c r="G2235" s="7" t="str">
        <f>IFERROR(__xludf.DUMMYFUNCTION("""COMPUTED_VALUE"""),"SAO PAULO")</f>
        <v>SAO PAULO</v>
      </c>
    </row>
    <row r="2236">
      <c r="A2236" s="6">
        <f>IFERROR(__xludf.DUMMYFUNCTION("""COMPUTED_VALUE"""),45705.0)</f>
        <v>45705</v>
      </c>
      <c r="B2236" s="7" t="str">
        <f>IFERROR(__xludf.DUMMYFUNCTION("""COMPUTED_VALUE"""),"99e8a6e8-9cf1-4cf8-945f-9cb314826cdf")</f>
        <v>99e8a6e8-9cf1-4cf8-945f-9cb314826cdf</v>
      </c>
      <c r="C2236" s="7">
        <f>IFERROR(__xludf.DUMMYFUNCTION("""COMPUTED_VALUE"""),392.0)</f>
        <v>392</v>
      </c>
      <c r="D2236" s="6">
        <f>IFERROR(__xludf.DUMMYFUNCTION("""COMPUTED_VALUE"""),45313.0)</f>
        <v>45313</v>
      </c>
      <c r="E2236" s="7" t="str">
        <f>IFERROR(__xludf.DUMMYFUNCTION("""COMPUTED_VALUE"""),"FRANQUIA_D&amp;G_SP")</f>
        <v>FRANQUIA_D&amp;G_SP</v>
      </c>
      <c r="F2236" s="7" t="str">
        <f>IFERROR(__xludf.DUMMYFUNCTION("""COMPUTED_VALUE"""),"MOTORCYCLE")</f>
        <v>MOTORCYCLE</v>
      </c>
      <c r="G2236" s="7" t="str">
        <f>IFERROR(__xludf.DUMMYFUNCTION("""COMPUTED_VALUE"""),"SAO PAULO")</f>
        <v>SAO PAULO</v>
      </c>
    </row>
    <row r="2237">
      <c r="A2237" s="6">
        <f>IFERROR(__xludf.DUMMYFUNCTION("""COMPUTED_VALUE"""),45705.0)</f>
        <v>45705</v>
      </c>
      <c r="B2237" s="7" t="str">
        <f>IFERROR(__xludf.DUMMYFUNCTION("""COMPUTED_VALUE"""),"e9694772-50ea-4992-acc9-197a8fa37553")</f>
        <v>e9694772-50ea-4992-acc9-197a8fa37553</v>
      </c>
      <c r="C2237" s="7">
        <f>IFERROR(__xludf.DUMMYFUNCTION("""COMPUTED_VALUE"""),3.0)</f>
        <v>3</v>
      </c>
      <c r="D2237" s="6">
        <f>IFERROR(__xludf.DUMMYFUNCTION("""COMPUTED_VALUE"""),45702.0)</f>
        <v>45702</v>
      </c>
      <c r="E2237" s="7" t="str">
        <f>IFERROR(__xludf.DUMMYFUNCTION("""COMPUTED_VALUE"""),"FRANQUIA_D&amp;G_SP")</f>
        <v>FRANQUIA_D&amp;G_SP</v>
      </c>
      <c r="F2237" s="7" t="str">
        <f>IFERROR(__xludf.DUMMYFUNCTION("""COMPUTED_VALUE"""),"BICYCLE")</f>
        <v>BICYCLE</v>
      </c>
      <c r="G2237" s="7" t="str">
        <f>IFERROR(__xludf.DUMMYFUNCTION("""COMPUTED_VALUE"""),"SAO PAULO")</f>
        <v>SAO PAULO</v>
      </c>
    </row>
    <row r="2238">
      <c r="A2238" s="6">
        <f>IFERROR(__xludf.DUMMYFUNCTION("""COMPUTED_VALUE"""),45705.0)</f>
        <v>45705</v>
      </c>
      <c r="B2238" s="7" t="str">
        <f>IFERROR(__xludf.DUMMYFUNCTION("""COMPUTED_VALUE"""),"e3466b19-09e4-47ba-a158-c3205090dfa8")</f>
        <v>e3466b19-09e4-47ba-a158-c3205090dfa8</v>
      </c>
      <c r="C2238" s="7">
        <f>IFERROR(__xludf.DUMMYFUNCTION("""COMPUTED_VALUE"""),0.0)</f>
        <v>0</v>
      </c>
      <c r="D2238" s="6">
        <f>IFERROR(__xludf.DUMMYFUNCTION("""COMPUTED_VALUE"""),0.0)</f>
        <v>0</v>
      </c>
      <c r="E2238" s="7" t="str">
        <f>IFERROR(__xludf.DUMMYFUNCTION("""COMPUTED_VALUE"""),"FRANQUIA_D&amp;G_SP")</f>
        <v>FRANQUIA_D&amp;G_SP</v>
      </c>
      <c r="F2238" s="7" t="str">
        <f>IFERROR(__xludf.DUMMYFUNCTION("""COMPUTED_VALUE"""),"MOTORCYCLE")</f>
        <v>MOTORCYCLE</v>
      </c>
      <c r="G2238" s="7" t="str">
        <f>IFERROR(__xludf.DUMMYFUNCTION("""COMPUTED_VALUE"""),"0")</f>
        <v>0</v>
      </c>
    </row>
    <row r="2239">
      <c r="A2239" s="6">
        <f>IFERROR(__xludf.DUMMYFUNCTION("""COMPUTED_VALUE"""),45705.0)</f>
        <v>45705</v>
      </c>
      <c r="B2239" s="7" t="str">
        <f>IFERROR(__xludf.DUMMYFUNCTION("""COMPUTED_VALUE"""),"baae357b-d13c-484e-81bb-3b9ec78ab66e")</f>
        <v>baae357b-d13c-484e-81bb-3b9ec78ab66e</v>
      </c>
      <c r="C2239" s="7">
        <f>IFERROR(__xludf.DUMMYFUNCTION("""COMPUTED_VALUE"""),660.0)</f>
        <v>660</v>
      </c>
      <c r="D2239" s="6">
        <f>IFERROR(__xludf.DUMMYFUNCTION("""COMPUTED_VALUE"""),45045.0)</f>
        <v>45045</v>
      </c>
      <c r="E2239" s="7" t="str">
        <f>IFERROR(__xludf.DUMMYFUNCTION("""COMPUTED_VALUE"""),"FRANQUIA_D&amp;G_SP")</f>
        <v>FRANQUIA_D&amp;G_SP</v>
      </c>
      <c r="F2239" s="7" t="str">
        <f>IFERROR(__xludf.DUMMYFUNCTION("""COMPUTED_VALUE"""),"MOTORCYCLE")</f>
        <v>MOTORCYCLE</v>
      </c>
      <c r="G2239" s="7" t="str">
        <f>IFERROR(__xludf.DUMMYFUNCTION("""COMPUTED_VALUE"""),"SAO PAULO")</f>
        <v>SAO PAULO</v>
      </c>
    </row>
    <row r="2240">
      <c r="A2240" s="6">
        <f>IFERROR(__xludf.DUMMYFUNCTION("""COMPUTED_VALUE"""),45705.0)</f>
        <v>45705</v>
      </c>
      <c r="B2240" s="7" t="str">
        <f>IFERROR(__xludf.DUMMYFUNCTION("""COMPUTED_VALUE"""),"c5cfa10b-cbae-4095-afd6-201897419795")</f>
        <v>c5cfa10b-cbae-4095-afd6-201897419795</v>
      </c>
      <c r="C2240" s="7">
        <f>IFERROR(__xludf.DUMMYFUNCTION("""COMPUTED_VALUE"""),304.0)</f>
        <v>304</v>
      </c>
      <c r="D2240" s="6">
        <f>IFERROR(__xludf.DUMMYFUNCTION("""COMPUTED_VALUE"""),45401.0)</f>
        <v>45401</v>
      </c>
      <c r="E2240" s="7" t="str">
        <f>IFERROR(__xludf.DUMMYFUNCTION("""COMPUTED_VALUE"""),"FRANQUIA_D&amp;G_SP")</f>
        <v>FRANQUIA_D&amp;G_SP</v>
      </c>
      <c r="F2240" s="7" t="str">
        <f>IFERROR(__xludf.DUMMYFUNCTION("""COMPUTED_VALUE"""),"BICYCLE")</f>
        <v>BICYCLE</v>
      </c>
      <c r="G2240" s="7" t="str">
        <f>IFERROR(__xludf.DUMMYFUNCTION("""COMPUTED_VALUE"""),"SAO PAULO")</f>
        <v>SAO PAULO</v>
      </c>
    </row>
    <row r="2241">
      <c r="A2241" s="6">
        <f>IFERROR(__xludf.DUMMYFUNCTION("""COMPUTED_VALUE"""),45705.0)</f>
        <v>45705</v>
      </c>
      <c r="B2241" s="7" t="str">
        <f>IFERROR(__xludf.DUMMYFUNCTION("""COMPUTED_VALUE"""),"4a376eb3-7f64-4c5d-a3f9-1e40f1fa941e")</f>
        <v>4a376eb3-7f64-4c5d-a3f9-1e40f1fa941e</v>
      </c>
      <c r="C2241" s="7">
        <f>IFERROR(__xludf.DUMMYFUNCTION("""COMPUTED_VALUE"""),0.0)</f>
        <v>0</v>
      </c>
      <c r="D2241" s="6">
        <f>IFERROR(__xludf.DUMMYFUNCTION("""COMPUTED_VALUE"""),45705.0)</f>
        <v>45705</v>
      </c>
      <c r="E2241" s="7" t="str">
        <f>IFERROR(__xludf.DUMMYFUNCTION("""COMPUTED_VALUE"""),"FRANQUIA_D&amp;G_SP")</f>
        <v>FRANQUIA_D&amp;G_SP</v>
      </c>
      <c r="F2241" s="7" t="str">
        <f>IFERROR(__xludf.DUMMYFUNCTION("""COMPUTED_VALUE"""),"MOTORCYCLE")</f>
        <v>MOTORCYCLE</v>
      </c>
      <c r="G2241" s="7" t="str">
        <f>IFERROR(__xludf.DUMMYFUNCTION("""COMPUTED_VALUE"""),"SAO PAULO")</f>
        <v>SAO PAULO</v>
      </c>
    </row>
    <row r="2242">
      <c r="A2242" s="6">
        <f>IFERROR(__xludf.DUMMYFUNCTION("""COMPUTED_VALUE"""),45705.0)</f>
        <v>45705</v>
      </c>
      <c r="B2242" s="7" t="str">
        <f>IFERROR(__xludf.DUMMYFUNCTION("""COMPUTED_VALUE"""),"53bb71d9-6292-4e9d-a22f-dbf3cd06282e")</f>
        <v>53bb71d9-6292-4e9d-a22f-dbf3cd06282e</v>
      </c>
      <c r="C2242" s="7">
        <f>IFERROR(__xludf.DUMMYFUNCTION("""COMPUTED_VALUE"""),0.0)</f>
        <v>0</v>
      </c>
      <c r="D2242" s="6">
        <f>IFERROR(__xludf.DUMMYFUNCTION("""COMPUTED_VALUE"""),45705.0)</f>
        <v>45705</v>
      </c>
      <c r="E2242" s="7" t="str">
        <f>IFERROR(__xludf.DUMMYFUNCTION("""COMPUTED_VALUE"""),"FRANQUIA_D&amp;G_SP")</f>
        <v>FRANQUIA_D&amp;G_SP</v>
      </c>
      <c r="F2242" s="7" t="str">
        <f>IFERROR(__xludf.DUMMYFUNCTION("""COMPUTED_VALUE"""),"MOTORCYCLE")</f>
        <v>MOTORCYCLE</v>
      </c>
      <c r="G2242" s="7" t="str">
        <f>IFERROR(__xludf.DUMMYFUNCTION("""COMPUTED_VALUE"""),"SAO PAULO")</f>
        <v>SAO PAULO</v>
      </c>
    </row>
    <row r="2243">
      <c r="A2243" s="6">
        <f>IFERROR(__xludf.DUMMYFUNCTION("""COMPUTED_VALUE"""),45705.0)</f>
        <v>45705</v>
      </c>
      <c r="B2243" s="7" t="str">
        <f>IFERROR(__xludf.DUMMYFUNCTION("""COMPUTED_VALUE"""),"7f0c39fb-bd20-494d-9ca4-8b66cdb57867")</f>
        <v>7f0c39fb-bd20-494d-9ca4-8b66cdb57867</v>
      </c>
      <c r="C2243" s="7">
        <f>IFERROR(__xludf.DUMMYFUNCTION("""COMPUTED_VALUE"""),0.0)</f>
        <v>0</v>
      </c>
      <c r="D2243" s="6">
        <f>IFERROR(__xludf.DUMMYFUNCTION("""COMPUTED_VALUE"""),45705.0)</f>
        <v>45705</v>
      </c>
      <c r="E2243" s="7" t="str">
        <f>IFERROR(__xludf.DUMMYFUNCTION("""COMPUTED_VALUE"""),"FRANQUIA_D&amp;G_SP")</f>
        <v>FRANQUIA_D&amp;G_SP</v>
      </c>
      <c r="F2243" s="7" t="str">
        <f>IFERROR(__xludf.DUMMYFUNCTION("""COMPUTED_VALUE"""),"MOTORCYCLE")</f>
        <v>MOTORCYCLE</v>
      </c>
      <c r="G2243" s="7" t="str">
        <f>IFERROR(__xludf.DUMMYFUNCTION("""COMPUTED_VALUE"""),"SAO PAULO")</f>
        <v>SAO PAULO</v>
      </c>
    </row>
    <row r="2244">
      <c r="A2244" s="6">
        <f>IFERROR(__xludf.DUMMYFUNCTION("""COMPUTED_VALUE"""),45705.0)</f>
        <v>45705</v>
      </c>
      <c r="B2244" s="7" t="str">
        <f>IFERROR(__xludf.DUMMYFUNCTION("""COMPUTED_VALUE"""),"43179d43-96b5-4af6-ab89-e618ec08d4a9")</f>
        <v>43179d43-96b5-4af6-ab89-e618ec08d4a9</v>
      </c>
      <c r="C2244" s="7">
        <f>IFERROR(__xludf.DUMMYFUNCTION("""COMPUTED_VALUE"""),0.0)</f>
        <v>0</v>
      </c>
      <c r="D2244" s="6">
        <f>IFERROR(__xludf.DUMMYFUNCTION("""COMPUTED_VALUE"""),45705.0)</f>
        <v>45705</v>
      </c>
      <c r="E2244" s="7" t="str">
        <f>IFERROR(__xludf.DUMMYFUNCTION("""COMPUTED_VALUE"""),"FRANQUIA_D&amp;G_SP")</f>
        <v>FRANQUIA_D&amp;G_SP</v>
      </c>
      <c r="F2244" s="7" t="str">
        <f>IFERROR(__xludf.DUMMYFUNCTION("""COMPUTED_VALUE"""),"BICYCLE")</f>
        <v>BICYCLE</v>
      </c>
      <c r="G2244" s="7" t="str">
        <f>IFERROR(__xludf.DUMMYFUNCTION("""COMPUTED_VALUE"""),"SAO PAULO")</f>
        <v>SAO PAULO</v>
      </c>
    </row>
    <row r="2245">
      <c r="A2245" s="6">
        <f>IFERROR(__xludf.DUMMYFUNCTION("""COMPUTED_VALUE"""),45705.0)</f>
        <v>45705</v>
      </c>
      <c r="B2245" s="7" t="str">
        <f>IFERROR(__xludf.DUMMYFUNCTION("""COMPUTED_VALUE"""),"f98b648c-eb7c-41a9-9d5e-5c6b91157fe5")</f>
        <v>f98b648c-eb7c-41a9-9d5e-5c6b91157fe5</v>
      </c>
      <c r="C2245" s="7">
        <f>IFERROR(__xludf.DUMMYFUNCTION("""COMPUTED_VALUE"""),2.0)</f>
        <v>2</v>
      </c>
      <c r="D2245" s="6">
        <f>IFERROR(__xludf.DUMMYFUNCTION("""COMPUTED_VALUE"""),45703.0)</f>
        <v>45703</v>
      </c>
      <c r="E2245" s="7" t="str">
        <f>IFERROR(__xludf.DUMMYFUNCTION("""COMPUTED_VALUE"""),"FRANQUIA_D&amp;G_SP")</f>
        <v>FRANQUIA_D&amp;G_SP</v>
      </c>
      <c r="F2245" s="7" t="str">
        <f>IFERROR(__xludf.DUMMYFUNCTION("""COMPUTED_VALUE"""),"EMOTORCYCLE")</f>
        <v>EMOTORCYCLE</v>
      </c>
      <c r="G2245" s="7" t="str">
        <f>IFERROR(__xludf.DUMMYFUNCTION("""COMPUTED_VALUE"""),"SAO PAULO")</f>
        <v>SAO PAULO</v>
      </c>
    </row>
    <row r="2246">
      <c r="A2246" s="6">
        <f>IFERROR(__xludf.DUMMYFUNCTION("""COMPUTED_VALUE"""),45705.0)</f>
        <v>45705</v>
      </c>
      <c r="B2246" s="7" t="str">
        <f>IFERROR(__xludf.DUMMYFUNCTION("""COMPUTED_VALUE"""),"4959b2a1-07dc-4213-a66b-919e2f9895e1")</f>
        <v>4959b2a1-07dc-4213-a66b-919e2f9895e1</v>
      </c>
      <c r="C2246" s="7">
        <f>IFERROR(__xludf.DUMMYFUNCTION("""COMPUTED_VALUE"""),86.0)</f>
        <v>86</v>
      </c>
      <c r="D2246" s="6">
        <f>IFERROR(__xludf.DUMMYFUNCTION("""COMPUTED_VALUE"""),45619.0)</f>
        <v>45619</v>
      </c>
      <c r="E2246" s="7" t="str">
        <f>IFERROR(__xludf.DUMMYFUNCTION("""COMPUTED_VALUE"""),"FRANQUIA_D&amp;G_SP")</f>
        <v>FRANQUIA_D&amp;G_SP</v>
      </c>
      <c r="F2246" s="7" t="str">
        <f>IFERROR(__xludf.DUMMYFUNCTION("""COMPUTED_VALUE"""),"MOTORCYCLE")</f>
        <v>MOTORCYCLE</v>
      </c>
      <c r="G2246" s="7" t="str">
        <f>IFERROR(__xludf.DUMMYFUNCTION("""COMPUTED_VALUE"""),"SAO PAULO")</f>
        <v>SAO PAULO</v>
      </c>
    </row>
    <row r="2247">
      <c r="A2247" s="6">
        <f>IFERROR(__xludf.DUMMYFUNCTION("""COMPUTED_VALUE"""),45705.0)</f>
        <v>45705</v>
      </c>
      <c r="B2247" s="7" t="str">
        <f>IFERROR(__xludf.DUMMYFUNCTION("""COMPUTED_VALUE"""),"c968f08e-d5bb-475a-8bed-3d41a6ecabfc")</f>
        <v>c968f08e-d5bb-475a-8bed-3d41a6ecabfc</v>
      </c>
      <c r="C2247" s="7">
        <f>IFERROR(__xludf.DUMMYFUNCTION("""COMPUTED_VALUE"""),0.0)</f>
        <v>0</v>
      </c>
      <c r="D2247" s="6">
        <f>IFERROR(__xludf.DUMMYFUNCTION("""COMPUTED_VALUE"""),45705.0)</f>
        <v>45705</v>
      </c>
      <c r="E2247" s="7" t="str">
        <f>IFERROR(__xludf.DUMMYFUNCTION("""COMPUTED_VALUE"""),"FRANQUIA_D&amp;G_SP")</f>
        <v>FRANQUIA_D&amp;G_SP</v>
      </c>
      <c r="F2247" s="7" t="str">
        <f>IFERROR(__xludf.DUMMYFUNCTION("""COMPUTED_VALUE"""),"BICYCLE")</f>
        <v>BICYCLE</v>
      </c>
      <c r="G2247" s="7" t="str">
        <f>IFERROR(__xludf.DUMMYFUNCTION("""COMPUTED_VALUE"""),"SAO PAULO")</f>
        <v>SAO PAULO</v>
      </c>
    </row>
    <row r="2248">
      <c r="A2248" s="6">
        <f>IFERROR(__xludf.DUMMYFUNCTION("""COMPUTED_VALUE"""),45705.0)</f>
        <v>45705</v>
      </c>
      <c r="B2248" s="7" t="str">
        <f>IFERROR(__xludf.DUMMYFUNCTION("""COMPUTED_VALUE"""),"d74a86bf-5ff5-4592-a321-cc85dd5d8ba5")</f>
        <v>d74a86bf-5ff5-4592-a321-cc85dd5d8ba5</v>
      </c>
      <c r="C2248" s="7">
        <f>IFERROR(__xludf.DUMMYFUNCTION("""COMPUTED_VALUE"""),34.0)</f>
        <v>34</v>
      </c>
      <c r="D2248" s="6">
        <f>IFERROR(__xludf.DUMMYFUNCTION("""COMPUTED_VALUE"""),45671.0)</f>
        <v>45671</v>
      </c>
      <c r="E2248" s="7" t="str">
        <f>IFERROR(__xludf.DUMMYFUNCTION("""COMPUTED_VALUE"""),"FRANQUIA_D&amp;G_SP")</f>
        <v>FRANQUIA_D&amp;G_SP</v>
      </c>
      <c r="F2248" s="7" t="str">
        <f>IFERROR(__xludf.DUMMYFUNCTION("""COMPUTED_VALUE"""),"MOTORCYCLE")</f>
        <v>MOTORCYCLE</v>
      </c>
      <c r="G2248" s="7" t="str">
        <f>IFERROR(__xludf.DUMMYFUNCTION("""COMPUTED_VALUE"""),"SAO PAULO")</f>
        <v>SAO PAULO</v>
      </c>
    </row>
    <row r="2249">
      <c r="A2249" s="6">
        <f>IFERROR(__xludf.DUMMYFUNCTION("""COMPUTED_VALUE"""),45705.0)</f>
        <v>45705</v>
      </c>
      <c r="B2249" s="7" t="str">
        <f>IFERROR(__xludf.DUMMYFUNCTION("""COMPUTED_VALUE"""),"bb84ecc2-e33d-49bd-a561-9bfdf5d0cf7d")</f>
        <v>bb84ecc2-e33d-49bd-a561-9bfdf5d0cf7d</v>
      </c>
      <c r="C2249" s="7">
        <f>IFERROR(__xludf.DUMMYFUNCTION("""COMPUTED_VALUE"""),100.0)</f>
        <v>100</v>
      </c>
      <c r="D2249" s="6">
        <f>IFERROR(__xludf.DUMMYFUNCTION("""COMPUTED_VALUE"""),45605.0)</f>
        <v>45605</v>
      </c>
      <c r="E2249" s="7" t="str">
        <f>IFERROR(__xludf.DUMMYFUNCTION("""COMPUTED_VALUE"""),"FRANQUIA_D&amp;G_SP")</f>
        <v>FRANQUIA_D&amp;G_SP</v>
      </c>
      <c r="F2249" s="7" t="str">
        <f>IFERROR(__xludf.DUMMYFUNCTION("""COMPUTED_VALUE"""),"BICYCLE")</f>
        <v>BICYCLE</v>
      </c>
      <c r="G2249" s="7" t="str">
        <f>IFERROR(__xludf.DUMMYFUNCTION("""COMPUTED_VALUE"""),"ABC")</f>
        <v>ABC</v>
      </c>
    </row>
    <row r="2250">
      <c r="A2250" s="6">
        <f>IFERROR(__xludf.DUMMYFUNCTION("""COMPUTED_VALUE"""),45705.0)</f>
        <v>45705</v>
      </c>
      <c r="B2250" s="7" t="str">
        <f>IFERROR(__xludf.DUMMYFUNCTION("""COMPUTED_VALUE"""),"231a14c9-fa6d-4207-ac97-8e043699285b")</f>
        <v>231a14c9-fa6d-4207-ac97-8e043699285b</v>
      </c>
      <c r="C2250" s="7">
        <f>IFERROR(__xludf.DUMMYFUNCTION("""COMPUTED_VALUE"""),0.0)</f>
        <v>0</v>
      </c>
      <c r="D2250" s="6">
        <f>IFERROR(__xludf.DUMMYFUNCTION("""COMPUTED_VALUE"""),45705.0)</f>
        <v>45705</v>
      </c>
      <c r="E2250" s="7" t="str">
        <f>IFERROR(__xludf.DUMMYFUNCTION("""COMPUTED_VALUE"""),"FRANQUIA_D&amp;G_SP")</f>
        <v>FRANQUIA_D&amp;G_SP</v>
      </c>
      <c r="F2250" s="7" t="str">
        <f>IFERROR(__xludf.DUMMYFUNCTION("""COMPUTED_VALUE"""),"BICYCLE")</f>
        <v>BICYCLE</v>
      </c>
      <c r="G2250" s="7" t="str">
        <f>IFERROR(__xludf.DUMMYFUNCTION("""COMPUTED_VALUE"""),"SAO PAULO")</f>
        <v>SAO PAULO</v>
      </c>
    </row>
    <row r="2251">
      <c r="A2251" s="6">
        <f>IFERROR(__xludf.DUMMYFUNCTION("""COMPUTED_VALUE"""),45705.0)</f>
        <v>45705</v>
      </c>
      <c r="B2251" s="7" t="str">
        <f>IFERROR(__xludf.DUMMYFUNCTION("""COMPUTED_VALUE"""),"9528fe96-ca82-492d-b997-843f275419eb")</f>
        <v>9528fe96-ca82-492d-b997-843f275419eb</v>
      </c>
      <c r="C2251" s="7">
        <f>IFERROR(__xludf.DUMMYFUNCTION("""COMPUTED_VALUE"""),0.0)</f>
        <v>0</v>
      </c>
      <c r="D2251" s="6">
        <f>IFERROR(__xludf.DUMMYFUNCTION("""COMPUTED_VALUE"""),45705.0)</f>
        <v>45705</v>
      </c>
      <c r="E2251" s="7" t="str">
        <f>IFERROR(__xludf.DUMMYFUNCTION("""COMPUTED_VALUE"""),"FRANQUIA_D&amp;G_SP")</f>
        <v>FRANQUIA_D&amp;G_SP</v>
      </c>
      <c r="F2251" s="7" t="str">
        <f>IFERROR(__xludf.DUMMYFUNCTION("""COMPUTED_VALUE"""),"EBIKE")</f>
        <v>EBIKE</v>
      </c>
      <c r="G2251" s="7" t="str">
        <f>IFERROR(__xludf.DUMMYFUNCTION("""COMPUTED_VALUE"""),"SAO PAULO")</f>
        <v>SAO PAULO</v>
      </c>
    </row>
    <row r="2252">
      <c r="A2252" s="6">
        <f>IFERROR(__xludf.DUMMYFUNCTION("""COMPUTED_VALUE"""),45705.0)</f>
        <v>45705</v>
      </c>
      <c r="B2252" s="7" t="str">
        <f>IFERROR(__xludf.DUMMYFUNCTION("""COMPUTED_VALUE"""),"feef82cf-6536-4e44-a846-4703eaf82f5b")</f>
        <v>feef82cf-6536-4e44-a846-4703eaf82f5b</v>
      </c>
      <c r="C2252" s="7">
        <f>IFERROR(__xludf.DUMMYFUNCTION("""COMPUTED_VALUE"""),0.0)</f>
        <v>0</v>
      </c>
      <c r="D2252" s="6">
        <f>IFERROR(__xludf.DUMMYFUNCTION("""COMPUTED_VALUE"""),45705.0)</f>
        <v>45705</v>
      </c>
      <c r="E2252" s="7" t="str">
        <f>IFERROR(__xludf.DUMMYFUNCTION("""COMPUTED_VALUE"""),"FRANQUIA_D&amp;G_SP")</f>
        <v>FRANQUIA_D&amp;G_SP</v>
      </c>
      <c r="F2252" s="7" t="str">
        <f>IFERROR(__xludf.DUMMYFUNCTION("""COMPUTED_VALUE"""),"MOTORCYCLE")</f>
        <v>MOTORCYCLE</v>
      </c>
      <c r="G2252" s="7" t="str">
        <f>IFERROR(__xludf.DUMMYFUNCTION("""COMPUTED_VALUE"""),"SAO PAULO")</f>
        <v>SAO PAULO</v>
      </c>
    </row>
    <row r="2253">
      <c r="A2253" s="6">
        <f>IFERROR(__xludf.DUMMYFUNCTION("""COMPUTED_VALUE"""),45705.0)</f>
        <v>45705</v>
      </c>
      <c r="B2253" s="7" t="str">
        <f>IFERROR(__xludf.DUMMYFUNCTION("""COMPUTED_VALUE"""),"12e58ac0-3ab8-460f-b237-136c9c05ff36")</f>
        <v>12e58ac0-3ab8-460f-b237-136c9c05ff36</v>
      </c>
      <c r="C2253" s="7">
        <f>IFERROR(__xludf.DUMMYFUNCTION("""COMPUTED_VALUE"""),4.0)</f>
        <v>4</v>
      </c>
      <c r="D2253" s="6">
        <f>IFERROR(__xludf.DUMMYFUNCTION("""COMPUTED_VALUE"""),45701.0)</f>
        <v>45701</v>
      </c>
      <c r="E2253" s="7" t="str">
        <f>IFERROR(__xludf.DUMMYFUNCTION("""COMPUTED_VALUE"""),"FRANQUIA_D&amp;G_SP")</f>
        <v>FRANQUIA_D&amp;G_SP</v>
      </c>
      <c r="F2253" s="7" t="str">
        <f>IFERROR(__xludf.DUMMYFUNCTION("""COMPUTED_VALUE"""),"MOTORCYCLE")</f>
        <v>MOTORCYCLE</v>
      </c>
      <c r="G2253" s="7" t="str">
        <f>IFERROR(__xludf.DUMMYFUNCTION("""COMPUTED_VALUE"""),"SAO PAULO")</f>
        <v>SAO PAULO</v>
      </c>
    </row>
    <row r="2254">
      <c r="A2254" s="6">
        <f>IFERROR(__xludf.DUMMYFUNCTION("""COMPUTED_VALUE"""),45705.0)</f>
        <v>45705</v>
      </c>
      <c r="B2254" s="7" t="str">
        <f>IFERROR(__xludf.DUMMYFUNCTION("""COMPUTED_VALUE"""),"15a2a01c-167b-44fd-a992-9f1ff2cb5ce6")</f>
        <v>15a2a01c-167b-44fd-a992-9f1ff2cb5ce6</v>
      </c>
      <c r="C2254" s="7">
        <f>IFERROR(__xludf.DUMMYFUNCTION("""COMPUTED_VALUE"""),0.0)</f>
        <v>0</v>
      </c>
      <c r="D2254" s="6">
        <f>IFERROR(__xludf.DUMMYFUNCTION("""COMPUTED_VALUE"""),45705.0)</f>
        <v>45705</v>
      </c>
      <c r="E2254" s="7" t="str">
        <f>IFERROR(__xludf.DUMMYFUNCTION("""COMPUTED_VALUE"""),"FRANQUIA_D&amp;G_SP")</f>
        <v>FRANQUIA_D&amp;G_SP</v>
      </c>
      <c r="F2254" s="7" t="str">
        <f>IFERROR(__xludf.DUMMYFUNCTION("""COMPUTED_VALUE"""),"MOTORCYCLE")</f>
        <v>MOTORCYCLE</v>
      </c>
      <c r="G2254" s="7" t="str">
        <f>IFERROR(__xludf.DUMMYFUNCTION("""COMPUTED_VALUE"""),"SAO PAULO")</f>
        <v>SAO PAULO</v>
      </c>
    </row>
    <row r="2255">
      <c r="A2255" s="6">
        <f>IFERROR(__xludf.DUMMYFUNCTION("""COMPUTED_VALUE"""),45705.0)</f>
        <v>45705</v>
      </c>
      <c r="B2255" s="7" t="str">
        <f>IFERROR(__xludf.DUMMYFUNCTION("""COMPUTED_VALUE"""),"155091d8-5b20-4129-a7b0-95c154b7c9a3")</f>
        <v>155091d8-5b20-4129-a7b0-95c154b7c9a3</v>
      </c>
      <c r="C2255" s="7">
        <f>IFERROR(__xludf.DUMMYFUNCTION("""COMPUTED_VALUE"""),0.0)</f>
        <v>0</v>
      </c>
      <c r="D2255" s="6">
        <f>IFERROR(__xludf.DUMMYFUNCTION("""COMPUTED_VALUE"""),45705.0)</f>
        <v>45705</v>
      </c>
      <c r="E2255" s="7" t="str">
        <f>IFERROR(__xludf.DUMMYFUNCTION("""COMPUTED_VALUE"""),"FRANQUIA_D&amp;G_SP")</f>
        <v>FRANQUIA_D&amp;G_SP</v>
      </c>
      <c r="F2255" s="7" t="str">
        <f>IFERROR(__xludf.DUMMYFUNCTION("""COMPUTED_VALUE"""),"MOTORCYCLE")</f>
        <v>MOTORCYCLE</v>
      </c>
      <c r="G2255" s="7" t="str">
        <f>IFERROR(__xludf.DUMMYFUNCTION("""COMPUTED_VALUE"""),"SAO PAULO")</f>
        <v>SAO PAULO</v>
      </c>
    </row>
    <row r="2256">
      <c r="A2256" s="6">
        <f>IFERROR(__xludf.DUMMYFUNCTION("""COMPUTED_VALUE"""),45705.0)</f>
        <v>45705</v>
      </c>
      <c r="B2256" s="7" t="str">
        <f>IFERROR(__xludf.DUMMYFUNCTION("""COMPUTED_VALUE"""),"c92a0cdb-60a0-4cf7-9de9-274a7c6a2c6b")</f>
        <v>c92a0cdb-60a0-4cf7-9de9-274a7c6a2c6b</v>
      </c>
      <c r="C2256" s="7">
        <f>IFERROR(__xludf.DUMMYFUNCTION("""COMPUTED_VALUE"""),3.0)</f>
        <v>3</v>
      </c>
      <c r="D2256" s="6">
        <f>IFERROR(__xludf.DUMMYFUNCTION("""COMPUTED_VALUE"""),45702.0)</f>
        <v>45702</v>
      </c>
      <c r="E2256" s="7" t="str">
        <f>IFERROR(__xludf.DUMMYFUNCTION("""COMPUTED_VALUE"""),"FRANQUIA_D&amp;G_SP")</f>
        <v>FRANQUIA_D&amp;G_SP</v>
      </c>
      <c r="F2256" s="7" t="str">
        <f>IFERROR(__xludf.DUMMYFUNCTION("""COMPUTED_VALUE"""),"MOTORCYCLE")</f>
        <v>MOTORCYCLE</v>
      </c>
      <c r="G2256" s="7" t="str">
        <f>IFERROR(__xludf.DUMMYFUNCTION("""COMPUTED_VALUE"""),"SAO PAULO")</f>
        <v>SAO PAULO</v>
      </c>
    </row>
    <row r="2257">
      <c r="A2257" s="6">
        <f>IFERROR(__xludf.DUMMYFUNCTION("""COMPUTED_VALUE"""),45705.0)</f>
        <v>45705</v>
      </c>
      <c r="B2257" s="7" t="str">
        <f>IFERROR(__xludf.DUMMYFUNCTION("""COMPUTED_VALUE"""),"93863cce-998b-44ca-99fd-9ec1c6bf5226")</f>
        <v>93863cce-998b-44ca-99fd-9ec1c6bf5226</v>
      </c>
      <c r="C2257" s="7">
        <f>IFERROR(__xludf.DUMMYFUNCTION("""COMPUTED_VALUE"""),120.0)</f>
        <v>120</v>
      </c>
      <c r="D2257" s="6">
        <f>IFERROR(__xludf.DUMMYFUNCTION("""COMPUTED_VALUE"""),45585.0)</f>
        <v>45585</v>
      </c>
      <c r="E2257" s="7" t="str">
        <f>IFERROR(__xludf.DUMMYFUNCTION("""COMPUTED_VALUE"""),"FRANQUIA_D&amp;G_SP")</f>
        <v>FRANQUIA_D&amp;G_SP</v>
      </c>
      <c r="F2257" s="7" t="str">
        <f>IFERROR(__xludf.DUMMYFUNCTION("""COMPUTED_VALUE"""),"MOTORCYCLE")</f>
        <v>MOTORCYCLE</v>
      </c>
      <c r="G2257" s="7" t="str">
        <f>IFERROR(__xludf.DUMMYFUNCTION("""COMPUTED_VALUE"""),"SUZANO")</f>
        <v>SUZANO</v>
      </c>
    </row>
    <row r="2258">
      <c r="A2258" s="6">
        <f>IFERROR(__xludf.DUMMYFUNCTION("""COMPUTED_VALUE"""),45705.0)</f>
        <v>45705</v>
      </c>
      <c r="B2258" s="7" t="str">
        <f>IFERROR(__xludf.DUMMYFUNCTION("""COMPUTED_VALUE"""),"3a462d30-e6c6-4b6c-a28a-694fa9ff21a3")</f>
        <v>3a462d30-e6c6-4b6c-a28a-694fa9ff21a3</v>
      </c>
      <c r="C2258" s="7">
        <f>IFERROR(__xludf.DUMMYFUNCTION("""COMPUTED_VALUE"""),100.0)</f>
        <v>100</v>
      </c>
      <c r="D2258" s="6">
        <f>IFERROR(__xludf.DUMMYFUNCTION("""COMPUTED_VALUE"""),45605.0)</f>
        <v>45605</v>
      </c>
      <c r="E2258" s="7" t="str">
        <f>IFERROR(__xludf.DUMMYFUNCTION("""COMPUTED_VALUE"""),"FRANQUIA_D&amp;G_SP")</f>
        <v>FRANQUIA_D&amp;G_SP</v>
      </c>
      <c r="F2258" s="7" t="str">
        <f>IFERROR(__xludf.DUMMYFUNCTION("""COMPUTED_VALUE"""),"MOTORCYCLE")</f>
        <v>MOTORCYCLE</v>
      </c>
      <c r="G2258" s="7" t="str">
        <f>IFERROR(__xludf.DUMMYFUNCTION("""COMPUTED_VALUE"""),"SAO PAULO")</f>
        <v>SAO PAULO</v>
      </c>
    </row>
    <row r="2259">
      <c r="A2259" s="6">
        <f>IFERROR(__xludf.DUMMYFUNCTION("""COMPUTED_VALUE"""),45705.0)</f>
        <v>45705</v>
      </c>
      <c r="B2259" s="7" t="str">
        <f>IFERROR(__xludf.DUMMYFUNCTION("""COMPUTED_VALUE"""),"34bea6c3-9f5f-48a6-b7cf-a87cffb25a87")</f>
        <v>34bea6c3-9f5f-48a6-b7cf-a87cffb25a87</v>
      </c>
      <c r="C2259" s="7">
        <f>IFERROR(__xludf.DUMMYFUNCTION("""COMPUTED_VALUE"""),0.0)</f>
        <v>0</v>
      </c>
      <c r="D2259" s="6">
        <f>IFERROR(__xludf.DUMMYFUNCTION("""COMPUTED_VALUE"""),45705.0)</f>
        <v>45705</v>
      </c>
      <c r="E2259" s="7" t="str">
        <f>IFERROR(__xludf.DUMMYFUNCTION("""COMPUTED_VALUE"""),"FRANQUIA_D&amp;G_SP")</f>
        <v>FRANQUIA_D&amp;G_SP</v>
      </c>
      <c r="F2259" s="7" t="str">
        <f>IFERROR(__xludf.DUMMYFUNCTION("""COMPUTED_VALUE"""),"MOTORCYCLE")</f>
        <v>MOTORCYCLE</v>
      </c>
      <c r="G2259" s="7" t="str">
        <f>IFERROR(__xludf.DUMMYFUNCTION("""COMPUTED_VALUE"""),"SAO PAULO")</f>
        <v>SAO PAULO</v>
      </c>
    </row>
    <row r="2260">
      <c r="A2260" s="6">
        <f>IFERROR(__xludf.DUMMYFUNCTION("""COMPUTED_VALUE"""),45705.0)</f>
        <v>45705</v>
      </c>
      <c r="B2260" s="7" t="str">
        <f>IFERROR(__xludf.DUMMYFUNCTION("""COMPUTED_VALUE"""),"8308dcad-d1aa-46ad-afcc-d15242f29e79")</f>
        <v>8308dcad-d1aa-46ad-afcc-d15242f29e79</v>
      </c>
      <c r="C2260" s="7">
        <f>IFERROR(__xludf.DUMMYFUNCTION("""COMPUTED_VALUE"""),0.0)</f>
        <v>0</v>
      </c>
      <c r="D2260" s="6">
        <f>IFERROR(__xludf.DUMMYFUNCTION("""COMPUTED_VALUE"""),45705.0)</f>
        <v>45705</v>
      </c>
      <c r="E2260" s="7" t="str">
        <f>IFERROR(__xludf.DUMMYFUNCTION("""COMPUTED_VALUE"""),"FRANQUIA_D&amp;G_SP")</f>
        <v>FRANQUIA_D&amp;G_SP</v>
      </c>
      <c r="F2260" s="7" t="str">
        <f>IFERROR(__xludf.DUMMYFUNCTION("""COMPUTED_VALUE"""),"BICYCLE")</f>
        <v>BICYCLE</v>
      </c>
      <c r="G2260" s="7" t="str">
        <f>IFERROR(__xludf.DUMMYFUNCTION("""COMPUTED_VALUE"""),"SAO PAULO")</f>
        <v>SAO PAULO</v>
      </c>
    </row>
    <row r="2261">
      <c r="A2261" s="6">
        <f>IFERROR(__xludf.DUMMYFUNCTION("""COMPUTED_VALUE"""),45705.0)</f>
        <v>45705</v>
      </c>
      <c r="B2261" s="7" t="str">
        <f>IFERROR(__xludf.DUMMYFUNCTION("""COMPUTED_VALUE"""),"219cf8df-7892-48a6-9751-5394ecc6bedd")</f>
        <v>219cf8df-7892-48a6-9751-5394ecc6bedd</v>
      </c>
      <c r="C2261" s="7">
        <f>IFERROR(__xludf.DUMMYFUNCTION("""COMPUTED_VALUE"""),111.0)</f>
        <v>111</v>
      </c>
      <c r="D2261" s="6">
        <f>IFERROR(__xludf.DUMMYFUNCTION("""COMPUTED_VALUE"""),45594.0)</f>
        <v>45594</v>
      </c>
      <c r="E2261" s="7" t="str">
        <f>IFERROR(__xludf.DUMMYFUNCTION("""COMPUTED_VALUE"""),"FRANQUIA_D&amp;G_SP")</f>
        <v>FRANQUIA_D&amp;G_SP</v>
      </c>
      <c r="F2261" s="7" t="str">
        <f>IFERROR(__xludf.DUMMYFUNCTION("""COMPUTED_VALUE"""),"BICYCLE")</f>
        <v>BICYCLE</v>
      </c>
      <c r="G2261" s="7" t="str">
        <f>IFERROR(__xludf.DUMMYFUNCTION("""COMPUTED_VALUE"""),"SAO PAULO")</f>
        <v>SAO PAULO</v>
      </c>
    </row>
    <row r="2262">
      <c r="A2262" s="6">
        <f>IFERROR(__xludf.DUMMYFUNCTION("""COMPUTED_VALUE"""),45705.0)</f>
        <v>45705</v>
      </c>
      <c r="B2262" s="7" t="str">
        <f>IFERROR(__xludf.DUMMYFUNCTION("""COMPUTED_VALUE"""),"c8e6a0eb-2238-44f8-9ff5-9a14f4d55acd")</f>
        <v>c8e6a0eb-2238-44f8-9ff5-9a14f4d55acd</v>
      </c>
      <c r="C2262" s="7">
        <f>IFERROR(__xludf.DUMMYFUNCTION("""COMPUTED_VALUE"""),257.0)</f>
        <v>257</v>
      </c>
      <c r="D2262" s="6">
        <f>IFERROR(__xludf.DUMMYFUNCTION("""COMPUTED_VALUE"""),45448.0)</f>
        <v>45448</v>
      </c>
      <c r="E2262" s="7" t="str">
        <f>IFERROR(__xludf.DUMMYFUNCTION("""COMPUTED_VALUE"""),"FRANQUIA_D&amp;G_SP")</f>
        <v>FRANQUIA_D&amp;G_SP</v>
      </c>
      <c r="F2262" s="7" t="str">
        <f>IFERROR(__xludf.DUMMYFUNCTION("""COMPUTED_VALUE"""),"MOTORCYCLE")</f>
        <v>MOTORCYCLE</v>
      </c>
      <c r="G2262" s="7" t="str">
        <f>IFERROR(__xludf.DUMMYFUNCTION("""COMPUTED_VALUE"""),"SAO PAULO")</f>
        <v>SAO PAULO</v>
      </c>
    </row>
    <row r="2263">
      <c r="A2263" s="6">
        <f>IFERROR(__xludf.DUMMYFUNCTION("""COMPUTED_VALUE"""),45705.0)</f>
        <v>45705</v>
      </c>
      <c r="B2263" s="7" t="str">
        <f>IFERROR(__xludf.DUMMYFUNCTION("""COMPUTED_VALUE"""),"cf40db96-b484-41e7-8b58-21d3f73a5012")</f>
        <v>cf40db96-b484-41e7-8b58-21d3f73a5012</v>
      </c>
      <c r="C2263" s="7">
        <f>IFERROR(__xludf.DUMMYFUNCTION("""COMPUTED_VALUE"""),1.0)</f>
        <v>1</v>
      </c>
      <c r="D2263" s="6">
        <f>IFERROR(__xludf.DUMMYFUNCTION("""COMPUTED_VALUE"""),45704.0)</f>
        <v>45704</v>
      </c>
      <c r="E2263" s="7" t="str">
        <f>IFERROR(__xludf.DUMMYFUNCTION("""COMPUTED_VALUE"""),"FRANQUIA_D&amp;G_SP")</f>
        <v>FRANQUIA_D&amp;G_SP</v>
      </c>
      <c r="F2263" s="7" t="str">
        <f>IFERROR(__xludf.DUMMYFUNCTION("""COMPUTED_VALUE"""),"MOTORCYCLE")</f>
        <v>MOTORCYCLE</v>
      </c>
      <c r="G2263" s="7" t="str">
        <f>IFERROR(__xludf.DUMMYFUNCTION("""COMPUTED_VALUE"""),"SAO PAULO")</f>
        <v>SAO PAULO</v>
      </c>
    </row>
    <row r="2264">
      <c r="A2264" s="6">
        <f>IFERROR(__xludf.DUMMYFUNCTION("""COMPUTED_VALUE"""),45705.0)</f>
        <v>45705</v>
      </c>
      <c r="B2264" s="7" t="str">
        <f>IFERROR(__xludf.DUMMYFUNCTION("""COMPUTED_VALUE"""),"52eafbf4-b61d-49a1-81fd-8b645bdbaeca")</f>
        <v>52eafbf4-b61d-49a1-81fd-8b645bdbaeca</v>
      </c>
      <c r="C2264" s="7">
        <f>IFERROR(__xludf.DUMMYFUNCTION("""COMPUTED_VALUE"""),9.0)</f>
        <v>9</v>
      </c>
      <c r="D2264" s="6">
        <f>IFERROR(__xludf.DUMMYFUNCTION("""COMPUTED_VALUE"""),45696.0)</f>
        <v>45696</v>
      </c>
      <c r="E2264" s="7" t="str">
        <f>IFERROR(__xludf.DUMMYFUNCTION("""COMPUTED_VALUE"""),"FRANQUIA_D&amp;G_SP")</f>
        <v>FRANQUIA_D&amp;G_SP</v>
      </c>
      <c r="F2264" s="7" t="str">
        <f>IFERROR(__xludf.DUMMYFUNCTION("""COMPUTED_VALUE"""),"MOTORCYCLE")</f>
        <v>MOTORCYCLE</v>
      </c>
      <c r="G2264" s="7" t="str">
        <f>IFERROR(__xludf.DUMMYFUNCTION("""COMPUTED_VALUE"""),"SAO PAULO")</f>
        <v>SAO PAULO</v>
      </c>
    </row>
    <row r="2265">
      <c r="A2265" s="6">
        <f>IFERROR(__xludf.DUMMYFUNCTION("""COMPUTED_VALUE"""),45705.0)</f>
        <v>45705</v>
      </c>
      <c r="B2265" s="7" t="str">
        <f>IFERROR(__xludf.DUMMYFUNCTION("""COMPUTED_VALUE"""),"ccc7b375-025d-49a1-94dd-dde68aa39c74")</f>
        <v>ccc7b375-025d-49a1-94dd-dde68aa39c74</v>
      </c>
      <c r="C2265" s="7">
        <f>IFERROR(__xludf.DUMMYFUNCTION("""COMPUTED_VALUE"""),32.0)</f>
        <v>32</v>
      </c>
      <c r="D2265" s="6">
        <f>IFERROR(__xludf.DUMMYFUNCTION("""COMPUTED_VALUE"""),45673.0)</f>
        <v>45673</v>
      </c>
      <c r="E2265" s="7" t="str">
        <f>IFERROR(__xludf.DUMMYFUNCTION("""COMPUTED_VALUE"""),"FRANQUIA_D&amp;G_SP")</f>
        <v>FRANQUIA_D&amp;G_SP</v>
      </c>
      <c r="F2265" s="7" t="str">
        <f>IFERROR(__xludf.DUMMYFUNCTION("""COMPUTED_VALUE"""),"MOTORCYCLE")</f>
        <v>MOTORCYCLE</v>
      </c>
      <c r="G2265" s="7" t="str">
        <f>IFERROR(__xludf.DUMMYFUNCTION("""COMPUTED_VALUE"""),"SAO PAULO")</f>
        <v>SAO PAULO</v>
      </c>
    </row>
    <row r="2266">
      <c r="A2266" s="6">
        <f>IFERROR(__xludf.DUMMYFUNCTION("""COMPUTED_VALUE"""),45705.0)</f>
        <v>45705</v>
      </c>
      <c r="B2266" s="7" t="str">
        <f>IFERROR(__xludf.DUMMYFUNCTION("""COMPUTED_VALUE"""),"156083e5-0959-4887-bae5-99b6c8107c50")</f>
        <v>156083e5-0959-4887-bae5-99b6c8107c50</v>
      </c>
      <c r="C2266" s="7">
        <f>IFERROR(__xludf.DUMMYFUNCTION("""COMPUTED_VALUE"""),0.0)</f>
        <v>0</v>
      </c>
      <c r="D2266" s="6">
        <f>IFERROR(__xludf.DUMMYFUNCTION("""COMPUTED_VALUE"""),45705.0)</f>
        <v>45705</v>
      </c>
      <c r="E2266" s="7" t="str">
        <f>IFERROR(__xludf.DUMMYFUNCTION("""COMPUTED_VALUE"""),"FRANQUIA_D&amp;G_SP")</f>
        <v>FRANQUIA_D&amp;G_SP</v>
      </c>
      <c r="F2266" s="7" t="str">
        <f>IFERROR(__xludf.DUMMYFUNCTION("""COMPUTED_VALUE"""),"BICYCLE")</f>
        <v>BICYCLE</v>
      </c>
      <c r="G2266" s="7" t="str">
        <f>IFERROR(__xludf.DUMMYFUNCTION("""COMPUTED_VALUE"""),"SAO PAULO")</f>
        <v>SAO PAULO</v>
      </c>
    </row>
    <row r="2267">
      <c r="A2267" s="6">
        <f>IFERROR(__xludf.DUMMYFUNCTION("""COMPUTED_VALUE"""),45705.0)</f>
        <v>45705</v>
      </c>
      <c r="B2267" s="7" t="str">
        <f>IFERROR(__xludf.DUMMYFUNCTION("""COMPUTED_VALUE"""),"d7ef7a89-e18f-4013-9445-8d90ac9d1b96")</f>
        <v>d7ef7a89-e18f-4013-9445-8d90ac9d1b96</v>
      </c>
      <c r="C2267" s="7">
        <f>IFERROR(__xludf.DUMMYFUNCTION("""COMPUTED_VALUE"""),31.0)</f>
        <v>31</v>
      </c>
      <c r="D2267" s="6">
        <f>IFERROR(__xludf.DUMMYFUNCTION("""COMPUTED_VALUE"""),45674.0)</f>
        <v>45674</v>
      </c>
      <c r="E2267" s="7" t="str">
        <f>IFERROR(__xludf.DUMMYFUNCTION("""COMPUTED_VALUE"""),"FRANQUIA_D&amp;G_SP")</f>
        <v>FRANQUIA_D&amp;G_SP</v>
      </c>
      <c r="F2267" s="7" t="str">
        <f>IFERROR(__xludf.DUMMYFUNCTION("""COMPUTED_VALUE"""),"MOTORCYCLE")</f>
        <v>MOTORCYCLE</v>
      </c>
      <c r="G2267" s="7" t="str">
        <f>IFERROR(__xludf.DUMMYFUNCTION("""COMPUTED_VALUE"""),"SAO PAULO")</f>
        <v>SAO PAULO</v>
      </c>
    </row>
    <row r="2268">
      <c r="A2268" s="6">
        <f>IFERROR(__xludf.DUMMYFUNCTION("""COMPUTED_VALUE"""),45705.0)</f>
        <v>45705</v>
      </c>
      <c r="B2268" s="7" t="str">
        <f>IFERROR(__xludf.DUMMYFUNCTION("""COMPUTED_VALUE"""),"c91ecfb1-332c-4a99-b343-4c6dfeef1cda")</f>
        <v>c91ecfb1-332c-4a99-b343-4c6dfeef1cda</v>
      </c>
      <c r="C2268" s="7">
        <f>IFERROR(__xludf.DUMMYFUNCTION("""COMPUTED_VALUE"""),286.0)</f>
        <v>286</v>
      </c>
      <c r="D2268" s="6">
        <f>IFERROR(__xludf.DUMMYFUNCTION("""COMPUTED_VALUE"""),45419.0)</f>
        <v>45419</v>
      </c>
      <c r="E2268" s="7" t="str">
        <f>IFERROR(__xludf.DUMMYFUNCTION("""COMPUTED_VALUE"""),"FRANQUIA_D&amp;G_SP")</f>
        <v>FRANQUIA_D&amp;G_SP</v>
      </c>
      <c r="F2268" s="7" t="str">
        <f>IFERROR(__xludf.DUMMYFUNCTION("""COMPUTED_VALUE"""),"MOTORCYCLE")</f>
        <v>MOTORCYCLE</v>
      </c>
      <c r="G2268" s="7" t="str">
        <f>IFERROR(__xludf.DUMMYFUNCTION("""COMPUTED_VALUE"""),"SAO PAULO")</f>
        <v>SAO PAULO</v>
      </c>
    </row>
    <row r="2269">
      <c r="A2269" s="6">
        <f>IFERROR(__xludf.DUMMYFUNCTION("""COMPUTED_VALUE"""),45705.0)</f>
        <v>45705</v>
      </c>
      <c r="B2269" s="7" t="str">
        <f>IFERROR(__xludf.DUMMYFUNCTION("""COMPUTED_VALUE"""),"4c893334-4905-4db4-a07d-35b80f2ab8ee")</f>
        <v>4c893334-4905-4db4-a07d-35b80f2ab8ee</v>
      </c>
      <c r="C2269" s="7">
        <f>IFERROR(__xludf.DUMMYFUNCTION("""COMPUTED_VALUE"""),0.0)</f>
        <v>0</v>
      </c>
      <c r="D2269" s="6">
        <f>IFERROR(__xludf.DUMMYFUNCTION("""COMPUTED_VALUE"""),0.0)</f>
        <v>0</v>
      </c>
      <c r="E2269" s="7" t="str">
        <f>IFERROR(__xludf.DUMMYFUNCTION("""COMPUTED_VALUE"""),"FRANQUIA_D&amp;G_SP")</f>
        <v>FRANQUIA_D&amp;G_SP</v>
      </c>
      <c r="F2269" s="7" t="str">
        <f>IFERROR(__xludf.DUMMYFUNCTION("""COMPUTED_VALUE"""),"MOTORCYCLE")</f>
        <v>MOTORCYCLE</v>
      </c>
      <c r="G2269" s="7" t="str">
        <f>IFERROR(__xludf.DUMMYFUNCTION("""COMPUTED_VALUE"""),"0")</f>
        <v>0</v>
      </c>
    </row>
    <row r="2270">
      <c r="A2270" s="6">
        <f>IFERROR(__xludf.DUMMYFUNCTION("""COMPUTED_VALUE"""),45705.0)</f>
        <v>45705</v>
      </c>
      <c r="B2270" s="7" t="str">
        <f>IFERROR(__xludf.DUMMYFUNCTION("""COMPUTED_VALUE"""),"c08e1897-5730-4f00-b978-b00040da9118")</f>
        <v>c08e1897-5730-4f00-b978-b00040da9118</v>
      </c>
      <c r="C2270" s="7">
        <f>IFERROR(__xludf.DUMMYFUNCTION("""COMPUTED_VALUE"""),21.0)</f>
        <v>21</v>
      </c>
      <c r="D2270" s="6">
        <f>IFERROR(__xludf.DUMMYFUNCTION("""COMPUTED_VALUE"""),45684.0)</f>
        <v>45684</v>
      </c>
      <c r="E2270" s="7" t="str">
        <f>IFERROR(__xludf.DUMMYFUNCTION("""COMPUTED_VALUE"""),"FRANQUIA_D&amp;G_SP")</f>
        <v>FRANQUIA_D&amp;G_SP</v>
      </c>
      <c r="F2270" s="7" t="str">
        <f>IFERROR(__xludf.DUMMYFUNCTION("""COMPUTED_VALUE"""),"BICYCLE")</f>
        <v>BICYCLE</v>
      </c>
      <c r="G2270" s="7" t="str">
        <f>IFERROR(__xludf.DUMMYFUNCTION("""COMPUTED_VALUE"""),"SAO PAULO")</f>
        <v>SAO PAULO</v>
      </c>
    </row>
    <row r="2271">
      <c r="A2271" s="6">
        <f>IFERROR(__xludf.DUMMYFUNCTION("""COMPUTED_VALUE"""),45705.0)</f>
        <v>45705</v>
      </c>
      <c r="B2271" s="7" t="str">
        <f>IFERROR(__xludf.DUMMYFUNCTION("""COMPUTED_VALUE"""),"3ca7bda9-2e69-41c2-9288-772ec59d88f4")</f>
        <v>3ca7bda9-2e69-41c2-9288-772ec59d88f4</v>
      </c>
      <c r="C2271" s="7">
        <f>IFERROR(__xludf.DUMMYFUNCTION("""COMPUTED_VALUE"""),72.0)</f>
        <v>72</v>
      </c>
      <c r="D2271" s="6">
        <f>IFERROR(__xludf.DUMMYFUNCTION("""COMPUTED_VALUE"""),45633.0)</f>
        <v>45633</v>
      </c>
      <c r="E2271" s="7" t="str">
        <f>IFERROR(__xludf.DUMMYFUNCTION("""COMPUTED_VALUE"""),"FRANQUIA_D&amp;G_SP")</f>
        <v>FRANQUIA_D&amp;G_SP</v>
      </c>
      <c r="F2271" s="7" t="str">
        <f>IFERROR(__xludf.DUMMYFUNCTION("""COMPUTED_VALUE"""),"MOTORCYCLE")</f>
        <v>MOTORCYCLE</v>
      </c>
      <c r="G2271" s="7" t="str">
        <f>IFERROR(__xludf.DUMMYFUNCTION("""COMPUTED_VALUE"""),"SAO PAULO")</f>
        <v>SAO PAULO</v>
      </c>
    </row>
    <row r="2272">
      <c r="A2272" s="6">
        <f>IFERROR(__xludf.DUMMYFUNCTION("""COMPUTED_VALUE"""),45705.0)</f>
        <v>45705</v>
      </c>
      <c r="B2272" s="7" t="str">
        <f>IFERROR(__xludf.DUMMYFUNCTION("""COMPUTED_VALUE"""),"865c55e1-fdde-4854-aa20-e253d09581e0")</f>
        <v>865c55e1-fdde-4854-aa20-e253d09581e0</v>
      </c>
      <c r="C2272" s="7">
        <f>IFERROR(__xludf.DUMMYFUNCTION("""COMPUTED_VALUE"""),1.0)</f>
        <v>1</v>
      </c>
      <c r="D2272" s="6">
        <f>IFERROR(__xludf.DUMMYFUNCTION("""COMPUTED_VALUE"""),45704.0)</f>
        <v>45704</v>
      </c>
      <c r="E2272" s="7" t="str">
        <f>IFERROR(__xludf.DUMMYFUNCTION("""COMPUTED_VALUE"""),"FRANQUIA_D&amp;G_SP")</f>
        <v>FRANQUIA_D&amp;G_SP</v>
      </c>
      <c r="F2272" s="7" t="str">
        <f>IFERROR(__xludf.DUMMYFUNCTION("""COMPUTED_VALUE"""),"BICYCLE")</f>
        <v>BICYCLE</v>
      </c>
      <c r="G2272" s="7" t="str">
        <f>IFERROR(__xludf.DUMMYFUNCTION("""COMPUTED_VALUE"""),"SAO PAULO")</f>
        <v>SAO PAULO</v>
      </c>
    </row>
    <row r="2273">
      <c r="A2273" s="6">
        <f>IFERROR(__xludf.DUMMYFUNCTION("""COMPUTED_VALUE"""),45705.0)</f>
        <v>45705</v>
      </c>
      <c r="B2273" s="7" t="str">
        <f>IFERROR(__xludf.DUMMYFUNCTION("""COMPUTED_VALUE"""),"9eca9cd9-b27d-4a9e-aa20-a3e4d7397dcd")</f>
        <v>9eca9cd9-b27d-4a9e-aa20-a3e4d7397dcd</v>
      </c>
      <c r="C2273" s="7">
        <f>IFERROR(__xludf.DUMMYFUNCTION("""COMPUTED_VALUE"""),0.0)</f>
        <v>0</v>
      </c>
      <c r="D2273" s="6">
        <f>IFERROR(__xludf.DUMMYFUNCTION("""COMPUTED_VALUE"""),45705.0)</f>
        <v>45705</v>
      </c>
      <c r="E2273" s="7" t="str">
        <f>IFERROR(__xludf.DUMMYFUNCTION("""COMPUTED_VALUE"""),"FRANQUIA_D&amp;G_SP")</f>
        <v>FRANQUIA_D&amp;G_SP</v>
      </c>
      <c r="F2273" s="7" t="str">
        <f>IFERROR(__xludf.DUMMYFUNCTION("""COMPUTED_VALUE"""),"BICYCLE")</f>
        <v>BICYCLE</v>
      </c>
      <c r="G2273" s="7" t="str">
        <f>IFERROR(__xludf.DUMMYFUNCTION("""COMPUTED_VALUE"""),"SAO PAULO")</f>
        <v>SAO PAULO</v>
      </c>
    </row>
    <row r="2274">
      <c r="A2274" s="6">
        <f>IFERROR(__xludf.DUMMYFUNCTION("""COMPUTED_VALUE"""),45705.0)</f>
        <v>45705</v>
      </c>
      <c r="B2274" s="7" t="str">
        <f>IFERROR(__xludf.DUMMYFUNCTION("""COMPUTED_VALUE"""),"11af59ae-32a1-43f4-b2e0-333bd20942f1")</f>
        <v>11af59ae-32a1-43f4-b2e0-333bd20942f1</v>
      </c>
      <c r="C2274" s="7">
        <f>IFERROR(__xludf.DUMMYFUNCTION("""COMPUTED_VALUE"""),62.0)</f>
        <v>62</v>
      </c>
      <c r="D2274" s="6">
        <f>IFERROR(__xludf.DUMMYFUNCTION("""COMPUTED_VALUE"""),45643.0)</f>
        <v>45643</v>
      </c>
      <c r="E2274" s="7" t="str">
        <f>IFERROR(__xludf.DUMMYFUNCTION("""COMPUTED_VALUE"""),"FRANQUIA_D&amp;G_SP")</f>
        <v>FRANQUIA_D&amp;G_SP</v>
      </c>
      <c r="F2274" s="7" t="str">
        <f>IFERROR(__xludf.DUMMYFUNCTION("""COMPUTED_VALUE"""),"BICYCLE")</f>
        <v>BICYCLE</v>
      </c>
      <c r="G2274" s="7" t="str">
        <f>IFERROR(__xludf.DUMMYFUNCTION("""COMPUTED_VALUE"""),"SAO PAULO")</f>
        <v>SAO PAULO</v>
      </c>
    </row>
    <row r="2275">
      <c r="A2275" s="6">
        <f>IFERROR(__xludf.DUMMYFUNCTION("""COMPUTED_VALUE"""),45705.0)</f>
        <v>45705</v>
      </c>
      <c r="B2275" s="7" t="str">
        <f>IFERROR(__xludf.DUMMYFUNCTION("""COMPUTED_VALUE"""),"68616732-9c12-4fe5-961c-b28d08f5e98f")</f>
        <v>68616732-9c12-4fe5-961c-b28d08f5e98f</v>
      </c>
      <c r="C2275" s="7">
        <f>IFERROR(__xludf.DUMMYFUNCTION("""COMPUTED_VALUE"""),0.0)</f>
        <v>0</v>
      </c>
      <c r="D2275" s="6">
        <f>IFERROR(__xludf.DUMMYFUNCTION("""COMPUTED_VALUE"""),45705.0)</f>
        <v>45705</v>
      </c>
      <c r="E2275" s="7" t="str">
        <f>IFERROR(__xludf.DUMMYFUNCTION("""COMPUTED_VALUE"""),"FRANQUIA_D&amp;G_SP")</f>
        <v>FRANQUIA_D&amp;G_SP</v>
      </c>
      <c r="F2275" s="7" t="str">
        <f>IFERROR(__xludf.DUMMYFUNCTION("""COMPUTED_VALUE"""),"MOTORCYCLE")</f>
        <v>MOTORCYCLE</v>
      </c>
      <c r="G2275" s="7" t="str">
        <f>IFERROR(__xludf.DUMMYFUNCTION("""COMPUTED_VALUE"""),"SAO PAULO")</f>
        <v>SAO PAULO</v>
      </c>
    </row>
    <row r="2276">
      <c r="A2276" s="6">
        <f>IFERROR(__xludf.DUMMYFUNCTION("""COMPUTED_VALUE"""),45705.0)</f>
        <v>45705</v>
      </c>
      <c r="B2276" s="7" t="str">
        <f>IFERROR(__xludf.DUMMYFUNCTION("""COMPUTED_VALUE"""),"c8249db9-6790-4128-b350-f53f72efc2eb")</f>
        <v>c8249db9-6790-4128-b350-f53f72efc2eb</v>
      </c>
      <c r="C2276" s="7">
        <f>IFERROR(__xludf.DUMMYFUNCTION("""COMPUTED_VALUE"""),1.0)</f>
        <v>1</v>
      </c>
      <c r="D2276" s="6">
        <f>IFERROR(__xludf.DUMMYFUNCTION("""COMPUTED_VALUE"""),45704.0)</f>
        <v>45704</v>
      </c>
      <c r="E2276" s="7" t="str">
        <f>IFERROR(__xludf.DUMMYFUNCTION("""COMPUTED_VALUE"""),"FRANQUIA_D&amp;G_SP")</f>
        <v>FRANQUIA_D&amp;G_SP</v>
      </c>
      <c r="F2276" s="7" t="str">
        <f>IFERROR(__xludf.DUMMYFUNCTION("""COMPUTED_VALUE"""),"MOTORCYCLE")</f>
        <v>MOTORCYCLE</v>
      </c>
      <c r="G2276" s="7" t="str">
        <f>IFERROR(__xludf.DUMMYFUNCTION("""COMPUTED_VALUE"""),"ABC")</f>
        <v>ABC</v>
      </c>
    </row>
    <row r="2277">
      <c r="A2277" s="6">
        <f>IFERROR(__xludf.DUMMYFUNCTION("""COMPUTED_VALUE"""),45705.0)</f>
        <v>45705</v>
      </c>
      <c r="B2277" s="7" t="str">
        <f>IFERROR(__xludf.DUMMYFUNCTION("""COMPUTED_VALUE"""),"b3551190-688e-4335-ac0d-b8742c7a1455")</f>
        <v>b3551190-688e-4335-ac0d-b8742c7a1455</v>
      </c>
      <c r="C2277" s="7">
        <f>IFERROR(__xludf.DUMMYFUNCTION("""COMPUTED_VALUE"""),0.0)</f>
        <v>0</v>
      </c>
      <c r="D2277" s="6">
        <f>IFERROR(__xludf.DUMMYFUNCTION("""COMPUTED_VALUE"""),45705.0)</f>
        <v>45705</v>
      </c>
      <c r="E2277" s="7" t="str">
        <f>IFERROR(__xludf.DUMMYFUNCTION("""COMPUTED_VALUE"""),"FRANQUIA_D&amp;G_SP")</f>
        <v>FRANQUIA_D&amp;G_SP</v>
      </c>
      <c r="F2277" s="7" t="str">
        <f>IFERROR(__xludf.DUMMYFUNCTION("""COMPUTED_VALUE"""),"BICYCLE")</f>
        <v>BICYCLE</v>
      </c>
      <c r="G2277" s="7" t="str">
        <f>IFERROR(__xludf.DUMMYFUNCTION("""COMPUTED_VALUE"""),"SAO PAULO")</f>
        <v>SAO PAULO</v>
      </c>
    </row>
    <row r="2278">
      <c r="A2278" s="6">
        <f>IFERROR(__xludf.DUMMYFUNCTION("""COMPUTED_VALUE"""),45705.0)</f>
        <v>45705</v>
      </c>
      <c r="B2278" s="7" t="str">
        <f>IFERROR(__xludf.DUMMYFUNCTION("""COMPUTED_VALUE"""),"2824fffa-36ba-4836-a081-c994548b1463")</f>
        <v>2824fffa-36ba-4836-a081-c994548b1463</v>
      </c>
      <c r="C2278" s="7">
        <f>IFERROR(__xludf.DUMMYFUNCTION("""COMPUTED_VALUE"""),308.0)</f>
        <v>308</v>
      </c>
      <c r="D2278" s="6">
        <f>IFERROR(__xludf.DUMMYFUNCTION("""COMPUTED_VALUE"""),45397.0)</f>
        <v>45397</v>
      </c>
      <c r="E2278" s="7" t="str">
        <f>IFERROR(__xludf.DUMMYFUNCTION("""COMPUTED_VALUE"""),"FRANQUIA_D&amp;G_SP")</f>
        <v>FRANQUIA_D&amp;G_SP</v>
      </c>
      <c r="F2278" s="7" t="str">
        <f>IFERROR(__xludf.DUMMYFUNCTION("""COMPUTED_VALUE"""),"BICYCLE")</f>
        <v>BICYCLE</v>
      </c>
      <c r="G2278" s="7" t="str">
        <f>IFERROR(__xludf.DUMMYFUNCTION("""COMPUTED_VALUE"""),"SAO PAULO")</f>
        <v>SAO PAULO</v>
      </c>
    </row>
    <row r="2279">
      <c r="A2279" s="6">
        <f>IFERROR(__xludf.DUMMYFUNCTION("""COMPUTED_VALUE"""),45705.0)</f>
        <v>45705</v>
      </c>
      <c r="B2279" s="7" t="str">
        <f>IFERROR(__xludf.DUMMYFUNCTION("""COMPUTED_VALUE"""),"fb1e8636-2e42-4b67-927b-a78d7424fd53")</f>
        <v>fb1e8636-2e42-4b67-927b-a78d7424fd53</v>
      </c>
      <c r="C2279" s="7">
        <f>IFERROR(__xludf.DUMMYFUNCTION("""COMPUTED_VALUE"""),0.0)</f>
        <v>0</v>
      </c>
      <c r="D2279" s="6">
        <f>IFERROR(__xludf.DUMMYFUNCTION("""COMPUTED_VALUE"""),45705.0)</f>
        <v>45705</v>
      </c>
      <c r="E2279" s="7" t="str">
        <f>IFERROR(__xludf.DUMMYFUNCTION("""COMPUTED_VALUE"""),"FRANQUIA_D&amp;G_SP")</f>
        <v>FRANQUIA_D&amp;G_SP</v>
      </c>
      <c r="F2279" s="7" t="str">
        <f>IFERROR(__xludf.DUMMYFUNCTION("""COMPUTED_VALUE"""),"BICYCLE")</f>
        <v>BICYCLE</v>
      </c>
      <c r="G2279" s="7" t="str">
        <f>IFERROR(__xludf.DUMMYFUNCTION("""COMPUTED_VALUE"""),"SAO PAULO")</f>
        <v>SAO PAULO</v>
      </c>
    </row>
    <row r="2280">
      <c r="A2280" s="6">
        <f>IFERROR(__xludf.DUMMYFUNCTION("""COMPUTED_VALUE"""),45705.0)</f>
        <v>45705</v>
      </c>
      <c r="B2280" s="7" t="str">
        <f>IFERROR(__xludf.DUMMYFUNCTION("""COMPUTED_VALUE"""),"133c1ac4-8441-4ee3-87b7-749cbfe0cefd")</f>
        <v>133c1ac4-8441-4ee3-87b7-749cbfe0cefd</v>
      </c>
      <c r="C2280" s="7">
        <f>IFERROR(__xludf.DUMMYFUNCTION("""COMPUTED_VALUE"""),141.0)</f>
        <v>141</v>
      </c>
      <c r="D2280" s="6">
        <f>IFERROR(__xludf.DUMMYFUNCTION("""COMPUTED_VALUE"""),45564.0)</f>
        <v>45564</v>
      </c>
      <c r="E2280" s="7" t="str">
        <f>IFERROR(__xludf.DUMMYFUNCTION("""COMPUTED_VALUE"""),"FRANQUIA_D&amp;G_SP")</f>
        <v>FRANQUIA_D&amp;G_SP</v>
      </c>
      <c r="F2280" s="7" t="str">
        <f>IFERROR(__xludf.DUMMYFUNCTION("""COMPUTED_VALUE"""),"BICYCLE")</f>
        <v>BICYCLE</v>
      </c>
      <c r="G2280" s="7" t="str">
        <f>IFERROR(__xludf.DUMMYFUNCTION("""COMPUTED_VALUE"""),"SAO PAULO")</f>
        <v>SAO PAULO</v>
      </c>
    </row>
    <row r="2281">
      <c r="A2281" s="6">
        <f>IFERROR(__xludf.DUMMYFUNCTION("""COMPUTED_VALUE"""),45705.0)</f>
        <v>45705</v>
      </c>
      <c r="B2281" s="7" t="str">
        <f>IFERROR(__xludf.DUMMYFUNCTION("""COMPUTED_VALUE"""),"719e6f1b-b6dc-41b6-b895-82e441935bda")</f>
        <v>719e6f1b-b6dc-41b6-b895-82e441935bda</v>
      </c>
      <c r="C2281" s="7">
        <f>IFERROR(__xludf.DUMMYFUNCTION("""COMPUTED_VALUE"""),0.0)</f>
        <v>0</v>
      </c>
      <c r="D2281" s="6">
        <f>IFERROR(__xludf.DUMMYFUNCTION("""COMPUTED_VALUE"""),45705.0)</f>
        <v>45705</v>
      </c>
      <c r="E2281" s="7" t="str">
        <f>IFERROR(__xludf.DUMMYFUNCTION("""COMPUTED_VALUE"""),"FRANQUIA_D&amp;G_SP")</f>
        <v>FRANQUIA_D&amp;G_SP</v>
      </c>
      <c r="F2281" s="7" t="str">
        <f>IFERROR(__xludf.DUMMYFUNCTION("""COMPUTED_VALUE"""),"BICYCLE")</f>
        <v>BICYCLE</v>
      </c>
      <c r="G2281" s="7" t="str">
        <f>IFERROR(__xludf.DUMMYFUNCTION("""COMPUTED_VALUE"""),"SAO PAULO")</f>
        <v>SAO PAULO</v>
      </c>
    </row>
    <row r="2282">
      <c r="A2282" s="6">
        <f>IFERROR(__xludf.DUMMYFUNCTION("""COMPUTED_VALUE"""),45705.0)</f>
        <v>45705</v>
      </c>
      <c r="B2282" s="7" t="str">
        <f>IFERROR(__xludf.DUMMYFUNCTION("""COMPUTED_VALUE"""),"4ae568f3-b7d2-4cd8-aec1-3999795fd329")</f>
        <v>4ae568f3-b7d2-4cd8-aec1-3999795fd329</v>
      </c>
      <c r="C2282" s="7">
        <f>IFERROR(__xludf.DUMMYFUNCTION("""COMPUTED_VALUE"""),13.0)</f>
        <v>13</v>
      </c>
      <c r="D2282" s="6">
        <f>IFERROR(__xludf.DUMMYFUNCTION("""COMPUTED_VALUE"""),45692.0)</f>
        <v>45692</v>
      </c>
      <c r="E2282" s="7" t="str">
        <f>IFERROR(__xludf.DUMMYFUNCTION("""COMPUTED_VALUE"""),"FRANQUIA_D&amp;G_SP")</f>
        <v>FRANQUIA_D&amp;G_SP</v>
      </c>
      <c r="F2282" s="7" t="str">
        <f>IFERROR(__xludf.DUMMYFUNCTION("""COMPUTED_VALUE"""),"BICYCLE")</f>
        <v>BICYCLE</v>
      </c>
      <c r="G2282" s="7" t="str">
        <f>IFERROR(__xludf.DUMMYFUNCTION("""COMPUTED_VALUE"""),"SAO PAULO")</f>
        <v>SAO PAULO</v>
      </c>
    </row>
    <row r="2283">
      <c r="A2283" s="6">
        <f>IFERROR(__xludf.DUMMYFUNCTION("""COMPUTED_VALUE"""),45705.0)</f>
        <v>45705</v>
      </c>
      <c r="B2283" s="7" t="str">
        <f>IFERROR(__xludf.DUMMYFUNCTION("""COMPUTED_VALUE"""),"9706b45a-dfd0-4b46-9bdb-b15f7de123fe")</f>
        <v>9706b45a-dfd0-4b46-9bdb-b15f7de123fe</v>
      </c>
      <c r="C2283" s="7">
        <f>IFERROR(__xludf.DUMMYFUNCTION("""COMPUTED_VALUE"""),59.0)</f>
        <v>59</v>
      </c>
      <c r="D2283" s="6">
        <f>IFERROR(__xludf.DUMMYFUNCTION("""COMPUTED_VALUE"""),45646.0)</f>
        <v>45646</v>
      </c>
      <c r="E2283" s="7" t="str">
        <f>IFERROR(__xludf.DUMMYFUNCTION("""COMPUTED_VALUE"""),"FRANQUIA_D&amp;G_SP")</f>
        <v>FRANQUIA_D&amp;G_SP</v>
      </c>
      <c r="F2283" s="7" t="str">
        <f>IFERROR(__xludf.DUMMYFUNCTION("""COMPUTED_VALUE"""),"MOTORCYCLE")</f>
        <v>MOTORCYCLE</v>
      </c>
      <c r="G2283" s="7" t="str">
        <f>IFERROR(__xludf.DUMMYFUNCTION("""COMPUTED_VALUE"""),"TABOAO DA SERRA")</f>
        <v>TABOAO DA SERRA</v>
      </c>
    </row>
    <row r="2284">
      <c r="A2284" s="6">
        <f>IFERROR(__xludf.DUMMYFUNCTION("""COMPUTED_VALUE"""),45705.0)</f>
        <v>45705</v>
      </c>
      <c r="B2284" s="7" t="str">
        <f>IFERROR(__xludf.DUMMYFUNCTION("""COMPUTED_VALUE"""),"5c0a3658-907b-4bbf-84cd-d98e38930505")</f>
        <v>5c0a3658-907b-4bbf-84cd-d98e38930505</v>
      </c>
      <c r="C2284" s="7">
        <f>IFERROR(__xludf.DUMMYFUNCTION("""COMPUTED_VALUE"""),0.0)</f>
        <v>0</v>
      </c>
      <c r="D2284" s="6">
        <f>IFERROR(__xludf.DUMMYFUNCTION("""COMPUTED_VALUE"""),45705.0)</f>
        <v>45705</v>
      </c>
      <c r="E2284" s="7" t="str">
        <f>IFERROR(__xludf.DUMMYFUNCTION("""COMPUTED_VALUE"""),"FRANQUIA_D&amp;G_SP")</f>
        <v>FRANQUIA_D&amp;G_SP</v>
      </c>
      <c r="F2284" s="7" t="str">
        <f>IFERROR(__xludf.DUMMYFUNCTION("""COMPUTED_VALUE"""),"BICYCLE")</f>
        <v>BICYCLE</v>
      </c>
      <c r="G2284" s="7" t="str">
        <f>IFERROR(__xludf.DUMMYFUNCTION("""COMPUTED_VALUE"""),"SAO PAULO")</f>
        <v>SAO PAULO</v>
      </c>
    </row>
    <row r="2285">
      <c r="A2285" s="6">
        <f>IFERROR(__xludf.DUMMYFUNCTION("""COMPUTED_VALUE"""),45705.0)</f>
        <v>45705</v>
      </c>
      <c r="B2285" s="7" t="str">
        <f>IFERROR(__xludf.DUMMYFUNCTION("""COMPUTED_VALUE"""),"31cd833e-ebba-4737-918d-4f31f434f88b")</f>
        <v>31cd833e-ebba-4737-918d-4f31f434f88b</v>
      </c>
      <c r="C2285" s="7">
        <f>IFERROR(__xludf.DUMMYFUNCTION("""COMPUTED_VALUE"""),1.0)</f>
        <v>1</v>
      </c>
      <c r="D2285" s="6">
        <f>IFERROR(__xludf.DUMMYFUNCTION("""COMPUTED_VALUE"""),45704.0)</f>
        <v>45704</v>
      </c>
      <c r="E2285" s="7" t="str">
        <f>IFERROR(__xludf.DUMMYFUNCTION("""COMPUTED_VALUE"""),"FRANQUIA_D&amp;G_SP")</f>
        <v>FRANQUIA_D&amp;G_SP</v>
      </c>
      <c r="F2285" s="7" t="str">
        <f>IFERROR(__xludf.DUMMYFUNCTION("""COMPUTED_VALUE"""),"MOTORCYCLE")</f>
        <v>MOTORCYCLE</v>
      </c>
      <c r="G2285" s="7" t="str">
        <f>IFERROR(__xludf.DUMMYFUNCTION("""COMPUTED_VALUE"""),"SAO PAULO")</f>
        <v>SAO PAULO</v>
      </c>
    </row>
    <row r="2286">
      <c r="A2286" s="6">
        <f>IFERROR(__xludf.DUMMYFUNCTION("""COMPUTED_VALUE"""),45705.0)</f>
        <v>45705</v>
      </c>
      <c r="B2286" s="7" t="str">
        <f>IFERROR(__xludf.DUMMYFUNCTION("""COMPUTED_VALUE"""),"88e64712-bf27-42ef-925b-1f63609e85e5")</f>
        <v>88e64712-bf27-42ef-925b-1f63609e85e5</v>
      </c>
      <c r="C2286" s="7">
        <f>IFERROR(__xludf.DUMMYFUNCTION("""COMPUTED_VALUE"""),0.0)</f>
        <v>0</v>
      </c>
      <c r="D2286" s="6">
        <f>IFERROR(__xludf.DUMMYFUNCTION("""COMPUTED_VALUE"""),45705.0)</f>
        <v>45705</v>
      </c>
      <c r="E2286" s="7" t="str">
        <f>IFERROR(__xludf.DUMMYFUNCTION("""COMPUTED_VALUE"""),"FRANQUIA_D&amp;G_SP")</f>
        <v>FRANQUIA_D&amp;G_SP</v>
      </c>
      <c r="F2286" s="7" t="str">
        <f>IFERROR(__xludf.DUMMYFUNCTION("""COMPUTED_VALUE"""),"MOTORCYCLE")</f>
        <v>MOTORCYCLE</v>
      </c>
      <c r="G2286" s="7" t="str">
        <f>IFERROR(__xludf.DUMMYFUNCTION("""COMPUTED_VALUE"""),"SAO PAULO")</f>
        <v>SAO PAULO</v>
      </c>
    </row>
    <row r="2287">
      <c r="A2287" s="6">
        <f>IFERROR(__xludf.DUMMYFUNCTION("""COMPUTED_VALUE"""),45705.0)</f>
        <v>45705</v>
      </c>
      <c r="B2287" s="7" t="str">
        <f>IFERROR(__xludf.DUMMYFUNCTION("""COMPUTED_VALUE"""),"5af96d86-7448-49ee-8278-fd83241678e5")</f>
        <v>5af96d86-7448-49ee-8278-fd83241678e5</v>
      </c>
      <c r="C2287" s="7">
        <f>IFERROR(__xludf.DUMMYFUNCTION("""COMPUTED_VALUE"""),10.0)</f>
        <v>10</v>
      </c>
      <c r="D2287" s="6">
        <f>IFERROR(__xludf.DUMMYFUNCTION("""COMPUTED_VALUE"""),45695.0)</f>
        <v>45695</v>
      </c>
      <c r="E2287" s="7" t="str">
        <f>IFERROR(__xludf.DUMMYFUNCTION("""COMPUTED_VALUE"""),"FRANQUIA_D&amp;G_SP")</f>
        <v>FRANQUIA_D&amp;G_SP</v>
      </c>
      <c r="F2287" s="7" t="str">
        <f>IFERROR(__xludf.DUMMYFUNCTION("""COMPUTED_VALUE"""),"BICYCLE")</f>
        <v>BICYCLE</v>
      </c>
      <c r="G2287" s="7" t="str">
        <f>IFERROR(__xludf.DUMMYFUNCTION("""COMPUTED_VALUE"""),"SAO PAULO")</f>
        <v>SAO PAULO</v>
      </c>
    </row>
    <row r="2288">
      <c r="A2288" s="6">
        <f>IFERROR(__xludf.DUMMYFUNCTION("""COMPUTED_VALUE"""),45705.0)</f>
        <v>45705</v>
      </c>
      <c r="B2288" s="7" t="str">
        <f>IFERROR(__xludf.DUMMYFUNCTION("""COMPUTED_VALUE"""),"27d3e591-4b35-4b8f-a37a-68587e83db6f")</f>
        <v>27d3e591-4b35-4b8f-a37a-68587e83db6f</v>
      </c>
      <c r="C2288" s="7">
        <f>IFERROR(__xludf.DUMMYFUNCTION("""COMPUTED_VALUE"""),0.0)</f>
        <v>0</v>
      </c>
      <c r="D2288" s="6">
        <f>IFERROR(__xludf.DUMMYFUNCTION("""COMPUTED_VALUE"""),45705.0)</f>
        <v>45705</v>
      </c>
      <c r="E2288" s="7" t="str">
        <f>IFERROR(__xludf.DUMMYFUNCTION("""COMPUTED_VALUE"""),"FRANQUIA_D&amp;G_SP")</f>
        <v>FRANQUIA_D&amp;G_SP</v>
      </c>
      <c r="F2288" s="7" t="str">
        <f>IFERROR(__xludf.DUMMYFUNCTION("""COMPUTED_VALUE"""),"MOTORCYCLE")</f>
        <v>MOTORCYCLE</v>
      </c>
      <c r="G2288" s="7" t="str">
        <f>IFERROR(__xludf.DUMMYFUNCTION("""COMPUTED_VALUE"""),"GUARULHOS")</f>
        <v>GUARULHOS</v>
      </c>
    </row>
    <row r="2289">
      <c r="A2289" s="6">
        <f>IFERROR(__xludf.DUMMYFUNCTION("""COMPUTED_VALUE"""),45705.0)</f>
        <v>45705</v>
      </c>
      <c r="B2289" s="7" t="str">
        <f>IFERROR(__xludf.DUMMYFUNCTION("""COMPUTED_VALUE"""),"64e4741f-b773-44c8-9023-73ee7b8ccee9")</f>
        <v>64e4741f-b773-44c8-9023-73ee7b8ccee9</v>
      </c>
      <c r="C2289" s="7">
        <f>IFERROR(__xludf.DUMMYFUNCTION("""COMPUTED_VALUE"""),0.0)</f>
        <v>0</v>
      </c>
      <c r="D2289" s="6">
        <f>IFERROR(__xludf.DUMMYFUNCTION("""COMPUTED_VALUE"""),45705.0)</f>
        <v>45705</v>
      </c>
      <c r="E2289" s="7" t="str">
        <f>IFERROR(__xludf.DUMMYFUNCTION("""COMPUTED_VALUE"""),"FRANQUIA_D&amp;G_SP")</f>
        <v>FRANQUIA_D&amp;G_SP</v>
      </c>
      <c r="F2289" s="7" t="str">
        <f>IFERROR(__xludf.DUMMYFUNCTION("""COMPUTED_VALUE"""),"BICYCLE")</f>
        <v>BICYCLE</v>
      </c>
      <c r="G2289" s="7" t="str">
        <f>IFERROR(__xludf.DUMMYFUNCTION("""COMPUTED_VALUE"""),"SAO PAULO")</f>
        <v>SAO PAULO</v>
      </c>
    </row>
    <row r="2290">
      <c r="A2290" s="6">
        <f>IFERROR(__xludf.DUMMYFUNCTION("""COMPUTED_VALUE"""),45705.0)</f>
        <v>45705</v>
      </c>
      <c r="B2290" s="7" t="str">
        <f>IFERROR(__xludf.DUMMYFUNCTION("""COMPUTED_VALUE"""),"b0f0d4bc-30f1-41d6-902d-94760f1de5c8")</f>
        <v>b0f0d4bc-30f1-41d6-902d-94760f1de5c8</v>
      </c>
      <c r="C2290" s="7">
        <f>IFERROR(__xludf.DUMMYFUNCTION("""COMPUTED_VALUE"""),175.0)</f>
        <v>175</v>
      </c>
      <c r="D2290" s="6">
        <f>IFERROR(__xludf.DUMMYFUNCTION("""COMPUTED_VALUE"""),45530.0)</f>
        <v>45530</v>
      </c>
      <c r="E2290" s="7" t="str">
        <f>IFERROR(__xludf.DUMMYFUNCTION("""COMPUTED_VALUE"""),"FRANQUIA_D&amp;G_SP")</f>
        <v>FRANQUIA_D&amp;G_SP</v>
      </c>
      <c r="F2290" s="7" t="str">
        <f>IFERROR(__xludf.DUMMYFUNCTION("""COMPUTED_VALUE"""),"MOTORCYCLE")</f>
        <v>MOTORCYCLE</v>
      </c>
      <c r="G2290" s="7" t="str">
        <f>IFERROR(__xludf.DUMMYFUNCTION("""COMPUTED_VALUE"""),"SAO PAULO")</f>
        <v>SAO PAULO</v>
      </c>
    </row>
    <row r="2291">
      <c r="A2291" s="6">
        <f>IFERROR(__xludf.DUMMYFUNCTION("""COMPUTED_VALUE"""),45705.0)</f>
        <v>45705</v>
      </c>
      <c r="B2291" s="7" t="str">
        <f>IFERROR(__xludf.DUMMYFUNCTION("""COMPUTED_VALUE"""),"46d200b9-1cca-4eb7-a461-98b73afb6375")</f>
        <v>46d200b9-1cca-4eb7-a461-98b73afb6375</v>
      </c>
      <c r="C2291" s="7">
        <f>IFERROR(__xludf.DUMMYFUNCTION("""COMPUTED_VALUE"""),3.0)</f>
        <v>3</v>
      </c>
      <c r="D2291" s="6">
        <f>IFERROR(__xludf.DUMMYFUNCTION("""COMPUTED_VALUE"""),45702.0)</f>
        <v>45702</v>
      </c>
      <c r="E2291" s="7" t="str">
        <f>IFERROR(__xludf.DUMMYFUNCTION("""COMPUTED_VALUE"""),"FRANQUIA_D&amp;G_SP")</f>
        <v>FRANQUIA_D&amp;G_SP</v>
      </c>
      <c r="F2291" s="7" t="str">
        <f>IFERROR(__xludf.DUMMYFUNCTION("""COMPUTED_VALUE"""),"BICYCLE")</f>
        <v>BICYCLE</v>
      </c>
      <c r="G2291" s="7" t="str">
        <f>IFERROR(__xludf.DUMMYFUNCTION("""COMPUTED_VALUE"""),"SAO PAULO")</f>
        <v>SAO PAULO</v>
      </c>
    </row>
    <row r="2292">
      <c r="A2292" s="6">
        <f>IFERROR(__xludf.DUMMYFUNCTION("""COMPUTED_VALUE"""),45705.0)</f>
        <v>45705</v>
      </c>
      <c r="B2292" s="7" t="str">
        <f>IFERROR(__xludf.DUMMYFUNCTION("""COMPUTED_VALUE"""),"92b4ece7-b5e9-4f39-b872-b33338bf2fba")</f>
        <v>92b4ece7-b5e9-4f39-b872-b33338bf2fba</v>
      </c>
      <c r="C2292" s="7">
        <f>IFERROR(__xludf.DUMMYFUNCTION("""COMPUTED_VALUE"""),2.0)</f>
        <v>2</v>
      </c>
      <c r="D2292" s="6">
        <f>IFERROR(__xludf.DUMMYFUNCTION("""COMPUTED_VALUE"""),45703.0)</f>
        <v>45703</v>
      </c>
      <c r="E2292" s="7" t="str">
        <f>IFERROR(__xludf.DUMMYFUNCTION("""COMPUTED_VALUE"""),"FRANQUIA_D&amp;G_SP")</f>
        <v>FRANQUIA_D&amp;G_SP</v>
      </c>
      <c r="F2292" s="7" t="str">
        <f>IFERROR(__xludf.DUMMYFUNCTION("""COMPUTED_VALUE"""),"BICYCLE")</f>
        <v>BICYCLE</v>
      </c>
      <c r="G2292" s="7" t="str">
        <f>IFERROR(__xludf.DUMMYFUNCTION("""COMPUTED_VALUE"""),"SAO PAULO")</f>
        <v>SAO PAULO</v>
      </c>
    </row>
    <row r="2293">
      <c r="A2293" s="6">
        <f>IFERROR(__xludf.DUMMYFUNCTION("""COMPUTED_VALUE"""),45705.0)</f>
        <v>45705</v>
      </c>
      <c r="B2293" s="7" t="str">
        <f>IFERROR(__xludf.DUMMYFUNCTION("""COMPUTED_VALUE"""),"1a3e9987-1fd7-4eb7-a9ae-e99497dfccc6")</f>
        <v>1a3e9987-1fd7-4eb7-a9ae-e99497dfccc6</v>
      </c>
      <c r="C2293" s="7">
        <f>IFERROR(__xludf.DUMMYFUNCTION("""COMPUTED_VALUE"""),0.0)</f>
        <v>0</v>
      </c>
      <c r="D2293" s="6">
        <f>IFERROR(__xludf.DUMMYFUNCTION("""COMPUTED_VALUE"""),45705.0)</f>
        <v>45705</v>
      </c>
      <c r="E2293" s="7" t="str">
        <f>IFERROR(__xludf.DUMMYFUNCTION("""COMPUTED_VALUE"""),"FRANQUIA_D&amp;G_SP")</f>
        <v>FRANQUIA_D&amp;G_SP</v>
      </c>
      <c r="F2293" s="7" t="str">
        <f>IFERROR(__xludf.DUMMYFUNCTION("""COMPUTED_VALUE"""),"BICYCLE")</f>
        <v>BICYCLE</v>
      </c>
      <c r="G2293" s="7" t="str">
        <f>IFERROR(__xludf.DUMMYFUNCTION("""COMPUTED_VALUE"""),"SAO PAULO")</f>
        <v>SAO PAULO</v>
      </c>
    </row>
    <row r="2294">
      <c r="A2294" s="6">
        <f>IFERROR(__xludf.DUMMYFUNCTION("""COMPUTED_VALUE"""),45705.0)</f>
        <v>45705</v>
      </c>
      <c r="B2294" s="7" t="str">
        <f>IFERROR(__xludf.DUMMYFUNCTION("""COMPUTED_VALUE"""),"c7edf62b-f377-4b54-a212-9daf9f8f096c")</f>
        <v>c7edf62b-f377-4b54-a212-9daf9f8f096c</v>
      </c>
      <c r="C2294" s="7">
        <f>IFERROR(__xludf.DUMMYFUNCTION("""COMPUTED_VALUE"""),0.0)</f>
        <v>0</v>
      </c>
      <c r="D2294" s="6">
        <f>IFERROR(__xludf.DUMMYFUNCTION("""COMPUTED_VALUE"""),45705.0)</f>
        <v>45705</v>
      </c>
      <c r="E2294" s="7" t="str">
        <f>IFERROR(__xludf.DUMMYFUNCTION("""COMPUTED_VALUE"""),"FRANQUIA_D&amp;G_SP")</f>
        <v>FRANQUIA_D&amp;G_SP</v>
      </c>
      <c r="F2294" s="7" t="str">
        <f>IFERROR(__xludf.DUMMYFUNCTION("""COMPUTED_VALUE"""),"MOTORCYCLE")</f>
        <v>MOTORCYCLE</v>
      </c>
      <c r="G2294" s="7" t="str">
        <f>IFERROR(__xludf.DUMMYFUNCTION("""COMPUTED_VALUE"""),"SAO PAULO")</f>
        <v>SAO PAULO</v>
      </c>
    </row>
    <row r="2295">
      <c r="A2295" s="6">
        <f>IFERROR(__xludf.DUMMYFUNCTION("""COMPUTED_VALUE"""),45705.0)</f>
        <v>45705</v>
      </c>
      <c r="B2295" s="7" t="str">
        <f>IFERROR(__xludf.DUMMYFUNCTION("""COMPUTED_VALUE"""),"a337105a-85f7-460c-841a-ec25b3743126")</f>
        <v>a337105a-85f7-460c-841a-ec25b3743126</v>
      </c>
      <c r="C2295" s="7">
        <f>IFERROR(__xludf.DUMMYFUNCTION("""COMPUTED_VALUE"""),2.0)</f>
        <v>2</v>
      </c>
      <c r="D2295" s="6">
        <f>IFERROR(__xludf.DUMMYFUNCTION("""COMPUTED_VALUE"""),45703.0)</f>
        <v>45703</v>
      </c>
      <c r="E2295" s="7" t="str">
        <f>IFERROR(__xludf.DUMMYFUNCTION("""COMPUTED_VALUE"""),"FRANQUIA_D&amp;G_SP")</f>
        <v>FRANQUIA_D&amp;G_SP</v>
      </c>
      <c r="F2295" s="7" t="str">
        <f>IFERROR(__xludf.DUMMYFUNCTION("""COMPUTED_VALUE"""),"MOTORCYCLE")</f>
        <v>MOTORCYCLE</v>
      </c>
      <c r="G2295" s="7" t="str">
        <f>IFERROR(__xludf.DUMMYFUNCTION("""COMPUTED_VALUE"""),"SAO PAULO")</f>
        <v>SAO PAULO</v>
      </c>
    </row>
    <row r="2296">
      <c r="A2296" s="6">
        <f>IFERROR(__xludf.DUMMYFUNCTION("""COMPUTED_VALUE"""),45705.0)</f>
        <v>45705</v>
      </c>
      <c r="B2296" s="7" t="str">
        <f>IFERROR(__xludf.DUMMYFUNCTION("""COMPUTED_VALUE"""),"aec32b80-e239-487d-9677-cfefb2b05905")</f>
        <v>aec32b80-e239-487d-9677-cfefb2b05905</v>
      </c>
      <c r="C2296" s="7">
        <f>IFERROR(__xludf.DUMMYFUNCTION("""COMPUTED_VALUE"""),1.0)</f>
        <v>1</v>
      </c>
      <c r="D2296" s="6">
        <f>IFERROR(__xludf.DUMMYFUNCTION("""COMPUTED_VALUE"""),45704.0)</f>
        <v>45704</v>
      </c>
      <c r="E2296" s="7" t="str">
        <f>IFERROR(__xludf.DUMMYFUNCTION("""COMPUTED_VALUE"""),"FRANQUIA_D&amp;G_SP")</f>
        <v>FRANQUIA_D&amp;G_SP</v>
      </c>
      <c r="F2296" s="7" t="str">
        <f>IFERROR(__xludf.DUMMYFUNCTION("""COMPUTED_VALUE"""),"MOTORCYCLE")</f>
        <v>MOTORCYCLE</v>
      </c>
      <c r="G2296" s="7" t="str">
        <f>IFERROR(__xludf.DUMMYFUNCTION("""COMPUTED_VALUE"""),"SAO PAULO")</f>
        <v>SAO PAULO</v>
      </c>
    </row>
    <row r="2297">
      <c r="A2297" s="6">
        <f>IFERROR(__xludf.DUMMYFUNCTION("""COMPUTED_VALUE"""),45705.0)</f>
        <v>45705</v>
      </c>
      <c r="B2297" s="7" t="str">
        <f>IFERROR(__xludf.DUMMYFUNCTION("""COMPUTED_VALUE"""),"c609a15c-7b26-4704-a79e-5e2839a42a51")</f>
        <v>c609a15c-7b26-4704-a79e-5e2839a42a51</v>
      </c>
      <c r="C2297" s="7">
        <f>IFERROR(__xludf.DUMMYFUNCTION("""COMPUTED_VALUE"""),109.0)</f>
        <v>109</v>
      </c>
      <c r="D2297" s="6">
        <f>IFERROR(__xludf.DUMMYFUNCTION("""COMPUTED_VALUE"""),45596.0)</f>
        <v>45596</v>
      </c>
      <c r="E2297" s="7" t="str">
        <f>IFERROR(__xludf.DUMMYFUNCTION("""COMPUTED_VALUE"""),"FRANQUIA_D&amp;G_SP")</f>
        <v>FRANQUIA_D&amp;G_SP</v>
      </c>
      <c r="F2297" s="7" t="str">
        <f>IFERROR(__xludf.DUMMYFUNCTION("""COMPUTED_VALUE"""),"MOTORCYCLE")</f>
        <v>MOTORCYCLE</v>
      </c>
      <c r="G2297" s="7" t="str">
        <f>IFERROR(__xludf.DUMMYFUNCTION("""COMPUTED_VALUE"""),"SAO PAULO")</f>
        <v>SAO PAULO</v>
      </c>
    </row>
    <row r="2298">
      <c r="A2298" s="6">
        <f>IFERROR(__xludf.DUMMYFUNCTION("""COMPUTED_VALUE"""),45705.0)</f>
        <v>45705</v>
      </c>
      <c r="B2298" s="7" t="str">
        <f>IFERROR(__xludf.DUMMYFUNCTION("""COMPUTED_VALUE"""),"1c66d04e-ef39-4eb9-bbf9-e638f4c977a4")</f>
        <v>1c66d04e-ef39-4eb9-bbf9-e638f4c977a4</v>
      </c>
      <c r="C2298" s="7">
        <f>IFERROR(__xludf.DUMMYFUNCTION("""COMPUTED_VALUE"""),0.0)</f>
        <v>0</v>
      </c>
      <c r="D2298" s="6">
        <f>IFERROR(__xludf.DUMMYFUNCTION("""COMPUTED_VALUE"""),45705.0)</f>
        <v>45705</v>
      </c>
      <c r="E2298" s="7" t="str">
        <f>IFERROR(__xludf.DUMMYFUNCTION("""COMPUTED_VALUE"""),"FRANQUIA_D&amp;G_SP")</f>
        <v>FRANQUIA_D&amp;G_SP</v>
      </c>
      <c r="F2298" s="7" t="str">
        <f>IFERROR(__xludf.DUMMYFUNCTION("""COMPUTED_VALUE"""),"MOTORCYCLE")</f>
        <v>MOTORCYCLE</v>
      </c>
      <c r="G2298" s="7" t="str">
        <f>IFERROR(__xludf.DUMMYFUNCTION("""COMPUTED_VALUE"""),"SAO PAULO")</f>
        <v>SAO PAULO</v>
      </c>
    </row>
    <row r="2299">
      <c r="A2299" s="6">
        <f>IFERROR(__xludf.DUMMYFUNCTION("""COMPUTED_VALUE"""),45705.0)</f>
        <v>45705</v>
      </c>
      <c r="B2299" s="7" t="str">
        <f>IFERROR(__xludf.DUMMYFUNCTION("""COMPUTED_VALUE"""),"805166e4-623a-45e0-9368-8db3c2271575")</f>
        <v>805166e4-623a-45e0-9368-8db3c2271575</v>
      </c>
      <c r="C2299" s="7">
        <f>IFERROR(__xludf.DUMMYFUNCTION("""COMPUTED_VALUE"""),2.0)</f>
        <v>2</v>
      </c>
      <c r="D2299" s="6">
        <f>IFERROR(__xludf.DUMMYFUNCTION("""COMPUTED_VALUE"""),45703.0)</f>
        <v>45703</v>
      </c>
      <c r="E2299" s="7" t="str">
        <f>IFERROR(__xludf.DUMMYFUNCTION("""COMPUTED_VALUE"""),"FRANQUIA_D&amp;G_SP")</f>
        <v>FRANQUIA_D&amp;G_SP</v>
      </c>
      <c r="F2299" s="7" t="str">
        <f>IFERROR(__xludf.DUMMYFUNCTION("""COMPUTED_VALUE"""),"BICYCLE")</f>
        <v>BICYCLE</v>
      </c>
      <c r="G2299" s="7" t="str">
        <f>IFERROR(__xludf.DUMMYFUNCTION("""COMPUTED_VALUE"""),"SAO PAULO")</f>
        <v>SAO PAULO</v>
      </c>
    </row>
    <row r="2300">
      <c r="A2300" s="6">
        <f>IFERROR(__xludf.DUMMYFUNCTION("""COMPUTED_VALUE"""),45705.0)</f>
        <v>45705</v>
      </c>
      <c r="B2300" s="7" t="str">
        <f>IFERROR(__xludf.DUMMYFUNCTION("""COMPUTED_VALUE"""),"8518c3d2-ea20-430e-b2a1-7f420f2d4cb5")</f>
        <v>8518c3d2-ea20-430e-b2a1-7f420f2d4cb5</v>
      </c>
      <c r="C2300" s="7">
        <f>IFERROR(__xludf.DUMMYFUNCTION("""COMPUTED_VALUE"""),1.0)</f>
        <v>1</v>
      </c>
      <c r="D2300" s="6">
        <f>IFERROR(__xludf.DUMMYFUNCTION("""COMPUTED_VALUE"""),45704.0)</f>
        <v>45704</v>
      </c>
      <c r="E2300" s="7" t="str">
        <f>IFERROR(__xludf.DUMMYFUNCTION("""COMPUTED_VALUE"""),"FRANQUIA_D&amp;G_SP")</f>
        <v>FRANQUIA_D&amp;G_SP</v>
      </c>
      <c r="F2300" s="7" t="str">
        <f>IFERROR(__xludf.DUMMYFUNCTION("""COMPUTED_VALUE"""),"MOTORCYCLE")</f>
        <v>MOTORCYCLE</v>
      </c>
      <c r="G2300" s="7" t="str">
        <f>IFERROR(__xludf.DUMMYFUNCTION("""COMPUTED_VALUE"""),"SAO PAULO")</f>
        <v>SAO PAULO</v>
      </c>
    </row>
    <row r="2301">
      <c r="A2301" s="6">
        <f>IFERROR(__xludf.DUMMYFUNCTION("""COMPUTED_VALUE"""),45705.0)</f>
        <v>45705</v>
      </c>
      <c r="B2301" s="7" t="str">
        <f>IFERROR(__xludf.DUMMYFUNCTION("""COMPUTED_VALUE"""),"41e95054-3cfa-4b59-ad9d-64e9708969d0")</f>
        <v>41e95054-3cfa-4b59-ad9d-64e9708969d0</v>
      </c>
      <c r="C2301" s="7">
        <f>IFERROR(__xludf.DUMMYFUNCTION("""COMPUTED_VALUE"""),591.0)</f>
        <v>591</v>
      </c>
      <c r="D2301" s="6">
        <f>IFERROR(__xludf.DUMMYFUNCTION("""COMPUTED_VALUE"""),45114.0)</f>
        <v>45114</v>
      </c>
      <c r="E2301" s="7" t="str">
        <f>IFERROR(__xludf.DUMMYFUNCTION("""COMPUTED_VALUE"""),"FRANQUIA_D&amp;G_SP")</f>
        <v>FRANQUIA_D&amp;G_SP</v>
      </c>
      <c r="F2301" s="7" t="str">
        <f>IFERROR(__xludf.DUMMYFUNCTION("""COMPUTED_VALUE"""),"MOTORCYCLE")</f>
        <v>MOTORCYCLE</v>
      </c>
      <c r="G2301" s="7" t="str">
        <f>IFERROR(__xludf.DUMMYFUNCTION("""COMPUTED_VALUE"""),"SAO PAULO")</f>
        <v>SAO PAULO</v>
      </c>
    </row>
    <row r="2302">
      <c r="A2302" s="6">
        <f>IFERROR(__xludf.DUMMYFUNCTION("""COMPUTED_VALUE"""),45705.0)</f>
        <v>45705</v>
      </c>
      <c r="B2302" s="7" t="str">
        <f>IFERROR(__xludf.DUMMYFUNCTION("""COMPUTED_VALUE"""),"00d6cdba-cc50-4032-adf6-6025b9275106")</f>
        <v>00d6cdba-cc50-4032-adf6-6025b9275106</v>
      </c>
      <c r="C2302" s="7">
        <f>IFERROR(__xludf.DUMMYFUNCTION("""COMPUTED_VALUE"""),0.0)</f>
        <v>0</v>
      </c>
      <c r="D2302" s="6">
        <f>IFERROR(__xludf.DUMMYFUNCTION("""COMPUTED_VALUE"""),45705.0)</f>
        <v>45705</v>
      </c>
      <c r="E2302" s="7" t="str">
        <f>IFERROR(__xludf.DUMMYFUNCTION("""COMPUTED_VALUE"""),"FRANQUIA_D&amp;G_SP")</f>
        <v>FRANQUIA_D&amp;G_SP</v>
      </c>
      <c r="F2302" s="7" t="str">
        <f>IFERROR(__xludf.DUMMYFUNCTION("""COMPUTED_VALUE"""),"MOTORCYCLE")</f>
        <v>MOTORCYCLE</v>
      </c>
      <c r="G2302" s="7" t="str">
        <f>IFERROR(__xludf.DUMMYFUNCTION("""COMPUTED_VALUE"""),"SAO PAULO")</f>
        <v>SAO PAULO</v>
      </c>
    </row>
    <row r="2303">
      <c r="A2303" s="6">
        <f>IFERROR(__xludf.DUMMYFUNCTION("""COMPUTED_VALUE"""),45705.0)</f>
        <v>45705</v>
      </c>
      <c r="B2303" s="7" t="str">
        <f>IFERROR(__xludf.DUMMYFUNCTION("""COMPUTED_VALUE"""),"3b7d6446-202a-4cd3-bdfe-3629b67ec11b")</f>
        <v>3b7d6446-202a-4cd3-bdfe-3629b67ec11b</v>
      </c>
      <c r="C2303" s="7">
        <f>IFERROR(__xludf.DUMMYFUNCTION("""COMPUTED_VALUE"""),1002.0)</f>
        <v>1002</v>
      </c>
      <c r="D2303" s="6">
        <f>IFERROR(__xludf.DUMMYFUNCTION("""COMPUTED_VALUE"""),44703.0)</f>
        <v>44703</v>
      </c>
      <c r="E2303" s="7" t="str">
        <f>IFERROR(__xludf.DUMMYFUNCTION("""COMPUTED_VALUE"""),"FRANQUIA_D&amp;G_SP")</f>
        <v>FRANQUIA_D&amp;G_SP</v>
      </c>
      <c r="F2303" s="7" t="str">
        <f>IFERROR(__xludf.DUMMYFUNCTION("""COMPUTED_VALUE"""),"BICYCLE")</f>
        <v>BICYCLE</v>
      </c>
      <c r="G2303" s="7" t="str">
        <f>IFERROR(__xludf.DUMMYFUNCTION("""COMPUTED_VALUE"""),"SAO PAULO")</f>
        <v>SAO PAULO</v>
      </c>
    </row>
    <row r="2304">
      <c r="A2304" s="6">
        <f>IFERROR(__xludf.DUMMYFUNCTION("""COMPUTED_VALUE"""),45705.0)</f>
        <v>45705</v>
      </c>
      <c r="B2304" s="7" t="str">
        <f>IFERROR(__xludf.DUMMYFUNCTION("""COMPUTED_VALUE"""),"f148eb1a-666f-497d-ac61-98a220b3d2d3")</f>
        <v>f148eb1a-666f-497d-ac61-98a220b3d2d3</v>
      </c>
      <c r="C2304" s="7">
        <f>IFERROR(__xludf.DUMMYFUNCTION("""COMPUTED_VALUE"""),0.0)</f>
        <v>0</v>
      </c>
      <c r="D2304" s="6">
        <f>IFERROR(__xludf.DUMMYFUNCTION("""COMPUTED_VALUE"""),45705.0)</f>
        <v>45705</v>
      </c>
      <c r="E2304" s="7" t="str">
        <f>IFERROR(__xludf.DUMMYFUNCTION("""COMPUTED_VALUE"""),"FRANQUIA_D&amp;G_SP")</f>
        <v>FRANQUIA_D&amp;G_SP</v>
      </c>
      <c r="F2304" s="7" t="str">
        <f>IFERROR(__xludf.DUMMYFUNCTION("""COMPUTED_VALUE"""),"MOTORCYCLE")</f>
        <v>MOTORCYCLE</v>
      </c>
      <c r="G2304" s="7" t="str">
        <f>IFERROR(__xludf.DUMMYFUNCTION("""COMPUTED_VALUE"""),"GUARULHOS")</f>
        <v>GUARULHOS</v>
      </c>
    </row>
    <row r="2305">
      <c r="A2305" s="6">
        <f>IFERROR(__xludf.DUMMYFUNCTION("""COMPUTED_VALUE"""),45705.0)</f>
        <v>45705</v>
      </c>
      <c r="B2305" s="7" t="str">
        <f>IFERROR(__xludf.DUMMYFUNCTION("""COMPUTED_VALUE"""),"474d3dac-cbbf-456b-84aa-f73a5025b5cc")</f>
        <v>474d3dac-cbbf-456b-84aa-f73a5025b5cc</v>
      </c>
      <c r="C2305" s="7">
        <f>IFERROR(__xludf.DUMMYFUNCTION("""COMPUTED_VALUE"""),1.0)</f>
        <v>1</v>
      </c>
      <c r="D2305" s="6">
        <f>IFERROR(__xludf.DUMMYFUNCTION("""COMPUTED_VALUE"""),45704.0)</f>
        <v>45704</v>
      </c>
      <c r="E2305" s="7" t="str">
        <f>IFERROR(__xludf.DUMMYFUNCTION("""COMPUTED_VALUE"""),"FRANQUIA_D&amp;G_SP")</f>
        <v>FRANQUIA_D&amp;G_SP</v>
      </c>
      <c r="F2305" s="7" t="str">
        <f>IFERROR(__xludf.DUMMYFUNCTION("""COMPUTED_VALUE"""),"EBIKE")</f>
        <v>EBIKE</v>
      </c>
      <c r="G2305" s="7" t="str">
        <f>IFERROR(__xludf.DUMMYFUNCTION("""COMPUTED_VALUE"""),"SAO PAULO")</f>
        <v>SAO PAULO</v>
      </c>
    </row>
    <row r="2306">
      <c r="A2306" s="6">
        <f>IFERROR(__xludf.DUMMYFUNCTION("""COMPUTED_VALUE"""),45705.0)</f>
        <v>45705</v>
      </c>
      <c r="B2306" s="7" t="str">
        <f>IFERROR(__xludf.DUMMYFUNCTION("""COMPUTED_VALUE"""),"7b44aa59-3b58-4af1-9bdf-c174ea93de94")</f>
        <v>7b44aa59-3b58-4af1-9bdf-c174ea93de94</v>
      </c>
      <c r="C2306" s="7">
        <f>IFERROR(__xludf.DUMMYFUNCTION("""COMPUTED_VALUE"""),69.0)</f>
        <v>69</v>
      </c>
      <c r="D2306" s="6">
        <f>IFERROR(__xludf.DUMMYFUNCTION("""COMPUTED_VALUE"""),45636.0)</f>
        <v>45636</v>
      </c>
      <c r="E2306" s="7" t="str">
        <f>IFERROR(__xludf.DUMMYFUNCTION("""COMPUTED_VALUE"""),"FRANQUIA_D&amp;G_SP")</f>
        <v>FRANQUIA_D&amp;G_SP</v>
      </c>
      <c r="F2306" s="7" t="str">
        <f>IFERROR(__xludf.DUMMYFUNCTION("""COMPUTED_VALUE"""),"MOTORCYCLE")</f>
        <v>MOTORCYCLE</v>
      </c>
      <c r="G2306" s="7" t="str">
        <f>IFERROR(__xludf.DUMMYFUNCTION("""COMPUTED_VALUE"""),"SAO PAULO")</f>
        <v>SAO PAULO</v>
      </c>
    </row>
    <row r="2307">
      <c r="A2307" s="6">
        <f>IFERROR(__xludf.DUMMYFUNCTION("""COMPUTED_VALUE"""),45705.0)</f>
        <v>45705</v>
      </c>
      <c r="B2307" s="7" t="str">
        <f>IFERROR(__xludf.DUMMYFUNCTION("""COMPUTED_VALUE"""),"035e7594-e320-49fd-86a5-e7b07bb6a05c")</f>
        <v>035e7594-e320-49fd-86a5-e7b07bb6a05c</v>
      </c>
      <c r="C2307" s="7">
        <f>IFERROR(__xludf.DUMMYFUNCTION("""COMPUTED_VALUE"""),0.0)</f>
        <v>0</v>
      </c>
      <c r="D2307" s="6">
        <f>IFERROR(__xludf.DUMMYFUNCTION("""COMPUTED_VALUE"""),45705.0)</f>
        <v>45705</v>
      </c>
      <c r="E2307" s="7" t="str">
        <f>IFERROR(__xludf.DUMMYFUNCTION("""COMPUTED_VALUE"""),"FRANQUIA_D&amp;G_SP")</f>
        <v>FRANQUIA_D&amp;G_SP</v>
      </c>
      <c r="F2307" s="7" t="str">
        <f>IFERROR(__xludf.DUMMYFUNCTION("""COMPUTED_VALUE"""),"MOTORCYCLE")</f>
        <v>MOTORCYCLE</v>
      </c>
      <c r="G2307" s="7" t="str">
        <f>IFERROR(__xludf.DUMMYFUNCTION("""COMPUTED_VALUE"""),"SAO PAULO")</f>
        <v>SAO PAULO</v>
      </c>
    </row>
    <row r="2308">
      <c r="A2308" s="6">
        <f>IFERROR(__xludf.DUMMYFUNCTION("""COMPUTED_VALUE"""),45705.0)</f>
        <v>45705</v>
      </c>
      <c r="B2308" s="7" t="str">
        <f>IFERROR(__xludf.DUMMYFUNCTION("""COMPUTED_VALUE"""),"ad34fd9e-a608-4d31-8992-c7c577791419")</f>
        <v>ad34fd9e-a608-4d31-8992-c7c577791419</v>
      </c>
      <c r="C2308" s="7">
        <f>IFERROR(__xludf.DUMMYFUNCTION("""COMPUTED_VALUE"""),33.0)</f>
        <v>33</v>
      </c>
      <c r="D2308" s="6">
        <f>IFERROR(__xludf.DUMMYFUNCTION("""COMPUTED_VALUE"""),45672.0)</f>
        <v>45672</v>
      </c>
      <c r="E2308" s="7" t="str">
        <f>IFERROR(__xludf.DUMMYFUNCTION("""COMPUTED_VALUE"""),"FRANQUIA_D&amp;G_SP")</f>
        <v>FRANQUIA_D&amp;G_SP</v>
      </c>
      <c r="F2308" s="7" t="str">
        <f>IFERROR(__xludf.DUMMYFUNCTION("""COMPUTED_VALUE"""),"MOTORCYCLE")</f>
        <v>MOTORCYCLE</v>
      </c>
      <c r="G2308" s="7" t="str">
        <f>IFERROR(__xludf.DUMMYFUNCTION("""COMPUTED_VALUE"""),"SAO PAULO")</f>
        <v>SAO PAULO</v>
      </c>
    </row>
    <row r="2309">
      <c r="A2309" s="6">
        <f>IFERROR(__xludf.DUMMYFUNCTION("""COMPUTED_VALUE"""),45705.0)</f>
        <v>45705</v>
      </c>
      <c r="B2309" s="7" t="str">
        <f>IFERROR(__xludf.DUMMYFUNCTION("""COMPUTED_VALUE"""),"a8031ee0-dc0f-4ca2-880d-8cb856174238")</f>
        <v>a8031ee0-dc0f-4ca2-880d-8cb856174238</v>
      </c>
      <c r="C2309" s="7">
        <f>IFERROR(__xludf.DUMMYFUNCTION("""COMPUTED_VALUE"""),1.0)</f>
        <v>1</v>
      </c>
      <c r="D2309" s="6">
        <f>IFERROR(__xludf.DUMMYFUNCTION("""COMPUTED_VALUE"""),45704.0)</f>
        <v>45704</v>
      </c>
      <c r="E2309" s="7" t="str">
        <f>IFERROR(__xludf.DUMMYFUNCTION("""COMPUTED_VALUE"""),"FRANQUIA_D&amp;G_SP")</f>
        <v>FRANQUIA_D&amp;G_SP</v>
      </c>
      <c r="F2309" s="7" t="str">
        <f>IFERROR(__xludf.DUMMYFUNCTION("""COMPUTED_VALUE"""),"MOTORCYCLE")</f>
        <v>MOTORCYCLE</v>
      </c>
      <c r="G2309" s="7" t="str">
        <f>IFERROR(__xludf.DUMMYFUNCTION("""COMPUTED_VALUE"""),"SAO PAULO")</f>
        <v>SAO PAULO</v>
      </c>
    </row>
    <row r="2310">
      <c r="A2310" s="6">
        <f>IFERROR(__xludf.DUMMYFUNCTION("""COMPUTED_VALUE"""),45705.0)</f>
        <v>45705</v>
      </c>
      <c r="B2310" s="7" t="str">
        <f>IFERROR(__xludf.DUMMYFUNCTION("""COMPUTED_VALUE"""),"4d3682be-57ec-4d75-a328-c87a2ea12b77")</f>
        <v>4d3682be-57ec-4d75-a328-c87a2ea12b77</v>
      </c>
      <c r="C2310" s="7">
        <f>IFERROR(__xludf.DUMMYFUNCTION("""COMPUTED_VALUE"""),292.0)</f>
        <v>292</v>
      </c>
      <c r="D2310" s="6">
        <f>IFERROR(__xludf.DUMMYFUNCTION("""COMPUTED_VALUE"""),45413.0)</f>
        <v>45413</v>
      </c>
      <c r="E2310" s="7" t="str">
        <f>IFERROR(__xludf.DUMMYFUNCTION("""COMPUTED_VALUE"""),"FRANQUIA_D&amp;G_SP")</f>
        <v>FRANQUIA_D&amp;G_SP</v>
      </c>
      <c r="F2310" s="7" t="str">
        <f>IFERROR(__xludf.DUMMYFUNCTION("""COMPUTED_VALUE"""),"BICYCLE")</f>
        <v>BICYCLE</v>
      </c>
      <c r="G2310" s="7" t="str">
        <f>IFERROR(__xludf.DUMMYFUNCTION("""COMPUTED_VALUE"""),"SAO PAULO")</f>
        <v>SAO PAULO</v>
      </c>
    </row>
    <row r="2311">
      <c r="A2311" s="6">
        <f>IFERROR(__xludf.DUMMYFUNCTION("""COMPUTED_VALUE"""),45705.0)</f>
        <v>45705</v>
      </c>
      <c r="B2311" s="7" t="str">
        <f>IFERROR(__xludf.DUMMYFUNCTION("""COMPUTED_VALUE"""),"37cb0583-15d7-4e07-bf0c-ac181f4177c3")</f>
        <v>37cb0583-15d7-4e07-bf0c-ac181f4177c3</v>
      </c>
      <c r="C2311" s="7">
        <f>IFERROR(__xludf.DUMMYFUNCTION("""COMPUTED_VALUE"""),0.0)</f>
        <v>0</v>
      </c>
      <c r="D2311" s="6">
        <f>IFERROR(__xludf.DUMMYFUNCTION("""COMPUTED_VALUE"""),45705.0)</f>
        <v>45705</v>
      </c>
      <c r="E2311" s="7" t="str">
        <f>IFERROR(__xludf.DUMMYFUNCTION("""COMPUTED_VALUE"""),"FRANQUIA_D&amp;G_SP")</f>
        <v>FRANQUIA_D&amp;G_SP</v>
      </c>
      <c r="F2311" s="7" t="str">
        <f>IFERROR(__xludf.DUMMYFUNCTION("""COMPUTED_VALUE"""),"MOTORCYCLE")</f>
        <v>MOTORCYCLE</v>
      </c>
      <c r="G2311" s="7" t="str">
        <f>IFERROR(__xludf.DUMMYFUNCTION("""COMPUTED_VALUE"""),"SAO PAULO")</f>
        <v>SAO PAULO</v>
      </c>
    </row>
    <row r="2312">
      <c r="A2312" s="6">
        <f>IFERROR(__xludf.DUMMYFUNCTION("""COMPUTED_VALUE"""),45705.0)</f>
        <v>45705</v>
      </c>
      <c r="B2312" s="7" t="str">
        <f>IFERROR(__xludf.DUMMYFUNCTION("""COMPUTED_VALUE"""),"fffb6324-363b-443a-b8d2-f3a8b1cbb213")</f>
        <v>fffb6324-363b-443a-b8d2-f3a8b1cbb213</v>
      </c>
      <c r="C2312" s="7">
        <f>IFERROR(__xludf.DUMMYFUNCTION("""COMPUTED_VALUE"""),0.0)</f>
        <v>0</v>
      </c>
      <c r="D2312" s="6">
        <f>IFERROR(__xludf.DUMMYFUNCTION("""COMPUTED_VALUE"""),45705.0)</f>
        <v>45705</v>
      </c>
      <c r="E2312" s="7" t="str">
        <f>IFERROR(__xludf.DUMMYFUNCTION("""COMPUTED_VALUE"""),"FRANQUIA_D&amp;G_SP")</f>
        <v>FRANQUIA_D&amp;G_SP</v>
      </c>
      <c r="F2312" s="7" t="str">
        <f>IFERROR(__xludf.DUMMYFUNCTION("""COMPUTED_VALUE"""),"BICYCLE")</f>
        <v>BICYCLE</v>
      </c>
      <c r="G2312" s="7" t="str">
        <f>IFERROR(__xludf.DUMMYFUNCTION("""COMPUTED_VALUE"""),"SAO PAULO")</f>
        <v>SAO PAULO</v>
      </c>
    </row>
    <row r="2313">
      <c r="A2313" s="6">
        <f>IFERROR(__xludf.DUMMYFUNCTION("""COMPUTED_VALUE"""),45705.0)</f>
        <v>45705</v>
      </c>
      <c r="B2313" s="7" t="str">
        <f>IFERROR(__xludf.DUMMYFUNCTION("""COMPUTED_VALUE"""),"57a98026-6ca0-42dd-aec4-36bd0302a46d")</f>
        <v>57a98026-6ca0-42dd-aec4-36bd0302a46d</v>
      </c>
      <c r="C2313" s="7">
        <f>IFERROR(__xludf.DUMMYFUNCTION("""COMPUTED_VALUE"""),0.0)</f>
        <v>0</v>
      </c>
      <c r="D2313" s="6">
        <f>IFERROR(__xludf.DUMMYFUNCTION("""COMPUTED_VALUE"""),45705.0)</f>
        <v>45705</v>
      </c>
      <c r="E2313" s="7" t="str">
        <f>IFERROR(__xludf.DUMMYFUNCTION("""COMPUTED_VALUE"""),"FRANQUIA_D&amp;G_SP")</f>
        <v>FRANQUIA_D&amp;G_SP</v>
      </c>
      <c r="F2313" s="7" t="str">
        <f>IFERROR(__xludf.DUMMYFUNCTION("""COMPUTED_VALUE"""),"MOTORCYCLE")</f>
        <v>MOTORCYCLE</v>
      </c>
      <c r="G2313" s="7" t="str">
        <f>IFERROR(__xludf.DUMMYFUNCTION("""COMPUTED_VALUE"""),"SAO PAULO")</f>
        <v>SAO PAULO</v>
      </c>
    </row>
    <row r="2314">
      <c r="A2314" s="6">
        <f>IFERROR(__xludf.DUMMYFUNCTION("""COMPUTED_VALUE"""),45705.0)</f>
        <v>45705</v>
      </c>
      <c r="B2314" s="7" t="str">
        <f>IFERROR(__xludf.DUMMYFUNCTION("""COMPUTED_VALUE"""),"7a622d9d-30e4-4833-a38b-49f385f1a9d4")</f>
        <v>7a622d9d-30e4-4833-a38b-49f385f1a9d4</v>
      </c>
      <c r="C2314" s="7">
        <f>IFERROR(__xludf.DUMMYFUNCTION("""COMPUTED_VALUE"""),38.0)</f>
        <v>38</v>
      </c>
      <c r="D2314" s="6">
        <f>IFERROR(__xludf.DUMMYFUNCTION("""COMPUTED_VALUE"""),45667.0)</f>
        <v>45667</v>
      </c>
      <c r="E2314" s="7" t="str">
        <f>IFERROR(__xludf.DUMMYFUNCTION("""COMPUTED_VALUE"""),"FRANQUIA_D&amp;G_SP")</f>
        <v>FRANQUIA_D&amp;G_SP</v>
      </c>
      <c r="F2314" s="7" t="str">
        <f>IFERROR(__xludf.DUMMYFUNCTION("""COMPUTED_VALUE"""),"MOTORCYCLE")</f>
        <v>MOTORCYCLE</v>
      </c>
      <c r="G2314" s="7" t="str">
        <f>IFERROR(__xludf.DUMMYFUNCTION("""COMPUTED_VALUE"""),"SAO PAULO")</f>
        <v>SAO PAULO</v>
      </c>
    </row>
    <row r="2315">
      <c r="A2315" s="6">
        <f>IFERROR(__xludf.DUMMYFUNCTION("""COMPUTED_VALUE"""),45705.0)</f>
        <v>45705</v>
      </c>
      <c r="B2315" s="7" t="str">
        <f>IFERROR(__xludf.DUMMYFUNCTION("""COMPUTED_VALUE"""),"b830c4b6-b179-43b5-81ef-ea8aa514a544")</f>
        <v>b830c4b6-b179-43b5-81ef-ea8aa514a544</v>
      </c>
      <c r="C2315" s="7">
        <f>IFERROR(__xludf.DUMMYFUNCTION("""COMPUTED_VALUE"""),17.0)</f>
        <v>17</v>
      </c>
      <c r="D2315" s="6">
        <f>IFERROR(__xludf.DUMMYFUNCTION("""COMPUTED_VALUE"""),45688.0)</f>
        <v>45688</v>
      </c>
      <c r="E2315" s="7" t="str">
        <f>IFERROR(__xludf.DUMMYFUNCTION("""COMPUTED_VALUE"""),"FRANQUIA_D&amp;G_SP")</f>
        <v>FRANQUIA_D&amp;G_SP</v>
      </c>
      <c r="F2315" s="7" t="str">
        <f>IFERROR(__xludf.DUMMYFUNCTION("""COMPUTED_VALUE"""),"MOTORCYCLE")</f>
        <v>MOTORCYCLE</v>
      </c>
      <c r="G2315" s="7" t="str">
        <f>IFERROR(__xludf.DUMMYFUNCTION("""COMPUTED_VALUE"""),"SAO PAULO")</f>
        <v>SAO PAULO</v>
      </c>
    </row>
    <row r="2316">
      <c r="A2316" s="6">
        <f>IFERROR(__xludf.DUMMYFUNCTION("""COMPUTED_VALUE"""),45705.0)</f>
        <v>45705</v>
      </c>
      <c r="B2316" s="7" t="str">
        <f>IFERROR(__xludf.DUMMYFUNCTION("""COMPUTED_VALUE"""),"8aaa4a7e-3ced-4742-91bd-666aca2483c0")</f>
        <v>8aaa4a7e-3ced-4742-91bd-666aca2483c0</v>
      </c>
      <c r="C2316" s="7">
        <f>IFERROR(__xludf.DUMMYFUNCTION("""COMPUTED_VALUE"""),16.0)</f>
        <v>16</v>
      </c>
      <c r="D2316" s="6">
        <f>IFERROR(__xludf.DUMMYFUNCTION("""COMPUTED_VALUE"""),45689.0)</f>
        <v>45689</v>
      </c>
      <c r="E2316" s="7" t="str">
        <f>IFERROR(__xludf.DUMMYFUNCTION("""COMPUTED_VALUE"""),"FRANQUIA_D&amp;G_SP")</f>
        <v>FRANQUIA_D&amp;G_SP</v>
      </c>
      <c r="F2316" s="7" t="str">
        <f>IFERROR(__xludf.DUMMYFUNCTION("""COMPUTED_VALUE"""),"MOTORCYCLE")</f>
        <v>MOTORCYCLE</v>
      </c>
      <c r="G2316" s="7" t="str">
        <f>IFERROR(__xludf.DUMMYFUNCTION("""COMPUTED_VALUE"""),"SAO PAULO")</f>
        <v>SAO PAULO</v>
      </c>
    </row>
    <row r="2317">
      <c r="A2317" s="6">
        <f>IFERROR(__xludf.DUMMYFUNCTION("""COMPUTED_VALUE"""),45705.0)</f>
        <v>45705</v>
      </c>
      <c r="B2317" s="7" t="str">
        <f>IFERROR(__xludf.DUMMYFUNCTION("""COMPUTED_VALUE"""),"2e8eed97-5a19-4bea-bcdc-da900331cc36")</f>
        <v>2e8eed97-5a19-4bea-bcdc-da900331cc36</v>
      </c>
      <c r="C2317" s="7">
        <f>IFERROR(__xludf.DUMMYFUNCTION("""COMPUTED_VALUE"""),0.0)</f>
        <v>0</v>
      </c>
      <c r="D2317" s="6">
        <f>IFERROR(__xludf.DUMMYFUNCTION("""COMPUTED_VALUE"""),45705.0)</f>
        <v>45705</v>
      </c>
      <c r="E2317" s="7" t="str">
        <f>IFERROR(__xludf.DUMMYFUNCTION("""COMPUTED_VALUE"""),"FRANQUIA_D&amp;G_SP")</f>
        <v>FRANQUIA_D&amp;G_SP</v>
      </c>
      <c r="F2317" s="7" t="str">
        <f>IFERROR(__xludf.DUMMYFUNCTION("""COMPUTED_VALUE"""),"MOTORCYCLE")</f>
        <v>MOTORCYCLE</v>
      </c>
      <c r="G2317" s="7" t="str">
        <f>IFERROR(__xludf.DUMMYFUNCTION("""COMPUTED_VALUE"""),"SAO PAULO")</f>
        <v>SAO PAULO</v>
      </c>
    </row>
    <row r="2318">
      <c r="A2318" s="6">
        <f>IFERROR(__xludf.DUMMYFUNCTION("""COMPUTED_VALUE"""),45705.0)</f>
        <v>45705</v>
      </c>
      <c r="B2318" s="7" t="str">
        <f>IFERROR(__xludf.DUMMYFUNCTION("""COMPUTED_VALUE"""),"0b14ba0e-cfa6-457a-a348-6257eb0751e0")</f>
        <v>0b14ba0e-cfa6-457a-a348-6257eb0751e0</v>
      </c>
      <c r="C2318" s="7">
        <f>IFERROR(__xludf.DUMMYFUNCTION("""COMPUTED_VALUE"""),0.0)</f>
        <v>0</v>
      </c>
      <c r="D2318" s="6">
        <f>IFERROR(__xludf.DUMMYFUNCTION("""COMPUTED_VALUE"""),45705.0)</f>
        <v>45705</v>
      </c>
      <c r="E2318" s="7" t="str">
        <f>IFERROR(__xludf.DUMMYFUNCTION("""COMPUTED_VALUE"""),"FRANQUIA_D&amp;G_SP")</f>
        <v>FRANQUIA_D&amp;G_SP</v>
      </c>
      <c r="F2318" s="7" t="str">
        <f>IFERROR(__xludf.DUMMYFUNCTION("""COMPUTED_VALUE"""),"MOTORCYCLE")</f>
        <v>MOTORCYCLE</v>
      </c>
      <c r="G2318" s="7" t="str">
        <f>IFERROR(__xludf.DUMMYFUNCTION("""COMPUTED_VALUE"""),"SAO PAULO")</f>
        <v>SAO PAULO</v>
      </c>
    </row>
    <row r="2319">
      <c r="A2319" s="6">
        <f>IFERROR(__xludf.DUMMYFUNCTION("""COMPUTED_VALUE"""),45705.0)</f>
        <v>45705</v>
      </c>
      <c r="B2319" s="7" t="str">
        <f>IFERROR(__xludf.DUMMYFUNCTION("""COMPUTED_VALUE"""),"5a743e3c-1b74-40b7-8452-fdb05377e800")</f>
        <v>5a743e3c-1b74-40b7-8452-fdb05377e800</v>
      </c>
      <c r="C2319" s="7">
        <f>IFERROR(__xludf.DUMMYFUNCTION("""COMPUTED_VALUE"""),243.0)</f>
        <v>243</v>
      </c>
      <c r="D2319" s="6">
        <f>IFERROR(__xludf.DUMMYFUNCTION("""COMPUTED_VALUE"""),45462.0)</f>
        <v>45462</v>
      </c>
      <c r="E2319" s="7" t="str">
        <f>IFERROR(__xludf.DUMMYFUNCTION("""COMPUTED_VALUE"""),"FRANQUIA_D&amp;G_SP")</f>
        <v>FRANQUIA_D&amp;G_SP</v>
      </c>
      <c r="F2319" s="7" t="str">
        <f>IFERROR(__xludf.DUMMYFUNCTION("""COMPUTED_VALUE"""),"BICYCLE")</f>
        <v>BICYCLE</v>
      </c>
      <c r="G2319" s="7" t="str">
        <f>IFERROR(__xludf.DUMMYFUNCTION("""COMPUTED_VALUE"""),"SAO PAULO")</f>
        <v>SAO PAULO</v>
      </c>
    </row>
    <row r="2320">
      <c r="A2320" s="6">
        <f>IFERROR(__xludf.DUMMYFUNCTION("""COMPUTED_VALUE"""),45705.0)</f>
        <v>45705</v>
      </c>
      <c r="B2320" s="7" t="str">
        <f>IFERROR(__xludf.DUMMYFUNCTION("""COMPUTED_VALUE"""),"c2e3627c-8469-4528-b8b6-2127b6fe024e")</f>
        <v>c2e3627c-8469-4528-b8b6-2127b6fe024e</v>
      </c>
      <c r="C2320" s="7">
        <f>IFERROR(__xludf.DUMMYFUNCTION("""COMPUTED_VALUE"""),1.0)</f>
        <v>1</v>
      </c>
      <c r="D2320" s="6">
        <f>IFERROR(__xludf.DUMMYFUNCTION("""COMPUTED_VALUE"""),45704.0)</f>
        <v>45704</v>
      </c>
      <c r="E2320" s="7" t="str">
        <f>IFERROR(__xludf.DUMMYFUNCTION("""COMPUTED_VALUE"""),"FRANQUIA_D&amp;G_SP")</f>
        <v>FRANQUIA_D&amp;G_SP</v>
      </c>
      <c r="F2320" s="7" t="str">
        <f>IFERROR(__xludf.DUMMYFUNCTION("""COMPUTED_VALUE"""),"MOTORCYCLE")</f>
        <v>MOTORCYCLE</v>
      </c>
      <c r="G2320" s="7" t="str">
        <f>IFERROR(__xludf.DUMMYFUNCTION("""COMPUTED_VALUE"""),"SAO PAULO")</f>
        <v>SAO PAULO</v>
      </c>
    </row>
    <row r="2321">
      <c r="A2321" s="6">
        <f>IFERROR(__xludf.DUMMYFUNCTION("""COMPUTED_VALUE"""),45705.0)</f>
        <v>45705</v>
      </c>
      <c r="B2321" s="7" t="str">
        <f>IFERROR(__xludf.DUMMYFUNCTION("""COMPUTED_VALUE"""),"b263436f-4a52-415c-9b1f-7291c973b8c5")</f>
        <v>b263436f-4a52-415c-9b1f-7291c973b8c5</v>
      </c>
      <c r="C2321" s="7">
        <f>IFERROR(__xludf.DUMMYFUNCTION("""COMPUTED_VALUE"""),8.0)</f>
        <v>8</v>
      </c>
      <c r="D2321" s="6">
        <f>IFERROR(__xludf.DUMMYFUNCTION("""COMPUTED_VALUE"""),45697.0)</f>
        <v>45697</v>
      </c>
      <c r="E2321" s="7" t="str">
        <f>IFERROR(__xludf.DUMMYFUNCTION("""COMPUTED_VALUE"""),"FRANQUIA_D&amp;G_SP")</f>
        <v>FRANQUIA_D&amp;G_SP</v>
      </c>
      <c r="F2321" s="7" t="str">
        <f>IFERROR(__xludf.DUMMYFUNCTION("""COMPUTED_VALUE"""),"BICYCLE")</f>
        <v>BICYCLE</v>
      </c>
      <c r="G2321" s="7" t="str">
        <f>IFERROR(__xludf.DUMMYFUNCTION("""COMPUTED_VALUE"""),"SAO PAULO")</f>
        <v>SAO PAULO</v>
      </c>
    </row>
    <row r="2322">
      <c r="A2322" s="6">
        <f>IFERROR(__xludf.DUMMYFUNCTION("""COMPUTED_VALUE"""),45705.0)</f>
        <v>45705</v>
      </c>
      <c r="B2322" s="7" t="str">
        <f>IFERROR(__xludf.DUMMYFUNCTION("""COMPUTED_VALUE"""),"77eeb03c-40d8-460d-99a7-7309d7ae0f00")</f>
        <v>77eeb03c-40d8-460d-99a7-7309d7ae0f00</v>
      </c>
      <c r="C2322" s="7">
        <f>IFERROR(__xludf.DUMMYFUNCTION("""COMPUTED_VALUE"""),0.0)</f>
        <v>0</v>
      </c>
      <c r="D2322" s="6">
        <f>IFERROR(__xludf.DUMMYFUNCTION("""COMPUTED_VALUE"""),45705.0)</f>
        <v>45705</v>
      </c>
      <c r="E2322" s="7" t="str">
        <f>IFERROR(__xludf.DUMMYFUNCTION("""COMPUTED_VALUE"""),"FRANQUIA_D&amp;G_SP")</f>
        <v>FRANQUIA_D&amp;G_SP</v>
      </c>
      <c r="F2322" s="7" t="str">
        <f>IFERROR(__xludf.DUMMYFUNCTION("""COMPUTED_VALUE"""),"BICYCLE")</f>
        <v>BICYCLE</v>
      </c>
      <c r="G2322" s="7" t="str">
        <f>IFERROR(__xludf.DUMMYFUNCTION("""COMPUTED_VALUE"""),"SAO PAULO")</f>
        <v>SAO PAULO</v>
      </c>
    </row>
    <row r="2323">
      <c r="A2323" s="6">
        <f>IFERROR(__xludf.DUMMYFUNCTION("""COMPUTED_VALUE"""),45705.0)</f>
        <v>45705</v>
      </c>
      <c r="B2323" s="7" t="str">
        <f>IFERROR(__xludf.DUMMYFUNCTION("""COMPUTED_VALUE"""),"d3816667-a351-40d4-b313-53b2ea8ef36a")</f>
        <v>d3816667-a351-40d4-b313-53b2ea8ef36a</v>
      </c>
      <c r="C2323" s="7">
        <f>IFERROR(__xludf.DUMMYFUNCTION("""COMPUTED_VALUE"""),0.0)</f>
        <v>0</v>
      </c>
      <c r="D2323" s="6">
        <f>IFERROR(__xludf.DUMMYFUNCTION("""COMPUTED_VALUE"""),45705.0)</f>
        <v>45705</v>
      </c>
      <c r="E2323" s="7" t="str">
        <f>IFERROR(__xludf.DUMMYFUNCTION("""COMPUTED_VALUE"""),"FRANQUIA_D&amp;G_SP")</f>
        <v>FRANQUIA_D&amp;G_SP</v>
      </c>
      <c r="F2323" s="7" t="str">
        <f>IFERROR(__xludf.DUMMYFUNCTION("""COMPUTED_VALUE"""),"BICYCLE")</f>
        <v>BICYCLE</v>
      </c>
      <c r="G2323" s="7" t="str">
        <f>IFERROR(__xludf.DUMMYFUNCTION("""COMPUTED_VALUE"""),"SAO PAULO")</f>
        <v>SAO PAULO</v>
      </c>
    </row>
    <row r="2324">
      <c r="A2324" s="6">
        <f>IFERROR(__xludf.DUMMYFUNCTION("""COMPUTED_VALUE"""),45705.0)</f>
        <v>45705</v>
      </c>
      <c r="B2324" s="7" t="str">
        <f>IFERROR(__xludf.DUMMYFUNCTION("""COMPUTED_VALUE"""),"bc518c3c-4182-4171-9e0f-a61aca2ee915")</f>
        <v>bc518c3c-4182-4171-9e0f-a61aca2ee915</v>
      </c>
      <c r="C2324" s="7">
        <f>IFERROR(__xludf.DUMMYFUNCTION("""COMPUTED_VALUE"""),0.0)</f>
        <v>0</v>
      </c>
      <c r="D2324" s="6">
        <f>IFERROR(__xludf.DUMMYFUNCTION("""COMPUTED_VALUE"""),45705.0)</f>
        <v>45705</v>
      </c>
      <c r="E2324" s="7" t="str">
        <f>IFERROR(__xludf.DUMMYFUNCTION("""COMPUTED_VALUE"""),"FRANQUIA_D&amp;G_SP")</f>
        <v>FRANQUIA_D&amp;G_SP</v>
      </c>
      <c r="F2324" s="7" t="str">
        <f>IFERROR(__xludf.DUMMYFUNCTION("""COMPUTED_VALUE"""),"BICYCLE")</f>
        <v>BICYCLE</v>
      </c>
      <c r="G2324" s="7" t="str">
        <f>IFERROR(__xludf.DUMMYFUNCTION("""COMPUTED_VALUE"""),"SAO PAULO")</f>
        <v>SAO PAULO</v>
      </c>
    </row>
    <row r="2325">
      <c r="A2325" s="6">
        <f>IFERROR(__xludf.DUMMYFUNCTION("""COMPUTED_VALUE"""),45705.0)</f>
        <v>45705</v>
      </c>
      <c r="B2325" s="7" t="str">
        <f>IFERROR(__xludf.DUMMYFUNCTION("""COMPUTED_VALUE"""),"5bd0027e-2823-433f-8c3b-23aaf24657a8")</f>
        <v>5bd0027e-2823-433f-8c3b-23aaf24657a8</v>
      </c>
      <c r="C2325" s="7">
        <f>IFERROR(__xludf.DUMMYFUNCTION("""COMPUTED_VALUE"""),1.0)</f>
        <v>1</v>
      </c>
      <c r="D2325" s="6">
        <f>IFERROR(__xludf.DUMMYFUNCTION("""COMPUTED_VALUE"""),45704.0)</f>
        <v>45704</v>
      </c>
      <c r="E2325" s="7" t="str">
        <f>IFERROR(__xludf.DUMMYFUNCTION("""COMPUTED_VALUE"""),"FRANQUIA_D&amp;G_SP")</f>
        <v>FRANQUIA_D&amp;G_SP</v>
      </c>
      <c r="F2325" s="7" t="str">
        <f>IFERROR(__xludf.DUMMYFUNCTION("""COMPUTED_VALUE"""),"MOTORCYCLE")</f>
        <v>MOTORCYCLE</v>
      </c>
      <c r="G2325" s="7" t="str">
        <f>IFERROR(__xludf.DUMMYFUNCTION("""COMPUTED_VALUE"""),"SAO PAULO")</f>
        <v>SAO PAULO</v>
      </c>
    </row>
    <row r="2326">
      <c r="A2326" s="6">
        <f>IFERROR(__xludf.DUMMYFUNCTION("""COMPUTED_VALUE"""),45705.0)</f>
        <v>45705</v>
      </c>
      <c r="B2326" s="7" t="str">
        <f>IFERROR(__xludf.DUMMYFUNCTION("""COMPUTED_VALUE"""),"39da9d19-f2b5-48b8-918a-4d114112a052")</f>
        <v>39da9d19-f2b5-48b8-918a-4d114112a052</v>
      </c>
      <c r="C2326" s="7">
        <f>IFERROR(__xludf.DUMMYFUNCTION("""COMPUTED_VALUE"""),0.0)</f>
        <v>0</v>
      </c>
      <c r="D2326" s="6">
        <f>IFERROR(__xludf.DUMMYFUNCTION("""COMPUTED_VALUE"""),45705.0)</f>
        <v>45705</v>
      </c>
      <c r="E2326" s="7" t="str">
        <f>IFERROR(__xludf.DUMMYFUNCTION("""COMPUTED_VALUE"""),"FRANQUIA_D&amp;G_SP")</f>
        <v>FRANQUIA_D&amp;G_SP</v>
      </c>
      <c r="F2326" s="7" t="str">
        <f>IFERROR(__xludf.DUMMYFUNCTION("""COMPUTED_VALUE"""),"MOTORCYCLE")</f>
        <v>MOTORCYCLE</v>
      </c>
      <c r="G2326" s="7" t="str">
        <f>IFERROR(__xludf.DUMMYFUNCTION("""COMPUTED_VALUE"""),"SAO PAULO")</f>
        <v>SAO PAULO</v>
      </c>
    </row>
    <row r="2327">
      <c r="A2327" s="6">
        <f>IFERROR(__xludf.DUMMYFUNCTION("""COMPUTED_VALUE"""),45705.0)</f>
        <v>45705</v>
      </c>
      <c r="B2327" s="7" t="str">
        <f>IFERROR(__xludf.DUMMYFUNCTION("""COMPUTED_VALUE"""),"e3bd8ffb-a2b0-4d77-9c3c-1ec8c8ef0c40")</f>
        <v>e3bd8ffb-a2b0-4d77-9c3c-1ec8c8ef0c40</v>
      </c>
      <c r="C2327" s="7">
        <f>IFERROR(__xludf.DUMMYFUNCTION("""COMPUTED_VALUE"""),0.0)</f>
        <v>0</v>
      </c>
      <c r="D2327" s="6">
        <f>IFERROR(__xludf.DUMMYFUNCTION("""COMPUTED_VALUE"""),45705.0)</f>
        <v>45705</v>
      </c>
      <c r="E2327" s="7" t="str">
        <f>IFERROR(__xludf.DUMMYFUNCTION("""COMPUTED_VALUE"""),"FRANQUIA_D&amp;G_SP")</f>
        <v>FRANQUIA_D&amp;G_SP</v>
      </c>
      <c r="F2327" s="7" t="str">
        <f>IFERROR(__xludf.DUMMYFUNCTION("""COMPUTED_VALUE"""),"MOTORCYCLE")</f>
        <v>MOTORCYCLE</v>
      </c>
      <c r="G2327" s="7" t="str">
        <f>IFERROR(__xludf.DUMMYFUNCTION("""COMPUTED_VALUE"""),"SAO PAULO")</f>
        <v>SAO PAULO</v>
      </c>
    </row>
    <row r="2328">
      <c r="A2328" s="6">
        <f>IFERROR(__xludf.DUMMYFUNCTION("""COMPUTED_VALUE"""),45705.0)</f>
        <v>45705</v>
      </c>
      <c r="B2328" s="7" t="str">
        <f>IFERROR(__xludf.DUMMYFUNCTION("""COMPUTED_VALUE"""),"34e104fb-33c7-470c-9c3c-8f9dabbb4304")</f>
        <v>34e104fb-33c7-470c-9c3c-8f9dabbb4304</v>
      </c>
      <c r="C2328" s="7">
        <f>IFERROR(__xludf.DUMMYFUNCTION("""COMPUTED_VALUE"""),28.0)</f>
        <v>28</v>
      </c>
      <c r="D2328" s="6">
        <f>IFERROR(__xludf.DUMMYFUNCTION("""COMPUTED_VALUE"""),45677.0)</f>
        <v>45677</v>
      </c>
      <c r="E2328" s="7" t="str">
        <f>IFERROR(__xludf.DUMMYFUNCTION("""COMPUTED_VALUE"""),"FRANQUIA_D&amp;G_SP")</f>
        <v>FRANQUIA_D&amp;G_SP</v>
      </c>
      <c r="F2328" s="7" t="str">
        <f>IFERROR(__xludf.DUMMYFUNCTION("""COMPUTED_VALUE"""),"BICYCLE")</f>
        <v>BICYCLE</v>
      </c>
      <c r="G2328" s="7" t="str">
        <f>IFERROR(__xludf.DUMMYFUNCTION("""COMPUTED_VALUE"""),"SAO PAULO")</f>
        <v>SAO PAULO</v>
      </c>
    </row>
    <row r="2329">
      <c r="A2329" s="6">
        <f>IFERROR(__xludf.DUMMYFUNCTION("""COMPUTED_VALUE"""),45705.0)</f>
        <v>45705</v>
      </c>
      <c r="B2329" s="7" t="str">
        <f>IFERROR(__xludf.DUMMYFUNCTION("""COMPUTED_VALUE"""),"9bf4ca0e-eebb-4751-926f-a641189d059e")</f>
        <v>9bf4ca0e-eebb-4751-926f-a641189d059e</v>
      </c>
      <c r="C2329" s="7">
        <f>IFERROR(__xludf.DUMMYFUNCTION("""COMPUTED_VALUE"""),0.0)</f>
        <v>0</v>
      </c>
      <c r="D2329" s="6">
        <f>IFERROR(__xludf.DUMMYFUNCTION("""COMPUTED_VALUE"""),45705.0)</f>
        <v>45705</v>
      </c>
      <c r="E2329" s="7" t="str">
        <f>IFERROR(__xludf.DUMMYFUNCTION("""COMPUTED_VALUE"""),"FRANQUIA_D&amp;G_SP")</f>
        <v>FRANQUIA_D&amp;G_SP</v>
      </c>
      <c r="F2329" s="7" t="str">
        <f>IFERROR(__xludf.DUMMYFUNCTION("""COMPUTED_VALUE"""),"MOTORCYCLE")</f>
        <v>MOTORCYCLE</v>
      </c>
      <c r="G2329" s="7" t="str">
        <f>IFERROR(__xludf.DUMMYFUNCTION("""COMPUTED_VALUE"""),"SAO PAULO")</f>
        <v>SAO PAULO</v>
      </c>
    </row>
    <row r="2330">
      <c r="A2330" s="6">
        <f>IFERROR(__xludf.DUMMYFUNCTION("""COMPUTED_VALUE"""),45705.0)</f>
        <v>45705</v>
      </c>
      <c r="B2330" s="7" t="str">
        <f>IFERROR(__xludf.DUMMYFUNCTION("""COMPUTED_VALUE"""),"64b8115c-5db1-460d-82ea-9a945ed04221")</f>
        <v>64b8115c-5db1-460d-82ea-9a945ed04221</v>
      </c>
      <c r="C2330" s="7">
        <f>IFERROR(__xludf.DUMMYFUNCTION("""COMPUTED_VALUE"""),718.0)</f>
        <v>718</v>
      </c>
      <c r="D2330" s="6">
        <f>IFERROR(__xludf.DUMMYFUNCTION("""COMPUTED_VALUE"""),44987.0)</f>
        <v>44987</v>
      </c>
      <c r="E2330" s="7" t="str">
        <f>IFERROR(__xludf.DUMMYFUNCTION("""COMPUTED_VALUE"""),"FRANQUIA_D&amp;G_SP")</f>
        <v>FRANQUIA_D&amp;G_SP</v>
      </c>
      <c r="F2330" s="7" t="str">
        <f>IFERROR(__xludf.DUMMYFUNCTION("""COMPUTED_VALUE"""),"BICYCLE")</f>
        <v>BICYCLE</v>
      </c>
      <c r="G2330" s="7" t="str">
        <f>IFERROR(__xludf.DUMMYFUNCTION("""COMPUTED_VALUE"""),"SAO PAULO")</f>
        <v>SAO PAULO</v>
      </c>
    </row>
    <row r="2331">
      <c r="A2331" s="6">
        <f>IFERROR(__xludf.DUMMYFUNCTION("""COMPUTED_VALUE"""),45705.0)</f>
        <v>45705</v>
      </c>
      <c r="B2331" s="7" t="str">
        <f>IFERROR(__xludf.DUMMYFUNCTION("""COMPUTED_VALUE"""),"0f51cca2-7800-46ba-ab8c-b665549ee91d")</f>
        <v>0f51cca2-7800-46ba-ab8c-b665549ee91d</v>
      </c>
      <c r="C2331" s="7">
        <f>IFERROR(__xludf.DUMMYFUNCTION("""COMPUTED_VALUE"""),312.0)</f>
        <v>312</v>
      </c>
      <c r="D2331" s="6">
        <f>IFERROR(__xludf.DUMMYFUNCTION("""COMPUTED_VALUE"""),45393.0)</f>
        <v>45393</v>
      </c>
      <c r="E2331" s="7" t="str">
        <f>IFERROR(__xludf.DUMMYFUNCTION("""COMPUTED_VALUE"""),"FRANQUIA_D&amp;G_SP")</f>
        <v>FRANQUIA_D&amp;G_SP</v>
      </c>
      <c r="F2331" s="7" t="str">
        <f>IFERROR(__xludf.DUMMYFUNCTION("""COMPUTED_VALUE"""),"BICYCLE")</f>
        <v>BICYCLE</v>
      </c>
      <c r="G2331" s="7" t="str">
        <f>IFERROR(__xludf.DUMMYFUNCTION("""COMPUTED_VALUE"""),"SAO PAULO")</f>
        <v>SAO PAULO</v>
      </c>
    </row>
    <row r="2332">
      <c r="A2332" s="6">
        <f>IFERROR(__xludf.DUMMYFUNCTION("""COMPUTED_VALUE"""),45705.0)</f>
        <v>45705</v>
      </c>
      <c r="B2332" s="7" t="str">
        <f>IFERROR(__xludf.DUMMYFUNCTION("""COMPUTED_VALUE"""),"3039abeb-1ca1-46ad-bc5c-3d61c488a465")</f>
        <v>3039abeb-1ca1-46ad-bc5c-3d61c488a465</v>
      </c>
      <c r="C2332" s="7">
        <f>IFERROR(__xludf.DUMMYFUNCTION("""COMPUTED_VALUE"""),0.0)</f>
        <v>0</v>
      </c>
      <c r="D2332" s="6">
        <f>IFERROR(__xludf.DUMMYFUNCTION("""COMPUTED_VALUE"""),45705.0)</f>
        <v>45705</v>
      </c>
      <c r="E2332" s="7" t="str">
        <f>IFERROR(__xludf.DUMMYFUNCTION("""COMPUTED_VALUE"""),"FRANQUIA_D&amp;G_SP")</f>
        <v>FRANQUIA_D&amp;G_SP</v>
      </c>
      <c r="F2332" s="7" t="str">
        <f>IFERROR(__xludf.DUMMYFUNCTION("""COMPUTED_VALUE"""),"BICYCLE")</f>
        <v>BICYCLE</v>
      </c>
      <c r="G2332" s="7" t="str">
        <f>IFERROR(__xludf.DUMMYFUNCTION("""COMPUTED_VALUE"""),"SAO PAULO")</f>
        <v>SAO PAULO</v>
      </c>
    </row>
    <row r="2333">
      <c r="A2333" s="6">
        <f>IFERROR(__xludf.DUMMYFUNCTION("""COMPUTED_VALUE"""),45705.0)</f>
        <v>45705</v>
      </c>
      <c r="B2333" s="7" t="str">
        <f>IFERROR(__xludf.DUMMYFUNCTION("""COMPUTED_VALUE"""),"91152e7b-e156-43e0-b264-c6d021e47523")</f>
        <v>91152e7b-e156-43e0-b264-c6d021e47523</v>
      </c>
      <c r="C2333" s="7">
        <f>IFERROR(__xludf.DUMMYFUNCTION("""COMPUTED_VALUE"""),0.0)</f>
        <v>0</v>
      </c>
      <c r="D2333" s="6">
        <f>IFERROR(__xludf.DUMMYFUNCTION("""COMPUTED_VALUE"""),45705.0)</f>
        <v>45705</v>
      </c>
      <c r="E2333" s="7" t="str">
        <f>IFERROR(__xludf.DUMMYFUNCTION("""COMPUTED_VALUE"""),"FRANQUIA_D&amp;G_SP")</f>
        <v>FRANQUIA_D&amp;G_SP</v>
      </c>
      <c r="F2333" s="7" t="str">
        <f>IFERROR(__xludf.DUMMYFUNCTION("""COMPUTED_VALUE"""),"MOTORCYCLE")</f>
        <v>MOTORCYCLE</v>
      </c>
      <c r="G2333" s="7" t="str">
        <f>IFERROR(__xludf.DUMMYFUNCTION("""COMPUTED_VALUE"""),"SAO PAULO")</f>
        <v>SAO PAULO</v>
      </c>
    </row>
    <row r="2334">
      <c r="A2334" s="6">
        <f>IFERROR(__xludf.DUMMYFUNCTION("""COMPUTED_VALUE"""),45705.0)</f>
        <v>45705</v>
      </c>
      <c r="B2334" s="7" t="str">
        <f>IFERROR(__xludf.DUMMYFUNCTION("""COMPUTED_VALUE"""),"56e21b75-e3b2-4cc6-8fdf-2fe8b473b748")</f>
        <v>56e21b75-e3b2-4cc6-8fdf-2fe8b473b748</v>
      </c>
      <c r="C2334" s="7">
        <f>IFERROR(__xludf.DUMMYFUNCTION("""COMPUTED_VALUE"""),0.0)</f>
        <v>0</v>
      </c>
      <c r="D2334" s="6">
        <f>IFERROR(__xludf.DUMMYFUNCTION("""COMPUTED_VALUE"""),45705.0)</f>
        <v>45705</v>
      </c>
      <c r="E2334" s="7" t="str">
        <f>IFERROR(__xludf.DUMMYFUNCTION("""COMPUTED_VALUE"""),"FRANQUIA_D&amp;G_SP")</f>
        <v>FRANQUIA_D&amp;G_SP</v>
      </c>
      <c r="F2334" s="7" t="str">
        <f>IFERROR(__xludf.DUMMYFUNCTION("""COMPUTED_VALUE"""),"BICYCLE")</f>
        <v>BICYCLE</v>
      </c>
      <c r="G2334" s="7" t="str">
        <f>IFERROR(__xludf.DUMMYFUNCTION("""COMPUTED_VALUE"""),"SAO PAULO")</f>
        <v>SAO PAULO</v>
      </c>
    </row>
    <row r="2335">
      <c r="A2335" s="6">
        <f>IFERROR(__xludf.DUMMYFUNCTION("""COMPUTED_VALUE"""),45705.0)</f>
        <v>45705</v>
      </c>
      <c r="B2335" s="7" t="str">
        <f>IFERROR(__xludf.DUMMYFUNCTION("""COMPUTED_VALUE"""),"3932257d-2fd0-418c-b2d8-76ecd4d66398")</f>
        <v>3932257d-2fd0-418c-b2d8-76ecd4d66398</v>
      </c>
      <c r="C2335" s="7">
        <f>IFERROR(__xludf.DUMMYFUNCTION("""COMPUTED_VALUE"""),9.0)</f>
        <v>9</v>
      </c>
      <c r="D2335" s="6">
        <f>IFERROR(__xludf.DUMMYFUNCTION("""COMPUTED_VALUE"""),45696.0)</f>
        <v>45696</v>
      </c>
      <c r="E2335" s="7" t="str">
        <f>IFERROR(__xludf.DUMMYFUNCTION("""COMPUTED_VALUE"""),"FRANQUIA_D&amp;G_SP")</f>
        <v>FRANQUIA_D&amp;G_SP</v>
      </c>
      <c r="F2335" s="7" t="str">
        <f>IFERROR(__xludf.DUMMYFUNCTION("""COMPUTED_VALUE"""),"MOTORCYCLE")</f>
        <v>MOTORCYCLE</v>
      </c>
      <c r="G2335" s="7" t="str">
        <f>IFERROR(__xludf.DUMMYFUNCTION("""COMPUTED_VALUE"""),"SAO PAULO")</f>
        <v>SAO PAULO</v>
      </c>
    </row>
    <row r="2336">
      <c r="A2336" s="6">
        <f>IFERROR(__xludf.DUMMYFUNCTION("""COMPUTED_VALUE"""),45705.0)</f>
        <v>45705</v>
      </c>
      <c r="B2336" s="7" t="str">
        <f>IFERROR(__xludf.DUMMYFUNCTION("""COMPUTED_VALUE"""),"0c34e932-ea92-47c9-9169-847c06af29c0")</f>
        <v>0c34e932-ea92-47c9-9169-847c06af29c0</v>
      </c>
      <c r="C2336" s="7">
        <f>IFERROR(__xludf.DUMMYFUNCTION("""COMPUTED_VALUE"""),0.0)</f>
        <v>0</v>
      </c>
      <c r="D2336" s="6">
        <f>IFERROR(__xludf.DUMMYFUNCTION("""COMPUTED_VALUE"""),0.0)</f>
        <v>0</v>
      </c>
      <c r="E2336" s="7" t="str">
        <f>IFERROR(__xludf.DUMMYFUNCTION("""COMPUTED_VALUE"""),"FRANQUIA_D&amp;G_SP")</f>
        <v>FRANQUIA_D&amp;G_SP</v>
      </c>
      <c r="F2336" s="7" t="str">
        <f>IFERROR(__xludf.DUMMYFUNCTION("""COMPUTED_VALUE"""),"BICYCLE")</f>
        <v>BICYCLE</v>
      </c>
      <c r="G2336" s="7" t="str">
        <f>IFERROR(__xludf.DUMMYFUNCTION("""COMPUTED_VALUE"""),"0")</f>
        <v>0</v>
      </c>
    </row>
    <row r="2337">
      <c r="A2337" s="6">
        <f>IFERROR(__xludf.DUMMYFUNCTION("""COMPUTED_VALUE"""),45705.0)</f>
        <v>45705</v>
      </c>
      <c r="B2337" s="7" t="str">
        <f>IFERROR(__xludf.DUMMYFUNCTION("""COMPUTED_VALUE"""),"b464beb0-e778-4f35-bc83-6658e7e7e911")</f>
        <v>b464beb0-e778-4f35-bc83-6658e7e7e911</v>
      </c>
      <c r="C2337" s="7">
        <f>IFERROR(__xludf.DUMMYFUNCTION("""COMPUTED_VALUE"""),7.0)</f>
        <v>7</v>
      </c>
      <c r="D2337" s="6">
        <f>IFERROR(__xludf.DUMMYFUNCTION("""COMPUTED_VALUE"""),45698.0)</f>
        <v>45698</v>
      </c>
      <c r="E2337" s="7" t="str">
        <f>IFERROR(__xludf.DUMMYFUNCTION("""COMPUTED_VALUE"""),"FRANQUIA_D&amp;G_SP")</f>
        <v>FRANQUIA_D&amp;G_SP</v>
      </c>
      <c r="F2337" s="7" t="str">
        <f>IFERROR(__xludf.DUMMYFUNCTION("""COMPUTED_VALUE"""),"MOTORCYCLE")</f>
        <v>MOTORCYCLE</v>
      </c>
      <c r="G2337" s="7" t="str">
        <f>IFERROR(__xludf.DUMMYFUNCTION("""COMPUTED_VALUE"""),"SAO PAULO")</f>
        <v>SAO PAULO</v>
      </c>
    </row>
    <row r="2338">
      <c r="A2338" s="6">
        <f>IFERROR(__xludf.DUMMYFUNCTION("""COMPUTED_VALUE"""),45705.0)</f>
        <v>45705</v>
      </c>
      <c r="B2338" s="7" t="str">
        <f>IFERROR(__xludf.DUMMYFUNCTION("""COMPUTED_VALUE"""),"4b9eaff9-9be7-478c-bea4-e7cf54e07863")</f>
        <v>4b9eaff9-9be7-478c-bea4-e7cf54e07863</v>
      </c>
      <c r="C2338" s="7">
        <f>IFERROR(__xludf.DUMMYFUNCTION("""COMPUTED_VALUE"""),0.0)</f>
        <v>0</v>
      </c>
      <c r="D2338" s="6">
        <f>IFERROR(__xludf.DUMMYFUNCTION("""COMPUTED_VALUE"""),45705.0)</f>
        <v>45705</v>
      </c>
      <c r="E2338" s="7" t="str">
        <f>IFERROR(__xludf.DUMMYFUNCTION("""COMPUTED_VALUE"""),"FRANQUIA_D&amp;G_SP")</f>
        <v>FRANQUIA_D&amp;G_SP</v>
      </c>
      <c r="F2338" s="7" t="str">
        <f>IFERROR(__xludf.DUMMYFUNCTION("""COMPUTED_VALUE"""),"MOTORCYCLE")</f>
        <v>MOTORCYCLE</v>
      </c>
      <c r="G2338" s="7" t="str">
        <f>IFERROR(__xludf.DUMMYFUNCTION("""COMPUTED_VALUE"""),"SAO PAULO")</f>
        <v>SAO PAULO</v>
      </c>
    </row>
    <row r="2339">
      <c r="A2339" s="6">
        <f>IFERROR(__xludf.DUMMYFUNCTION("""COMPUTED_VALUE"""),45705.0)</f>
        <v>45705</v>
      </c>
      <c r="B2339" s="7" t="str">
        <f>IFERROR(__xludf.DUMMYFUNCTION("""COMPUTED_VALUE"""),"9d529224-0f8a-411e-94d2-4238363c66e8")</f>
        <v>9d529224-0f8a-411e-94d2-4238363c66e8</v>
      </c>
      <c r="C2339" s="7">
        <f>IFERROR(__xludf.DUMMYFUNCTION("""COMPUTED_VALUE"""),118.0)</f>
        <v>118</v>
      </c>
      <c r="D2339" s="6">
        <f>IFERROR(__xludf.DUMMYFUNCTION("""COMPUTED_VALUE"""),45587.0)</f>
        <v>45587</v>
      </c>
      <c r="E2339" s="7" t="str">
        <f>IFERROR(__xludf.DUMMYFUNCTION("""COMPUTED_VALUE"""),"FRANQUIA_D&amp;G_SP")</f>
        <v>FRANQUIA_D&amp;G_SP</v>
      </c>
      <c r="F2339" s="7" t="str">
        <f>IFERROR(__xludf.DUMMYFUNCTION("""COMPUTED_VALUE"""),"MOTORCYCLE")</f>
        <v>MOTORCYCLE</v>
      </c>
      <c r="G2339" s="7" t="str">
        <f>IFERROR(__xludf.DUMMYFUNCTION("""COMPUTED_VALUE"""),"SAO PAULO")</f>
        <v>SAO PAULO</v>
      </c>
    </row>
    <row r="2340">
      <c r="A2340" s="6">
        <f>IFERROR(__xludf.DUMMYFUNCTION("""COMPUTED_VALUE"""),45705.0)</f>
        <v>45705</v>
      </c>
      <c r="B2340" s="7" t="str">
        <f>IFERROR(__xludf.DUMMYFUNCTION("""COMPUTED_VALUE"""),"39418bb9-e572-426e-a238-a3c8c45bc8b4")</f>
        <v>39418bb9-e572-426e-a238-a3c8c45bc8b4</v>
      </c>
      <c r="C2340" s="7">
        <f>IFERROR(__xludf.DUMMYFUNCTION("""COMPUTED_VALUE"""),0.0)</f>
        <v>0</v>
      </c>
      <c r="D2340" s="6">
        <f>IFERROR(__xludf.DUMMYFUNCTION("""COMPUTED_VALUE"""),45705.0)</f>
        <v>45705</v>
      </c>
      <c r="E2340" s="7" t="str">
        <f>IFERROR(__xludf.DUMMYFUNCTION("""COMPUTED_VALUE"""),"FRANQUIA_D&amp;G_SP")</f>
        <v>FRANQUIA_D&amp;G_SP</v>
      </c>
      <c r="F2340" s="7" t="str">
        <f>IFERROR(__xludf.DUMMYFUNCTION("""COMPUTED_VALUE"""),"MOTORCYCLE")</f>
        <v>MOTORCYCLE</v>
      </c>
      <c r="G2340" s="7" t="str">
        <f>IFERROR(__xludf.DUMMYFUNCTION("""COMPUTED_VALUE"""),"SAO PAULO")</f>
        <v>SAO PAULO</v>
      </c>
    </row>
    <row r="2341">
      <c r="A2341" s="6">
        <f>IFERROR(__xludf.DUMMYFUNCTION("""COMPUTED_VALUE"""),45705.0)</f>
        <v>45705</v>
      </c>
      <c r="B2341" s="7" t="str">
        <f>IFERROR(__xludf.DUMMYFUNCTION("""COMPUTED_VALUE"""),"e09d25c2-3a38-4738-8014-93bea8019aca")</f>
        <v>e09d25c2-3a38-4738-8014-93bea8019aca</v>
      </c>
      <c r="C2341" s="7">
        <f>IFERROR(__xludf.DUMMYFUNCTION("""COMPUTED_VALUE"""),0.0)</f>
        <v>0</v>
      </c>
      <c r="D2341" s="6">
        <f>IFERROR(__xludf.DUMMYFUNCTION("""COMPUTED_VALUE"""),45705.0)</f>
        <v>45705</v>
      </c>
      <c r="E2341" s="7" t="str">
        <f>IFERROR(__xludf.DUMMYFUNCTION("""COMPUTED_VALUE"""),"FRANQUIA_D&amp;G_SP")</f>
        <v>FRANQUIA_D&amp;G_SP</v>
      </c>
      <c r="F2341" s="7" t="str">
        <f>IFERROR(__xludf.DUMMYFUNCTION("""COMPUTED_VALUE"""),"MOTORCYCLE")</f>
        <v>MOTORCYCLE</v>
      </c>
      <c r="G2341" s="7" t="str">
        <f>IFERROR(__xludf.DUMMYFUNCTION("""COMPUTED_VALUE"""),"SAO PAULO")</f>
        <v>SAO PAULO</v>
      </c>
    </row>
    <row r="2342">
      <c r="A2342" s="6">
        <f>IFERROR(__xludf.DUMMYFUNCTION("""COMPUTED_VALUE"""),45705.0)</f>
        <v>45705</v>
      </c>
      <c r="B2342" s="7" t="str">
        <f>IFERROR(__xludf.DUMMYFUNCTION("""COMPUTED_VALUE"""),"5b2a506d-e1d6-415e-a393-712b161f385e")</f>
        <v>5b2a506d-e1d6-415e-a393-712b161f385e</v>
      </c>
      <c r="C2342" s="7">
        <f>IFERROR(__xludf.DUMMYFUNCTION("""COMPUTED_VALUE"""),1.0)</f>
        <v>1</v>
      </c>
      <c r="D2342" s="6">
        <f>IFERROR(__xludf.DUMMYFUNCTION("""COMPUTED_VALUE"""),45704.0)</f>
        <v>45704</v>
      </c>
      <c r="E2342" s="7" t="str">
        <f>IFERROR(__xludf.DUMMYFUNCTION("""COMPUTED_VALUE"""),"FRANQUIA_D&amp;G_SP")</f>
        <v>FRANQUIA_D&amp;G_SP</v>
      </c>
      <c r="F2342" s="7" t="str">
        <f>IFERROR(__xludf.DUMMYFUNCTION("""COMPUTED_VALUE"""),"MOTORCYCLE")</f>
        <v>MOTORCYCLE</v>
      </c>
      <c r="G2342" s="7" t="str">
        <f>IFERROR(__xludf.DUMMYFUNCTION("""COMPUTED_VALUE"""),"SAO PAULO")</f>
        <v>SAO PAULO</v>
      </c>
    </row>
    <row r="2343">
      <c r="A2343" s="6">
        <f>IFERROR(__xludf.DUMMYFUNCTION("""COMPUTED_VALUE"""),45705.0)</f>
        <v>45705</v>
      </c>
      <c r="B2343" s="7" t="str">
        <f>IFERROR(__xludf.DUMMYFUNCTION("""COMPUTED_VALUE"""),"a1d1e47f-88f8-4b43-bc27-4a7b390b964f")</f>
        <v>a1d1e47f-88f8-4b43-bc27-4a7b390b964f</v>
      </c>
      <c r="C2343" s="7">
        <f>IFERROR(__xludf.DUMMYFUNCTION("""COMPUTED_VALUE"""),92.0)</f>
        <v>92</v>
      </c>
      <c r="D2343" s="6">
        <f>IFERROR(__xludf.DUMMYFUNCTION("""COMPUTED_VALUE"""),45613.0)</f>
        <v>45613</v>
      </c>
      <c r="E2343" s="7" t="str">
        <f>IFERROR(__xludf.DUMMYFUNCTION("""COMPUTED_VALUE"""),"FRANQUIA_D&amp;G_SP")</f>
        <v>FRANQUIA_D&amp;G_SP</v>
      </c>
      <c r="F2343" s="7" t="str">
        <f>IFERROR(__xludf.DUMMYFUNCTION("""COMPUTED_VALUE"""),"BICYCLE")</f>
        <v>BICYCLE</v>
      </c>
      <c r="G2343" s="7" t="str">
        <f>IFERROR(__xludf.DUMMYFUNCTION("""COMPUTED_VALUE"""),"SAO PAULO")</f>
        <v>SAO PAULO</v>
      </c>
    </row>
    <row r="2344">
      <c r="A2344" s="6">
        <f>IFERROR(__xludf.DUMMYFUNCTION("""COMPUTED_VALUE"""),45705.0)</f>
        <v>45705</v>
      </c>
      <c r="B2344" s="7" t="str">
        <f>IFERROR(__xludf.DUMMYFUNCTION("""COMPUTED_VALUE"""),"95fb41be-4770-4906-bb33-f5a99fee15bf")</f>
        <v>95fb41be-4770-4906-bb33-f5a99fee15bf</v>
      </c>
      <c r="C2344" s="7">
        <f>IFERROR(__xludf.DUMMYFUNCTION("""COMPUTED_VALUE"""),11.0)</f>
        <v>11</v>
      </c>
      <c r="D2344" s="6">
        <f>IFERROR(__xludf.DUMMYFUNCTION("""COMPUTED_VALUE"""),45694.0)</f>
        <v>45694</v>
      </c>
      <c r="E2344" s="7" t="str">
        <f>IFERROR(__xludf.DUMMYFUNCTION("""COMPUTED_VALUE"""),"FRANQUIA_D&amp;G_SP")</f>
        <v>FRANQUIA_D&amp;G_SP</v>
      </c>
      <c r="F2344" s="7" t="str">
        <f>IFERROR(__xludf.DUMMYFUNCTION("""COMPUTED_VALUE"""),"MOTORCYCLE")</f>
        <v>MOTORCYCLE</v>
      </c>
      <c r="G2344" s="7" t="str">
        <f>IFERROR(__xludf.DUMMYFUNCTION("""COMPUTED_VALUE"""),"SAO PAULO")</f>
        <v>SAO PAULO</v>
      </c>
    </row>
    <row r="2345">
      <c r="A2345" s="6">
        <f>IFERROR(__xludf.DUMMYFUNCTION("""COMPUTED_VALUE"""),45705.0)</f>
        <v>45705</v>
      </c>
      <c r="B2345" s="7" t="str">
        <f>IFERROR(__xludf.DUMMYFUNCTION("""COMPUTED_VALUE"""),"0fbbde04-4dbd-4f1c-b9a7-85c9642436cb")</f>
        <v>0fbbde04-4dbd-4f1c-b9a7-85c9642436cb</v>
      </c>
      <c r="C2345" s="7">
        <f>IFERROR(__xludf.DUMMYFUNCTION("""COMPUTED_VALUE"""),0.0)</f>
        <v>0</v>
      </c>
      <c r="D2345" s="6">
        <f>IFERROR(__xludf.DUMMYFUNCTION("""COMPUTED_VALUE"""),45705.0)</f>
        <v>45705</v>
      </c>
      <c r="E2345" s="7" t="str">
        <f>IFERROR(__xludf.DUMMYFUNCTION("""COMPUTED_VALUE"""),"FRANQUIA_D&amp;G_SP")</f>
        <v>FRANQUIA_D&amp;G_SP</v>
      </c>
      <c r="F2345" s="7" t="str">
        <f>IFERROR(__xludf.DUMMYFUNCTION("""COMPUTED_VALUE"""),"MOTORCYCLE")</f>
        <v>MOTORCYCLE</v>
      </c>
      <c r="G2345" s="7" t="str">
        <f>IFERROR(__xludf.DUMMYFUNCTION("""COMPUTED_VALUE"""),"SAO PAULO")</f>
        <v>SAO PAULO</v>
      </c>
    </row>
    <row r="2346">
      <c r="A2346" s="6">
        <f>IFERROR(__xludf.DUMMYFUNCTION("""COMPUTED_VALUE"""),45705.0)</f>
        <v>45705</v>
      </c>
      <c r="B2346" s="7" t="str">
        <f>IFERROR(__xludf.DUMMYFUNCTION("""COMPUTED_VALUE"""),"747fe7be-1301-44e7-964a-0ada25a46d8b")</f>
        <v>747fe7be-1301-44e7-964a-0ada25a46d8b</v>
      </c>
      <c r="C2346" s="7">
        <f>IFERROR(__xludf.DUMMYFUNCTION("""COMPUTED_VALUE"""),57.0)</f>
        <v>57</v>
      </c>
      <c r="D2346" s="6">
        <f>IFERROR(__xludf.DUMMYFUNCTION("""COMPUTED_VALUE"""),45648.0)</f>
        <v>45648</v>
      </c>
      <c r="E2346" s="7" t="str">
        <f>IFERROR(__xludf.DUMMYFUNCTION("""COMPUTED_VALUE"""),"FRANQUIA_D&amp;G_SP")</f>
        <v>FRANQUIA_D&amp;G_SP</v>
      </c>
      <c r="F2346" s="7" t="str">
        <f>IFERROR(__xludf.DUMMYFUNCTION("""COMPUTED_VALUE"""),"BICYCLE")</f>
        <v>BICYCLE</v>
      </c>
      <c r="G2346" s="7" t="str">
        <f>IFERROR(__xludf.DUMMYFUNCTION("""COMPUTED_VALUE"""),"SAO PAULO")</f>
        <v>SAO PAULO</v>
      </c>
    </row>
    <row r="2347">
      <c r="A2347" s="6">
        <f>IFERROR(__xludf.DUMMYFUNCTION("""COMPUTED_VALUE"""),45705.0)</f>
        <v>45705</v>
      </c>
      <c r="B2347" s="7" t="str">
        <f>IFERROR(__xludf.DUMMYFUNCTION("""COMPUTED_VALUE"""),"de06c2ef-67f6-4544-ba49-d203dce5b0b9")</f>
        <v>de06c2ef-67f6-4544-ba49-d203dce5b0b9</v>
      </c>
      <c r="C2347" s="7">
        <f>IFERROR(__xludf.DUMMYFUNCTION("""COMPUTED_VALUE"""),69.0)</f>
        <v>69</v>
      </c>
      <c r="D2347" s="6">
        <f>IFERROR(__xludf.DUMMYFUNCTION("""COMPUTED_VALUE"""),45636.0)</f>
        <v>45636</v>
      </c>
      <c r="E2347" s="7" t="str">
        <f>IFERROR(__xludf.DUMMYFUNCTION("""COMPUTED_VALUE"""),"FRANQUIA_D&amp;G_SP")</f>
        <v>FRANQUIA_D&amp;G_SP</v>
      </c>
      <c r="F2347" s="7" t="str">
        <f>IFERROR(__xludf.DUMMYFUNCTION("""COMPUTED_VALUE"""),"BICYCLE")</f>
        <v>BICYCLE</v>
      </c>
      <c r="G2347" s="7" t="str">
        <f>IFERROR(__xludf.DUMMYFUNCTION("""COMPUTED_VALUE"""),"SAO PAULO")</f>
        <v>SAO PAULO</v>
      </c>
    </row>
    <row r="2348">
      <c r="A2348" s="6">
        <f>IFERROR(__xludf.DUMMYFUNCTION("""COMPUTED_VALUE"""),45705.0)</f>
        <v>45705</v>
      </c>
      <c r="B2348" s="7" t="str">
        <f>IFERROR(__xludf.DUMMYFUNCTION("""COMPUTED_VALUE"""),"4e1c8e90-aaea-43e8-8af2-077804a8766c")</f>
        <v>4e1c8e90-aaea-43e8-8af2-077804a8766c</v>
      </c>
      <c r="C2348" s="7">
        <f>IFERROR(__xludf.DUMMYFUNCTION("""COMPUTED_VALUE"""),0.0)</f>
        <v>0</v>
      </c>
      <c r="D2348" s="6">
        <f>IFERROR(__xludf.DUMMYFUNCTION("""COMPUTED_VALUE"""),45705.0)</f>
        <v>45705</v>
      </c>
      <c r="E2348" s="7" t="str">
        <f>IFERROR(__xludf.DUMMYFUNCTION("""COMPUTED_VALUE"""),"FRANQUIA_D&amp;G_SP")</f>
        <v>FRANQUIA_D&amp;G_SP</v>
      </c>
      <c r="F2348" s="7" t="str">
        <f>IFERROR(__xludf.DUMMYFUNCTION("""COMPUTED_VALUE"""),"BICYCLE")</f>
        <v>BICYCLE</v>
      </c>
      <c r="G2348" s="7" t="str">
        <f>IFERROR(__xludf.DUMMYFUNCTION("""COMPUTED_VALUE"""),"ABC")</f>
        <v>ABC</v>
      </c>
    </row>
    <row r="2349">
      <c r="A2349" s="6">
        <f>IFERROR(__xludf.DUMMYFUNCTION("""COMPUTED_VALUE"""),45705.0)</f>
        <v>45705</v>
      </c>
      <c r="B2349" s="7" t="str">
        <f>IFERROR(__xludf.DUMMYFUNCTION("""COMPUTED_VALUE"""),"82addf4e-4759-4fe3-9e36-d051e7d4743c")</f>
        <v>82addf4e-4759-4fe3-9e36-d051e7d4743c</v>
      </c>
      <c r="C2349" s="7">
        <f>IFERROR(__xludf.DUMMYFUNCTION("""COMPUTED_VALUE"""),6.0)</f>
        <v>6</v>
      </c>
      <c r="D2349" s="6">
        <f>IFERROR(__xludf.DUMMYFUNCTION("""COMPUTED_VALUE"""),45699.0)</f>
        <v>45699</v>
      </c>
      <c r="E2349" s="7" t="str">
        <f>IFERROR(__xludf.DUMMYFUNCTION("""COMPUTED_VALUE"""),"FRANQUIA_D&amp;G_SP")</f>
        <v>FRANQUIA_D&amp;G_SP</v>
      </c>
      <c r="F2349" s="7" t="str">
        <f>IFERROR(__xludf.DUMMYFUNCTION("""COMPUTED_VALUE"""),"MOTORCYCLE")</f>
        <v>MOTORCYCLE</v>
      </c>
      <c r="G2349" s="7" t="str">
        <f>IFERROR(__xludf.DUMMYFUNCTION("""COMPUTED_VALUE"""),"SAO PAULO")</f>
        <v>SAO PAULO</v>
      </c>
    </row>
    <row r="2350">
      <c r="A2350" s="6">
        <f>IFERROR(__xludf.DUMMYFUNCTION("""COMPUTED_VALUE"""),45705.0)</f>
        <v>45705</v>
      </c>
      <c r="B2350" s="7" t="str">
        <f>IFERROR(__xludf.DUMMYFUNCTION("""COMPUTED_VALUE"""),"863ecb25-c9c6-45cd-ae7d-390300fc3896")</f>
        <v>863ecb25-c9c6-45cd-ae7d-390300fc3896</v>
      </c>
      <c r="C2350" s="7">
        <f>IFERROR(__xludf.DUMMYFUNCTION("""COMPUTED_VALUE"""),1.0)</f>
        <v>1</v>
      </c>
      <c r="D2350" s="6">
        <f>IFERROR(__xludf.DUMMYFUNCTION("""COMPUTED_VALUE"""),45704.0)</f>
        <v>45704</v>
      </c>
      <c r="E2350" s="7" t="str">
        <f>IFERROR(__xludf.DUMMYFUNCTION("""COMPUTED_VALUE"""),"FRANQUIA_D&amp;G_SP")</f>
        <v>FRANQUIA_D&amp;G_SP</v>
      </c>
      <c r="F2350" s="7" t="str">
        <f>IFERROR(__xludf.DUMMYFUNCTION("""COMPUTED_VALUE"""),"MOTORCYCLE")</f>
        <v>MOTORCYCLE</v>
      </c>
      <c r="G2350" s="7" t="str">
        <f>IFERROR(__xludf.DUMMYFUNCTION("""COMPUTED_VALUE"""),"SAO PAULO")</f>
        <v>SAO PAULO</v>
      </c>
    </row>
    <row r="2351">
      <c r="A2351" s="6">
        <f>IFERROR(__xludf.DUMMYFUNCTION("""COMPUTED_VALUE"""),45705.0)</f>
        <v>45705</v>
      </c>
      <c r="B2351" s="7" t="str">
        <f>IFERROR(__xludf.DUMMYFUNCTION("""COMPUTED_VALUE"""),"b3ff0c6f-f457-48de-a4ee-9ca8e728152e")</f>
        <v>b3ff0c6f-f457-48de-a4ee-9ca8e728152e</v>
      </c>
      <c r="C2351" s="7">
        <f>IFERROR(__xludf.DUMMYFUNCTION("""COMPUTED_VALUE"""),73.0)</f>
        <v>73</v>
      </c>
      <c r="D2351" s="6">
        <f>IFERROR(__xludf.DUMMYFUNCTION("""COMPUTED_VALUE"""),45632.0)</f>
        <v>45632</v>
      </c>
      <c r="E2351" s="7" t="str">
        <f>IFERROR(__xludf.DUMMYFUNCTION("""COMPUTED_VALUE"""),"FRANQUIA_D&amp;G_SP")</f>
        <v>FRANQUIA_D&amp;G_SP</v>
      </c>
      <c r="F2351" s="7" t="str">
        <f>IFERROR(__xludf.DUMMYFUNCTION("""COMPUTED_VALUE"""),"MOTORCYCLE")</f>
        <v>MOTORCYCLE</v>
      </c>
      <c r="G2351" s="7" t="str">
        <f>IFERROR(__xludf.DUMMYFUNCTION("""COMPUTED_VALUE"""),"SAO PAULO")</f>
        <v>SAO PAULO</v>
      </c>
    </row>
    <row r="2352">
      <c r="A2352" s="6">
        <f>IFERROR(__xludf.DUMMYFUNCTION("""COMPUTED_VALUE"""),45705.0)</f>
        <v>45705</v>
      </c>
      <c r="B2352" s="7" t="str">
        <f>IFERROR(__xludf.DUMMYFUNCTION("""COMPUTED_VALUE"""),"251c73db-4947-4316-aa45-d6bfaad53bac")</f>
        <v>251c73db-4947-4316-aa45-d6bfaad53bac</v>
      </c>
      <c r="C2352" s="7">
        <f>IFERROR(__xludf.DUMMYFUNCTION("""COMPUTED_VALUE"""),0.0)</f>
        <v>0</v>
      </c>
      <c r="D2352" s="6">
        <f>IFERROR(__xludf.DUMMYFUNCTION("""COMPUTED_VALUE"""),45705.0)</f>
        <v>45705</v>
      </c>
      <c r="E2352" s="7" t="str">
        <f>IFERROR(__xludf.DUMMYFUNCTION("""COMPUTED_VALUE"""),"FRANQUIA_D&amp;G_SP")</f>
        <v>FRANQUIA_D&amp;G_SP</v>
      </c>
      <c r="F2352" s="7" t="str">
        <f>IFERROR(__xludf.DUMMYFUNCTION("""COMPUTED_VALUE"""),"BICYCLE")</f>
        <v>BICYCLE</v>
      </c>
      <c r="G2352" s="7" t="str">
        <f>IFERROR(__xludf.DUMMYFUNCTION("""COMPUTED_VALUE"""),"SAO PAULO")</f>
        <v>SAO PAULO</v>
      </c>
    </row>
    <row r="2353">
      <c r="A2353" s="6">
        <f>IFERROR(__xludf.DUMMYFUNCTION("""COMPUTED_VALUE"""),45705.0)</f>
        <v>45705</v>
      </c>
      <c r="B2353" s="7" t="str">
        <f>IFERROR(__xludf.DUMMYFUNCTION("""COMPUTED_VALUE"""),"f353248e-4385-435f-8905-3ae9fbc264f2")</f>
        <v>f353248e-4385-435f-8905-3ae9fbc264f2</v>
      </c>
      <c r="C2353" s="7">
        <f>IFERROR(__xludf.DUMMYFUNCTION("""COMPUTED_VALUE"""),204.0)</f>
        <v>204</v>
      </c>
      <c r="D2353" s="6">
        <f>IFERROR(__xludf.DUMMYFUNCTION("""COMPUTED_VALUE"""),45501.0)</f>
        <v>45501</v>
      </c>
      <c r="E2353" s="7" t="str">
        <f>IFERROR(__xludf.DUMMYFUNCTION("""COMPUTED_VALUE"""),"FRANQUIA_D&amp;G_SP")</f>
        <v>FRANQUIA_D&amp;G_SP</v>
      </c>
      <c r="F2353" s="7" t="str">
        <f>IFERROR(__xludf.DUMMYFUNCTION("""COMPUTED_VALUE"""),"BICYCLE")</f>
        <v>BICYCLE</v>
      </c>
      <c r="G2353" s="7" t="str">
        <f>IFERROR(__xludf.DUMMYFUNCTION("""COMPUTED_VALUE"""),"SAO PAULO")</f>
        <v>SAO PAULO</v>
      </c>
    </row>
    <row r="2354">
      <c r="A2354" s="6">
        <f>IFERROR(__xludf.DUMMYFUNCTION("""COMPUTED_VALUE"""),45705.0)</f>
        <v>45705</v>
      </c>
      <c r="B2354" s="7" t="str">
        <f>IFERROR(__xludf.DUMMYFUNCTION("""COMPUTED_VALUE"""),"b7dfa9fa-46ac-4024-aea7-3e21e2b1f803")</f>
        <v>b7dfa9fa-46ac-4024-aea7-3e21e2b1f803</v>
      </c>
      <c r="C2354" s="7">
        <f>IFERROR(__xludf.DUMMYFUNCTION("""COMPUTED_VALUE"""),2.0)</f>
        <v>2</v>
      </c>
      <c r="D2354" s="6">
        <f>IFERROR(__xludf.DUMMYFUNCTION("""COMPUTED_VALUE"""),45703.0)</f>
        <v>45703</v>
      </c>
      <c r="E2354" s="7" t="str">
        <f>IFERROR(__xludf.DUMMYFUNCTION("""COMPUTED_VALUE"""),"FRANQUIA_D&amp;G_SP")</f>
        <v>FRANQUIA_D&amp;G_SP</v>
      </c>
      <c r="F2354" s="7" t="str">
        <f>IFERROR(__xludf.DUMMYFUNCTION("""COMPUTED_VALUE"""),"MOTORCYCLE")</f>
        <v>MOTORCYCLE</v>
      </c>
      <c r="G2354" s="7" t="str">
        <f>IFERROR(__xludf.DUMMYFUNCTION("""COMPUTED_VALUE"""),"SAO PAULO")</f>
        <v>SAO PAULO</v>
      </c>
    </row>
    <row r="2355">
      <c r="A2355" s="6">
        <f>IFERROR(__xludf.DUMMYFUNCTION("""COMPUTED_VALUE"""),45705.0)</f>
        <v>45705</v>
      </c>
      <c r="B2355" s="7" t="str">
        <f>IFERROR(__xludf.DUMMYFUNCTION("""COMPUTED_VALUE"""),"0bc60375-ca60-4d65-b299-9a12dc7cb2aa")</f>
        <v>0bc60375-ca60-4d65-b299-9a12dc7cb2aa</v>
      </c>
      <c r="C2355" s="7">
        <f>IFERROR(__xludf.DUMMYFUNCTION("""COMPUTED_VALUE"""),1.0)</f>
        <v>1</v>
      </c>
      <c r="D2355" s="6">
        <f>IFERROR(__xludf.DUMMYFUNCTION("""COMPUTED_VALUE"""),45704.0)</f>
        <v>45704</v>
      </c>
      <c r="E2355" s="7" t="str">
        <f>IFERROR(__xludf.DUMMYFUNCTION("""COMPUTED_VALUE"""),"FRANQUIA_D&amp;G_SP")</f>
        <v>FRANQUIA_D&amp;G_SP</v>
      </c>
      <c r="F2355" s="7" t="str">
        <f>IFERROR(__xludf.DUMMYFUNCTION("""COMPUTED_VALUE"""),"MOTORCYCLE")</f>
        <v>MOTORCYCLE</v>
      </c>
      <c r="G2355" s="7" t="str">
        <f>IFERROR(__xludf.DUMMYFUNCTION("""COMPUTED_VALUE"""),"SAO PAULO")</f>
        <v>SAO PAULO</v>
      </c>
    </row>
    <row r="2356">
      <c r="A2356" s="6">
        <f>IFERROR(__xludf.DUMMYFUNCTION("""COMPUTED_VALUE"""),45705.0)</f>
        <v>45705</v>
      </c>
      <c r="B2356" s="7" t="str">
        <f>IFERROR(__xludf.DUMMYFUNCTION("""COMPUTED_VALUE"""),"091dd635-55d5-480d-9b2c-3498f2be13b7")</f>
        <v>091dd635-55d5-480d-9b2c-3498f2be13b7</v>
      </c>
      <c r="C2356" s="7">
        <f>IFERROR(__xludf.DUMMYFUNCTION("""COMPUTED_VALUE"""),0.0)</f>
        <v>0</v>
      </c>
      <c r="D2356" s="6">
        <f>IFERROR(__xludf.DUMMYFUNCTION("""COMPUTED_VALUE"""),45705.0)</f>
        <v>45705</v>
      </c>
      <c r="E2356" s="7" t="str">
        <f>IFERROR(__xludf.DUMMYFUNCTION("""COMPUTED_VALUE"""),"FRANQUIA_D&amp;G_SP")</f>
        <v>FRANQUIA_D&amp;G_SP</v>
      </c>
      <c r="F2356" s="7" t="str">
        <f>IFERROR(__xludf.DUMMYFUNCTION("""COMPUTED_VALUE"""),"BICYCLE")</f>
        <v>BICYCLE</v>
      </c>
      <c r="G2356" s="7" t="str">
        <f>IFERROR(__xludf.DUMMYFUNCTION("""COMPUTED_VALUE"""),"SUZANO")</f>
        <v>SUZANO</v>
      </c>
    </row>
    <row r="2357">
      <c r="A2357" s="6">
        <f>IFERROR(__xludf.DUMMYFUNCTION("""COMPUTED_VALUE"""),45705.0)</f>
        <v>45705</v>
      </c>
      <c r="B2357" s="7" t="str">
        <f>IFERROR(__xludf.DUMMYFUNCTION("""COMPUTED_VALUE"""),"2b4f13a4-9929-4a48-82b8-ac0fd792a973")</f>
        <v>2b4f13a4-9929-4a48-82b8-ac0fd792a973</v>
      </c>
      <c r="C2357" s="7">
        <f>IFERROR(__xludf.DUMMYFUNCTION("""COMPUTED_VALUE"""),5.0)</f>
        <v>5</v>
      </c>
      <c r="D2357" s="6">
        <f>IFERROR(__xludf.DUMMYFUNCTION("""COMPUTED_VALUE"""),45700.0)</f>
        <v>45700</v>
      </c>
      <c r="E2357" s="7" t="str">
        <f>IFERROR(__xludf.DUMMYFUNCTION("""COMPUTED_VALUE"""),"FRANQUIA_D&amp;G_SP")</f>
        <v>FRANQUIA_D&amp;G_SP</v>
      </c>
      <c r="F2357" s="7" t="str">
        <f>IFERROR(__xludf.DUMMYFUNCTION("""COMPUTED_VALUE"""),"MOTORCYCLE")</f>
        <v>MOTORCYCLE</v>
      </c>
      <c r="G2357" s="7" t="str">
        <f>IFERROR(__xludf.DUMMYFUNCTION("""COMPUTED_VALUE"""),"SAO PAULO")</f>
        <v>SAO PAULO</v>
      </c>
    </row>
    <row r="2358">
      <c r="A2358" s="6">
        <f>IFERROR(__xludf.DUMMYFUNCTION("""COMPUTED_VALUE"""),45705.0)</f>
        <v>45705</v>
      </c>
      <c r="B2358" s="7" t="str">
        <f>IFERROR(__xludf.DUMMYFUNCTION("""COMPUTED_VALUE"""),"06f40f1b-9be5-42b6-8286-e11311c22d56")</f>
        <v>06f40f1b-9be5-42b6-8286-e11311c22d56</v>
      </c>
      <c r="C2358" s="7">
        <f>IFERROR(__xludf.DUMMYFUNCTION("""COMPUTED_VALUE"""),29.0)</f>
        <v>29</v>
      </c>
      <c r="D2358" s="6">
        <f>IFERROR(__xludf.DUMMYFUNCTION("""COMPUTED_VALUE"""),45676.0)</f>
        <v>45676</v>
      </c>
      <c r="E2358" s="7" t="str">
        <f>IFERROR(__xludf.DUMMYFUNCTION("""COMPUTED_VALUE"""),"FRANQUIA_D&amp;G_SP")</f>
        <v>FRANQUIA_D&amp;G_SP</v>
      </c>
      <c r="F2358" s="7" t="str">
        <f>IFERROR(__xludf.DUMMYFUNCTION("""COMPUTED_VALUE"""),"MOTORCYCLE")</f>
        <v>MOTORCYCLE</v>
      </c>
      <c r="G2358" s="7" t="str">
        <f>IFERROR(__xludf.DUMMYFUNCTION("""COMPUTED_VALUE"""),"SAO PAULO")</f>
        <v>SAO PAULO</v>
      </c>
    </row>
    <row r="2359">
      <c r="A2359" s="6">
        <f>IFERROR(__xludf.DUMMYFUNCTION("""COMPUTED_VALUE"""),45705.0)</f>
        <v>45705</v>
      </c>
      <c r="B2359" s="7" t="str">
        <f>IFERROR(__xludf.DUMMYFUNCTION("""COMPUTED_VALUE"""),"e44011ff-a2e7-4a69-8707-f3112938e00a")</f>
        <v>e44011ff-a2e7-4a69-8707-f3112938e00a</v>
      </c>
      <c r="C2359" s="7">
        <f>IFERROR(__xludf.DUMMYFUNCTION("""COMPUTED_VALUE"""),639.0)</f>
        <v>639</v>
      </c>
      <c r="D2359" s="6">
        <f>IFERROR(__xludf.DUMMYFUNCTION("""COMPUTED_VALUE"""),45066.0)</f>
        <v>45066</v>
      </c>
      <c r="E2359" s="7" t="str">
        <f>IFERROR(__xludf.DUMMYFUNCTION("""COMPUTED_VALUE"""),"FRANQUIA_D&amp;G_SP")</f>
        <v>FRANQUIA_D&amp;G_SP</v>
      </c>
      <c r="F2359" s="7" t="str">
        <f>IFERROR(__xludf.DUMMYFUNCTION("""COMPUTED_VALUE"""),"BICYCLE")</f>
        <v>BICYCLE</v>
      </c>
      <c r="G2359" s="7" t="str">
        <f>IFERROR(__xludf.DUMMYFUNCTION("""COMPUTED_VALUE"""),"SAO PAULO")</f>
        <v>SAO PAULO</v>
      </c>
    </row>
    <row r="2360">
      <c r="A2360" s="6">
        <f>IFERROR(__xludf.DUMMYFUNCTION("""COMPUTED_VALUE"""),45705.0)</f>
        <v>45705</v>
      </c>
      <c r="B2360" s="7" t="str">
        <f>IFERROR(__xludf.DUMMYFUNCTION("""COMPUTED_VALUE"""),"36559a49-378b-4f94-aba9-8d34a92ea821")</f>
        <v>36559a49-378b-4f94-aba9-8d34a92ea821</v>
      </c>
      <c r="C2360" s="7">
        <f>IFERROR(__xludf.DUMMYFUNCTION("""COMPUTED_VALUE"""),1.0)</f>
        <v>1</v>
      </c>
      <c r="D2360" s="6">
        <f>IFERROR(__xludf.DUMMYFUNCTION("""COMPUTED_VALUE"""),45704.0)</f>
        <v>45704</v>
      </c>
      <c r="E2360" s="7" t="str">
        <f>IFERROR(__xludf.DUMMYFUNCTION("""COMPUTED_VALUE"""),"FRANQUIA_D&amp;G_SP")</f>
        <v>FRANQUIA_D&amp;G_SP</v>
      </c>
      <c r="F2360" s="7" t="str">
        <f>IFERROR(__xludf.DUMMYFUNCTION("""COMPUTED_VALUE"""),"MOTORCYCLE")</f>
        <v>MOTORCYCLE</v>
      </c>
      <c r="G2360" s="7" t="str">
        <f>IFERROR(__xludf.DUMMYFUNCTION("""COMPUTED_VALUE"""),"SAO PAULO")</f>
        <v>SAO PAULO</v>
      </c>
    </row>
    <row r="2361">
      <c r="A2361" s="6">
        <f>IFERROR(__xludf.DUMMYFUNCTION("""COMPUTED_VALUE"""),45705.0)</f>
        <v>45705</v>
      </c>
      <c r="B2361" s="7" t="str">
        <f>IFERROR(__xludf.DUMMYFUNCTION("""COMPUTED_VALUE"""),"46c1f418-a8de-42fb-b15c-f01971540072")</f>
        <v>46c1f418-a8de-42fb-b15c-f01971540072</v>
      </c>
      <c r="C2361" s="7">
        <f>IFERROR(__xludf.DUMMYFUNCTION("""COMPUTED_VALUE"""),171.0)</f>
        <v>171</v>
      </c>
      <c r="D2361" s="6">
        <f>IFERROR(__xludf.DUMMYFUNCTION("""COMPUTED_VALUE"""),45534.0)</f>
        <v>45534</v>
      </c>
      <c r="E2361" s="7" t="str">
        <f>IFERROR(__xludf.DUMMYFUNCTION("""COMPUTED_VALUE"""),"FRANQUIA_D&amp;G_SP")</f>
        <v>FRANQUIA_D&amp;G_SP</v>
      </c>
      <c r="F2361" s="7" t="str">
        <f>IFERROR(__xludf.DUMMYFUNCTION("""COMPUTED_VALUE"""),"MOTORCYCLE")</f>
        <v>MOTORCYCLE</v>
      </c>
      <c r="G2361" s="7" t="str">
        <f>IFERROR(__xludf.DUMMYFUNCTION("""COMPUTED_VALUE"""),"SAO PAULO")</f>
        <v>SAO PAULO</v>
      </c>
    </row>
    <row r="2362">
      <c r="A2362" s="6">
        <f>IFERROR(__xludf.DUMMYFUNCTION("""COMPUTED_VALUE"""),45705.0)</f>
        <v>45705</v>
      </c>
      <c r="B2362" s="7" t="str">
        <f>IFERROR(__xludf.DUMMYFUNCTION("""COMPUTED_VALUE"""),"b7286d60-55b4-4361-bd0a-5986b581a863")</f>
        <v>b7286d60-55b4-4361-bd0a-5986b581a863</v>
      </c>
      <c r="C2362" s="7">
        <f>IFERROR(__xludf.DUMMYFUNCTION("""COMPUTED_VALUE"""),0.0)</f>
        <v>0</v>
      </c>
      <c r="D2362" s="6">
        <f>IFERROR(__xludf.DUMMYFUNCTION("""COMPUTED_VALUE"""),45705.0)</f>
        <v>45705</v>
      </c>
      <c r="E2362" s="7" t="str">
        <f>IFERROR(__xludf.DUMMYFUNCTION("""COMPUTED_VALUE"""),"FRANQUIA_D&amp;G_SP")</f>
        <v>FRANQUIA_D&amp;G_SP</v>
      </c>
      <c r="F2362" s="7" t="str">
        <f>IFERROR(__xludf.DUMMYFUNCTION("""COMPUTED_VALUE"""),"MOTORCYCLE")</f>
        <v>MOTORCYCLE</v>
      </c>
      <c r="G2362" s="7" t="str">
        <f>IFERROR(__xludf.DUMMYFUNCTION("""COMPUTED_VALUE"""),"SAO PAULO")</f>
        <v>SAO PAULO</v>
      </c>
    </row>
    <row r="2363">
      <c r="A2363" s="6">
        <f>IFERROR(__xludf.DUMMYFUNCTION("""COMPUTED_VALUE"""),45705.0)</f>
        <v>45705</v>
      </c>
      <c r="B2363" s="7" t="str">
        <f>IFERROR(__xludf.DUMMYFUNCTION("""COMPUTED_VALUE"""),"08d2dc13-bf4d-483c-85ba-f87be56b29be")</f>
        <v>08d2dc13-bf4d-483c-85ba-f87be56b29be</v>
      </c>
      <c r="C2363" s="7">
        <f>IFERROR(__xludf.DUMMYFUNCTION("""COMPUTED_VALUE"""),0.0)</f>
        <v>0</v>
      </c>
      <c r="D2363" s="6">
        <f>IFERROR(__xludf.DUMMYFUNCTION("""COMPUTED_VALUE"""),45705.0)</f>
        <v>45705</v>
      </c>
      <c r="E2363" s="7" t="str">
        <f>IFERROR(__xludf.DUMMYFUNCTION("""COMPUTED_VALUE"""),"FRANQUIA_D&amp;G_SP")</f>
        <v>FRANQUIA_D&amp;G_SP</v>
      </c>
      <c r="F2363" s="7" t="str">
        <f>IFERROR(__xludf.DUMMYFUNCTION("""COMPUTED_VALUE"""),"BICYCLE")</f>
        <v>BICYCLE</v>
      </c>
      <c r="G2363" s="7" t="str">
        <f>IFERROR(__xludf.DUMMYFUNCTION("""COMPUTED_VALUE"""),"SAO PAULO")</f>
        <v>SAO PAULO</v>
      </c>
    </row>
    <row r="2364">
      <c r="A2364" s="6">
        <f>IFERROR(__xludf.DUMMYFUNCTION("""COMPUTED_VALUE"""),45705.0)</f>
        <v>45705</v>
      </c>
      <c r="B2364" s="7" t="str">
        <f>IFERROR(__xludf.DUMMYFUNCTION("""COMPUTED_VALUE"""),"6e1a95d5-9ffe-4187-b06d-0d03fab2b77c")</f>
        <v>6e1a95d5-9ffe-4187-b06d-0d03fab2b77c</v>
      </c>
      <c r="C2364" s="7">
        <f>IFERROR(__xludf.DUMMYFUNCTION("""COMPUTED_VALUE"""),187.0)</f>
        <v>187</v>
      </c>
      <c r="D2364" s="6">
        <f>IFERROR(__xludf.DUMMYFUNCTION("""COMPUTED_VALUE"""),45518.0)</f>
        <v>45518</v>
      </c>
      <c r="E2364" s="7" t="str">
        <f>IFERROR(__xludf.DUMMYFUNCTION("""COMPUTED_VALUE"""),"FRANQUIA_D&amp;G_SP")</f>
        <v>FRANQUIA_D&amp;G_SP</v>
      </c>
      <c r="F2364" s="7" t="str">
        <f>IFERROR(__xludf.DUMMYFUNCTION("""COMPUTED_VALUE"""),"BICYCLE")</f>
        <v>BICYCLE</v>
      </c>
      <c r="G2364" s="7" t="str">
        <f>IFERROR(__xludf.DUMMYFUNCTION("""COMPUTED_VALUE"""),"SAO PAULO")</f>
        <v>SAO PAULO</v>
      </c>
    </row>
    <row r="2365">
      <c r="A2365" s="6">
        <f>IFERROR(__xludf.DUMMYFUNCTION("""COMPUTED_VALUE"""),45705.0)</f>
        <v>45705</v>
      </c>
      <c r="B2365" s="7" t="str">
        <f>IFERROR(__xludf.DUMMYFUNCTION("""COMPUTED_VALUE"""),"48848990-4fff-4160-8790-b3c3cb0b441b")</f>
        <v>48848990-4fff-4160-8790-b3c3cb0b441b</v>
      </c>
      <c r="C2365" s="7">
        <f>IFERROR(__xludf.DUMMYFUNCTION("""COMPUTED_VALUE"""),136.0)</f>
        <v>136</v>
      </c>
      <c r="D2365" s="6">
        <f>IFERROR(__xludf.DUMMYFUNCTION("""COMPUTED_VALUE"""),45569.0)</f>
        <v>45569</v>
      </c>
      <c r="E2365" s="7" t="str">
        <f>IFERROR(__xludf.DUMMYFUNCTION("""COMPUTED_VALUE"""),"FRANQUIA_D&amp;G_SP")</f>
        <v>FRANQUIA_D&amp;G_SP</v>
      </c>
      <c r="F2365" s="7" t="str">
        <f>IFERROR(__xludf.DUMMYFUNCTION("""COMPUTED_VALUE"""),"MOTORCYCLE")</f>
        <v>MOTORCYCLE</v>
      </c>
      <c r="G2365" s="7" t="str">
        <f>IFERROR(__xludf.DUMMYFUNCTION("""COMPUTED_VALUE"""),"ABC")</f>
        <v>ABC</v>
      </c>
    </row>
    <row r="2366">
      <c r="A2366" s="6">
        <f>IFERROR(__xludf.DUMMYFUNCTION("""COMPUTED_VALUE"""),45705.0)</f>
        <v>45705</v>
      </c>
      <c r="B2366" s="7" t="str">
        <f>IFERROR(__xludf.DUMMYFUNCTION("""COMPUTED_VALUE"""),"2cb08458-158b-4bbe-bda2-4d0ac9a01b55")</f>
        <v>2cb08458-158b-4bbe-bda2-4d0ac9a01b55</v>
      </c>
      <c r="C2366" s="7">
        <f>IFERROR(__xludf.DUMMYFUNCTION("""COMPUTED_VALUE"""),0.0)</f>
        <v>0</v>
      </c>
      <c r="D2366" s="6">
        <f>IFERROR(__xludf.DUMMYFUNCTION("""COMPUTED_VALUE"""),45705.0)</f>
        <v>45705</v>
      </c>
      <c r="E2366" s="7" t="str">
        <f>IFERROR(__xludf.DUMMYFUNCTION("""COMPUTED_VALUE"""),"FRANQUIA_D&amp;G_SP")</f>
        <v>FRANQUIA_D&amp;G_SP</v>
      </c>
      <c r="F2366" s="7" t="str">
        <f>IFERROR(__xludf.DUMMYFUNCTION("""COMPUTED_VALUE"""),"BICYCLE")</f>
        <v>BICYCLE</v>
      </c>
      <c r="G2366" s="7" t="str">
        <f>IFERROR(__xludf.DUMMYFUNCTION("""COMPUTED_VALUE"""),"SAO PAULO")</f>
        <v>SAO PAULO</v>
      </c>
    </row>
    <row r="2367">
      <c r="A2367" s="6">
        <f>IFERROR(__xludf.DUMMYFUNCTION("""COMPUTED_VALUE"""),45705.0)</f>
        <v>45705</v>
      </c>
      <c r="B2367" s="7" t="str">
        <f>IFERROR(__xludf.DUMMYFUNCTION("""COMPUTED_VALUE"""),"e8b3ea52-e15d-4846-af22-381ab1c35543")</f>
        <v>e8b3ea52-e15d-4846-af22-381ab1c35543</v>
      </c>
      <c r="C2367" s="7">
        <f>IFERROR(__xludf.DUMMYFUNCTION("""COMPUTED_VALUE"""),2.0)</f>
        <v>2</v>
      </c>
      <c r="D2367" s="6">
        <f>IFERROR(__xludf.DUMMYFUNCTION("""COMPUTED_VALUE"""),45703.0)</f>
        <v>45703</v>
      </c>
      <c r="E2367" s="7" t="str">
        <f>IFERROR(__xludf.DUMMYFUNCTION("""COMPUTED_VALUE"""),"FRANQUIA_D&amp;G_SP")</f>
        <v>FRANQUIA_D&amp;G_SP</v>
      </c>
      <c r="F2367" s="7" t="str">
        <f>IFERROR(__xludf.DUMMYFUNCTION("""COMPUTED_VALUE"""),"BICYCLE")</f>
        <v>BICYCLE</v>
      </c>
      <c r="G2367" s="7" t="str">
        <f>IFERROR(__xludf.DUMMYFUNCTION("""COMPUTED_VALUE"""),"SAO PAULO")</f>
        <v>SAO PAULO</v>
      </c>
    </row>
    <row r="2368">
      <c r="A2368" s="6">
        <f>IFERROR(__xludf.DUMMYFUNCTION("""COMPUTED_VALUE"""),45705.0)</f>
        <v>45705</v>
      </c>
      <c r="B2368" s="7" t="str">
        <f>IFERROR(__xludf.DUMMYFUNCTION("""COMPUTED_VALUE"""),"343e769d-8a51-4570-b39f-29b6dcac4ffd")</f>
        <v>343e769d-8a51-4570-b39f-29b6dcac4ffd</v>
      </c>
      <c r="C2368" s="7">
        <f>IFERROR(__xludf.DUMMYFUNCTION("""COMPUTED_VALUE"""),24.0)</f>
        <v>24</v>
      </c>
      <c r="D2368" s="6">
        <f>IFERROR(__xludf.DUMMYFUNCTION("""COMPUTED_VALUE"""),45681.0)</f>
        <v>45681</v>
      </c>
      <c r="E2368" s="7" t="str">
        <f>IFERROR(__xludf.DUMMYFUNCTION("""COMPUTED_VALUE"""),"FRANQUIA_D&amp;G_SP")</f>
        <v>FRANQUIA_D&amp;G_SP</v>
      </c>
      <c r="F2368" s="7" t="str">
        <f>IFERROR(__xludf.DUMMYFUNCTION("""COMPUTED_VALUE"""),"MOTORCYCLE")</f>
        <v>MOTORCYCLE</v>
      </c>
      <c r="G2368" s="7" t="str">
        <f>IFERROR(__xludf.DUMMYFUNCTION("""COMPUTED_VALUE"""),"ABC")</f>
        <v>ABC</v>
      </c>
    </row>
    <row r="2369">
      <c r="A2369" s="6">
        <f>IFERROR(__xludf.DUMMYFUNCTION("""COMPUTED_VALUE"""),45705.0)</f>
        <v>45705</v>
      </c>
      <c r="B2369" s="7" t="str">
        <f>IFERROR(__xludf.DUMMYFUNCTION("""COMPUTED_VALUE"""),"45c08933-c72d-4673-8038-f593afa2f802")</f>
        <v>45c08933-c72d-4673-8038-f593afa2f802</v>
      </c>
      <c r="C2369" s="7">
        <f>IFERROR(__xludf.DUMMYFUNCTION("""COMPUTED_VALUE"""),112.0)</f>
        <v>112</v>
      </c>
      <c r="D2369" s="6">
        <f>IFERROR(__xludf.DUMMYFUNCTION("""COMPUTED_VALUE"""),45593.0)</f>
        <v>45593</v>
      </c>
      <c r="E2369" s="7" t="str">
        <f>IFERROR(__xludf.DUMMYFUNCTION("""COMPUTED_VALUE"""),"FRANQUIA_D&amp;G_SP")</f>
        <v>FRANQUIA_D&amp;G_SP</v>
      </c>
      <c r="F2369" s="7" t="str">
        <f>IFERROR(__xludf.DUMMYFUNCTION("""COMPUTED_VALUE"""),"BICYCLE")</f>
        <v>BICYCLE</v>
      </c>
      <c r="G2369" s="7" t="str">
        <f>IFERROR(__xludf.DUMMYFUNCTION("""COMPUTED_VALUE"""),"SAO PAULO")</f>
        <v>SAO PAULO</v>
      </c>
    </row>
    <row r="2370">
      <c r="A2370" s="6">
        <f>IFERROR(__xludf.DUMMYFUNCTION("""COMPUTED_VALUE"""),45705.0)</f>
        <v>45705</v>
      </c>
      <c r="B2370" s="7" t="str">
        <f>IFERROR(__xludf.DUMMYFUNCTION("""COMPUTED_VALUE"""),"fd5940b0-5938-4d2b-af85-2061115b547c")</f>
        <v>fd5940b0-5938-4d2b-af85-2061115b547c</v>
      </c>
      <c r="C2370" s="7">
        <f>IFERROR(__xludf.DUMMYFUNCTION("""COMPUTED_VALUE"""),0.0)</f>
        <v>0</v>
      </c>
      <c r="D2370" s="6">
        <f>IFERROR(__xludf.DUMMYFUNCTION("""COMPUTED_VALUE"""),45705.0)</f>
        <v>45705</v>
      </c>
      <c r="E2370" s="7" t="str">
        <f>IFERROR(__xludf.DUMMYFUNCTION("""COMPUTED_VALUE"""),"FRANQUIA_D&amp;G_SP")</f>
        <v>FRANQUIA_D&amp;G_SP</v>
      </c>
      <c r="F2370" s="7" t="str">
        <f>IFERROR(__xludf.DUMMYFUNCTION("""COMPUTED_VALUE"""),"EMOTORCYCLE")</f>
        <v>EMOTORCYCLE</v>
      </c>
      <c r="G2370" s="7" t="str">
        <f>IFERROR(__xludf.DUMMYFUNCTION("""COMPUTED_VALUE"""),"SAO PAULO")</f>
        <v>SAO PAULO</v>
      </c>
    </row>
    <row r="2371">
      <c r="A2371" s="6">
        <f>IFERROR(__xludf.DUMMYFUNCTION("""COMPUTED_VALUE"""),45705.0)</f>
        <v>45705</v>
      </c>
      <c r="B2371" s="7" t="str">
        <f>IFERROR(__xludf.DUMMYFUNCTION("""COMPUTED_VALUE"""),"dde14edb-5e2b-4e60-bd9d-c88a8a915b03")</f>
        <v>dde14edb-5e2b-4e60-bd9d-c88a8a915b03</v>
      </c>
      <c r="C2371" s="7">
        <f>IFERROR(__xludf.DUMMYFUNCTION("""COMPUTED_VALUE"""),0.0)</f>
        <v>0</v>
      </c>
      <c r="D2371" s="6">
        <f>IFERROR(__xludf.DUMMYFUNCTION("""COMPUTED_VALUE"""),45705.0)</f>
        <v>45705</v>
      </c>
      <c r="E2371" s="7" t="str">
        <f>IFERROR(__xludf.DUMMYFUNCTION("""COMPUTED_VALUE"""),"FRANQUIA_D&amp;G_SP")</f>
        <v>FRANQUIA_D&amp;G_SP</v>
      </c>
      <c r="F2371" s="7" t="str">
        <f>IFERROR(__xludf.DUMMYFUNCTION("""COMPUTED_VALUE"""),"MOTORCYCLE")</f>
        <v>MOTORCYCLE</v>
      </c>
      <c r="G2371" s="7" t="str">
        <f>IFERROR(__xludf.DUMMYFUNCTION("""COMPUTED_VALUE"""),"SAO PAULO")</f>
        <v>SAO PAULO</v>
      </c>
    </row>
    <row r="2372">
      <c r="A2372" s="6">
        <f>IFERROR(__xludf.DUMMYFUNCTION("""COMPUTED_VALUE"""),45705.0)</f>
        <v>45705</v>
      </c>
      <c r="B2372" s="7" t="str">
        <f>IFERROR(__xludf.DUMMYFUNCTION("""COMPUTED_VALUE"""),"7ba7ed71-6c1f-4d4a-8137-e2e6cd493fcf")</f>
        <v>7ba7ed71-6c1f-4d4a-8137-e2e6cd493fcf</v>
      </c>
      <c r="C2372" s="7">
        <f>IFERROR(__xludf.DUMMYFUNCTION("""COMPUTED_VALUE"""),2.0)</f>
        <v>2</v>
      </c>
      <c r="D2372" s="6">
        <f>IFERROR(__xludf.DUMMYFUNCTION("""COMPUTED_VALUE"""),45703.0)</f>
        <v>45703</v>
      </c>
      <c r="E2372" s="7" t="str">
        <f>IFERROR(__xludf.DUMMYFUNCTION("""COMPUTED_VALUE"""),"FRANQUIA_D&amp;G_SP")</f>
        <v>FRANQUIA_D&amp;G_SP</v>
      </c>
      <c r="F2372" s="7" t="str">
        <f>IFERROR(__xludf.DUMMYFUNCTION("""COMPUTED_VALUE"""),"BICYCLE")</f>
        <v>BICYCLE</v>
      </c>
      <c r="G2372" s="7" t="str">
        <f>IFERROR(__xludf.DUMMYFUNCTION("""COMPUTED_VALUE"""),"SAO PAULO")</f>
        <v>SAO PAULO</v>
      </c>
    </row>
    <row r="2373">
      <c r="A2373" s="6">
        <f>IFERROR(__xludf.DUMMYFUNCTION("""COMPUTED_VALUE"""),45705.0)</f>
        <v>45705</v>
      </c>
      <c r="B2373" s="7" t="str">
        <f>IFERROR(__xludf.DUMMYFUNCTION("""COMPUTED_VALUE"""),"b5c75a65-6b05-4ff3-8ed8-3d4f1fcf374e")</f>
        <v>b5c75a65-6b05-4ff3-8ed8-3d4f1fcf374e</v>
      </c>
      <c r="C2373" s="7">
        <f>IFERROR(__xludf.DUMMYFUNCTION("""COMPUTED_VALUE"""),110.0)</f>
        <v>110</v>
      </c>
      <c r="D2373" s="6">
        <f>IFERROR(__xludf.DUMMYFUNCTION("""COMPUTED_VALUE"""),45595.0)</f>
        <v>45595</v>
      </c>
      <c r="E2373" s="7" t="str">
        <f>IFERROR(__xludf.DUMMYFUNCTION("""COMPUTED_VALUE"""),"FRANQUIA_D&amp;G_SP")</f>
        <v>FRANQUIA_D&amp;G_SP</v>
      </c>
      <c r="F2373" s="7" t="str">
        <f>IFERROR(__xludf.DUMMYFUNCTION("""COMPUTED_VALUE"""),"MOTORCYCLE")</f>
        <v>MOTORCYCLE</v>
      </c>
      <c r="G2373" s="7" t="str">
        <f>IFERROR(__xludf.DUMMYFUNCTION("""COMPUTED_VALUE"""),"SAO PAULO")</f>
        <v>SAO PAULO</v>
      </c>
    </row>
    <row r="2374">
      <c r="A2374" s="6">
        <f>IFERROR(__xludf.DUMMYFUNCTION("""COMPUTED_VALUE"""),45705.0)</f>
        <v>45705</v>
      </c>
      <c r="B2374" s="7" t="str">
        <f>IFERROR(__xludf.DUMMYFUNCTION("""COMPUTED_VALUE"""),"7b85ee77-e175-4070-b2a5-dfd0e97c8170")</f>
        <v>7b85ee77-e175-4070-b2a5-dfd0e97c8170</v>
      </c>
      <c r="C2374" s="7">
        <f>IFERROR(__xludf.DUMMYFUNCTION("""COMPUTED_VALUE"""),37.0)</f>
        <v>37</v>
      </c>
      <c r="D2374" s="6">
        <f>IFERROR(__xludf.DUMMYFUNCTION("""COMPUTED_VALUE"""),45668.0)</f>
        <v>45668</v>
      </c>
      <c r="E2374" s="7" t="str">
        <f>IFERROR(__xludf.DUMMYFUNCTION("""COMPUTED_VALUE"""),"FRANQUIA_D&amp;G_SP")</f>
        <v>FRANQUIA_D&amp;G_SP</v>
      </c>
      <c r="F2374" s="7" t="str">
        <f>IFERROR(__xludf.DUMMYFUNCTION("""COMPUTED_VALUE"""),"BICYCLE")</f>
        <v>BICYCLE</v>
      </c>
      <c r="G2374" s="7" t="str">
        <f>IFERROR(__xludf.DUMMYFUNCTION("""COMPUTED_VALUE"""),"SAO PAULO")</f>
        <v>SAO PAULO</v>
      </c>
    </row>
    <row r="2375">
      <c r="A2375" s="6">
        <f>IFERROR(__xludf.DUMMYFUNCTION("""COMPUTED_VALUE"""),45705.0)</f>
        <v>45705</v>
      </c>
      <c r="B2375" s="7" t="str">
        <f>IFERROR(__xludf.DUMMYFUNCTION("""COMPUTED_VALUE"""),"15fbb15f-0584-4ec6-918d-147efe290f20")</f>
        <v>15fbb15f-0584-4ec6-918d-147efe290f20</v>
      </c>
      <c r="C2375" s="7">
        <f>IFERROR(__xludf.DUMMYFUNCTION("""COMPUTED_VALUE"""),7.0)</f>
        <v>7</v>
      </c>
      <c r="D2375" s="6">
        <f>IFERROR(__xludf.DUMMYFUNCTION("""COMPUTED_VALUE"""),45698.0)</f>
        <v>45698</v>
      </c>
      <c r="E2375" s="7" t="str">
        <f>IFERROR(__xludf.DUMMYFUNCTION("""COMPUTED_VALUE"""),"FRANQUIA_D&amp;G_SP")</f>
        <v>FRANQUIA_D&amp;G_SP</v>
      </c>
      <c r="F2375" s="7" t="str">
        <f>IFERROR(__xludf.DUMMYFUNCTION("""COMPUTED_VALUE"""),"MOTORCYCLE")</f>
        <v>MOTORCYCLE</v>
      </c>
      <c r="G2375" s="7" t="str">
        <f>IFERROR(__xludf.DUMMYFUNCTION("""COMPUTED_VALUE"""),"SAO PAULO")</f>
        <v>SAO PAULO</v>
      </c>
    </row>
    <row r="2376">
      <c r="A2376" s="6">
        <f>IFERROR(__xludf.DUMMYFUNCTION("""COMPUTED_VALUE"""),45705.0)</f>
        <v>45705</v>
      </c>
      <c r="B2376" s="7" t="str">
        <f>IFERROR(__xludf.DUMMYFUNCTION("""COMPUTED_VALUE"""),"6f6fe6c3-3bc1-4c78-b0a8-744a8b0b6214")</f>
        <v>6f6fe6c3-3bc1-4c78-b0a8-744a8b0b6214</v>
      </c>
      <c r="C2376" s="7">
        <f>IFERROR(__xludf.DUMMYFUNCTION("""COMPUTED_VALUE"""),23.0)</f>
        <v>23</v>
      </c>
      <c r="D2376" s="6">
        <f>IFERROR(__xludf.DUMMYFUNCTION("""COMPUTED_VALUE"""),45682.0)</f>
        <v>45682</v>
      </c>
      <c r="E2376" s="7" t="str">
        <f>IFERROR(__xludf.DUMMYFUNCTION("""COMPUTED_VALUE"""),"FRANQUIA_D&amp;G_SP")</f>
        <v>FRANQUIA_D&amp;G_SP</v>
      </c>
      <c r="F2376" s="7" t="str">
        <f>IFERROR(__xludf.DUMMYFUNCTION("""COMPUTED_VALUE"""),"MOTORCYCLE")</f>
        <v>MOTORCYCLE</v>
      </c>
      <c r="G2376" s="7" t="str">
        <f>IFERROR(__xludf.DUMMYFUNCTION("""COMPUTED_VALUE"""),"SAO PAULO")</f>
        <v>SAO PAULO</v>
      </c>
    </row>
    <row r="2377">
      <c r="A2377" s="6">
        <f>IFERROR(__xludf.DUMMYFUNCTION("""COMPUTED_VALUE"""),45705.0)</f>
        <v>45705</v>
      </c>
      <c r="B2377" s="7" t="str">
        <f>IFERROR(__xludf.DUMMYFUNCTION("""COMPUTED_VALUE"""),"d5229b76-7dc8-4876-bb3b-b97f6b4a437d")</f>
        <v>d5229b76-7dc8-4876-bb3b-b97f6b4a437d</v>
      </c>
      <c r="C2377" s="7">
        <f>IFERROR(__xludf.DUMMYFUNCTION("""COMPUTED_VALUE"""),213.0)</f>
        <v>213</v>
      </c>
      <c r="D2377" s="6">
        <f>IFERROR(__xludf.DUMMYFUNCTION("""COMPUTED_VALUE"""),45492.0)</f>
        <v>45492</v>
      </c>
      <c r="E2377" s="7" t="str">
        <f>IFERROR(__xludf.DUMMYFUNCTION("""COMPUTED_VALUE"""),"FRANQUIA_D&amp;G_SP")</f>
        <v>FRANQUIA_D&amp;G_SP</v>
      </c>
      <c r="F2377" s="7" t="str">
        <f>IFERROR(__xludf.DUMMYFUNCTION("""COMPUTED_VALUE"""),"MOTORCYCLE")</f>
        <v>MOTORCYCLE</v>
      </c>
      <c r="G2377" s="7" t="str">
        <f>IFERROR(__xludf.DUMMYFUNCTION("""COMPUTED_VALUE"""),"SAO PAULO")</f>
        <v>SAO PAULO</v>
      </c>
    </row>
    <row r="2378">
      <c r="A2378" s="6">
        <f>IFERROR(__xludf.DUMMYFUNCTION("""COMPUTED_VALUE"""),45705.0)</f>
        <v>45705</v>
      </c>
      <c r="B2378" s="7" t="str">
        <f>IFERROR(__xludf.DUMMYFUNCTION("""COMPUTED_VALUE"""),"1af8e383-5099-4651-9d15-dd93fe0f489c")</f>
        <v>1af8e383-5099-4651-9d15-dd93fe0f489c</v>
      </c>
      <c r="C2378" s="7">
        <f>IFERROR(__xludf.DUMMYFUNCTION("""COMPUTED_VALUE"""),0.0)</f>
        <v>0</v>
      </c>
      <c r="D2378" s="6">
        <f>IFERROR(__xludf.DUMMYFUNCTION("""COMPUTED_VALUE"""),45705.0)</f>
        <v>45705</v>
      </c>
      <c r="E2378" s="7" t="str">
        <f>IFERROR(__xludf.DUMMYFUNCTION("""COMPUTED_VALUE"""),"FRANQUIA_D&amp;G_SP")</f>
        <v>FRANQUIA_D&amp;G_SP</v>
      </c>
      <c r="F2378" s="7" t="str">
        <f>IFERROR(__xludf.DUMMYFUNCTION("""COMPUTED_VALUE"""),"MOTORCYCLE")</f>
        <v>MOTORCYCLE</v>
      </c>
      <c r="G2378" s="7" t="str">
        <f>IFERROR(__xludf.DUMMYFUNCTION("""COMPUTED_VALUE"""),"SAO PAULO")</f>
        <v>SAO PAULO</v>
      </c>
    </row>
    <row r="2379">
      <c r="A2379" s="6">
        <f>IFERROR(__xludf.DUMMYFUNCTION("""COMPUTED_VALUE"""),45705.0)</f>
        <v>45705</v>
      </c>
      <c r="B2379" s="7" t="str">
        <f>IFERROR(__xludf.DUMMYFUNCTION("""COMPUTED_VALUE"""),"70a7f79d-7979-453f-a244-6e0e0d5bc1af")</f>
        <v>70a7f79d-7979-453f-a244-6e0e0d5bc1af</v>
      </c>
      <c r="C2379" s="7">
        <f>IFERROR(__xludf.DUMMYFUNCTION("""COMPUTED_VALUE"""),0.0)</f>
        <v>0</v>
      </c>
      <c r="D2379" s="6">
        <f>IFERROR(__xludf.DUMMYFUNCTION("""COMPUTED_VALUE"""),0.0)</f>
        <v>0</v>
      </c>
      <c r="E2379" s="7" t="str">
        <f>IFERROR(__xludf.DUMMYFUNCTION("""COMPUTED_VALUE"""),"FRANQUIA_D&amp;G_SP")</f>
        <v>FRANQUIA_D&amp;G_SP</v>
      </c>
      <c r="F2379" s="7" t="str">
        <f>IFERROR(__xludf.DUMMYFUNCTION("""COMPUTED_VALUE"""),"MOTORCYCLE")</f>
        <v>MOTORCYCLE</v>
      </c>
      <c r="G2379" s="7" t="str">
        <f>IFERROR(__xludf.DUMMYFUNCTION("""COMPUTED_VALUE"""),"0")</f>
        <v>0</v>
      </c>
    </row>
    <row r="2380">
      <c r="A2380" s="6">
        <f>IFERROR(__xludf.DUMMYFUNCTION("""COMPUTED_VALUE"""),45705.0)</f>
        <v>45705</v>
      </c>
      <c r="B2380" s="7" t="str">
        <f>IFERROR(__xludf.DUMMYFUNCTION("""COMPUTED_VALUE"""),"abc570d9-06e6-486a-a8f1-a8fa9b2d8bee")</f>
        <v>abc570d9-06e6-486a-a8f1-a8fa9b2d8bee</v>
      </c>
      <c r="C2380" s="7">
        <f>IFERROR(__xludf.DUMMYFUNCTION("""COMPUTED_VALUE"""),0.0)</f>
        <v>0</v>
      </c>
      <c r="D2380" s="6">
        <f>IFERROR(__xludf.DUMMYFUNCTION("""COMPUTED_VALUE"""),45705.0)</f>
        <v>45705</v>
      </c>
      <c r="E2380" s="7" t="str">
        <f>IFERROR(__xludf.DUMMYFUNCTION("""COMPUTED_VALUE"""),"FRANQUIA_D&amp;G_SP")</f>
        <v>FRANQUIA_D&amp;G_SP</v>
      </c>
      <c r="F2380" s="7" t="str">
        <f>IFERROR(__xludf.DUMMYFUNCTION("""COMPUTED_VALUE"""),"BICYCLE")</f>
        <v>BICYCLE</v>
      </c>
      <c r="G2380" s="7" t="str">
        <f>IFERROR(__xludf.DUMMYFUNCTION("""COMPUTED_VALUE"""),"SAO PAULO")</f>
        <v>SAO PAULO</v>
      </c>
    </row>
    <row r="2381">
      <c r="A2381" s="6">
        <f>IFERROR(__xludf.DUMMYFUNCTION("""COMPUTED_VALUE"""),45705.0)</f>
        <v>45705</v>
      </c>
      <c r="B2381" s="7" t="str">
        <f>IFERROR(__xludf.DUMMYFUNCTION("""COMPUTED_VALUE"""),"0fcb9315-731f-499c-afad-6f330536776e")</f>
        <v>0fcb9315-731f-499c-afad-6f330536776e</v>
      </c>
      <c r="C2381" s="7">
        <f>IFERROR(__xludf.DUMMYFUNCTION("""COMPUTED_VALUE"""),847.0)</f>
        <v>847</v>
      </c>
      <c r="D2381" s="6">
        <f>IFERROR(__xludf.DUMMYFUNCTION("""COMPUTED_VALUE"""),44858.0)</f>
        <v>44858</v>
      </c>
      <c r="E2381" s="7" t="str">
        <f>IFERROR(__xludf.DUMMYFUNCTION("""COMPUTED_VALUE"""),"FRANQUIA_D&amp;G_SP")</f>
        <v>FRANQUIA_D&amp;G_SP</v>
      </c>
      <c r="F2381" s="7" t="str">
        <f>IFERROR(__xludf.DUMMYFUNCTION("""COMPUTED_VALUE"""),"BICYCLE")</f>
        <v>BICYCLE</v>
      </c>
      <c r="G2381" s="7" t="str">
        <f>IFERROR(__xludf.DUMMYFUNCTION("""COMPUTED_VALUE"""),"SAO PAULO")</f>
        <v>SAO PAULO</v>
      </c>
    </row>
    <row r="2382">
      <c r="A2382" s="6">
        <f>IFERROR(__xludf.DUMMYFUNCTION("""COMPUTED_VALUE"""),45705.0)</f>
        <v>45705</v>
      </c>
      <c r="B2382" s="7" t="str">
        <f>IFERROR(__xludf.DUMMYFUNCTION("""COMPUTED_VALUE"""),"4461816f-374d-4326-8a91-02bb8b0ea8f2")</f>
        <v>4461816f-374d-4326-8a91-02bb8b0ea8f2</v>
      </c>
      <c r="C2382" s="7">
        <f>IFERROR(__xludf.DUMMYFUNCTION("""COMPUTED_VALUE"""),2.0)</f>
        <v>2</v>
      </c>
      <c r="D2382" s="6">
        <f>IFERROR(__xludf.DUMMYFUNCTION("""COMPUTED_VALUE"""),45703.0)</f>
        <v>45703</v>
      </c>
      <c r="E2382" s="7" t="str">
        <f>IFERROR(__xludf.DUMMYFUNCTION("""COMPUTED_VALUE"""),"FRANQUIA_D&amp;G_SP")</f>
        <v>FRANQUIA_D&amp;G_SP</v>
      </c>
      <c r="F2382" s="7" t="str">
        <f>IFERROR(__xludf.DUMMYFUNCTION("""COMPUTED_VALUE"""),"MOTORCYCLE")</f>
        <v>MOTORCYCLE</v>
      </c>
      <c r="G2382" s="7" t="str">
        <f>IFERROR(__xludf.DUMMYFUNCTION("""COMPUTED_VALUE"""),"ABC")</f>
        <v>ABC</v>
      </c>
    </row>
    <row r="2383">
      <c r="A2383" s="6">
        <f>IFERROR(__xludf.DUMMYFUNCTION("""COMPUTED_VALUE"""),45705.0)</f>
        <v>45705</v>
      </c>
      <c r="B2383" s="7" t="str">
        <f>IFERROR(__xludf.DUMMYFUNCTION("""COMPUTED_VALUE"""),"6d45c364-137d-40ab-a499-2c1bbcc0c8f1")</f>
        <v>6d45c364-137d-40ab-a499-2c1bbcc0c8f1</v>
      </c>
      <c r="C2383" s="7">
        <f>IFERROR(__xludf.DUMMYFUNCTION("""COMPUTED_VALUE"""),238.0)</f>
        <v>238</v>
      </c>
      <c r="D2383" s="6">
        <f>IFERROR(__xludf.DUMMYFUNCTION("""COMPUTED_VALUE"""),45467.0)</f>
        <v>45467</v>
      </c>
      <c r="E2383" s="7" t="str">
        <f>IFERROR(__xludf.DUMMYFUNCTION("""COMPUTED_VALUE"""),"FRANQUIA_D&amp;G_SP")</f>
        <v>FRANQUIA_D&amp;G_SP</v>
      </c>
      <c r="F2383" s="7" t="str">
        <f>IFERROR(__xludf.DUMMYFUNCTION("""COMPUTED_VALUE"""),"MOTORCYCLE")</f>
        <v>MOTORCYCLE</v>
      </c>
      <c r="G2383" s="7" t="str">
        <f>IFERROR(__xludf.DUMMYFUNCTION("""COMPUTED_VALUE"""),"SAO PAULO")</f>
        <v>SAO PAULO</v>
      </c>
    </row>
    <row r="2384">
      <c r="A2384" s="6">
        <f>IFERROR(__xludf.DUMMYFUNCTION("""COMPUTED_VALUE"""),45705.0)</f>
        <v>45705</v>
      </c>
      <c r="B2384" s="7" t="str">
        <f>IFERROR(__xludf.DUMMYFUNCTION("""COMPUTED_VALUE"""),"edb5cd22-25c6-4e58-9e09-f36340f2b921")</f>
        <v>edb5cd22-25c6-4e58-9e09-f36340f2b921</v>
      </c>
      <c r="C2384" s="7">
        <f>IFERROR(__xludf.DUMMYFUNCTION("""COMPUTED_VALUE"""),9.0)</f>
        <v>9</v>
      </c>
      <c r="D2384" s="6">
        <f>IFERROR(__xludf.DUMMYFUNCTION("""COMPUTED_VALUE"""),45696.0)</f>
        <v>45696</v>
      </c>
      <c r="E2384" s="7" t="str">
        <f>IFERROR(__xludf.DUMMYFUNCTION("""COMPUTED_VALUE"""),"FRANQUIA_D&amp;G_SP")</f>
        <v>FRANQUIA_D&amp;G_SP</v>
      </c>
      <c r="F2384" s="7" t="str">
        <f>IFERROR(__xludf.DUMMYFUNCTION("""COMPUTED_VALUE"""),"MOTORCYCLE")</f>
        <v>MOTORCYCLE</v>
      </c>
      <c r="G2384" s="7" t="str">
        <f>IFERROR(__xludf.DUMMYFUNCTION("""COMPUTED_VALUE"""),"SAO PAULO")</f>
        <v>SAO PAULO</v>
      </c>
    </row>
    <row r="2385">
      <c r="A2385" s="6">
        <f>IFERROR(__xludf.DUMMYFUNCTION("""COMPUTED_VALUE"""),45705.0)</f>
        <v>45705</v>
      </c>
      <c r="B2385" s="7" t="str">
        <f>IFERROR(__xludf.DUMMYFUNCTION("""COMPUTED_VALUE"""),"42188de1-f4c5-41e4-8d95-487f49dcd0b8")</f>
        <v>42188de1-f4c5-41e4-8d95-487f49dcd0b8</v>
      </c>
      <c r="C2385" s="7">
        <f>IFERROR(__xludf.DUMMYFUNCTION("""COMPUTED_VALUE"""),2.0)</f>
        <v>2</v>
      </c>
      <c r="D2385" s="6">
        <f>IFERROR(__xludf.DUMMYFUNCTION("""COMPUTED_VALUE"""),45703.0)</f>
        <v>45703</v>
      </c>
      <c r="E2385" s="7" t="str">
        <f>IFERROR(__xludf.DUMMYFUNCTION("""COMPUTED_VALUE"""),"FRANQUIA_D&amp;G_SP")</f>
        <v>FRANQUIA_D&amp;G_SP</v>
      </c>
      <c r="F2385" s="7" t="str">
        <f>IFERROR(__xludf.DUMMYFUNCTION("""COMPUTED_VALUE"""),"MOTORCYCLE")</f>
        <v>MOTORCYCLE</v>
      </c>
      <c r="G2385" s="7" t="str">
        <f>IFERROR(__xludf.DUMMYFUNCTION("""COMPUTED_VALUE"""),"SAO PAULO")</f>
        <v>SAO PAULO</v>
      </c>
    </row>
    <row r="2386">
      <c r="A2386" s="6">
        <f>IFERROR(__xludf.DUMMYFUNCTION("""COMPUTED_VALUE"""),45705.0)</f>
        <v>45705</v>
      </c>
      <c r="B2386" s="7" t="str">
        <f>IFERROR(__xludf.DUMMYFUNCTION("""COMPUTED_VALUE"""),"c2211396-f519-4957-9c0c-7054842b6c9f")</f>
        <v>c2211396-f519-4957-9c0c-7054842b6c9f</v>
      </c>
      <c r="C2386" s="7">
        <f>IFERROR(__xludf.DUMMYFUNCTION("""COMPUTED_VALUE"""),0.0)</f>
        <v>0</v>
      </c>
      <c r="D2386" s="6">
        <f>IFERROR(__xludf.DUMMYFUNCTION("""COMPUTED_VALUE"""),45705.0)</f>
        <v>45705</v>
      </c>
      <c r="E2386" s="7" t="str">
        <f>IFERROR(__xludf.DUMMYFUNCTION("""COMPUTED_VALUE"""),"FRANQUIA_D&amp;G_SP")</f>
        <v>FRANQUIA_D&amp;G_SP</v>
      </c>
      <c r="F2386" s="7" t="str">
        <f>IFERROR(__xludf.DUMMYFUNCTION("""COMPUTED_VALUE"""),"MOTORCYCLE")</f>
        <v>MOTORCYCLE</v>
      </c>
      <c r="G2386" s="7" t="str">
        <f>IFERROR(__xludf.DUMMYFUNCTION("""COMPUTED_VALUE"""),"SAO PAULO")</f>
        <v>SAO PAULO</v>
      </c>
    </row>
    <row r="2387">
      <c r="A2387" s="6">
        <f>IFERROR(__xludf.DUMMYFUNCTION("""COMPUTED_VALUE"""),45705.0)</f>
        <v>45705</v>
      </c>
      <c r="B2387" s="7" t="str">
        <f>IFERROR(__xludf.DUMMYFUNCTION("""COMPUTED_VALUE"""),"b5a6f2b7-e488-4437-bb90-0ae28173efe6")</f>
        <v>b5a6f2b7-e488-4437-bb90-0ae28173efe6</v>
      </c>
      <c r="C2387" s="7">
        <f>IFERROR(__xludf.DUMMYFUNCTION("""COMPUTED_VALUE"""),189.0)</f>
        <v>189</v>
      </c>
      <c r="D2387" s="6">
        <f>IFERROR(__xludf.DUMMYFUNCTION("""COMPUTED_VALUE"""),45516.0)</f>
        <v>45516</v>
      </c>
      <c r="E2387" s="7" t="str">
        <f>IFERROR(__xludf.DUMMYFUNCTION("""COMPUTED_VALUE"""),"FRANQUIA_D&amp;G_SP")</f>
        <v>FRANQUIA_D&amp;G_SP</v>
      </c>
      <c r="F2387" s="7" t="str">
        <f>IFERROR(__xludf.DUMMYFUNCTION("""COMPUTED_VALUE"""),"BICYCLE")</f>
        <v>BICYCLE</v>
      </c>
      <c r="G2387" s="7" t="str">
        <f>IFERROR(__xludf.DUMMYFUNCTION("""COMPUTED_VALUE"""),"SAO PAULO")</f>
        <v>SAO PAULO</v>
      </c>
    </row>
    <row r="2388">
      <c r="A2388" s="6">
        <f>IFERROR(__xludf.DUMMYFUNCTION("""COMPUTED_VALUE"""),45705.0)</f>
        <v>45705</v>
      </c>
      <c r="B2388" s="7" t="str">
        <f>IFERROR(__xludf.DUMMYFUNCTION("""COMPUTED_VALUE"""),"0d688304-6776-4fe0-9739-48a26bd44a1b")</f>
        <v>0d688304-6776-4fe0-9739-48a26bd44a1b</v>
      </c>
      <c r="C2388" s="7">
        <f>IFERROR(__xludf.DUMMYFUNCTION("""COMPUTED_VALUE"""),41.0)</f>
        <v>41</v>
      </c>
      <c r="D2388" s="6">
        <f>IFERROR(__xludf.DUMMYFUNCTION("""COMPUTED_VALUE"""),45664.0)</f>
        <v>45664</v>
      </c>
      <c r="E2388" s="7" t="str">
        <f>IFERROR(__xludf.DUMMYFUNCTION("""COMPUTED_VALUE"""),"FRANQUIA_D&amp;G_SP")</f>
        <v>FRANQUIA_D&amp;G_SP</v>
      </c>
      <c r="F2388" s="7" t="str">
        <f>IFERROR(__xludf.DUMMYFUNCTION("""COMPUTED_VALUE"""),"MOTORCYCLE")</f>
        <v>MOTORCYCLE</v>
      </c>
      <c r="G2388" s="7" t="str">
        <f>IFERROR(__xludf.DUMMYFUNCTION("""COMPUTED_VALUE"""),"SAO PAULO")</f>
        <v>SAO PAULO</v>
      </c>
    </row>
    <row r="2389">
      <c r="A2389" s="6">
        <f>IFERROR(__xludf.DUMMYFUNCTION("""COMPUTED_VALUE"""),45705.0)</f>
        <v>45705</v>
      </c>
      <c r="B2389" s="7" t="str">
        <f>IFERROR(__xludf.DUMMYFUNCTION("""COMPUTED_VALUE"""),"af0d0234-ae1e-4ac9-bbba-a6deefa1dca0")</f>
        <v>af0d0234-ae1e-4ac9-bbba-a6deefa1dca0</v>
      </c>
      <c r="C2389" s="7">
        <f>IFERROR(__xludf.DUMMYFUNCTION("""COMPUTED_VALUE"""),0.0)</f>
        <v>0</v>
      </c>
      <c r="D2389" s="6">
        <f>IFERROR(__xludf.DUMMYFUNCTION("""COMPUTED_VALUE"""),0.0)</f>
        <v>0</v>
      </c>
      <c r="E2389" s="7" t="str">
        <f>IFERROR(__xludf.DUMMYFUNCTION("""COMPUTED_VALUE"""),"FRANQUIA_D&amp;G_SP")</f>
        <v>FRANQUIA_D&amp;G_SP</v>
      </c>
      <c r="F2389" s="7" t="str">
        <f>IFERROR(__xludf.DUMMYFUNCTION("""COMPUTED_VALUE"""),"BICYCLE")</f>
        <v>BICYCLE</v>
      </c>
      <c r="G2389" s="7" t="str">
        <f>IFERROR(__xludf.DUMMYFUNCTION("""COMPUTED_VALUE"""),"0")</f>
        <v>0</v>
      </c>
    </row>
    <row r="2390">
      <c r="A2390" s="6">
        <f>IFERROR(__xludf.DUMMYFUNCTION("""COMPUTED_VALUE"""),45705.0)</f>
        <v>45705</v>
      </c>
      <c r="B2390" s="7" t="str">
        <f>IFERROR(__xludf.DUMMYFUNCTION("""COMPUTED_VALUE"""),"6b0b7773-72a4-4cc5-a4e1-f585dfe2a794")</f>
        <v>6b0b7773-72a4-4cc5-a4e1-f585dfe2a794</v>
      </c>
      <c r="C2390" s="7">
        <f>IFERROR(__xludf.DUMMYFUNCTION("""COMPUTED_VALUE"""),67.0)</f>
        <v>67</v>
      </c>
      <c r="D2390" s="6">
        <f>IFERROR(__xludf.DUMMYFUNCTION("""COMPUTED_VALUE"""),45638.0)</f>
        <v>45638</v>
      </c>
      <c r="E2390" s="7" t="str">
        <f>IFERROR(__xludf.DUMMYFUNCTION("""COMPUTED_VALUE"""),"FRANQUIA_D&amp;G_SP")</f>
        <v>FRANQUIA_D&amp;G_SP</v>
      </c>
      <c r="F2390" s="7" t="str">
        <f>IFERROR(__xludf.DUMMYFUNCTION("""COMPUTED_VALUE"""),"MOTORCYCLE")</f>
        <v>MOTORCYCLE</v>
      </c>
      <c r="G2390" s="7" t="str">
        <f>IFERROR(__xludf.DUMMYFUNCTION("""COMPUTED_VALUE"""),"SAO PAULO")</f>
        <v>SAO PAULO</v>
      </c>
    </row>
    <row r="2391">
      <c r="A2391" s="6">
        <f>IFERROR(__xludf.DUMMYFUNCTION("""COMPUTED_VALUE"""),45705.0)</f>
        <v>45705</v>
      </c>
      <c r="B2391" s="7" t="str">
        <f>IFERROR(__xludf.DUMMYFUNCTION("""COMPUTED_VALUE"""),"7a379847-5077-4924-9b72-952a743aebe6")</f>
        <v>7a379847-5077-4924-9b72-952a743aebe6</v>
      </c>
      <c r="C2391" s="7">
        <f>IFERROR(__xludf.DUMMYFUNCTION("""COMPUTED_VALUE"""),9.0)</f>
        <v>9</v>
      </c>
      <c r="D2391" s="6">
        <f>IFERROR(__xludf.DUMMYFUNCTION("""COMPUTED_VALUE"""),45696.0)</f>
        <v>45696</v>
      </c>
      <c r="E2391" s="7" t="str">
        <f>IFERROR(__xludf.DUMMYFUNCTION("""COMPUTED_VALUE"""),"FRANQUIA_D&amp;G_SP")</f>
        <v>FRANQUIA_D&amp;G_SP</v>
      </c>
      <c r="F2391" s="7" t="str">
        <f>IFERROR(__xludf.DUMMYFUNCTION("""COMPUTED_VALUE"""),"MOTORCYCLE")</f>
        <v>MOTORCYCLE</v>
      </c>
      <c r="G2391" s="7" t="str">
        <f>IFERROR(__xludf.DUMMYFUNCTION("""COMPUTED_VALUE"""),"SAO PAULO")</f>
        <v>SAO PAULO</v>
      </c>
    </row>
    <row r="2392">
      <c r="A2392" s="6">
        <f>IFERROR(__xludf.DUMMYFUNCTION("""COMPUTED_VALUE"""),45705.0)</f>
        <v>45705</v>
      </c>
      <c r="B2392" s="7" t="str">
        <f>IFERROR(__xludf.DUMMYFUNCTION("""COMPUTED_VALUE"""),"1a6c8a0a-9147-4553-976d-4c2374ca1f89")</f>
        <v>1a6c8a0a-9147-4553-976d-4c2374ca1f89</v>
      </c>
      <c r="C2392" s="7">
        <f>IFERROR(__xludf.DUMMYFUNCTION("""COMPUTED_VALUE"""),10.0)</f>
        <v>10</v>
      </c>
      <c r="D2392" s="6">
        <f>IFERROR(__xludf.DUMMYFUNCTION("""COMPUTED_VALUE"""),45695.0)</f>
        <v>45695</v>
      </c>
      <c r="E2392" s="7" t="str">
        <f>IFERROR(__xludf.DUMMYFUNCTION("""COMPUTED_VALUE"""),"FRANQUIA_D&amp;G_SP")</f>
        <v>FRANQUIA_D&amp;G_SP</v>
      </c>
      <c r="F2392" s="7" t="str">
        <f>IFERROR(__xludf.DUMMYFUNCTION("""COMPUTED_VALUE"""),"MOTORCYCLE")</f>
        <v>MOTORCYCLE</v>
      </c>
      <c r="G2392" s="7" t="str">
        <f>IFERROR(__xludf.DUMMYFUNCTION("""COMPUTED_VALUE"""),"SAO PAULO")</f>
        <v>SAO PAULO</v>
      </c>
    </row>
    <row r="2393">
      <c r="A2393" s="6">
        <f>IFERROR(__xludf.DUMMYFUNCTION("""COMPUTED_VALUE"""),45705.0)</f>
        <v>45705</v>
      </c>
      <c r="B2393" s="7" t="str">
        <f>IFERROR(__xludf.DUMMYFUNCTION("""COMPUTED_VALUE"""),"e9e3a5fc-2173-43aa-85a9-5fc86754002e")</f>
        <v>e9e3a5fc-2173-43aa-85a9-5fc86754002e</v>
      </c>
      <c r="C2393" s="7">
        <f>IFERROR(__xludf.DUMMYFUNCTION("""COMPUTED_VALUE"""),1162.0)</f>
        <v>1162</v>
      </c>
      <c r="D2393" s="6">
        <f>IFERROR(__xludf.DUMMYFUNCTION("""COMPUTED_VALUE"""),44543.0)</f>
        <v>44543</v>
      </c>
      <c r="E2393" s="7" t="str">
        <f>IFERROR(__xludf.DUMMYFUNCTION("""COMPUTED_VALUE"""),"FRANQUIA_D&amp;G_SP")</f>
        <v>FRANQUIA_D&amp;G_SP</v>
      </c>
      <c r="F2393" s="7" t="str">
        <f>IFERROR(__xludf.DUMMYFUNCTION("""COMPUTED_VALUE"""),"BICYCLE")</f>
        <v>BICYCLE</v>
      </c>
      <c r="G2393" s="7" t="str">
        <f>IFERROR(__xludf.DUMMYFUNCTION("""COMPUTED_VALUE"""),"PERUIBE")</f>
        <v>PERUIBE</v>
      </c>
    </row>
    <row r="2394">
      <c r="A2394" s="6">
        <f>IFERROR(__xludf.DUMMYFUNCTION("""COMPUTED_VALUE"""),45705.0)</f>
        <v>45705</v>
      </c>
      <c r="B2394" s="7" t="str">
        <f>IFERROR(__xludf.DUMMYFUNCTION("""COMPUTED_VALUE"""),"f6e60180-84a2-4e46-b377-85900786bd56")</f>
        <v>f6e60180-84a2-4e46-b377-85900786bd56</v>
      </c>
      <c r="C2394" s="7">
        <f>IFERROR(__xludf.DUMMYFUNCTION("""COMPUTED_VALUE"""),0.0)</f>
        <v>0</v>
      </c>
      <c r="D2394" s="6">
        <f>IFERROR(__xludf.DUMMYFUNCTION("""COMPUTED_VALUE"""),45705.0)</f>
        <v>45705</v>
      </c>
      <c r="E2394" s="7" t="str">
        <f>IFERROR(__xludf.DUMMYFUNCTION("""COMPUTED_VALUE"""),"FRANQUIA_D&amp;G_SP")</f>
        <v>FRANQUIA_D&amp;G_SP</v>
      </c>
      <c r="F2394" s="7" t="str">
        <f>IFERROR(__xludf.DUMMYFUNCTION("""COMPUTED_VALUE"""),"EBIKE")</f>
        <v>EBIKE</v>
      </c>
      <c r="G2394" s="7" t="str">
        <f>IFERROR(__xludf.DUMMYFUNCTION("""COMPUTED_VALUE"""),"SAO PAULO")</f>
        <v>SAO PAULO</v>
      </c>
    </row>
    <row r="2395">
      <c r="A2395" s="6">
        <f>IFERROR(__xludf.DUMMYFUNCTION("""COMPUTED_VALUE"""),45705.0)</f>
        <v>45705</v>
      </c>
      <c r="B2395" s="7" t="str">
        <f>IFERROR(__xludf.DUMMYFUNCTION("""COMPUTED_VALUE"""),"e8274d62-245f-400b-9ed0-117eb101780f")</f>
        <v>e8274d62-245f-400b-9ed0-117eb101780f</v>
      </c>
      <c r="C2395" s="7">
        <f>IFERROR(__xludf.DUMMYFUNCTION("""COMPUTED_VALUE"""),0.0)</f>
        <v>0</v>
      </c>
      <c r="D2395" s="6">
        <f>IFERROR(__xludf.DUMMYFUNCTION("""COMPUTED_VALUE"""),45705.0)</f>
        <v>45705</v>
      </c>
      <c r="E2395" s="7" t="str">
        <f>IFERROR(__xludf.DUMMYFUNCTION("""COMPUTED_VALUE"""),"FRANQUIA_D&amp;G_SP")</f>
        <v>FRANQUIA_D&amp;G_SP</v>
      </c>
      <c r="F2395" s="7" t="str">
        <f>IFERROR(__xludf.DUMMYFUNCTION("""COMPUTED_VALUE"""),"EBIKE")</f>
        <v>EBIKE</v>
      </c>
      <c r="G2395" s="7" t="str">
        <f>IFERROR(__xludf.DUMMYFUNCTION("""COMPUTED_VALUE"""),"SAO PAULO")</f>
        <v>SAO PAULO</v>
      </c>
    </row>
    <row r="2396">
      <c r="A2396" s="6">
        <f>IFERROR(__xludf.DUMMYFUNCTION("""COMPUTED_VALUE"""),45705.0)</f>
        <v>45705</v>
      </c>
      <c r="B2396" s="7" t="str">
        <f>IFERROR(__xludf.DUMMYFUNCTION("""COMPUTED_VALUE"""),"aa560dd1-8536-4d28-b4ae-b1de7ab996d1")</f>
        <v>aa560dd1-8536-4d28-b4ae-b1de7ab996d1</v>
      </c>
      <c r="C2396" s="7">
        <f>IFERROR(__xludf.DUMMYFUNCTION("""COMPUTED_VALUE"""),0.0)</f>
        <v>0</v>
      </c>
      <c r="D2396" s="6">
        <f>IFERROR(__xludf.DUMMYFUNCTION("""COMPUTED_VALUE"""),45705.0)</f>
        <v>45705</v>
      </c>
      <c r="E2396" s="7" t="str">
        <f>IFERROR(__xludf.DUMMYFUNCTION("""COMPUTED_VALUE"""),"FRANQUIA_D&amp;G_SP")</f>
        <v>FRANQUIA_D&amp;G_SP</v>
      </c>
      <c r="F2396" s="7" t="str">
        <f>IFERROR(__xludf.DUMMYFUNCTION("""COMPUTED_VALUE"""),"BICYCLE")</f>
        <v>BICYCLE</v>
      </c>
      <c r="G2396" s="7" t="str">
        <f>IFERROR(__xludf.DUMMYFUNCTION("""COMPUTED_VALUE"""),"SAO PAULO")</f>
        <v>SAO PAULO</v>
      </c>
    </row>
    <row r="2397">
      <c r="A2397" s="6">
        <f>IFERROR(__xludf.DUMMYFUNCTION("""COMPUTED_VALUE"""),45705.0)</f>
        <v>45705</v>
      </c>
      <c r="B2397" s="7" t="str">
        <f>IFERROR(__xludf.DUMMYFUNCTION("""COMPUTED_VALUE"""),"a59385d8-a702-425d-8450-d36972ef476a")</f>
        <v>a59385d8-a702-425d-8450-d36972ef476a</v>
      </c>
      <c r="C2397" s="7">
        <f>IFERROR(__xludf.DUMMYFUNCTION("""COMPUTED_VALUE"""),487.0)</f>
        <v>487</v>
      </c>
      <c r="D2397" s="6">
        <f>IFERROR(__xludf.DUMMYFUNCTION("""COMPUTED_VALUE"""),45218.0)</f>
        <v>45218</v>
      </c>
      <c r="E2397" s="7" t="str">
        <f>IFERROR(__xludf.DUMMYFUNCTION("""COMPUTED_VALUE"""),"FRANQUIA_D&amp;G_SP")</f>
        <v>FRANQUIA_D&amp;G_SP</v>
      </c>
      <c r="F2397" s="7" t="str">
        <f>IFERROR(__xludf.DUMMYFUNCTION("""COMPUTED_VALUE"""),"BICYCLE")</f>
        <v>BICYCLE</v>
      </c>
      <c r="G2397" s="7" t="str">
        <f>IFERROR(__xludf.DUMMYFUNCTION("""COMPUTED_VALUE"""),"SAO PAULO")</f>
        <v>SAO PAULO</v>
      </c>
    </row>
    <row r="2398">
      <c r="A2398" s="6">
        <f>IFERROR(__xludf.DUMMYFUNCTION("""COMPUTED_VALUE"""),45705.0)</f>
        <v>45705</v>
      </c>
      <c r="B2398" s="7" t="str">
        <f>IFERROR(__xludf.DUMMYFUNCTION("""COMPUTED_VALUE"""),"48c50314-b24b-4160-b2c5-a230d41088c0")</f>
        <v>48c50314-b24b-4160-b2c5-a230d41088c0</v>
      </c>
      <c r="C2398" s="7">
        <f>IFERROR(__xludf.DUMMYFUNCTION("""COMPUTED_VALUE"""),130.0)</f>
        <v>130</v>
      </c>
      <c r="D2398" s="6">
        <f>IFERROR(__xludf.DUMMYFUNCTION("""COMPUTED_VALUE"""),45575.0)</f>
        <v>45575</v>
      </c>
      <c r="E2398" s="7" t="str">
        <f>IFERROR(__xludf.DUMMYFUNCTION("""COMPUTED_VALUE"""),"FRANQUIA_D&amp;G_SP")</f>
        <v>FRANQUIA_D&amp;G_SP</v>
      </c>
      <c r="F2398" s="7" t="str">
        <f>IFERROR(__xludf.DUMMYFUNCTION("""COMPUTED_VALUE"""),"BICYCLE")</f>
        <v>BICYCLE</v>
      </c>
      <c r="G2398" s="7" t="str">
        <f>IFERROR(__xludf.DUMMYFUNCTION("""COMPUTED_VALUE"""),"SAO PAULO")</f>
        <v>SAO PAULO</v>
      </c>
    </row>
    <row r="2399">
      <c r="A2399" s="6">
        <f>IFERROR(__xludf.DUMMYFUNCTION("""COMPUTED_VALUE"""),45705.0)</f>
        <v>45705</v>
      </c>
      <c r="B2399" s="7" t="str">
        <f>IFERROR(__xludf.DUMMYFUNCTION("""COMPUTED_VALUE"""),"0082cb3e-ef66-4c7c-b40b-5a5ae14f20d8")</f>
        <v>0082cb3e-ef66-4c7c-b40b-5a5ae14f20d8</v>
      </c>
      <c r="C2399" s="7">
        <f>IFERROR(__xludf.DUMMYFUNCTION("""COMPUTED_VALUE"""),1.0)</f>
        <v>1</v>
      </c>
      <c r="D2399" s="6">
        <f>IFERROR(__xludf.DUMMYFUNCTION("""COMPUTED_VALUE"""),45704.0)</f>
        <v>45704</v>
      </c>
      <c r="E2399" s="7" t="str">
        <f>IFERROR(__xludf.DUMMYFUNCTION("""COMPUTED_VALUE"""),"FRANQUIA_D&amp;G_SP")</f>
        <v>FRANQUIA_D&amp;G_SP</v>
      </c>
      <c r="F2399" s="7" t="str">
        <f>IFERROR(__xludf.DUMMYFUNCTION("""COMPUTED_VALUE"""),"BICYCLE")</f>
        <v>BICYCLE</v>
      </c>
      <c r="G2399" s="7" t="str">
        <f>IFERROR(__xludf.DUMMYFUNCTION("""COMPUTED_VALUE"""),"SAO PAULO")</f>
        <v>SAO PAULO</v>
      </c>
    </row>
    <row r="2400">
      <c r="A2400" s="6">
        <f>IFERROR(__xludf.DUMMYFUNCTION("""COMPUTED_VALUE"""),45705.0)</f>
        <v>45705</v>
      </c>
      <c r="B2400" s="7" t="str">
        <f>IFERROR(__xludf.DUMMYFUNCTION("""COMPUTED_VALUE"""),"9cdb1b3b-540f-4153-9e81-599585322dab")</f>
        <v>9cdb1b3b-540f-4153-9e81-599585322dab</v>
      </c>
      <c r="C2400" s="7">
        <f>IFERROR(__xludf.DUMMYFUNCTION("""COMPUTED_VALUE"""),0.0)</f>
        <v>0</v>
      </c>
      <c r="D2400" s="6">
        <f>IFERROR(__xludf.DUMMYFUNCTION("""COMPUTED_VALUE"""),45705.0)</f>
        <v>45705</v>
      </c>
      <c r="E2400" s="7" t="str">
        <f>IFERROR(__xludf.DUMMYFUNCTION("""COMPUTED_VALUE"""),"FRANQUIA_D&amp;G_SP")</f>
        <v>FRANQUIA_D&amp;G_SP</v>
      </c>
      <c r="F2400" s="7" t="str">
        <f>IFERROR(__xludf.DUMMYFUNCTION("""COMPUTED_VALUE"""),"MOTORCYCLE")</f>
        <v>MOTORCYCLE</v>
      </c>
      <c r="G2400" s="7" t="str">
        <f>IFERROR(__xludf.DUMMYFUNCTION("""COMPUTED_VALUE"""),"SAO PAULO")</f>
        <v>SAO PAULO</v>
      </c>
    </row>
    <row r="2401">
      <c r="A2401" s="6">
        <f>IFERROR(__xludf.DUMMYFUNCTION("""COMPUTED_VALUE"""),45705.0)</f>
        <v>45705</v>
      </c>
      <c r="B2401" s="7" t="str">
        <f>IFERROR(__xludf.DUMMYFUNCTION("""COMPUTED_VALUE"""),"398e04a4-b4eb-4c7d-b9be-cbe002c36331")</f>
        <v>398e04a4-b4eb-4c7d-b9be-cbe002c36331</v>
      </c>
      <c r="C2401" s="7">
        <f>IFERROR(__xludf.DUMMYFUNCTION("""COMPUTED_VALUE"""),0.0)</f>
        <v>0</v>
      </c>
      <c r="D2401" s="6">
        <f>IFERROR(__xludf.DUMMYFUNCTION("""COMPUTED_VALUE"""),45705.0)</f>
        <v>45705</v>
      </c>
      <c r="E2401" s="7" t="str">
        <f>IFERROR(__xludf.DUMMYFUNCTION("""COMPUTED_VALUE"""),"FRANQUIA_D&amp;G_SP")</f>
        <v>FRANQUIA_D&amp;G_SP</v>
      </c>
      <c r="F2401" s="7" t="str">
        <f>IFERROR(__xludf.DUMMYFUNCTION("""COMPUTED_VALUE"""),"MOTORCYCLE")</f>
        <v>MOTORCYCLE</v>
      </c>
      <c r="G2401" s="7" t="str">
        <f>IFERROR(__xludf.DUMMYFUNCTION("""COMPUTED_VALUE"""),"SAO PAULO")</f>
        <v>SAO PAULO</v>
      </c>
    </row>
    <row r="2402">
      <c r="A2402" s="6">
        <f>IFERROR(__xludf.DUMMYFUNCTION("""COMPUTED_VALUE"""),45705.0)</f>
        <v>45705</v>
      </c>
      <c r="B2402" s="7" t="str">
        <f>IFERROR(__xludf.DUMMYFUNCTION("""COMPUTED_VALUE"""),"7e3c1709-bc74-4fde-89c5-3a2441d80af8")</f>
        <v>7e3c1709-bc74-4fde-89c5-3a2441d80af8</v>
      </c>
      <c r="C2402" s="7">
        <f>IFERROR(__xludf.DUMMYFUNCTION("""COMPUTED_VALUE"""),9.0)</f>
        <v>9</v>
      </c>
      <c r="D2402" s="6">
        <f>IFERROR(__xludf.DUMMYFUNCTION("""COMPUTED_VALUE"""),45696.0)</f>
        <v>45696</v>
      </c>
      <c r="E2402" s="7" t="str">
        <f>IFERROR(__xludf.DUMMYFUNCTION("""COMPUTED_VALUE"""),"FRANQUIA_D&amp;G_SP")</f>
        <v>FRANQUIA_D&amp;G_SP</v>
      </c>
      <c r="F2402" s="7" t="str">
        <f>IFERROR(__xludf.DUMMYFUNCTION("""COMPUTED_VALUE"""),"MOTORCYCLE")</f>
        <v>MOTORCYCLE</v>
      </c>
      <c r="G2402" s="7" t="str">
        <f>IFERROR(__xludf.DUMMYFUNCTION("""COMPUTED_VALUE"""),"SAO PAULO")</f>
        <v>SAO PAULO</v>
      </c>
    </row>
    <row r="2403">
      <c r="A2403" s="6">
        <f>IFERROR(__xludf.DUMMYFUNCTION("""COMPUTED_VALUE"""),45705.0)</f>
        <v>45705</v>
      </c>
      <c r="B2403" s="7" t="str">
        <f>IFERROR(__xludf.DUMMYFUNCTION("""COMPUTED_VALUE"""),"faa211e9-be21-4c31-806e-2fdbc4edb0e6")</f>
        <v>faa211e9-be21-4c31-806e-2fdbc4edb0e6</v>
      </c>
      <c r="C2403" s="7">
        <f>IFERROR(__xludf.DUMMYFUNCTION("""COMPUTED_VALUE"""),153.0)</f>
        <v>153</v>
      </c>
      <c r="D2403" s="6">
        <f>IFERROR(__xludf.DUMMYFUNCTION("""COMPUTED_VALUE"""),45552.0)</f>
        <v>45552</v>
      </c>
      <c r="E2403" s="7" t="str">
        <f>IFERROR(__xludf.DUMMYFUNCTION("""COMPUTED_VALUE"""),"FRANQUIA_D&amp;G_SP")</f>
        <v>FRANQUIA_D&amp;G_SP</v>
      </c>
      <c r="F2403" s="7" t="str">
        <f>IFERROR(__xludf.DUMMYFUNCTION("""COMPUTED_VALUE"""),"MOTORCYCLE")</f>
        <v>MOTORCYCLE</v>
      </c>
      <c r="G2403" s="7" t="str">
        <f>IFERROR(__xludf.DUMMYFUNCTION("""COMPUTED_VALUE"""),"SAO PAULO")</f>
        <v>SAO PAULO</v>
      </c>
    </row>
    <row r="2404">
      <c r="A2404" s="6">
        <f>IFERROR(__xludf.DUMMYFUNCTION("""COMPUTED_VALUE"""),45705.0)</f>
        <v>45705</v>
      </c>
      <c r="B2404" s="7" t="str">
        <f>IFERROR(__xludf.DUMMYFUNCTION("""COMPUTED_VALUE"""),"17b929fc-7d83-4467-8094-6a7683ad9c58")</f>
        <v>17b929fc-7d83-4467-8094-6a7683ad9c58</v>
      </c>
      <c r="C2404" s="7">
        <f>IFERROR(__xludf.DUMMYFUNCTION("""COMPUTED_VALUE"""),0.0)</f>
        <v>0</v>
      </c>
      <c r="D2404" s="6">
        <f>IFERROR(__xludf.DUMMYFUNCTION("""COMPUTED_VALUE"""),45705.0)</f>
        <v>45705</v>
      </c>
      <c r="E2404" s="7" t="str">
        <f>IFERROR(__xludf.DUMMYFUNCTION("""COMPUTED_VALUE"""),"FRANQUIA_D&amp;G_SP")</f>
        <v>FRANQUIA_D&amp;G_SP</v>
      </c>
      <c r="F2404" s="7" t="str">
        <f>IFERROR(__xludf.DUMMYFUNCTION("""COMPUTED_VALUE"""),"MOTORCYCLE")</f>
        <v>MOTORCYCLE</v>
      </c>
      <c r="G2404" s="7" t="str">
        <f>IFERROR(__xludf.DUMMYFUNCTION("""COMPUTED_VALUE"""),"SAO PAULO")</f>
        <v>SAO PAULO</v>
      </c>
    </row>
    <row r="2405">
      <c r="A2405" s="6">
        <f>IFERROR(__xludf.DUMMYFUNCTION("""COMPUTED_VALUE"""),45705.0)</f>
        <v>45705</v>
      </c>
      <c r="B2405" s="7" t="str">
        <f>IFERROR(__xludf.DUMMYFUNCTION("""COMPUTED_VALUE"""),"f0a243cd-b728-403f-a12e-0effce6c190b")</f>
        <v>f0a243cd-b728-403f-a12e-0effce6c190b</v>
      </c>
      <c r="C2405" s="7">
        <f>IFERROR(__xludf.DUMMYFUNCTION("""COMPUTED_VALUE"""),2.0)</f>
        <v>2</v>
      </c>
      <c r="D2405" s="6">
        <f>IFERROR(__xludf.DUMMYFUNCTION("""COMPUTED_VALUE"""),45703.0)</f>
        <v>45703</v>
      </c>
      <c r="E2405" s="7" t="str">
        <f>IFERROR(__xludf.DUMMYFUNCTION("""COMPUTED_VALUE"""),"FRANQUIA_D&amp;G_SP")</f>
        <v>FRANQUIA_D&amp;G_SP</v>
      </c>
      <c r="F2405" s="7" t="str">
        <f>IFERROR(__xludf.DUMMYFUNCTION("""COMPUTED_VALUE"""),"BICYCLE")</f>
        <v>BICYCLE</v>
      </c>
      <c r="G2405" s="7" t="str">
        <f>IFERROR(__xludf.DUMMYFUNCTION("""COMPUTED_VALUE"""),"SAO PAULO")</f>
        <v>SAO PAULO</v>
      </c>
    </row>
    <row r="2406">
      <c r="A2406" s="6">
        <f>IFERROR(__xludf.DUMMYFUNCTION("""COMPUTED_VALUE"""),45705.0)</f>
        <v>45705</v>
      </c>
      <c r="B2406" s="7" t="str">
        <f>IFERROR(__xludf.DUMMYFUNCTION("""COMPUTED_VALUE"""),"05e67f6a-15aa-4dac-9587-634e4f607325")</f>
        <v>05e67f6a-15aa-4dac-9587-634e4f607325</v>
      </c>
      <c r="C2406" s="7">
        <f>IFERROR(__xludf.DUMMYFUNCTION("""COMPUTED_VALUE"""),583.0)</f>
        <v>583</v>
      </c>
      <c r="D2406" s="6">
        <f>IFERROR(__xludf.DUMMYFUNCTION("""COMPUTED_VALUE"""),45122.0)</f>
        <v>45122</v>
      </c>
      <c r="E2406" s="7" t="str">
        <f>IFERROR(__xludf.DUMMYFUNCTION("""COMPUTED_VALUE"""),"FRANQUIA_D&amp;G_SP")</f>
        <v>FRANQUIA_D&amp;G_SP</v>
      </c>
      <c r="F2406" s="7" t="str">
        <f>IFERROR(__xludf.DUMMYFUNCTION("""COMPUTED_VALUE"""),"BICYCLE")</f>
        <v>BICYCLE</v>
      </c>
      <c r="G2406" s="7" t="str">
        <f>IFERROR(__xludf.DUMMYFUNCTION("""COMPUTED_VALUE"""),"SAO PAULO")</f>
        <v>SAO PAULO</v>
      </c>
    </row>
    <row r="2407">
      <c r="A2407" s="6">
        <f>IFERROR(__xludf.DUMMYFUNCTION("""COMPUTED_VALUE"""),45705.0)</f>
        <v>45705</v>
      </c>
      <c r="B2407" s="7" t="str">
        <f>IFERROR(__xludf.DUMMYFUNCTION("""COMPUTED_VALUE"""),"9ca57a62-6551-4080-bb1d-785ef0ce4856")</f>
        <v>9ca57a62-6551-4080-bb1d-785ef0ce4856</v>
      </c>
      <c r="C2407" s="7">
        <f>IFERROR(__xludf.DUMMYFUNCTION("""COMPUTED_VALUE"""),0.0)</f>
        <v>0</v>
      </c>
      <c r="D2407" s="6">
        <f>IFERROR(__xludf.DUMMYFUNCTION("""COMPUTED_VALUE"""),45705.0)</f>
        <v>45705</v>
      </c>
      <c r="E2407" s="7" t="str">
        <f>IFERROR(__xludf.DUMMYFUNCTION("""COMPUTED_VALUE"""),"FRANQUIA_D&amp;G_SP")</f>
        <v>FRANQUIA_D&amp;G_SP</v>
      </c>
      <c r="F2407" s="7" t="str">
        <f>IFERROR(__xludf.DUMMYFUNCTION("""COMPUTED_VALUE"""),"MOTORCYCLE")</f>
        <v>MOTORCYCLE</v>
      </c>
      <c r="G2407" s="7" t="str">
        <f>IFERROR(__xludf.DUMMYFUNCTION("""COMPUTED_VALUE"""),"SAO PAULO")</f>
        <v>SAO PAULO</v>
      </c>
    </row>
    <row r="2408">
      <c r="A2408" s="6">
        <f>IFERROR(__xludf.DUMMYFUNCTION("""COMPUTED_VALUE"""),45705.0)</f>
        <v>45705</v>
      </c>
      <c r="B2408" s="7" t="str">
        <f>IFERROR(__xludf.DUMMYFUNCTION("""COMPUTED_VALUE"""),"fe008df4-c4aa-4714-babb-5ab1e169244f")</f>
        <v>fe008df4-c4aa-4714-babb-5ab1e169244f</v>
      </c>
      <c r="C2408" s="7">
        <f>IFERROR(__xludf.DUMMYFUNCTION("""COMPUTED_VALUE"""),5.0)</f>
        <v>5</v>
      </c>
      <c r="D2408" s="6">
        <f>IFERROR(__xludf.DUMMYFUNCTION("""COMPUTED_VALUE"""),45700.0)</f>
        <v>45700</v>
      </c>
      <c r="E2408" s="7" t="str">
        <f>IFERROR(__xludf.DUMMYFUNCTION("""COMPUTED_VALUE"""),"FRANQUIA_D&amp;G_SP")</f>
        <v>FRANQUIA_D&amp;G_SP</v>
      </c>
      <c r="F2408" s="7" t="str">
        <f>IFERROR(__xludf.DUMMYFUNCTION("""COMPUTED_VALUE"""),"BICYCLE")</f>
        <v>BICYCLE</v>
      </c>
      <c r="G2408" s="7" t="str">
        <f>IFERROR(__xludf.DUMMYFUNCTION("""COMPUTED_VALUE"""),"SAO PAULO")</f>
        <v>SAO PAULO</v>
      </c>
    </row>
    <row r="2409">
      <c r="A2409" s="6">
        <f>IFERROR(__xludf.DUMMYFUNCTION("""COMPUTED_VALUE"""),45705.0)</f>
        <v>45705</v>
      </c>
      <c r="B2409" s="7" t="str">
        <f>IFERROR(__xludf.DUMMYFUNCTION("""COMPUTED_VALUE"""),"1e9995c8-c06a-40cc-8ff3-bcaf92cfb0bc")</f>
        <v>1e9995c8-c06a-40cc-8ff3-bcaf92cfb0bc</v>
      </c>
      <c r="C2409" s="7">
        <f>IFERROR(__xludf.DUMMYFUNCTION("""COMPUTED_VALUE"""),0.0)</f>
        <v>0</v>
      </c>
      <c r="D2409" s="6">
        <f>IFERROR(__xludf.DUMMYFUNCTION("""COMPUTED_VALUE"""),0.0)</f>
        <v>0</v>
      </c>
      <c r="E2409" s="7" t="str">
        <f>IFERROR(__xludf.DUMMYFUNCTION("""COMPUTED_VALUE"""),"FRANQUIA_D&amp;G_SP")</f>
        <v>FRANQUIA_D&amp;G_SP</v>
      </c>
      <c r="F2409" s="7" t="str">
        <f>IFERROR(__xludf.DUMMYFUNCTION("""COMPUTED_VALUE"""),"MOTORCYCLE")</f>
        <v>MOTORCYCLE</v>
      </c>
      <c r="G2409" s="7" t="str">
        <f>IFERROR(__xludf.DUMMYFUNCTION("""COMPUTED_VALUE"""),"0")</f>
        <v>0</v>
      </c>
    </row>
    <row r="2410">
      <c r="A2410" s="6">
        <f>IFERROR(__xludf.DUMMYFUNCTION("""COMPUTED_VALUE"""),45705.0)</f>
        <v>45705</v>
      </c>
      <c r="B2410" s="7" t="str">
        <f>IFERROR(__xludf.DUMMYFUNCTION("""COMPUTED_VALUE"""),"a91dbbac-52f8-43e6-90e9-853e14500b0b")</f>
        <v>a91dbbac-52f8-43e6-90e9-853e14500b0b</v>
      </c>
      <c r="C2410" s="7">
        <f>IFERROR(__xludf.DUMMYFUNCTION("""COMPUTED_VALUE"""),32.0)</f>
        <v>32</v>
      </c>
      <c r="D2410" s="6">
        <f>IFERROR(__xludf.DUMMYFUNCTION("""COMPUTED_VALUE"""),45673.0)</f>
        <v>45673</v>
      </c>
      <c r="E2410" s="7" t="str">
        <f>IFERROR(__xludf.DUMMYFUNCTION("""COMPUTED_VALUE"""),"FRANQUIA_D&amp;G_SP")</f>
        <v>FRANQUIA_D&amp;G_SP</v>
      </c>
      <c r="F2410" s="7" t="str">
        <f>IFERROR(__xludf.DUMMYFUNCTION("""COMPUTED_VALUE"""),"BICYCLE")</f>
        <v>BICYCLE</v>
      </c>
      <c r="G2410" s="7" t="str">
        <f>IFERROR(__xludf.DUMMYFUNCTION("""COMPUTED_VALUE"""),"SAO PAULO")</f>
        <v>SAO PAULO</v>
      </c>
    </row>
    <row r="2411">
      <c r="A2411" s="6">
        <f>IFERROR(__xludf.DUMMYFUNCTION("""COMPUTED_VALUE"""),45705.0)</f>
        <v>45705</v>
      </c>
      <c r="B2411" s="7" t="str">
        <f>IFERROR(__xludf.DUMMYFUNCTION("""COMPUTED_VALUE"""),"c0e640ef-0b0e-4a86-aa83-9209ea4cbcde")</f>
        <v>c0e640ef-0b0e-4a86-aa83-9209ea4cbcde</v>
      </c>
      <c r="C2411" s="7">
        <f>IFERROR(__xludf.DUMMYFUNCTION("""COMPUTED_VALUE"""),0.0)</f>
        <v>0</v>
      </c>
      <c r="D2411" s="6">
        <f>IFERROR(__xludf.DUMMYFUNCTION("""COMPUTED_VALUE"""),45705.0)</f>
        <v>45705</v>
      </c>
      <c r="E2411" s="7" t="str">
        <f>IFERROR(__xludf.DUMMYFUNCTION("""COMPUTED_VALUE"""),"FRANQUIA_D&amp;G_SP")</f>
        <v>FRANQUIA_D&amp;G_SP</v>
      </c>
      <c r="F2411" s="7" t="str">
        <f>IFERROR(__xludf.DUMMYFUNCTION("""COMPUTED_VALUE"""),"MOTORCYCLE")</f>
        <v>MOTORCYCLE</v>
      </c>
      <c r="G2411" s="7" t="str">
        <f>IFERROR(__xludf.DUMMYFUNCTION("""COMPUTED_VALUE"""),"SAO PAULO")</f>
        <v>SAO PAULO</v>
      </c>
    </row>
    <row r="2412">
      <c r="A2412" s="6">
        <f>IFERROR(__xludf.DUMMYFUNCTION("""COMPUTED_VALUE"""),45705.0)</f>
        <v>45705</v>
      </c>
      <c r="B2412" s="7" t="str">
        <f>IFERROR(__xludf.DUMMYFUNCTION("""COMPUTED_VALUE"""),"aa978b91-22b7-4550-b1d5-352ad70a7870")</f>
        <v>aa978b91-22b7-4550-b1d5-352ad70a7870</v>
      </c>
      <c r="C2412" s="7">
        <f>IFERROR(__xludf.DUMMYFUNCTION("""COMPUTED_VALUE"""),645.0)</f>
        <v>645</v>
      </c>
      <c r="D2412" s="6">
        <f>IFERROR(__xludf.DUMMYFUNCTION("""COMPUTED_VALUE"""),45060.0)</f>
        <v>45060</v>
      </c>
      <c r="E2412" s="7" t="str">
        <f>IFERROR(__xludf.DUMMYFUNCTION("""COMPUTED_VALUE"""),"FRANQUIA_D&amp;G_SP")</f>
        <v>FRANQUIA_D&amp;G_SP</v>
      </c>
      <c r="F2412" s="7" t="str">
        <f>IFERROR(__xludf.DUMMYFUNCTION("""COMPUTED_VALUE"""),"BICYCLE")</f>
        <v>BICYCLE</v>
      </c>
      <c r="G2412" s="7" t="str">
        <f>IFERROR(__xludf.DUMMYFUNCTION("""COMPUTED_VALUE"""),"SAO PAULO")</f>
        <v>SAO PAULO</v>
      </c>
    </row>
    <row r="2413">
      <c r="A2413" s="6">
        <f>IFERROR(__xludf.DUMMYFUNCTION("""COMPUTED_VALUE"""),45705.0)</f>
        <v>45705</v>
      </c>
      <c r="B2413" s="7" t="str">
        <f>IFERROR(__xludf.DUMMYFUNCTION("""COMPUTED_VALUE"""),"ddea2f9e-15a0-4b37-b035-42f8f9c5d2b7")</f>
        <v>ddea2f9e-15a0-4b37-b035-42f8f9c5d2b7</v>
      </c>
      <c r="C2413" s="7">
        <f>IFERROR(__xludf.DUMMYFUNCTION("""COMPUTED_VALUE"""),121.0)</f>
        <v>121</v>
      </c>
      <c r="D2413" s="6">
        <f>IFERROR(__xludf.DUMMYFUNCTION("""COMPUTED_VALUE"""),45584.0)</f>
        <v>45584</v>
      </c>
      <c r="E2413" s="7" t="str">
        <f>IFERROR(__xludf.DUMMYFUNCTION("""COMPUTED_VALUE"""),"FRANQUIA_D&amp;G_SP")</f>
        <v>FRANQUIA_D&amp;G_SP</v>
      </c>
      <c r="F2413" s="7" t="str">
        <f>IFERROR(__xludf.DUMMYFUNCTION("""COMPUTED_VALUE"""),"MOTORCYCLE")</f>
        <v>MOTORCYCLE</v>
      </c>
      <c r="G2413" s="7" t="str">
        <f>IFERROR(__xludf.DUMMYFUNCTION("""COMPUTED_VALUE"""),"SAO PAULO")</f>
        <v>SAO PAULO</v>
      </c>
    </row>
    <row r="2414">
      <c r="A2414" s="6">
        <f>IFERROR(__xludf.DUMMYFUNCTION("""COMPUTED_VALUE"""),45705.0)</f>
        <v>45705</v>
      </c>
      <c r="B2414" s="7" t="str">
        <f>IFERROR(__xludf.DUMMYFUNCTION("""COMPUTED_VALUE"""),"d29036c5-8dee-4e89-9bb6-036080ecc8c8")</f>
        <v>d29036c5-8dee-4e89-9bb6-036080ecc8c8</v>
      </c>
      <c r="C2414" s="7">
        <f>IFERROR(__xludf.DUMMYFUNCTION("""COMPUTED_VALUE"""),51.0)</f>
        <v>51</v>
      </c>
      <c r="D2414" s="6">
        <f>IFERROR(__xludf.DUMMYFUNCTION("""COMPUTED_VALUE"""),45654.0)</f>
        <v>45654</v>
      </c>
      <c r="E2414" s="7" t="str">
        <f>IFERROR(__xludf.DUMMYFUNCTION("""COMPUTED_VALUE"""),"FRANQUIA_D&amp;G_SP")</f>
        <v>FRANQUIA_D&amp;G_SP</v>
      </c>
      <c r="F2414" s="7" t="str">
        <f>IFERROR(__xludf.DUMMYFUNCTION("""COMPUTED_VALUE"""),"MOTORCYCLE")</f>
        <v>MOTORCYCLE</v>
      </c>
      <c r="G2414" s="7" t="str">
        <f>IFERROR(__xludf.DUMMYFUNCTION("""COMPUTED_VALUE"""),"SAO PAULO")</f>
        <v>SAO PAULO</v>
      </c>
    </row>
    <row r="2415">
      <c r="A2415" s="6">
        <f>IFERROR(__xludf.DUMMYFUNCTION("""COMPUTED_VALUE"""),45705.0)</f>
        <v>45705</v>
      </c>
      <c r="B2415" s="7" t="str">
        <f>IFERROR(__xludf.DUMMYFUNCTION("""COMPUTED_VALUE"""),"d8a1fe37-baf7-4339-9b1b-3fe07b072918")</f>
        <v>d8a1fe37-baf7-4339-9b1b-3fe07b072918</v>
      </c>
      <c r="C2415" s="7">
        <f>IFERROR(__xludf.DUMMYFUNCTION("""COMPUTED_VALUE"""),1.0)</f>
        <v>1</v>
      </c>
      <c r="D2415" s="6">
        <f>IFERROR(__xludf.DUMMYFUNCTION("""COMPUTED_VALUE"""),45704.0)</f>
        <v>45704</v>
      </c>
      <c r="E2415" s="7" t="str">
        <f>IFERROR(__xludf.DUMMYFUNCTION("""COMPUTED_VALUE"""),"FRANQUIA_D&amp;G_SP")</f>
        <v>FRANQUIA_D&amp;G_SP</v>
      </c>
      <c r="F2415" s="7" t="str">
        <f>IFERROR(__xludf.DUMMYFUNCTION("""COMPUTED_VALUE"""),"BICYCLE")</f>
        <v>BICYCLE</v>
      </c>
      <c r="G2415" s="7" t="str">
        <f>IFERROR(__xludf.DUMMYFUNCTION("""COMPUTED_VALUE"""),"SAO PAULO")</f>
        <v>SAO PAULO</v>
      </c>
    </row>
    <row r="2416">
      <c r="A2416" s="6">
        <f>IFERROR(__xludf.DUMMYFUNCTION("""COMPUTED_VALUE"""),45705.0)</f>
        <v>45705</v>
      </c>
      <c r="B2416" s="7" t="str">
        <f>IFERROR(__xludf.DUMMYFUNCTION("""COMPUTED_VALUE"""),"6f3b04a4-fe70-4e4e-aa4b-122653d6e54e")</f>
        <v>6f3b04a4-fe70-4e4e-aa4b-122653d6e54e</v>
      </c>
      <c r="C2416" s="7">
        <f>IFERROR(__xludf.DUMMYFUNCTION("""COMPUTED_VALUE"""),39.0)</f>
        <v>39</v>
      </c>
      <c r="D2416" s="6">
        <f>IFERROR(__xludf.DUMMYFUNCTION("""COMPUTED_VALUE"""),45666.0)</f>
        <v>45666</v>
      </c>
      <c r="E2416" s="7" t="str">
        <f>IFERROR(__xludf.DUMMYFUNCTION("""COMPUTED_VALUE"""),"FRANQUIA_D&amp;G_SP")</f>
        <v>FRANQUIA_D&amp;G_SP</v>
      </c>
      <c r="F2416" s="7" t="str">
        <f>IFERROR(__xludf.DUMMYFUNCTION("""COMPUTED_VALUE"""),"BICYCLE")</f>
        <v>BICYCLE</v>
      </c>
      <c r="G2416" s="7" t="str">
        <f>IFERROR(__xludf.DUMMYFUNCTION("""COMPUTED_VALUE"""),"SAO PAULO")</f>
        <v>SAO PAULO</v>
      </c>
    </row>
    <row r="2417">
      <c r="A2417" s="6">
        <f>IFERROR(__xludf.DUMMYFUNCTION("""COMPUTED_VALUE"""),45705.0)</f>
        <v>45705</v>
      </c>
      <c r="B2417" s="7" t="str">
        <f>IFERROR(__xludf.DUMMYFUNCTION("""COMPUTED_VALUE"""),"154df86b-2900-42f5-b7ea-891f7e65ac59")</f>
        <v>154df86b-2900-42f5-b7ea-891f7e65ac59</v>
      </c>
      <c r="C2417" s="7">
        <f>IFERROR(__xludf.DUMMYFUNCTION("""COMPUTED_VALUE"""),6.0)</f>
        <v>6</v>
      </c>
      <c r="D2417" s="6">
        <f>IFERROR(__xludf.DUMMYFUNCTION("""COMPUTED_VALUE"""),45699.0)</f>
        <v>45699</v>
      </c>
      <c r="E2417" s="7" t="str">
        <f>IFERROR(__xludf.DUMMYFUNCTION("""COMPUTED_VALUE"""),"FRANQUIA_D&amp;G_SP")</f>
        <v>FRANQUIA_D&amp;G_SP</v>
      </c>
      <c r="F2417" s="7" t="str">
        <f>IFERROR(__xludf.DUMMYFUNCTION("""COMPUTED_VALUE"""),"MOTORCYCLE")</f>
        <v>MOTORCYCLE</v>
      </c>
      <c r="G2417" s="7" t="str">
        <f>IFERROR(__xludf.DUMMYFUNCTION("""COMPUTED_VALUE"""),"SAO PAULO")</f>
        <v>SAO PAULO</v>
      </c>
    </row>
    <row r="2418">
      <c r="A2418" s="6">
        <f>IFERROR(__xludf.DUMMYFUNCTION("""COMPUTED_VALUE"""),45705.0)</f>
        <v>45705</v>
      </c>
      <c r="B2418" s="7" t="str">
        <f>IFERROR(__xludf.DUMMYFUNCTION("""COMPUTED_VALUE"""),"df2c2615-1de7-465c-96de-5b8abb3da323")</f>
        <v>df2c2615-1de7-465c-96de-5b8abb3da323</v>
      </c>
      <c r="C2418" s="7">
        <f>IFERROR(__xludf.DUMMYFUNCTION("""COMPUTED_VALUE"""),10.0)</f>
        <v>10</v>
      </c>
      <c r="D2418" s="6">
        <f>IFERROR(__xludf.DUMMYFUNCTION("""COMPUTED_VALUE"""),45695.0)</f>
        <v>45695</v>
      </c>
      <c r="E2418" s="7" t="str">
        <f>IFERROR(__xludf.DUMMYFUNCTION("""COMPUTED_VALUE"""),"FRANQUIA_D&amp;G_SP")</f>
        <v>FRANQUIA_D&amp;G_SP</v>
      </c>
      <c r="F2418" s="7" t="str">
        <f>IFERROR(__xludf.DUMMYFUNCTION("""COMPUTED_VALUE"""),"MOTORCYCLE")</f>
        <v>MOTORCYCLE</v>
      </c>
      <c r="G2418" s="7" t="str">
        <f>IFERROR(__xludf.DUMMYFUNCTION("""COMPUTED_VALUE"""),"SAO PAULO")</f>
        <v>SAO PAULO</v>
      </c>
    </row>
    <row r="2419">
      <c r="A2419" s="6">
        <f>IFERROR(__xludf.DUMMYFUNCTION("""COMPUTED_VALUE"""),45705.0)</f>
        <v>45705</v>
      </c>
      <c r="B2419" s="7" t="str">
        <f>IFERROR(__xludf.DUMMYFUNCTION("""COMPUTED_VALUE"""),"d59350de-4000-44e5-b8f6-3e1a3d27c89a")</f>
        <v>d59350de-4000-44e5-b8f6-3e1a3d27c89a</v>
      </c>
      <c r="C2419" s="7">
        <f>IFERROR(__xludf.DUMMYFUNCTION("""COMPUTED_VALUE"""),1.0)</f>
        <v>1</v>
      </c>
      <c r="D2419" s="6">
        <f>IFERROR(__xludf.DUMMYFUNCTION("""COMPUTED_VALUE"""),45704.0)</f>
        <v>45704</v>
      </c>
      <c r="E2419" s="7" t="str">
        <f>IFERROR(__xludf.DUMMYFUNCTION("""COMPUTED_VALUE"""),"FRANQUIA_D&amp;G_SP")</f>
        <v>FRANQUIA_D&amp;G_SP</v>
      </c>
      <c r="F2419" s="7" t="str">
        <f>IFERROR(__xludf.DUMMYFUNCTION("""COMPUTED_VALUE"""),"EBIKE")</f>
        <v>EBIKE</v>
      </c>
      <c r="G2419" s="7" t="str">
        <f>IFERROR(__xludf.DUMMYFUNCTION("""COMPUTED_VALUE"""),"SAO PAULO")</f>
        <v>SAO PAULO</v>
      </c>
    </row>
    <row r="2420">
      <c r="A2420" s="6">
        <f>IFERROR(__xludf.DUMMYFUNCTION("""COMPUTED_VALUE"""),45705.0)</f>
        <v>45705</v>
      </c>
      <c r="B2420" s="7" t="str">
        <f>IFERROR(__xludf.DUMMYFUNCTION("""COMPUTED_VALUE"""),"b59460c9-af80-468c-a5a1-3c32986fb44c")</f>
        <v>b59460c9-af80-468c-a5a1-3c32986fb44c</v>
      </c>
      <c r="C2420" s="7">
        <f>IFERROR(__xludf.DUMMYFUNCTION("""COMPUTED_VALUE"""),179.0)</f>
        <v>179</v>
      </c>
      <c r="D2420" s="6">
        <f>IFERROR(__xludf.DUMMYFUNCTION("""COMPUTED_VALUE"""),45526.0)</f>
        <v>45526</v>
      </c>
      <c r="E2420" s="7" t="str">
        <f>IFERROR(__xludf.DUMMYFUNCTION("""COMPUTED_VALUE"""),"FRANQUIA_D&amp;G_SP")</f>
        <v>FRANQUIA_D&amp;G_SP</v>
      </c>
      <c r="F2420" s="7" t="str">
        <f>IFERROR(__xludf.DUMMYFUNCTION("""COMPUTED_VALUE"""),"MOTORCYCLE")</f>
        <v>MOTORCYCLE</v>
      </c>
      <c r="G2420" s="7" t="str">
        <f>IFERROR(__xludf.DUMMYFUNCTION("""COMPUTED_VALUE"""),"SAO PAULO")</f>
        <v>SAO PAULO</v>
      </c>
    </row>
    <row r="2421">
      <c r="A2421" s="6">
        <f>IFERROR(__xludf.DUMMYFUNCTION("""COMPUTED_VALUE"""),45705.0)</f>
        <v>45705</v>
      </c>
      <c r="B2421" s="7" t="str">
        <f>IFERROR(__xludf.DUMMYFUNCTION("""COMPUTED_VALUE"""),"c24d0977-e2ac-4069-8754-a1dc05e4c341")</f>
        <v>c24d0977-e2ac-4069-8754-a1dc05e4c341</v>
      </c>
      <c r="C2421" s="7">
        <f>IFERROR(__xludf.DUMMYFUNCTION("""COMPUTED_VALUE"""),0.0)</f>
        <v>0</v>
      </c>
      <c r="D2421" s="6">
        <f>IFERROR(__xludf.DUMMYFUNCTION("""COMPUTED_VALUE"""),45705.0)</f>
        <v>45705</v>
      </c>
      <c r="E2421" s="7" t="str">
        <f>IFERROR(__xludf.DUMMYFUNCTION("""COMPUTED_VALUE"""),"FRANQUIA_D&amp;G_SP")</f>
        <v>FRANQUIA_D&amp;G_SP</v>
      </c>
      <c r="F2421" s="7" t="str">
        <f>IFERROR(__xludf.DUMMYFUNCTION("""COMPUTED_VALUE"""),"MOTORCYCLE")</f>
        <v>MOTORCYCLE</v>
      </c>
      <c r="G2421" s="7" t="str">
        <f>IFERROR(__xludf.DUMMYFUNCTION("""COMPUTED_VALUE"""),"SAO PAULO")</f>
        <v>SAO PAULO</v>
      </c>
    </row>
    <row r="2422">
      <c r="A2422" s="6">
        <f>IFERROR(__xludf.DUMMYFUNCTION("""COMPUTED_VALUE"""),45705.0)</f>
        <v>45705</v>
      </c>
      <c r="B2422" s="7" t="str">
        <f>IFERROR(__xludf.DUMMYFUNCTION("""COMPUTED_VALUE"""),"43cbd8ed-9cb3-402e-9a69-01f7d5988165")</f>
        <v>43cbd8ed-9cb3-402e-9a69-01f7d5988165</v>
      </c>
      <c r="C2422" s="7">
        <f>IFERROR(__xludf.DUMMYFUNCTION("""COMPUTED_VALUE"""),192.0)</f>
        <v>192</v>
      </c>
      <c r="D2422" s="6">
        <f>IFERROR(__xludf.DUMMYFUNCTION("""COMPUTED_VALUE"""),45513.0)</f>
        <v>45513</v>
      </c>
      <c r="E2422" s="7" t="str">
        <f>IFERROR(__xludf.DUMMYFUNCTION("""COMPUTED_VALUE"""),"FRANQUIA_D&amp;G_SP")</f>
        <v>FRANQUIA_D&amp;G_SP</v>
      </c>
      <c r="F2422" s="7" t="str">
        <f>IFERROR(__xludf.DUMMYFUNCTION("""COMPUTED_VALUE"""),"MOTORCYCLE")</f>
        <v>MOTORCYCLE</v>
      </c>
      <c r="G2422" s="7" t="str">
        <f>IFERROR(__xludf.DUMMYFUNCTION("""COMPUTED_VALUE"""),"SAO PAULO")</f>
        <v>SAO PAULO</v>
      </c>
    </row>
    <row r="2423">
      <c r="A2423" s="6">
        <f>IFERROR(__xludf.DUMMYFUNCTION("""COMPUTED_VALUE"""),45705.0)</f>
        <v>45705</v>
      </c>
      <c r="B2423" s="7" t="str">
        <f>IFERROR(__xludf.DUMMYFUNCTION("""COMPUTED_VALUE"""),"4580d643-5631-4634-bbeb-aae5d64a6b1d")</f>
        <v>4580d643-5631-4634-bbeb-aae5d64a6b1d</v>
      </c>
      <c r="C2423" s="7">
        <f>IFERROR(__xludf.DUMMYFUNCTION("""COMPUTED_VALUE"""),479.0)</f>
        <v>479</v>
      </c>
      <c r="D2423" s="6">
        <f>IFERROR(__xludf.DUMMYFUNCTION("""COMPUTED_VALUE"""),45226.0)</f>
        <v>45226</v>
      </c>
      <c r="E2423" s="7" t="str">
        <f>IFERROR(__xludf.DUMMYFUNCTION("""COMPUTED_VALUE"""),"FRANQUIA_D&amp;G_SP")</f>
        <v>FRANQUIA_D&amp;G_SP</v>
      </c>
      <c r="F2423" s="7" t="str">
        <f>IFERROR(__xludf.DUMMYFUNCTION("""COMPUTED_VALUE"""),"MOTORCYCLE")</f>
        <v>MOTORCYCLE</v>
      </c>
      <c r="G2423" s="7" t="str">
        <f>IFERROR(__xludf.DUMMYFUNCTION("""COMPUTED_VALUE"""),"SAO PAULO")</f>
        <v>SAO PAULO</v>
      </c>
    </row>
    <row r="2424">
      <c r="A2424" s="6">
        <f>IFERROR(__xludf.DUMMYFUNCTION("""COMPUTED_VALUE"""),45705.0)</f>
        <v>45705</v>
      </c>
      <c r="B2424" s="7" t="str">
        <f>IFERROR(__xludf.DUMMYFUNCTION("""COMPUTED_VALUE"""),"a7163c52-efab-4aff-a38b-4a346ecd4775")</f>
        <v>a7163c52-efab-4aff-a38b-4a346ecd4775</v>
      </c>
      <c r="C2424" s="7">
        <f>IFERROR(__xludf.DUMMYFUNCTION("""COMPUTED_VALUE"""),81.0)</f>
        <v>81</v>
      </c>
      <c r="D2424" s="6">
        <f>IFERROR(__xludf.DUMMYFUNCTION("""COMPUTED_VALUE"""),45624.0)</f>
        <v>45624</v>
      </c>
      <c r="E2424" s="7" t="str">
        <f>IFERROR(__xludf.DUMMYFUNCTION("""COMPUTED_VALUE"""),"FRANQUIA_D&amp;G_SP")</f>
        <v>FRANQUIA_D&amp;G_SP</v>
      </c>
      <c r="F2424" s="7" t="str">
        <f>IFERROR(__xludf.DUMMYFUNCTION("""COMPUTED_VALUE"""),"BICYCLE")</f>
        <v>BICYCLE</v>
      </c>
      <c r="G2424" s="7" t="str">
        <f>IFERROR(__xludf.DUMMYFUNCTION("""COMPUTED_VALUE"""),"SAO PAULO")</f>
        <v>SAO PAULO</v>
      </c>
    </row>
    <row r="2425">
      <c r="A2425" s="6">
        <f>IFERROR(__xludf.DUMMYFUNCTION("""COMPUTED_VALUE"""),45705.0)</f>
        <v>45705</v>
      </c>
      <c r="B2425" s="7" t="str">
        <f>IFERROR(__xludf.DUMMYFUNCTION("""COMPUTED_VALUE"""),"9996f02a-0d18-40c6-b635-0d2c6405c045")</f>
        <v>9996f02a-0d18-40c6-b635-0d2c6405c045</v>
      </c>
      <c r="C2425" s="7">
        <f>IFERROR(__xludf.DUMMYFUNCTION("""COMPUTED_VALUE"""),1373.0)</f>
        <v>1373</v>
      </c>
      <c r="D2425" s="6">
        <f>IFERROR(__xludf.DUMMYFUNCTION("""COMPUTED_VALUE"""),44332.0)</f>
        <v>44332</v>
      </c>
      <c r="E2425" s="7" t="str">
        <f>IFERROR(__xludf.DUMMYFUNCTION("""COMPUTED_VALUE"""),"FRANQUIA_D&amp;G_SP")</f>
        <v>FRANQUIA_D&amp;G_SP</v>
      </c>
      <c r="F2425" s="7" t="str">
        <f>IFERROR(__xludf.DUMMYFUNCTION("""COMPUTED_VALUE"""),"BICYCLE")</f>
        <v>BICYCLE</v>
      </c>
      <c r="G2425" s="7" t="str">
        <f>IFERROR(__xludf.DUMMYFUNCTION("""COMPUTED_VALUE"""),"SAO PAULO")</f>
        <v>SAO PAULO</v>
      </c>
    </row>
    <row r="2426">
      <c r="A2426" s="6">
        <f>IFERROR(__xludf.DUMMYFUNCTION("""COMPUTED_VALUE"""),45705.0)</f>
        <v>45705</v>
      </c>
      <c r="B2426" s="7" t="str">
        <f>IFERROR(__xludf.DUMMYFUNCTION("""COMPUTED_VALUE"""),"5a537d8b-cfa5-4a1d-8305-e11729ae0149")</f>
        <v>5a537d8b-cfa5-4a1d-8305-e11729ae0149</v>
      </c>
      <c r="C2426" s="7">
        <f>IFERROR(__xludf.DUMMYFUNCTION("""COMPUTED_VALUE"""),100.0)</f>
        <v>100</v>
      </c>
      <c r="D2426" s="6">
        <f>IFERROR(__xludf.DUMMYFUNCTION("""COMPUTED_VALUE"""),45605.0)</f>
        <v>45605</v>
      </c>
      <c r="E2426" s="7" t="str">
        <f>IFERROR(__xludf.DUMMYFUNCTION("""COMPUTED_VALUE"""),"FRANQUIA_D&amp;G_SP")</f>
        <v>FRANQUIA_D&amp;G_SP</v>
      </c>
      <c r="F2426" s="7" t="str">
        <f>IFERROR(__xludf.DUMMYFUNCTION("""COMPUTED_VALUE"""),"MOTORCYCLE")</f>
        <v>MOTORCYCLE</v>
      </c>
      <c r="G2426" s="7" t="str">
        <f>IFERROR(__xludf.DUMMYFUNCTION("""COMPUTED_VALUE"""),"SAO PAULO")</f>
        <v>SAO PAULO</v>
      </c>
    </row>
    <row r="2427">
      <c r="A2427" s="6">
        <f>IFERROR(__xludf.DUMMYFUNCTION("""COMPUTED_VALUE"""),45705.0)</f>
        <v>45705</v>
      </c>
      <c r="B2427" s="7" t="str">
        <f>IFERROR(__xludf.DUMMYFUNCTION("""COMPUTED_VALUE"""),"176984ff-a4e4-489b-a3f9-8cfa9b91bd7d")</f>
        <v>176984ff-a4e4-489b-a3f9-8cfa9b91bd7d</v>
      </c>
      <c r="C2427" s="7">
        <f>IFERROR(__xludf.DUMMYFUNCTION("""COMPUTED_VALUE"""),10.0)</f>
        <v>10</v>
      </c>
      <c r="D2427" s="6">
        <f>IFERROR(__xludf.DUMMYFUNCTION("""COMPUTED_VALUE"""),45695.0)</f>
        <v>45695</v>
      </c>
      <c r="E2427" s="7" t="str">
        <f>IFERROR(__xludf.DUMMYFUNCTION("""COMPUTED_VALUE"""),"FRANQUIA_D&amp;G_SP")</f>
        <v>FRANQUIA_D&amp;G_SP</v>
      </c>
      <c r="F2427" s="7" t="str">
        <f>IFERROR(__xludf.DUMMYFUNCTION("""COMPUTED_VALUE"""),"MOTORCYCLE")</f>
        <v>MOTORCYCLE</v>
      </c>
      <c r="G2427" s="7" t="str">
        <f>IFERROR(__xludf.DUMMYFUNCTION("""COMPUTED_VALUE"""),"SAO PAULO")</f>
        <v>SAO PAULO</v>
      </c>
    </row>
    <row r="2428">
      <c r="A2428" s="6">
        <f>IFERROR(__xludf.DUMMYFUNCTION("""COMPUTED_VALUE"""),45705.0)</f>
        <v>45705</v>
      </c>
      <c r="B2428" s="7" t="str">
        <f>IFERROR(__xludf.DUMMYFUNCTION("""COMPUTED_VALUE"""),"3555fd23-3fd2-40c8-8293-9790ba26dfe4")</f>
        <v>3555fd23-3fd2-40c8-8293-9790ba26dfe4</v>
      </c>
      <c r="C2428" s="7">
        <f>IFERROR(__xludf.DUMMYFUNCTION("""COMPUTED_VALUE"""),0.0)</f>
        <v>0</v>
      </c>
      <c r="D2428" s="6">
        <f>IFERROR(__xludf.DUMMYFUNCTION("""COMPUTED_VALUE"""),45705.0)</f>
        <v>45705</v>
      </c>
      <c r="E2428" s="7" t="str">
        <f>IFERROR(__xludf.DUMMYFUNCTION("""COMPUTED_VALUE"""),"FRANQUIA_D&amp;G_SP")</f>
        <v>FRANQUIA_D&amp;G_SP</v>
      </c>
      <c r="F2428" s="7" t="str">
        <f>IFERROR(__xludf.DUMMYFUNCTION("""COMPUTED_VALUE"""),"MOTORCYCLE")</f>
        <v>MOTORCYCLE</v>
      </c>
      <c r="G2428" s="7" t="str">
        <f>IFERROR(__xludf.DUMMYFUNCTION("""COMPUTED_VALUE"""),"SAO PAULO")</f>
        <v>SAO PAULO</v>
      </c>
    </row>
    <row r="2429">
      <c r="A2429" s="6">
        <f>IFERROR(__xludf.DUMMYFUNCTION("""COMPUTED_VALUE"""),45705.0)</f>
        <v>45705</v>
      </c>
      <c r="B2429" s="7" t="str">
        <f>IFERROR(__xludf.DUMMYFUNCTION("""COMPUTED_VALUE"""),"4b7f717f-baa8-4887-b579-cf53fc1556e0")</f>
        <v>4b7f717f-baa8-4887-b579-cf53fc1556e0</v>
      </c>
      <c r="C2429" s="7">
        <f>IFERROR(__xludf.DUMMYFUNCTION("""COMPUTED_VALUE"""),0.0)</f>
        <v>0</v>
      </c>
      <c r="D2429" s="6">
        <f>IFERROR(__xludf.DUMMYFUNCTION("""COMPUTED_VALUE"""),45705.0)</f>
        <v>45705</v>
      </c>
      <c r="E2429" s="7" t="str">
        <f>IFERROR(__xludf.DUMMYFUNCTION("""COMPUTED_VALUE"""),"FRANQUIA_D&amp;G_SP")</f>
        <v>FRANQUIA_D&amp;G_SP</v>
      </c>
      <c r="F2429" s="7" t="str">
        <f>IFERROR(__xludf.DUMMYFUNCTION("""COMPUTED_VALUE"""),"BICYCLE")</f>
        <v>BICYCLE</v>
      </c>
      <c r="G2429" s="7" t="str">
        <f>IFERROR(__xludf.DUMMYFUNCTION("""COMPUTED_VALUE"""),"SAO PAULO")</f>
        <v>SAO PAULO</v>
      </c>
    </row>
    <row r="2430">
      <c r="A2430" s="6">
        <f>IFERROR(__xludf.DUMMYFUNCTION("""COMPUTED_VALUE"""),45705.0)</f>
        <v>45705</v>
      </c>
      <c r="B2430" s="7" t="str">
        <f>IFERROR(__xludf.DUMMYFUNCTION("""COMPUTED_VALUE"""),"862fba82-cf56-4f4b-89c9-5b7c8985a843")</f>
        <v>862fba82-cf56-4f4b-89c9-5b7c8985a843</v>
      </c>
      <c r="C2430" s="7">
        <f>IFERROR(__xludf.DUMMYFUNCTION("""COMPUTED_VALUE"""),16.0)</f>
        <v>16</v>
      </c>
      <c r="D2430" s="6">
        <f>IFERROR(__xludf.DUMMYFUNCTION("""COMPUTED_VALUE"""),45689.0)</f>
        <v>45689</v>
      </c>
      <c r="E2430" s="7" t="str">
        <f>IFERROR(__xludf.DUMMYFUNCTION("""COMPUTED_VALUE"""),"FRANQUIA_D&amp;G_SP")</f>
        <v>FRANQUIA_D&amp;G_SP</v>
      </c>
      <c r="F2430" s="7" t="str">
        <f>IFERROR(__xludf.DUMMYFUNCTION("""COMPUTED_VALUE"""),"BICYCLE")</f>
        <v>BICYCLE</v>
      </c>
      <c r="G2430" s="7" t="str">
        <f>IFERROR(__xludf.DUMMYFUNCTION("""COMPUTED_VALUE"""),"SUZANO")</f>
        <v>SUZANO</v>
      </c>
    </row>
    <row r="2431">
      <c r="A2431" s="6">
        <f>IFERROR(__xludf.DUMMYFUNCTION("""COMPUTED_VALUE"""),45705.0)</f>
        <v>45705</v>
      </c>
      <c r="B2431" s="7" t="str">
        <f>IFERROR(__xludf.DUMMYFUNCTION("""COMPUTED_VALUE"""),"23449d0c-0b6a-4dd4-8273-e2e8273bfa8c")</f>
        <v>23449d0c-0b6a-4dd4-8273-e2e8273bfa8c</v>
      </c>
      <c r="C2431" s="7">
        <f>IFERROR(__xludf.DUMMYFUNCTION("""COMPUTED_VALUE"""),0.0)</f>
        <v>0</v>
      </c>
      <c r="D2431" s="6">
        <f>IFERROR(__xludf.DUMMYFUNCTION("""COMPUTED_VALUE"""),45705.0)</f>
        <v>45705</v>
      </c>
      <c r="E2431" s="7" t="str">
        <f>IFERROR(__xludf.DUMMYFUNCTION("""COMPUTED_VALUE"""),"FRANQUIA_D&amp;G_SP")</f>
        <v>FRANQUIA_D&amp;G_SP</v>
      </c>
      <c r="F2431" s="7" t="str">
        <f>IFERROR(__xludf.DUMMYFUNCTION("""COMPUTED_VALUE"""),"BICYCLE")</f>
        <v>BICYCLE</v>
      </c>
      <c r="G2431" s="7" t="str">
        <f>IFERROR(__xludf.DUMMYFUNCTION("""COMPUTED_VALUE"""),"SUZANO")</f>
        <v>SUZANO</v>
      </c>
    </row>
    <row r="2432">
      <c r="A2432" s="6">
        <f>IFERROR(__xludf.DUMMYFUNCTION("""COMPUTED_VALUE"""),45705.0)</f>
        <v>45705</v>
      </c>
      <c r="B2432" s="7" t="str">
        <f>IFERROR(__xludf.DUMMYFUNCTION("""COMPUTED_VALUE"""),"6e339367-41d4-47c0-a598-b8e0f2b431a0")</f>
        <v>6e339367-41d4-47c0-a598-b8e0f2b431a0</v>
      </c>
      <c r="C2432" s="7">
        <f>IFERROR(__xludf.DUMMYFUNCTION("""COMPUTED_VALUE"""),42.0)</f>
        <v>42</v>
      </c>
      <c r="D2432" s="6">
        <f>IFERROR(__xludf.DUMMYFUNCTION("""COMPUTED_VALUE"""),45663.0)</f>
        <v>45663</v>
      </c>
      <c r="E2432" s="7" t="str">
        <f>IFERROR(__xludf.DUMMYFUNCTION("""COMPUTED_VALUE"""),"FRANQUIA_D&amp;G_SP")</f>
        <v>FRANQUIA_D&amp;G_SP</v>
      </c>
      <c r="F2432" s="7" t="str">
        <f>IFERROR(__xludf.DUMMYFUNCTION("""COMPUTED_VALUE"""),"BICYCLE")</f>
        <v>BICYCLE</v>
      </c>
      <c r="G2432" s="7" t="str">
        <f>IFERROR(__xludf.DUMMYFUNCTION("""COMPUTED_VALUE"""),"SAO PAULO")</f>
        <v>SAO PAULO</v>
      </c>
    </row>
    <row r="2433">
      <c r="A2433" s="6">
        <f>IFERROR(__xludf.DUMMYFUNCTION("""COMPUTED_VALUE"""),45705.0)</f>
        <v>45705</v>
      </c>
      <c r="B2433" s="7" t="str">
        <f>IFERROR(__xludf.DUMMYFUNCTION("""COMPUTED_VALUE"""),"f7643ca8-9596-4b50-8eca-54a3c23ad0e4")</f>
        <v>f7643ca8-9596-4b50-8eca-54a3c23ad0e4</v>
      </c>
      <c r="C2433" s="7">
        <f>IFERROR(__xludf.DUMMYFUNCTION("""COMPUTED_VALUE"""),46.0)</f>
        <v>46</v>
      </c>
      <c r="D2433" s="6">
        <f>IFERROR(__xludf.DUMMYFUNCTION("""COMPUTED_VALUE"""),45659.0)</f>
        <v>45659</v>
      </c>
      <c r="E2433" s="7" t="str">
        <f>IFERROR(__xludf.DUMMYFUNCTION("""COMPUTED_VALUE"""),"FRANQUIA_D&amp;G_SP")</f>
        <v>FRANQUIA_D&amp;G_SP</v>
      </c>
      <c r="F2433" s="7" t="str">
        <f>IFERROR(__xludf.DUMMYFUNCTION("""COMPUTED_VALUE"""),"MOTORCYCLE")</f>
        <v>MOTORCYCLE</v>
      </c>
      <c r="G2433" s="7" t="str">
        <f>IFERROR(__xludf.DUMMYFUNCTION("""COMPUTED_VALUE"""),"SAO PAULO")</f>
        <v>SAO PAULO</v>
      </c>
    </row>
    <row r="2434">
      <c r="A2434" s="6">
        <f>IFERROR(__xludf.DUMMYFUNCTION("""COMPUTED_VALUE"""),45705.0)</f>
        <v>45705</v>
      </c>
      <c r="B2434" s="7" t="str">
        <f>IFERROR(__xludf.DUMMYFUNCTION("""COMPUTED_VALUE"""),"7f3d7ee1-8d83-416c-95c8-b9569caf8e02")</f>
        <v>7f3d7ee1-8d83-416c-95c8-b9569caf8e02</v>
      </c>
      <c r="C2434" s="7">
        <f>IFERROR(__xludf.DUMMYFUNCTION("""COMPUTED_VALUE"""),1.0)</f>
        <v>1</v>
      </c>
      <c r="D2434" s="6">
        <f>IFERROR(__xludf.DUMMYFUNCTION("""COMPUTED_VALUE"""),45704.0)</f>
        <v>45704</v>
      </c>
      <c r="E2434" s="7" t="str">
        <f>IFERROR(__xludf.DUMMYFUNCTION("""COMPUTED_VALUE"""),"FRANQUIA_D&amp;G_SP")</f>
        <v>FRANQUIA_D&amp;G_SP</v>
      </c>
      <c r="F2434" s="7" t="str">
        <f>IFERROR(__xludf.DUMMYFUNCTION("""COMPUTED_VALUE"""),"BICYCLE")</f>
        <v>BICYCLE</v>
      </c>
      <c r="G2434" s="7" t="str">
        <f>IFERROR(__xludf.DUMMYFUNCTION("""COMPUTED_VALUE"""),"SAO PAULO")</f>
        <v>SAO PAULO</v>
      </c>
    </row>
    <row r="2435">
      <c r="A2435" s="6">
        <f>IFERROR(__xludf.DUMMYFUNCTION("""COMPUTED_VALUE"""),45705.0)</f>
        <v>45705</v>
      </c>
      <c r="B2435" s="7" t="str">
        <f>IFERROR(__xludf.DUMMYFUNCTION("""COMPUTED_VALUE"""),"0b4b4cd8-4f37-4012-856a-805ec75d5bb7")</f>
        <v>0b4b4cd8-4f37-4012-856a-805ec75d5bb7</v>
      </c>
      <c r="C2435" s="7">
        <f>IFERROR(__xludf.DUMMYFUNCTION("""COMPUTED_VALUE"""),0.0)</f>
        <v>0</v>
      </c>
      <c r="D2435" s="6">
        <f>IFERROR(__xludf.DUMMYFUNCTION("""COMPUTED_VALUE"""),45705.0)</f>
        <v>45705</v>
      </c>
      <c r="E2435" s="7" t="str">
        <f>IFERROR(__xludf.DUMMYFUNCTION("""COMPUTED_VALUE"""),"FRANQUIA_D&amp;G_SP")</f>
        <v>FRANQUIA_D&amp;G_SP</v>
      </c>
      <c r="F2435" s="7" t="str">
        <f>IFERROR(__xludf.DUMMYFUNCTION("""COMPUTED_VALUE"""),"BICYCLE")</f>
        <v>BICYCLE</v>
      </c>
      <c r="G2435" s="7" t="str">
        <f>IFERROR(__xludf.DUMMYFUNCTION("""COMPUTED_VALUE"""),"SAO PAULO")</f>
        <v>SAO PAULO</v>
      </c>
    </row>
    <row r="2436">
      <c r="A2436" s="6">
        <f>IFERROR(__xludf.DUMMYFUNCTION("""COMPUTED_VALUE"""),45705.0)</f>
        <v>45705</v>
      </c>
      <c r="B2436" s="7" t="str">
        <f>IFERROR(__xludf.DUMMYFUNCTION("""COMPUTED_VALUE"""),"313fabf9-1b7c-4e42-a787-3bdee799ae18")</f>
        <v>313fabf9-1b7c-4e42-a787-3bdee799ae18</v>
      </c>
      <c r="C2436" s="7">
        <f>IFERROR(__xludf.DUMMYFUNCTION("""COMPUTED_VALUE"""),1.0)</f>
        <v>1</v>
      </c>
      <c r="D2436" s="6">
        <f>IFERROR(__xludf.DUMMYFUNCTION("""COMPUTED_VALUE"""),45704.0)</f>
        <v>45704</v>
      </c>
      <c r="E2436" s="7" t="str">
        <f>IFERROR(__xludf.DUMMYFUNCTION("""COMPUTED_VALUE"""),"FRANQUIA_D&amp;G_SP")</f>
        <v>FRANQUIA_D&amp;G_SP</v>
      </c>
      <c r="F2436" s="7" t="str">
        <f>IFERROR(__xludf.DUMMYFUNCTION("""COMPUTED_VALUE"""),"BICYCLE")</f>
        <v>BICYCLE</v>
      </c>
      <c r="G2436" s="7" t="str">
        <f>IFERROR(__xludf.DUMMYFUNCTION("""COMPUTED_VALUE"""),"SAO PAULO")</f>
        <v>SAO PAULO</v>
      </c>
    </row>
    <row r="2437">
      <c r="A2437" s="6">
        <f>IFERROR(__xludf.DUMMYFUNCTION("""COMPUTED_VALUE"""),45705.0)</f>
        <v>45705</v>
      </c>
      <c r="B2437" s="7" t="str">
        <f>IFERROR(__xludf.DUMMYFUNCTION("""COMPUTED_VALUE"""),"c6e82041-d3c8-4b56-b2a1-48aa0cff0145")</f>
        <v>c6e82041-d3c8-4b56-b2a1-48aa0cff0145</v>
      </c>
      <c r="C2437" s="7">
        <f>IFERROR(__xludf.DUMMYFUNCTION("""COMPUTED_VALUE"""),26.0)</f>
        <v>26</v>
      </c>
      <c r="D2437" s="6">
        <f>IFERROR(__xludf.DUMMYFUNCTION("""COMPUTED_VALUE"""),45679.0)</f>
        <v>45679</v>
      </c>
      <c r="E2437" s="7" t="str">
        <f>IFERROR(__xludf.DUMMYFUNCTION("""COMPUTED_VALUE"""),"FRANQUIA_D&amp;G_SP")</f>
        <v>FRANQUIA_D&amp;G_SP</v>
      </c>
      <c r="F2437" s="7" t="str">
        <f>IFERROR(__xludf.DUMMYFUNCTION("""COMPUTED_VALUE"""),"MOTORCYCLE")</f>
        <v>MOTORCYCLE</v>
      </c>
      <c r="G2437" s="7" t="str">
        <f>IFERROR(__xludf.DUMMYFUNCTION("""COMPUTED_VALUE"""),"SAO PAULO")</f>
        <v>SAO PAULO</v>
      </c>
    </row>
    <row r="2438">
      <c r="A2438" s="6">
        <f>IFERROR(__xludf.DUMMYFUNCTION("""COMPUTED_VALUE"""),45705.0)</f>
        <v>45705</v>
      </c>
      <c r="B2438" s="7" t="str">
        <f>IFERROR(__xludf.DUMMYFUNCTION("""COMPUTED_VALUE"""),"bb78cce0-3549-41be-b385-5ea426234293")</f>
        <v>bb78cce0-3549-41be-b385-5ea426234293</v>
      </c>
      <c r="C2438" s="7">
        <f>IFERROR(__xludf.DUMMYFUNCTION("""COMPUTED_VALUE"""),0.0)</f>
        <v>0</v>
      </c>
      <c r="D2438" s="6">
        <f>IFERROR(__xludf.DUMMYFUNCTION("""COMPUTED_VALUE"""),45705.0)</f>
        <v>45705</v>
      </c>
      <c r="E2438" s="7" t="str">
        <f>IFERROR(__xludf.DUMMYFUNCTION("""COMPUTED_VALUE"""),"FRANQUIA_D&amp;G_SP")</f>
        <v>FRANQUIA_D&amp;G_SP</v>
      </c>
      <c r="F2438" s="7" t="str">
        <f>IFERROR(__xludf.DUMMYFUNCTION("""COMPUTED_VALUE"""),"BICYCLE")</f>
        <v>BICYCLE</v>
      </c>
      <c r="G2438" s="7" t="str">
        <f>IFERROR(__xludf.DUMMYFUNCTION("""COMPUTED_VALUE"""),"SAO PAULO")</f>
        <v>SAO PAULO</v>
      </c>
    </row>
    <row r="2439">
      <c r="A2439" s="6">
        <f>IFERROR(__xludf.DUMMYFUNCTION("""COMPUTED_VALUE"""),45705.0)</f>
        <v>45705</v>
      </c>
      <c r="B2439" s="7" t="str">
        <f>IFERROR(__xludf.DUMMYFUNCTION("""COMPUTED_VALUE"""),"2fedb3d4-5d1a-417d-9957-2d3e677b55eb")</f>
        <v>2fedb3d4-5d1a-417d-9957-2d3e677b55eb</v>
      </c>
      <c r="C2439" s="7">
        <f>IFERROR(__xludf.DUMMYFUNCTION("""COMPUTED_VALUE"""),556.0)</f>
        <v>556</v>
      </c>
      <c r="D2439" s="6">
        <f>IFERROR(__xludf.DUMMYFUNCTION("""COMPUTED_VALUE"""),45149.0)</f>
        <v>45149</v>
      </c>
      <c r="E2439" s="7" t="str">
        <f>IFERROR(__xludf.DUMMYFUNCTION("""COMPUTED_VALUE"""),"FRANQUIA_D&amp;G_SP")</f>
        <v>FRANQUIA_D&amp;G_SP</v>
      </c>
      <c r="F2439" s="7" t="str">
        <f>IFERROR(__xludf.DUMMYFUNCTION("""COMPUTED_VALUE"""),"MOTORCYCLE")</f>
        <v>MOTORCYCLE</v>
      </c>
      <c r="G2439" s="7" t="str">
        <f>IFERROR(__xludf.DUMMYFUNCTION("""COMPUTED_VALUE"""),"SAO PAULO")</f>
        <v>SAO PAULO</v>
      </c>
    </row>
    <row r="2440">
      <c r="A2440" s="6">
        <f>IFERROR(__xludf.DUMMYFUNCTION("""COMPUTED_VALUE"""),45705.0)</f>
        <v>45705</v>
      </c>
      <c r="B2440" s="7" t="str">
        <f>IFERROR(__xludf.DUMMYFUNCTION("""COMPUTED_VALUE"""),"e871ac6b-9540-4efb-89ac-ee029c4025ed")</f>
        <v>e871ac6b-9540-4efb-89ac-ee029c4025ed</v>
      </c>
      <c r="C2440" s="7">
        <f>IFERROR(__xludf.DUMMYFUNCTION("""COMPUTED_VALUE"""),0.0)</f>
        <v>0</v>
      </c>
      <c r="D2440" s="6">
        <f>IFERROR(__xludf.DUMMYFUNCTION("""COMPUTED_VALUE"""),45705.0)</f>
        <v>45705</v>
      </c>
      <c r="E2440" s="7" t="str">
        <f>IFERROR(__xludf.DUMMYFUNCTION("""COMPUTED_VALUE"""),"FRANQUIA_D&amp;G_SP")</f>
        <v>FRANQUIA_D&amp;G_SP</v>
      </c>
      <c r="F2440" s="7" t="str">
        <f>IFERROR(__xludf.DUMMYFUNCTION("""COMPUTED_VALUE"""),"MOTORCYCLE")</f>
        <v>MOTORCYCLE</v>
      </c>
      <c r="G2440" s="7" t="str">
        <f>IFERROR(__xludf.DUMMYFUNCTION("""COMPUTED_VALUE"""),"SAO PAULO")</f>
        <v>SAO PAULO</v>
      </c>
    </row>
    <row r="2441">
      <c r="A2441" s="6">
        <f>IFERROR(__xludf.DUMMYFUNCTION("""COMPUTED_VALUE"""),45705.0)</f>
        <v>45705</v>
      </c>
      <c r="B2441" s="7" t="str">
        <f>IFERROR(__xludf.DUMMYFUNCTION("""COMPUTED_VALUE"""),"c14e44f3-d987-4e49-8f82-e5f7368a9ee5")</f>
        <v>c14e44f3-d987-4e49-8f82-e5f7368a9ee5</v>
      </c>
      <c r="C2441" s="7">
        <f>IFERROR(__xludf.DUMMYFUNCTION("""COMPUTED_VALUE"""),9.0)</f>
        <v>9</v>
      </c>
      <c r="D2441" s="6">
        <f>IFERROR(__xludf.DUMMYFUNCTION("""COMPUTED_VALUE"""),45696.0)</f>
        <v>45696</v>
      </c>
      <c r="E2441" s="7" t="str">
        <f>IFERROR(__xludf.DUMMYFUNCTION("""COMPUTED_VALUE"""),"FRANQUIA_D&amp;G_SP")</f>
        <v>FRANQUIA_D&amp;G_SP</v>
      </c>
      <c r="F2441" s="7" t="str">
        <f>IFERROR(__xludf.DUMMYFUNCTION("""COMPUTED_VALUE"""),"MOTORCYCLE")</f>
        <v>MOTORCYCLE</v>
      </c>
      <c r="G2441" s="7" t="str">
        <f>IFERROR(__xludf.DUMMYFUNCTION("""COMPUTED_VALUE"""),"SAO PAULO")</f>
        <v>SAO PAULO</v>
      </c>
    </row>
    <row r="2442">
      <c r="A2442" s="6">
        <f>IFERROR(__xludf.DUMMYFUNCTION("""COMPUTED_VALUE"""),45705.0)</f>
        <v>45705</v>
      </c>
      <c r="B2442" s="7" t="str">
        <f>IFERROR(__xludf.DUMMYFUNCTION("""COMPUTED_VALUE"""),"baa2fb67-e24e-47be-92d7-418508777db8")</f>
        <v>baa2fb67-e24e-47be-92d7-418508777db8</v>
      </c>
      <c r="C2442" s="7">
        <f>IFERROR(__xludf.DUMMYFUNCTION("""COMPUTED_VALUE"""),93.0)</f>
        <v>93</v>
      </c>
      <c r="D2442" s="6">
        <f>IFERROR(__xludf.DUMMYFUNCTION("""COMPUTED_VALUE"""),45612.0)</f>
        <v>45612</v>
      </c>
      <c r="E2442" s="7" t="str">
        <f>IFERROR(__xludf.DUMMYFUNCTION("""COMPUTED_VALUE"""),"FRANQUIA_D&amp;G_SP")</f>
        <v>FRANQUIA_D&amp;G_SP</v>
      </c>
      <c r="F2442" s="7" t="str">
        <f>IFERROR(__xludf.DUMMYFUNCTION("""COMPUTED_VALUE"""),"MOTORCYCLE")</f>
        <v>MOTORCYCLE</v>
      </c>
      <c r="G2442" s="7" t="str">
        <f>IFERROR(__xludf.DUMMYFUNCTION("""COMPUTED_VALUE"""),"GUARULHOS")</f>
        <v>GUARULHOS</v>
      </c>
    </row>
    <row r="2443">
      <c r="A2443" s="6">
        <f>IFERROR(__xludf.DUMMYFUNCTION("""COMPUTED_VALUE"""),45705.0)</f>
        <v>45705</v>
      </c>
      <c r="B2443" s="7" t="str">
        <f>IFERROR(__xludf.DUMMYFUNCTION("""COMPUTED_VALUE"""),"0eace606-9cc0-4604-8ee5-00fccc688604")</f>
        <v>0eace606-9cc0-4604-8ee5-00fccc688604</v>
      </c>
      <c r="C2443" s="7">
        <f>IFERROR(__xludf.DUMMYFUNCTION("""COMPUTED_VALUE"""),1.0)</f>
        <v>1</v>
      </c>
      <c r="D2443" s="6">
        <f>IFERROR(__xludf.DUMMYFUNCTION("""COMPUTED_VALUE"""),45704.0)</f>
        <v>45704</v>
      </c>
      <c r="E2443" s="7" t="str">
        <f>IFERROR(__xludf.DUMMYFUNCTION("""COMPUTED_VALUE"""),"FRANQUIA_D&amp;G_SP")</f>
        <v>FRANQUIA_D&amp;G_SP</v>
      </c>
      <c r="F2443" s="7" t="str">
        <f>IFERROR(__xludf.DUMMYFUNCTION("""COMPUTED_VALUE"""),"MOTORCYCLE")</f>
        <v>MOTORCYCLE</v>
      </c>
      <c r="G2443" s="7" t="str">
        <f>IFERROR(__xludf.DUMMYFUNCTION("""COMPUTED_VALUE"""),"SAO PAULO")</f>
        <v>SAO PAULO</v>
      </c>
    </row>
    <row r="2444">
      <c r="A2444" s="6">
        <f>IFERROR(__xludf.DUMMYFUNCTION("""COMPUTED_VALUE"""),45705.0)</f>
        <v>45705</v>
      </c>
      <c r="B2444" s="7" t="str">
        <f>IFERROR(__xludf.DUMMYFUNCTION("""COMPUTED_VALUE"""),"236b73fe-e1ad-4ef9-82b9-6a92d33fdce8")</f>
        <v>236b73fe-e1ad-4ef9-82b9-6a92d33fdce8</v>
      </c>
      <c r="C2444" s="7">
        <f>IFERROR(__xludf.DUMMYFUNCTION("""COMPUTED_VALUE"""),1319.0)</f>
        <v>1319</v>
      </c>
      <c r="D2444" s="6">
        <f>IFERROR(__xludf.DUMMYFUNCTION("""COMPUTED_VALUE"""),44386.0)</f>
        <v>44386</v>
      </c>
      <c r="E2444" s="7" t="str">
        <f>IFERROR(__xludf.DUMMYFUNCTION("""COMPUTED_VALUE"""),"FRANQUIA_D&amp;G_SP")</f>
        <v>FRANQUIA_D&amp;G_SP</v>
      </c>
      <c r="F2444" s="7" t="str">
        <f>IFERROR(__xludf.DUMMYFUNCTION("""COMPUTED_VALUE"""),"MOTORCYCLE")</f>
        <v>MOTORCYCLE</v>
      </c>
      <c r="G2444" s="7" t="str">
        <f>IFERROR(__xludf.DUMMYFUNCTION("""COMPUTED_VALUE"""),"SAO PAULO")</f>
        <v>SAO PAULO</v>
      </c>
    </row>
    <row r="2445">
      <c r="A2445" s="6">
        <f>IFERROR(__xludf.DUMMYFUNCTION("""COMPUTED_VALUE"""),45705.0)</f>
        <v>45705</v>
      </c>
      <c r="B2445" s="7" t="str">
        <f>IFERROR(__xludf.DUMMYFUNCTION("""COMPUTED_VALUE"""),"253972cf-9cf2-4a07-b56a-82066179cc4e")</f>
        <v>253972cf-9cf2-4a07-b56a-82066179cc4e</v>
      </c>
      <c r="C2445" s="7">
        <f>IFERROR(__xludf.DUMMYFUNCTION("""COMPUTED_VALUE"""),301.0)</f>
        <v>301</v>
      </c>
      <c r="D2445" s="6">
        <f>IFERROR(__xludf.DUMMYFUNCTION("""COMPUTED_VALUE"""),45404.0)</f>
        <v>45404</v>
      </c>
      <c r="E2445" s="7" t="str">
        <f>IFERROR(__xludf.DUMMYFUNCTION("""COMPUTED_VALUE"""),"FRANQUIA_D&amp;G_SP")</f>
        <v>FRANQUIA_D&amp;G_SP</v>
      </c>
      <c r="F2445" s="7" t="str">
        <f>IFERROR(__xludf.DUMMYFUNCTION("""COMPUTED_VALUE"""),"MOTORCYCLE")</f>
        <v>MOTORCYCLE</v>
      </c>
      <c r="G2445" s="7" t="str">
        <f>IFERROR(__xludf.DUMMYFUNCTION("""COMPUTED_VALUE"""),"SAO PAULO")</f>
        <v>SAO PAULO</v>
      </c>
    </row>
    <row r="2446">
      <c r="A2446" s="6">
        <f>IFERROR(__xludf.DUMMYFUNCTION("""COMPUTED_VALUE"""),45705.0)</f>
        <v>45705</v>
      </c>
      <c r="B2446" s="7" t="str">
        <f>IFERROR(__xludf.DUMMYFUNCTION("""COMPUTED_VALUE"""),"4f482051-c56d-407b-9436-91a1a32fb71b")</f>
        <v>4f482051-c56d-407b-9436-91a1a32fb71b</v>
      </c>
      <c r="C2446" s="7">
        <f>IFERROR(__xludf.DUMMYFUNCTION("""COMPUTED_VALUE"""),1.0)</f>
        <v>1</v>
      </c>
      <c r="D2446" s="6">
        <f>IFERROR(__xludf.DUMMYFUNCTION("""COMPUTED_VALUE"""),45704.0)</f>
        <v>45704</v>
      </c>
      <c r="E2446" s="7" t="str">
        <f>IFERROR(__xludf.DUMMYFUNCTION("""COMPUTED_VALUE"""),"FRANQUIA_D&amp;G_SP")</f>
        <v>FRANQUIA_D&amp;G_SP</v>
      </c>
      <c r="F2446" s="7" t="str">
        <f>IFERROR(__xludf.DUMMYFUNCTION("""COMPUTED_VALUE"""),"MOTORCYCLE")</f>
        <v>MOTORCYCLE</v>
      </c>
      <c r="G2446" s="7" t="str">
        <f>IFERROR(__xludf.DUMMYFUNCTION("""COMPUTED_VALUE"""),"SAO PAULO")</f>
        <v>SAO PAULO</v>
      </c>
    </row>
    <row r="2447">
      <c r="A2447" s="6">
        <f>IFERROR(__xludf.DUMMYFUNCTION("""COMPUTED_VALUE"""),45705.0)</f>
        <v>45705</v>
      </c>
      <c r="B2447" s="7" t="str">
        <f>IFERROR(__xludf.DUMMYFUNCTION("""COMPUTED_VALUE"""),"ab2e7c61-4719-4f5d-9dce-15ecb8d2a482")</f>
        <v>ab2e7c61-4719-4f5d-9dce-15ecb8d2a482</v>
      </c>
      <c r="C2447" s="7">
        <f>IFERROR(__xludf.DUMMYFUNCTION("""COMPUTED_VALUE"""),0.0)</f>
        <v>0</v>
      </c>
      <c r="D2447" s="6">
        <f>IFERROR(__xludf.DUMMYFUNCTION("""COMPUTED_VALUE"""),45705.0)</f>
        <v>45705</v>
      </c>
      <c r="E2447" s="7" t="str">
        <f>IFERROR(__xludf.DUMMYFUNCTION("""COMPUTED_VALUE"""),"FRANQUIA_D&amp;G_SP")</f>
        <v>FRANQUIA_D&amp;G_SP</v>
      </c>
      <c r="F2447" s="7" t="str">
        <f>IFERROR(__xludf.DUMMYFUNCTION("""COMPUTED_VALUE"""),"MOTORCYCLE")</f>
        <v>MOTORCYCLE</v>
      </c>
      <c r="G2447" s="7" t="str">
        <f>IFERROR(__xludf.DUMMYFUNCTION("""COMPUTED_VALUE"""),"SAO PAULO")</f>
        <v>SAO PAULO</v>
      </c>
    </row>
    <row r="2448">
      <c r="A2448" s="6">
        <f>IFERROR(__xludf.DUMMYFUNCTION("""COMPUTED_VALUE"""),45705.0)</f>
        <v>45705</v>
      </c>
      <c r="B2448" s="7" t="str">
        <f>IFERROR(__xludf.DUMMYFUNCTION("""COMPUTED_VALUE"""),"d40ec02a-0d07-4f11-8854-80424fd637ef")</f>
        <v>d40ec02a-0d07-4f11-8854-80424fd637ef</v>
      </c>
      <c r="C2448" s="7">
        <f>IFERROR(__xludf.DUMMYFUNCTION("""COMPUTED_VALUE"""),1.0)</f>
        <v>1</v>
      </c>
      <c r="D2448" s="6">
        <f>IFERROR(__xludf.DUMMYFUNCTION("""COMPUTED_VALUE"""),45704.0)</f>
        <v>45704</v>
      </c>
      <c r="E2448" s="7" t="str">
        <f>IFERROR(__xludf.DUMMYFUNCTION("""COMPUTED_VALUE"""),"FRANQUIA_D&amp;G_SP")</f>
        <v>FRANQUIA_D&amp;G_SP</v>
      </c>
      <c r="F2448" s="7" t="str">
        <f>IFERROR(__xludf.DUMMYFUNCTION("""COMPUTED_VALUE"""),"MOTORCYCLE")</f>
        <v>MOTORCYCLE</v>
      </c>
      <c r="G2448" s="7" t="str">
        <f>IFERROR(__xludf.DUMMYFUNCTION("""COMPUTED_VALUE"""),"SAO PAULO")</f>
        <v>SAO PAULO</v>
      </c>
    </row>
    <row r="2449">
      <c r="A2449" s="6">
        <f>IFERROR(__xludf.DUMMYFUNCTION("""COMPUTED_VALUE"""),45705.0)</f>
        <v>45705</v>
      </c>
      <c r="B2449" s="7" t="str">
        <f>IFERROR(__xludf.DUMMYFUNCTION("""COMPUTED_VALUE"""),"1246d285-3563-45a8-9972-ebe0fe6c8114")</f>
        <v>1246d285-3563-45a8-9972-ebe0fe6c8114</v>
      </c>
      <c r="C2449" s="7">
        <f>IFERROR(__xludf.DUMMYFUNCTION("""COMPUTED_VALUE"""),27.0)</f>
        <v>27</v>
      </c>
      <c r="D2449" s="6">
        <f>IFERROR(__xludf.DUMMYFUNCTION("""COMPUTED_VALUE"""),45678.0)</f>
        <v>45678</v>
      </c>
      <c r="E2449" s="7" t="str">
        <f>IFERROR(__xludf.DUMMYFUNCTION("""COMPUTED_VALUE"""),"FRANQUIA_D&amp;G_SP")</f>
        <v>FRANQUIA_D&amp;G_SP</v>
      </c>
      <c r="F2449" s="7" t="str">
        <f>IFERROR(__xludf.DUMMYFUNCTION("""COMPUTED_VALUE"""),"MOTORCYCLE")</f>
        <v>MOTORCYCLE</v>
      </c>
      <c r="G2449" s="7" t="str">
        <f>IFERROR(__xludf.DUMMYFUNCTION("""COMPUTED_VALUE"""),"SAO PAULO")</f>
        <v>SAO PAULO</v>
      </c>
    </row>
    <row r="2450">
      <c r="A2450" s="6">
        <f>IFERROR(__xludf.DUMMYFUNCTION("""COMPUTED_VALUE"""),45705.0)</f>
        <v>45705</v>
      </c>
      <c r="B2450" s="7" t="str">
        <f>IFERROR(__xludf.DUMMYFUNCTION("""COMPUTED_VALUE"""),"53b6cf11-1221-4e2b-8eae-81b8c4fa9d79")</f>
        <v>53b6cf11-1221-4e2b-8eae-81b8c4fa9d79</v>
      </c>
      <c r="C2450" s="7">
        <f>IFERROR(__xludf.DUMMYFUNCTION("""COMPUTED_VALUE"""),0.0)</f>
        <v>0</v>
      </c>
      <c r="D2450" s="6">
        <f>IFERROR(__xludf.DUMMYFUNCTION("""COMPUTED_VALUE"""),45705.0)</f>
        <v>45705</v>
      </c>
      <c r="E2450" s="7" t="str">
        <f>IFERROR(__xludf.DUMMYFUNCTION("""COMPUTED_VALUE"""),"FRANQUIA_D&amp;G_SP")</f>
        <v>FRANQUIA_D&amp;G_SP</v>
      </c>
      <c r="F2450" s="7" t="str">
        <f>IFERROR(__xludf.DUMMYFUNCTION("""COMPUTED_VALUE"""),"MOTORCYCLE")</f>
        <v>MOTORCYCLE</v>
      </c>
      <c r="G2450" s="7" t="str">
        <f>IFERROR(__xludf.DUMMYFUNCTION("""COMPUTED_VALUE"""),"SAO PAULO")</f>
        <v>SAO PAULO</v>
      </c>
    </row>
    <row r="2451">
      <c r="A2451" s="6">
        <f>IFERROR(__xludf.DUMMYFUNCTION("""COMPUTED_VALUE"""),45705.0)</f>
        <v>45705</v>
      </c>
      <c r="B2451" s="7" t="str">
        <f>IFERROR(__xludf.DUMMYFUNCTION("""COMPUTED_VALUE"""),"1150e5b7-4557-4983-927a-6d7607addcbd")</f>
        <v>1150e5b7-4557-4983-927a-6d7607addcbd</v>
      </c>
      <c r="C2451" s="7">
        <f>IFERROR(__xludf.DUMMYFUNCTION("""COMPUTED_VALUE"""),18.0)</f>
        <v>18</v>
      </c>
      <c r="D2451" s="6">
        <f>IFERROR(__xludf.DUMMYFUNCTION("""COMPUTED_VALUE"""),45687.0)</f>
        <v>45687</v>
      </c>
      <c r="E2451" s="7" t="str">
        <f>IFERROR(__xludf.DUMMYFUNCTION("""COMPUTED_VALUE"""),"FRANQUIA_D&amp;G_SP")</f>
        <v>FRANQUIA_D&amp;G_SP</v>
      </c>
      <c r="F2451" s="7" t="str">
        <f>IFERROR(__xludf.DUMMYFUNCTION("""COMPUTED_VALUE"""),"BICYCLE")</f>
        <v>BICYCLE</v>
      </c>
      <c r="G2451" s="7" t="str">
        <f>IFERROR(__xludf.DUMMYFUNCTION("""COMPUTED_VALUE"""),"SAO PAULO")</f>
        <v>SAO PAULO</v>
      </c>
    </row>
    <row r="2452">
      <c r="A2452" s="6">
        <f>IFERROR(__xludf.DUMMYFUNCTION("""COMPUTED_VALUE"""),45705.0)</f>
        <v>45705</v>
      </c>
      <c r="B2452" s="7" t="str">
        <f>IFERROR(__xludf.DUMMYFUNCTION("""COMPUTED_VALUE"""),"d3196704-d48e-434b-bd7e-80d512af1f6c")</f>
        <v>d3196704-d48e-434b-bd7e-80d512af1f6c</v>
      </c>
      <c r="C2452" s="7">
        <f>IFERROR(__xludf.DUMMYFUNCTION("""COMPUTED_VALUE"""),0.0)</f>
        <v>0</v>
      </c>
      <c r="D2452" s="6">
        <f>IFERROR(__xludf.DUMMYFUNCTION("""COMPUTED_VALUE"""),45705.0)</f>
        <v>45705</v>
      </c>
      <c r="E2452" s="7" t="str">
        <f>IFERROR(__xludf.DUMMYFUNCTION("""COMPUTED_VALUE"""),"FRANQUIA_D&amp;G_SP")</f>
        <v>FRANQUIA_D&amp;G_SP</v>
      </c>
      <c r="F2452" s="7" t="str">
        <f>IFERROR(__xludf.DUMMYFUNCTION("""COMPUTED_VALUE"""),"MOTORCYCLE")</f>
        <v>MOTORCYCLE</v>
      </c>
      <c r="G2452" s="7" t="str">
        <f>IFERROR(__xludf.DUMMYFUNCTION("""COMPUTED_VALUE"""),"SAO PAULO")</f>
        <v>SAO PAULO</v>
      </c>
    </row>
    <row r="2453">
      <c r="A2453" s="6">
        <f>IFERROR(__xludf.DUMMYFUNCTION("""COMPUTED_VALUE"""),45705.0)</f>
        <v>45705</v>
      </c>
      <c r="B2453" s="7" t="str">
        <f>IFERROR(__xludf.DUMMYFUNCTION("""COMPUTED_VALUE"""),"556c8387-40c2-4006-a067-3102e5707e49")</f>
        <v>556c8387-40c2-4006-a067-3102e5707e49</v>
      </c>
      <c r="C2453" s="7">
        <f>IFERROR(__xludf.DUMMYFUNCTION("""COMPUTED_VALUE"""),194.0)</f>
        <v>194</v>
      </c>
      <c r="D2453" s="6">
        <f>IFERROR(__xludf.DUMMYFUNCTION("""COMPUTED_VALUE"""),45511.0)</f>
        <v>45511</v>
      </c>
      <c r="E2453" s="7" t="str">
        <f>IFERROR(__xludf.DUMMYFUNCTION("""COMPUTED_VALUE"""),"FRANQUIA_D&amp;G_SP")</f>
        <v>FRANQUIA_D&amp;G_SP</v>
      </c>
      <c r="F2453" s="7" t="str">
        <f>IFERROR(__xludf.DUMMYFUNCTION("""COMPUTED_VALUE"""),"BICYCLE")</f>
        <v>BICYCLE</v>
      </c>
      <c r="G2453" s="7" t="str">
        <f>IFERROR(__xludf.DUMMYFUNCTION("""COMPUTED_VALUE"""),"SAO PAULO")</f>
        <v>SAO PAULO</v>
      </c>
    </row>
    <row r="2454">
      <c r="A2454" s="6">
        <f>IFERROR(__xludf.DUMMYFUNCTION("""COMPUTED_VALUE"""),45705.0)</f>
        <v>45705</v>
      </c>
      <c r="B2454" s="7" t="str">
        <f>IFERROR(__xludf.DUMMYFUNCTION("""COMPUTED_VALUE"""),"214df566-0894-4d46-81d6-3d58c069ecf4")</f>
        <v>214df566-0894-4d46-81d6-3d58c069ecf4</v>
      </c>
      <c r="C2454" s="7">
        <f>IFERROR(__xludf.DUMMYFUNCTION("""COMPUTED_VALUE"""),0.0)</f>
        <v>0</v>
      </c>
      <c r="D2454" s="6">
        <f>IFERROR(__xludf.DUMMYFUNCTION("""COMPUTED_VALUE"""),45705.0)</f>
        <v>45705</v>
      </c>
      <c r="E2454" s="7" t="str">
        <f>IFERROR(__xludf.DUMMYFUNCTION("""COMPUTED_VALUE"""),"FRANQUIA_D&amp;G_SP")</f>
        <v>FRANQUIA_D&amp;G_SP</v>
      </c>
      <c r="F2454" s="7" t="str">
        <f>IFERROR(__xludf.DUMMYFUNCTION("""COMPUTED_VALUE"""),"MOTORCYCLE")</f>
        <v>MOTORCYCLE</v>
      </c>
      <c r="G2454" s="7" t="str">
        <f>IFERROR(__xludf.DUMMYFUNCTION("""COMPUTED_VALUE"""),"SAO PAULO")</f>
        <v>SAO PAULO</v>
      </c>
    </row>
    <row r="2455">
      <c r="A2455" s="6">
        <f>IFERROR(__xludf.DUMMYFUNCTION("""COMPUTED_VALUE"""),45705.0)</f>
        <v>45705</v>
      </c>
      <c r="B2455" s="7" t="str">
        <f>IFERROR(__xludf.DUMMYFUNCTION("""COMPUTED_VALUE"""),"b510e404-3c29-4334-a975-7a470040cae6")</f>
        <v>b510e404-3c29-4334-a975-7a470040cae6</v>
      </c>
      <c r="C2455" s="7">
        <f>IFERROR(__xludf.DUMMYFUNCTION("""COMPUTED_VALUE"""),1008.0)</f>
        <v>1008</v>
      </c>
      <c r="D2455" s="6">
        <f>IFERROR(__xludf.DUMMYFUNCTION("""COMPUTED_VALUE"""),44697.0)</f>
        <v>44697</v>
      </c>
      <c r="E2455" s="7" t="str">
        <f>IFERROR(__xludf.DUMMYFUNCTION("""COMPUTED_VALUE"""),"FRANQUIA_D&amp;G_SP")</f>
        <v>FRANQUIA_D&amp;G_SP</v>
      </c>
      <c r="F2455" s="7" t="str">
        <f>IFERROR(__xludf.DUMMYFUNCTION("""COMPUTED_VALUE"""),"BICYCLE")</f>
        <v>BICYCLE</v>
      </c>
      <c r="G2455" s="7" t="str">
        <f>IFERROR(__xludf.DUMMYFUNCTION("""COMPUTED_VALUE"""),"SAO PAULO")</f>
        <v>SAO PAULO</v>
      </c>
    </row>
    <row r="2456">
      <c r="A2456" s="6">
        <f>IFERROR(__xludf.DUMMYFUNCTION("""COMPUTED_VALUE"""),45705.0)</f>
        <v>45705</v>
      </c>
      <c r="B2456" s="7" t="str">
        <f>IFERROR(__xludf.DUMMYFUNCTION("""COMPUTED_VALUE"""),"5853f42f-dc2b-471e-9068-6c472f3ae2db")</f>
        <v>5853f42f-dc2b-471e-9068-6c472f3ae2db</v>
      </c>
      <c r="C2456" s="7">
        <f>IFERROR(__xludf.DUMMYFUNCTION("""COMPUTED_VALUE"""),7.0)</f>
        <v>7</v>
      </c>
      <c r="D2456" s="6">
        <f>IFERROR(__xludf.DUMMYFUNCTION("""COMPUTED_VALUE"""),45698.0)</f>
        <v>45698</v>
      </c>
      <c r="E2456" s="7" t="str">
        <f>IFERROR(__xludf.DUMMYFUNCTION("""COMPUTED_VALUE"""),"FRANQUIA_D&amp;G_SP")</f>
        <v>FRANQUIA_D&amp;G_SP</v>
      </c>
      <c r="F2456" s="7" t="str">
        <f>IFERROR(__xludf.DUMMYFUNCTION("""COMPUTED_VALUE"""),"MOTORCYCLE")</f>
        <v>MOTORCYCLE</v>
      </c>
      <c r="G2456" s="7" t="str">
        <f>IFERROR(__xludf.DUMMYFUNCTION("""COMPUTED_VALUE"""),"SAO PAULO")</f>
        <v>SAO PAULO</v>
      </c>
    </row>
    <row r="2457">
      <c r="A2457" s="6">
        <f>IFERROR(__xludf.DUMMYFUNCTION("""COMPUTED_VALUE"""),45705.0)</f>
        <v>45705</v>
      </c>
      <c r="B2457" s="7" t="str">
        <f>IFERROR(__xludf.DUMMYFUNCTION("""COMPUTED_VALUE"""),"baae2873-8e86-4f3a-a75f-887ed4605e18")</f>
        <v>baae2873-8e86-4f3a-a75f-887ed4605e18</v>
      </c>
      <c r="C2457" s="7">
        <f>IFERROR(__xludf.DUMMYFUNCTION("""COMPUTED_VALUE"""),17.0)</f>
        <v>17</v>
      </c>
      <c r="D2457" s="6">
        <f>IFERROR(__xludf.DUMMYFUNCTION("""COMPUTED_VALUE"""),45688.0)</f>
        <v>45688</v>
      </c>
      <c r="E2457" s="7" t="str">
        <f>IFERROR(__xludf.DUMMYFUNCTION("""COMPUTED_VALUE"""),"FRANQUIA_D&amp;G_SP")</f>
        <v>FRANQUIA_D&amp;G_SP</v>
      </c>
      <c r="F2457" s="7" t="str">
        <f>IFERROR(__xludf.DUMMYFUNCTION("""COMPUTED_VALUE"""),"MOTORCYCLE")</f>
        <v>MOTORCYCLE</v>
      </c>
      <c r="G2457" s="7" t="str">
        <f>IFERROR(__xludf.DUMMYFUNCTION("""COMPUTED_VALUE"""),"SAO PAULO")</f>
        <v>SAO PAULO</v>
      </c>
    </row>
    <row r="2458">
      <c r="A2458" s="6">
        <f>IFERROR(__xludf.DUMMYFUNCTION("""COMPUTED_VALUE"""),45705.0)</f>
        <v>45705</v>
      </c>
      <c r="B2458" s="7" t="str">
        <f>IFERROR(__xludf.DUMMYFUNCTION("""COMPUTED_VALUE"""),"58c0e0e4-5ac6-4710-abb1-50ceeb56d52b")</f>
        <v>58c0e0e4-5ac6-4710-abb1-50ceeb56d52b</v>
      </c>
      <c r="C2458" s="7">
        <f>IFERROR(__xludf.DUMMYFUNCTION("""COMPUTED_VALUE"""),327.0)</f>
        <v>327</v>
      </c>
      <c r="D2458" s="6">
        <f>IFERROR(__xludf.DUMMYFUNCTION("""COMPUTED_VALUE"""),45378.0)</f>
        <v>45378</v>
      </c>
      <c r="E2458" s="7" t="str">
        <f>IFERROR(__xludf.DUMMYFUNCTION("""COMPUTED_VALUE"""),"FRANQUIA_D&amp;G_SP")</f>
        <v>FRANQUIA_D&amp;G_SP</v>
      </c>
      <c r="F2458" s="7" t="str">
        <f>IFERROR(__xludf.DUMMYFUNCTION("""COMPUTED_VALUE"""),"BICYCLE")</f>
        <v>BICYCLE</v>
      </c>
      <c r="G2458" s="7" t="str">
        <f>IFERROR(__xludf.DUMMYFUNCTION("""COMPUTED_VALUE"""),"SAO PAULO")</f>
        <v>SAO PAULO</v>
      </c>
    </row>
    <row r="2459">
      <c r="A2459" s="6">
        <f>IFERROR(__xludf.DUMMYFUNCTION("""COMPUTED_VALUE"""),45705.0)</f>
        <v>45705</v>
      </c>
      <c r="B2459" s="7" t="str">
        <f>IFERROR(__xludf.DUMMYFUNCTION("""COMPUTED_VALUE"""),"696e23d0-4113-45f7-a04a-c46188943aa1")</f>
        <v>696e23d0-4113-45f7-a04a-c46188943aa1</v>
      </c>
      <c r="C2459" s="7">
        <f>IFERROR(__xludf.DUMMYFUNCTION("""COMPUTED_VALUE"""),446.0)</f>
        <v>446</v>
      </c>
      <c r="D2459" s="6">
        <f>IFERROR(__xludf.DUMMYFUNCTION("""COMPUTED_VALUE"""),45259.0)</f>
        <v>45259</v>
      </c>
      <c r="E2459" s="7" t="str">
        <f>IFERROR(__xludf.DUMMYFUNCTION("""COMPUTED_VALUE"""),"FRANQUIA_D&amp;G_SP")</f>
        <v>FRANQUIA_D&amp;G_SP</v>
      </c>
      <c r="F2459" s="7" t="str">
        <f>IFERROR(__xludf.DUMMYFUNCTION("""COMPUTED_VALUE"""),"MOTORCYCLE")</f>
        <v>MOTORCYCLE</v>
      </c>
      <c r="G2459" s="7" t="str">
        <f>IFERROR(__xludf.DUMMYFUNCTION("""COMPUTED_VALUE"""),"SAO PAULO")</f>
        <v>SAO PAULO</v>
      </c>
    </row>
    <row r="2460">
      <c r="A2460" s="6">
        <f>IFERROR(__xludf.DUMMYFUNCTION("""COMPUTED_VALUE"""),45705.0)</f>
        <v>45705</v>
      </c>
      <c r="B2460" s="7" t="str">
        <f>IFERROR(__xludf.DUMMYFUNCTION("""COMPUTED_VALUE"""),"a4c1adec-9894-4d64-82be-194ee9faf8a9")</f>
        <v>a4c1adec-9894-4d64-82be-194ee9faf8a9</v>
      </c>
      <c r="C2460" s="7">
        <f>IFERROR(__xludf.DUMMYFUNCTION("""COMPUTED_VALUE"""),1.0)</f>
        <v>1</v>
      </c>
      <c r="D2460" s="6">
        <f>IFERROR(__xludf.DUMMYFUNCTION("""COMPUTED_VALUE"""),45704.0)</f>
        <v>45704</v>
      </c>
      <c r="E2460" s="7" t="str">
        <f>IFERROR(__xludf.DUMMYFUNCTION("""COMPUTED_VALUE"""),"FRANQUIA_D&amp;G_SP")</f>
        <v>FRANQUIA_D&amp;G_SP</v>
      </c>
      <c r="F2460" s="7" t="str">
        <f>IFERROR(__xludf.DUMMYFUNCTION("""COMPUTED_VALUE"""),"MOTORCYCLE")</f>
        <v>MOTORCYCLE</v>
      </c>
      <c r="G2460" s="7" t="str">
        <f>IFERROR(__xludf.DUMMYFUNCTION("""COMPUTED_VALUE"""),"SAO PAULO")</f>
        <v>SAO PAULO</v>
      </c>
    </row>
    <row r="2461">
      <c r="A2461" s="6">
        <f>IFERROR(__xludf.DUMMYFUNCTION("""COMPUTED_VALUE"""),45705.0)</f>
        <v>45705</v>
      </c>
      <c r="B2461" s="7" t="str">
        <f>IFERROR(__xludf.DUMMYFUNCTION("""COMPUTED_VALUE"""),"b2d57e29-89b8-46c1-8ba6-e1470949871a")</f>
        <v>b2d57e29-89b8-46c1-8ba6-e1470949871a</v>
      </c>
      <c r="C2461" s="7">
        <f>IFERROR(__xludf.DUMMYFUNCTION("""COMPUTED_VALUE"""),0.0)</f>
        <v>0</v>
      </c>
      <c r="D2461" s="6">
        <f>IFERROR(__xludf.DUMMYFUNCTION("""COMPUTED_VALUE"""),45705.0)</f>
        <v>45705</v>
      </c>
      <c r="E2461" s="7" t="str">
        <f>IFERROR(__xludf.DUMMYFUNCTION("""COMPUTED_VALUE"""),"FRANQUIA_D&amp;G_SP")</f>
        <v>FRANQUIA_D&amp;G_SP</v>
      </c>
      <c r="F2461" s="7" t="str">
        <f>IFERROR(__xludf.DUMMYFUNCTION("""COMPUTED_VALUE"""),"MOTORCYCLE")</f>
        <v>MOTORCYCLE</v>
      </c>
      <c r="G2461" s="7" t="str">
        <f>IFERROR(__xludf.DUMMYFUNCTION("""COMPUTED_VALUE"""),"ABC")</f>
        <v>ABC</v>
      </c>
    </row>
    <row r="2462">
      <c r="A2462" s="6">
        <f>IFERROR(__xludf.DUMMYFUNCTION("""COMPUTED_VALUE"""),45705.0)</f>
        <v>45705</v>
      </c>
      <c r="B2462" s="7" t="str">
        <f>IFERROR(__xludf.DUMMYFUNCTION("""COMPUTED_VALUE"""),"1dc74c92-8cd5-4522-88da-bb731056387b")</f>
        <v>1dc74c92-8cd5-4522-88da-bb731056387b</v>
      </c>
      <c r="C2462" s="7">
        <f>IFERROR(__xludf.DUMMYFUNCTION("""COMPUTED_VALUE"""),325.0)</f>
        <v>325</v>
      </c>
      <c r="D2462" s="6">
        <f>IFERROR(__xludf.DUMMYFUNCTION("""COMPUTED_VALUE"""),45380.0)</f>
        <v>45380</v>
      </c>
      <c r="E2462" s="7" t="str">
        <f>IFERROR(__xludf.DUMMYFUNCTION("""COMPUTED_VALUE"""),"FRANQUIA_D&amp;G_SP")</f>
        <v>FRANQUIA_D&amp;G_SP</v>
      </c>
      <c r="F2462" s="7" t="str">
        <f>IFERROR(__xludf.DUMMYFUNCTION("""COMPUTED_VALUE"""),"MOTORCYCLE")</f>
        <v>MOTORCYCLE</v>
      </c>
      <c r="G2462" s="7" t="str">
        <f>IFERROR(__xludf.DUMMYFUNCTION("""COMPUTED_VALUE"""),"SAO PAULO")</f>
        <v>SAO PAULO</v>
      </c>
    </row>
    <row r="2463">
      <c r="A2463" s="6">
        <f>IFERROR(__xludf.DUMMYFUNCTION("""COMPUTED_VALUE"""),45705.0)</f>
        <v>45705</v>
      </c>
      <c r="B2463" s="7" t="str">
        <f>IFERROR(__xludf.DUMMYFUNCTION("""COMPUTED_VALUE"""),"b7c5284d-ce36-4072-b01c-0cf046c3f082")</f>
        <v>b7c5284d-ce36-4072-b01c-0cf046c3f082</v>
      </c>
      <c r="C2463" s="7">
        <f>IFERROR(__xludf.DUMMYFUNCTION("""COMPUTED_VALUE"""),0.0)</f>
        <v>0</v>
      </c>
      <c r="D2463" s="6">
        <f>IFERROR(__xludf.DUMMYFUNCTION("""COMPUTED_VALUE"""),45705.0)</f>
        <v>45705</v>
      </c>
      <c r="E2463" s="7" t="str">
        <f>IFERROR(__xludf.DUMMYFUNCTION("""COMPUTED_VALUE"""),"FRANQUIA_D&amp;G_SP")</f>
        <v>FRANQUIA_D&amp;G_SP</v>
      </c>
      <c r="F2463" s="7" t="str">
        <f>IFERROR(__xludf.DUMMYFUNCTION("""COMPUTED_VALUE"""),"BICYCLE")</f>
        <v>BICYCLE</v>
      </c>
      <c r="G2463" s="7" t="str">
        <f>IFERROR(__xludf.DUMMYFUNCTION("""COMPUTED_VALUE"""),"SAO PAULO")</f>
        <v>SAO PAULO</v>
      </c>
    </row>
    <row r="2464">
      <c r="A2464" s="6">
        <f>IFERROR(__xludf.DUMMYFUNCTION("""COMPUTED_VALUE"""),45705.0)</f>
        <v>45705</v>
      </c>
      <c r="B2464" s="7" t="str">
        <f>IFERROR(__xludf.DUMMYFUNCTION("""COMPUTED_VALUE"""),"5b3c176b-4bb7-4aa0-8c86-bb3843cb1106")</f>
        <v>5b3c176b-4bb7-4aa0-8c86-bb3843cb1106</v>
      </c>
      <c r="C2464" s="7">
        <f>IFERROR(__xludf.DUMMYFUNCTION("""COMPUTED_VALUE"""),0.0)</f>
        <v>0</v>
      </c>
      <c r="D2464" s="6">
        <f>IFERROR(__xludf.DUMMYFUNCTION("""COMPUTED_VALUE"""),45705.0)</f>
        <v>45705</v>
      </c>
      <c r="E2464" s="7" t="str">
        <f>IFERROR(__xludf.DUMMYFUNCTION("""COMPUTED_VALUE"""),"FRANQUIA_D&amp;G_SP")</f>
        <v>FRANQUIA_D&amp;G_SP</v>
      </c>
      <c r="F2464" s="7" t="str">
        <f>IFERROR(__xludf.DUMMYFUNCTION("""COMPUTED_VALUE"""),"MOTORCYCLE")</f>
        <v>MOTORCYCLE</v>
      </c>
      <c r="G2464" s="7" t="str">
        <f>IFERROR(__xludf.DUMMYFUNCTION("""COMPUTED_VALUE"""),"SAO PAULO")</f>
        <v>SAO PAULO</v>
      </c>
    </row>
    <row r="2465">
      <c r="A2465" s="6">
        <f>IFERROR(__xludf.DUMMYFUNCTION("""COMPUTED_VALUE"""),45705.0)</f>
        <v>45705</v>
      </c>
      <c r="B2465" s="7" t="str">
        <f>IFERROR(__xludf.DUMMYFUNCTION("""COMPUTED_VALUE"""),"41d197ca-3144-4e0a-bcc0-269639b66826")</f>
        <v>41d197ca-3144-4e0a-bcc0-269639b66826</v>
      </c>
      <c r="C2465" s="7">
        <f>IFERROR(__xludf.DUMMYFUNCTION("""COMPUTED_VALUE"""),0.0)</f>
        <v>0</v>
      </c>
      <c r="D2465" s="6">
        <f>IFERROR(__xludf.DUMMYFUNCTION("""COMPUTED_VALUE"""),45705.0)</f>
        <v>45705</v>
      </c>
      <c r="E2465" s="7" t="str">
        <f>IFERROR(__xludf.DUMMYFUNCTION("""COMPUTED_VALUE"""),"FRANQUIA_D&amp;G_SP")</f>
        <v>FRANQUIA_D&amp;G_SP</v>
      </c>
      <c r="F2465" s="7" t="str">
        <f>IFERROR(__xludf.DUMMYFUNCTION("""COMPUTED_VALUE"""),"MOTORCYCLE")</f>
        <v>MOTORCYCLE</v>
      </c>
      <c r="G2465" s="7" t="str">
        <f>IFERROR(__xludf.DUMMYFUNCTION("""COMPUTED_VALUE"""),"SAO PAULO")</f>
        <v>SAO PAULO</v>
      </c>
    </row>
    <row r="2466">
      <c r="A2466" s="6">
        <f>IFERROR(__xludf.DUMMYFUNCTION("""COMPUTED_VALUE"""),45705.0)</f>
        <v>45705</v>
      </c>
      <c r="B2466" s="7" t="str">
        <f>IFERROR(__xludf.DUMMYFUNCTION("""COMPUTED_VALUE"""),"44d0745a-875a-4151-987e-5fecb69c91dc")</f>
        <v>44d0745a-875a-4151-987e-5fecb69c91dc</v>
      </c>
      <c r="C2466" s="7">
        <f>IFERROR(__xludf.DUMMYFUNCTION("""COMPUTED_VALUE"""),36.0)</f>
        <v>36</v>
      </c>
      <c r="D2466" s="6">
        <f>IFERROR(__xludf.DUMMYFUNCTION("""COMPUTED_VALUE"""),45669.0)</f>
        <v>45669</v>
      </c>
      <c r="E2466" s="7" t="str">
        <f>IFERROR(__xludf.DUMMYFUNCTION("""COMPUTED_VALUE"""),"FRANQUIA_D&amp;G_SP")</f>
        <v>FRANQUIA_D&amp;G_SP</v>
      </c>
      <c r="F2466" s="7" t="str">
        <f>IFERROR(__xludf.DUMMYFUNCTION("""COMPUTED_VALUE"""),"BICYCLE")</f>
        <v>BICYCLE</v>
      </c>
      <c r="G2466" s="7" t="str">
        <f>IFERROR(__xludf.DUMMYFUNCTION("""COMPUTED_VALUE"""),"SAO PAULO")</f>
        <v>SAO PAULO</v>
      </c>
    </row>
    <row r="2467">
      <c r="A2467" s="6">
        <f>IFERROR(__xludf.DUMMYFUNCTION("""COMPUTED_VALUE"""),45705.0)</f>
        <v>45705</v>
      </c>
      <c r="B2467" s="7" t="str">
        <f>IFERROR(__xludf.DUMMYFUNCTION("""COMPUTED_VALUE"""),"6efe7b76-ae1f-4548-91c5-3127b9df0867")</f>
        <v>6efe7b76-ae1f-4548-91c5-3127b9df0867</v>
      </c>
      <c r="C2467" s="7">
        <f>IFERROR(__xludf.DUMMYFUNCTION("""COMPUTED_VALUE"""),138.0)</f>
        <v>138</v>
      </c>
      <c r="D2467" s="6">
        <f>IFERROR(__xludf.DUMMYFUNCTION("""COMPUTED_VALUE"""),45567.0)</f>
        <v>45567</v>
      </c>
      <c r="E2467" s="7" t="str">
        <f>IFERROR(__xludf.DUMMYFUNCTION("""COMPUTED_VALUE"""),"FRANQUIA_D&amp;G_SP")</f>
        <v>FRANQUIA_D&amp;G_SP</v>
      </c>
      <c r="F2467" s="7" t="str">
        <f>IFERROR(__xludf.DUMMYFUNCTION("""COMPUTED_VALUE"""),"BICYCLE")</f>
        <v>BICYCLE</v>
      </c>
      <c r="G2467" s="7" t="str">
        <f>IFERROR(__xludf.DUMMYFUNCTION("""COMPUTED_VALUE"""),"SAO PAULO")</f>
        <v>SAO PAULO</v>
      </c>
    </row>
    <row r="2468">
      <c r="A2468" s="6">
        <f>IFERROR(__xludf.DUMMYFUNCTION("""COMPUTED_VALUE"""),45705.0)</f>
        <v>45705</v>
      </c>
      <c r="B2468" s="7" t="str">
        <f>IFERROR(__xludf.DUMMYFUNCTION("""COMPUTED_VALUE"""),"a65aff55-4d33-4af2-b8a6-898eb201400e")</f>
        <v>a65aff55-4d33-4af2-b8a6-898eb201400e</v>
      </c>
      <c r="C2468" s="7">
        <f>IFERROR(__xludf.DUMMYFUNCTION("""COMPUTED_VALUE"""),1.0)</f>
        <v>1</v>
      </c>
      <c r="D2468" s="6">
        <f>IFERROR(__xludf.DUMMYFUNCTION("""COMPUTED_VALUE"""),45704.0)</f>
        <v>45704</v>
      </c>
      <c r="E2468" s="7" t="str">
        <f>IFERROR(__xludf.DUMMYFUNCTION("""COMPUTED_VALUE"""),"FRANQUIA_D&amp;G_SP")</f>
        <v>FRANQUIA_D&amp;G_SP</v>
      </c>
      <c r="F2468" s="7" t="str">
        <f>IFERROR(__xludf.DUMMYFUNCTION("""COMPUTED_VALUE"""),"MOTORCYCLE")</f>
        <v>MOTORCYCLE</v>
      </c>
      <c r="G2468" s="7" t="str">
        <f>IFERROR(__xludf.DUMMYFUNCTION("""COMPUTED_VALUE"""),"ABC")</f>
        <v>ABC</v>
      </c>
    </row>
    <row r="2469">
      <c r="A2469" s="6">
        <f>IFERROR(__xludf.DUMMYFUNCTION("""COMPUTED_VALUE"""),45705.0)</f>
        <v>45705</v>
      </c>
      <c r="B2469" s="7" t="str">
        <f>IFERROR(__xludf.DUMMYFUNCTION("""COMPUTED_VALUE"""),"9c6e7acb-17be-4dc8-9b33-4559750dc121")</f>
        <v>9c6e7acb-17be-4dc8-9b33-4559750dc121</v>
      </c>
      <c r="C2469" s="7">
        <f>IFERROR(__xludf.DUMMYFUNCTION("""COMPUTED_VALUE"""),625.0)</f>
        <v>625</v>
      </c>
      <c r="D2469" s="6">
        <f>IFERROR(__xludf.DUMMYFUNCTION("""COMPUTED_VALUE"""),45080.0)</f>
        <v>45080</v>
      </c>
      <c r="E2469" s="7" t="str">
        <f>IFERROR(__xludf.DUMMYFUNCTION("""COMPUTED_VALUE"""),"FRANQUIA_D&amp;G_SP")</f>
        <v>FRANQUIA_D&amp;G_SP</v>
      </c>
      <c r="F2469" s="7" t="str">
        <f>IFERROR(__xludf.DUMMYFUNCTION("""COMPUTED_VALUE"""),"MOTORCYCLE")</f>
        <v>MOTORCYCLE</v>
      </c>
      <c r="G2469" s="7" t="str">
        <f>IFERROR(__xludf.DUMMYFUNCTION("""COMPUTED_VALUE"""),"SAO PAULO")</f>
        <v>SAO PAULO</v>
      </c>
    </row>
    <row r="2470">
      <c r="A2470" s="6">
        <f>IFERROR(__xludf.DUMMYFUNCTION("""COMPUTED_VALUE"""),45705.0)</f>
        <v>45705</v>
      </c>
      <c r="B2470" s="7" t="str">
        <f>IFERROR(__xludf.DUMMYFUNCTION("""COMPUTED_VALUE"""),"e10dc285-5711-4e94-abda-1ced277b312f")</f>
        <v>e10dc285-5711-4e94-abda-1ced277b312f</v>
      </c>
      <c r="C2470" s="7">
        <f>IFERROR(__xludf.DUMMYFUNCTION("""COMPUTED_VALUE"""),30.0)</f>
        <v>30</v>
      </c>
      <c r="D2470" s="6">
        <f>IFERROR(__xludf.DUMMYFUNCTION("""COMPUTED_VALUE"""),45675.0)</f>
        <v>45675</v>
      </c>
      <c r="E2470" s="7" t="str">
        <f>IFERROR(__xludf.DUMMYFUNCTION("""COMPUTED_VALUE"""),"FRANQUIA_D&amp;G_SP")</f>
        <v>FRANQUIA_D&amp;G_SP</v>
      </c>
      <c r="F2470" s="7" t="str">
        <f>IFERROR(__xludf.DUMMYFUNCTION("""COMPUTED_VALUE"""),"MOTORCYCLE")</f>
        <v>MOTORCYCLE</v>
      </c>
      <c r="G2470" s="7" t="str">
        <f>IFERROR(__xludf.DUMMYFUNCTION("""COMPUTED_VALUE"""),"SAO PAULO")</f>
        <v>SAO PAULO</v>
      </c>
    </row>
    <row r="2471">
      <c r="A2471" s="6">
        <f>IFERROR(__xludf.DUMMYFUNCTION("""COMPUTED_VALUE"""),45705.0)</f>
        <v>45705</v>
      </c>
      <c r="B2471" s="7" t="str">
        <f>IFERROR(__xludf.DUMMYFUNCTION("""COMPUTED_VALUE"""),"2585be71-a711-48d3-9051-8cc0f0f451c1")</f>
        <v>2585be71-a711-48d3-9051-8cc0f0f451c1</v>
      </c>
      <c r="C2471" s="7">
        <f>IFERROR(__xludf.DUMMYFUNCTION("""COMPUTED_VALUE"""),0.0)</f>
        <v>0</v>
      </c>
      <c r="D2471" s="6">
        <f>IFERROR(__xludf.DUMMYFUNCTION("""COMPUTED_VALUE"""),45705.0)</f>
        <v>45705</v>
      </c>
      <c r="E2471" s="7" t="str">
        <f>IFERROR(__xludf.DUMMYFUNCTION("""COMPUTED_VALUE"""),"FRANQUIA_D&amp;G_SP")</f>
        <v>FRANQUIA_D&amp;G_SP</v>
      </c>
      <c r="F2471" s="7" t="str">
        <f>IFERROR(__xludf.DUMMYFUNCTION("""COMPUTED_VALUE"""),"BICYCLE")</f>
        <v>BICYCLE</v>
      </c>
      <c r="G2471" s="7" t="str">
        <f>IFERROR(__xludf.DUMMYFUNCTION("""COMPUTED_VALUE"""),"SAO PAULO")</f>
        <v>SAO PAULO</v>
      </c>
    </row>
    <row r="2472">
      <c r="A2472" s="6">
        <f>IFERROR(__xludf.DUMMYFUNCTION("""COMPUTED_VALUE"""),45705.0)</f>
        <v>45705</v>
      </c>
      <c r="B2472" s="7" t="str">
        <f>IFERROR(__xludf.DUMMYFUNCTION("""COMPUTED_VALUE"""),"5420a6a7-7f76-423a-a5c9-49cacfc8cb29")</f>
        <v>5420a6a7-7f76-423a-a5c9-49cacfc8cb29</v>
      </c>
      <c r="C2472" s="7">
        <f>IFERROR(__xludf.DUMMYFUNCTION("""COMPUTED_VALUE"""),287.0)</f>
        <v>287</v>
      </c>
      <c r="D2472" s="6">
        <f>IFERROR(__xludf.DUMMYFUNCTION("""COMPUTED_VALUE"""),45418.0)</f>
        <v>45418</v>
      </c>
      <c r="E2472" s="7" t="str">
        <f>IFERROR(__xludf.DUMMYFUNCTION("""COMPUTED_VALUE"""),"FRANQUIA_D&amp;G_SP")</f>
        <v>FRANQUIA_D&amp;G_SP</v>
      </c>
      <c r="F2472" s="7" t="str">
        <f>IFERROR(__xludf.DUMMYFUNCTION("""COMPUTED_VALUE"""),"EBIKE")</f>
        <v>EBIKE</v>
      </c>
      <c r="G2472" s="7" t="str">
        <f>IFERROR(__xludf.DUMMYFUNCTION("""COMPUTED_VALUE"""),"SAO PAULO")</f>
        <v>SAO PAULO</v>
      </c>
    </row>
    <row r="2473">
      <c r="A2473" s="6">
        <f>IFERROR(__xludf.DUMMYFUNCTION("""COMPUTED_VALUE"""),45705.0)</f>
        <v>45705</v>
      </c>
      <c r="B2473" s="7" t="str">
        <f>IFERROR(__xludf.DUMMYFUNCTION("""COMPUTED_VALUE"""),"3cd76a5f-e875-44e1-8038-7dd8bd799fc8")</f>
        <v>3cd76a5f-e875-44e1-8038-7dd8bd799fc8</v>
      </c>
      <c r="C2473" s="7">
        <f>IFERROR(__xludf.DUMMYFUNCTION("""COMPUTED_VALUE"""),215.0)</f>
        <v>215</v>
      </c>
      <c r="D2473" s="6">
        <f>IFERROR(__xludf.DUMMYFUNCTION("""COMPUTED_VALUE"""),45490.0)</f>
        <v>45490</v>
      </c>
      <c r="E2473" s="7" t="str">
        <f>IFERROR(__xludf.DUMMYFUNCTION("""COMPUTED_VALUE"""),"FRANQUIA_D&amp;G_SP")</f>
        <v>FRANQUIA_D&amp;G_SP</v>
      </c>
      <c r="F2473" s="7" t="str">
        <f>IFERROR(__xludf.DUMMYFUNCTION("""COMPUTED_VALUE"""),"BICYCLE")</f>
        <v>BICYCLE</v>
      </c>
      <c r="G2473" s="7" t="str">
        <f>IFERROR(__xludf.DUMMYFUNCTION("""COMPUTED_VALUE"""),"SAO PAULO")</f>
        <v>SAO PAULO</v>
      </c>
    </row>
    <row r="2474">
      <c r="A2474" s="6">
        <f>IFERROR(__xludf.DUMMYFUNCTION("""COMPUTED_VALUE"""),45705.0)</f>
        <v>45705</v>
      </c>
      <c r="B2474" s="7" t="str">
        <f>IFERROR(__xludf.DUMMYFUNCTION("""COMPUTED_VALUE"""),"ac2a58ef-007e-4d3a-bf02-9b0b589ee22b")</f>
        <v>ac2a58ef-007e-4d3a-bf02-9b0b589ee22b</v>
      </c>
      <c r="C2474" s="7">
        <f>IFERROR(__xludf.DUMMYFUNCTION("""COMPUTED_VALUE"""),161.0)</f>
        <v>161</v>
      </c>
      <c r="D2474" s="6">
        <f>IFERROR(__xludf.DUMMYFUNCTION("""COMPUTED_VALUE"""),45544.0)</f>
        <v>45544</v>
      </c>
      <c r="E2474" s="7" t="str">
        <f>IFERROR(__xludf.DUMMYFUNCTION("""COMPUTED_VALUE"""),"FRANQUIA_D&amp;G_SP")</f>
        <v>FRANQUIA_D&amp;G_SP</v>
      </c>
      <c r="F2474" s="7" t="str">
        <f>IFERROR(__xludf.DUMMYFUNCTION("""COMPUTED_VALUE"""),"MOTORCYCLE")</f>
        <v>MOTORCYCLE</v>
      </c>
      <c r="G2474" s="7" t="str">
        <f>IFERROR(__xludf.DUMMYFUNCTION("""COMPUTED_VALUE"""),"SAO PAULO")</f>
        <v>SAO PAULO</v>
      </c>
    </row>
    <row r="2475">
      <c r="A2475" s="6">
        <f>IFERROR(__xludf.DUMMYFUNCTION("""COMPUTED_VALUE"""),45705.0)</f>
        <v>45705</v>
      </c>
      <c r="B2475" s="7" t="str">
        <f>IFERROR(__xludf.DUMMYFUNCTION("""COMPUTED_VALUE"""),"ccd1074d-6723-4e36-a43e-caf52d762895")</f>
        <v>ccd1074d-6723-4e36-a43e-caf52d762895</v>
      </c>
      <c r="C2475" s="7">
        <f>IFERROR(__xludf.DUMMYFUNCTION("""COMPUTED_VALUE"""),3.0)</f>
        <v>3</v>
      </c>
      <c r="D2475" s="6">
        <f>IFERROR(__xludf.DUMMYFUNCTION("""COMPUTED_VALUE"""),45702.0)</f>
        <v>45702</v>
      </c>
      <c r="E2475" s="7" t="str">
        <f>IFERROR(__xludf.DUMMYFUNCTION("""COMPUTED_VALUE"""),"FRANQUIA_D&amp;G_SP")</f>
        <v>FRANQUIA_D&amp;G_SP</v>
      </c>
      <c r="F2475" s="7" t="str">
        <f>IFERROR(__xludf.DUMMYFUNCTION("""COMPUTED_VALUE"""),"MOTORCYCLE")</f>
        <v>MOTORCYCLE</v>
      </c>
      <c r="G2475" s="7" t="str">
        <f>IFERROR(__xludf.DUMMYFUNCTION("""COMPUTED_VALUE"""),"SAO PAULO")</f>
        <v>SAO PAULO</v>
      </c>
    </row>
    <row r="2476">
      <c r="A2476" s="6">
        <f>IFERROR(__xludf.DUMMYFUNCTION("""COMPUTED_VALUE"""),45705.0)</f>
        <v>45705</v>
      </c>
      <c r="B2476" s="7" t="str">
        <f>IFERROR(__xludf.DUMMYFUNCTION("""COMPUTED_VALUE"""),"3bfe97a7-0263-4d9a-85f9-b5dabf9e7a53")</f>
        <v>3bfe97a7-0263-4d9a-85f9-b5dabf9e7a53</v>
      </c>
      <c r="C2476" s="7">
        <f>IFERROR(__xludf.DUMMYFUNCTION("""COMPUTED_VALUE"""),28.0)</f>
        <v>28</v>
      </c>
      <c r="D2476" s="6">
        <f>IFERROR(__xludf.DUMMYFUNCTION("""COMPUTED_VALUE"""),45677.0)</f>
        <v>45677</v>
      </c>
      <c r="E2476" s="7" t="str">
        <f>IFERROR(__xludf.DUMMYFUNCTION("""COMPUTED_VALUE"""),"FRANQUIA_D&amp;G_SP")</f>
        <v>FRANQUIA_D&amp;G_SP</v>
      </c>
      <c r="F2476" s="7" t="str">
        <f>IFERROR(__xludf.DUMMYFUNCTION("""COMPUTED_VALUE"""),"MOTORCYCLE")</f>
        <v>MOTORCYCLE</v>
      </c>
      <c r="G2476" s="7" t="str">
        <f>IFERROR(__xludf.DUMMYFUNCTION("""COMPUTED_VALUE"""),"CARAPICUIBA")</f>
        <v>CARAPICUIBA</v>
      </c>
    </row>
    <row r="2477">
      <c r="A2477" s="6">
        <f>IFERROR(__xludf.DUMMYFUNCTION("""COMPUTED_VALUE"""),45705.0)</f>
        <v>45705</v>
      </c>
      <c r="B2477" s="7" t="str">
        <f>IFERROR(__xludf.DUMMYFUNCTION("""COMPUTED_VALUE"""),"5f04aa6a-0267-4739-9582-56fc5da22e4f")</f>
        <v>5f04aa6a-0267-4739-9582-56fc5da22e4f</v>
      </c>
      <c r="C2477" s="7">
        <f>IFERROR(__xludf.DUMMYFUNCTION("""COMPUTED_VALUE"""),76.0)</f>
        <v>76</v>
      </c>
      <c r="D2477" s="6">
        <f>IFERROR(__xludf.DUMMYFUNCTION("""COMPUTED_VALUE"""),45629.0)</f>
        <v>45629</v>
      </c>
      <c r="E2477" s="7" t="str">
        <f>IFERROR(__xludf.DUMMYFUNCTION("""COMPUTED_VALUE"""),"FRANQUIA_D&amp;G_SP")</f>
        <v>FRANQUIA_D&amp;G_SP</v>
      </c>
      <c r="F2477" s="7" t="str">
        <f>IFERROR(__xludf.DUMMYFUNCTION("""COMPUTED_VALUE"""),"BICYCLE")</f>
        <v>BICYCLE</v>
      </c>
      <c r="G2477" s="7" t="str">
        <f>IFERROR(__xludf.DUMMYFUNCTION("""COMPUTED_VALUE"""),"SAO PAULO")</f>
        <v>SAO PAULO</v>
      </c>
    </row>
    <row r="2478">
      <c r="A2478" s="6">
        <f>IFERROR(__xludf.DUMMYFUNCTION("""COMPUTED_VALUE"""),45705.0)</f>
        <v>45705</v>
      </c>
      <c r="B2478" s="7" t="str">
        <f>IFERROR(__xludf.DUMMYFUNCTION("""COMPUTED_VALUE"""),"48a19d75-b582-43a9-9c16-7f6d044a3dbb")</f>
        <v>48a19d75-b582-43a9-9c16-7f6d044a3dbb</v>
      </c>
      <c r="C2478" s="7">
        <f>IFERROR(__xludf.DUMMYFUNCTION("""COMPUTED_VALUE"""),0.0)</f>
        <v>0</v>
      </c>
      <c r="D2478" s="6">
        <f>IFERROR(__xludf.DUMMYFUNCTION("""COMPUTED_VALUE"""),45705.0)</f>
        <v>45705</v>
      </c>
      <c r="E2478" s="7" t="str">
        <f>IFERROR(__xludf.DUMMYFUNCTION("""COMPUTED_VALUE"""),"FRANQUIA_D&amp;G_SP")</f>
        <v>FRANQUIA_D&amp;G_SP</v>
      </c>
      <c r="F2478" s="7" t="str">
        <f>IFERROR(__xludf.DUMMYFUNCTION("""COMPUTED_VALUE"""),"MOTORCYCLE")</f>
        <v>MOTORCYCLE</v>
      </c>
      <c r="G2478" s="7" t="str">
        <f>IFERROR(__xludf.DUMMYFUNCTION("""COMPUTED_VALUE"""),"SAO PAULO")</f>
        <v>SAO PAULO</v>
      </c>
    </row>
    <row r="2479">
      <c r="A2479" s="6">
        <f>IFERROR(__xludf.DUMMYFUNCTION("""COMPUTED_VALUE"""),45705.0)</f>
        <v>45705</v>
      </c>
      <c r="B2479" s="7" t="str">
        <f>IFERROR(__xludf.DUMMYFUNCTION("""COMPUTED_VALUE"""),"d7166dcf-6477-4441-91d3-8d57ac3d9478")</f>
        <v>d7166dcf-6477-4441-91d3-8d57ac3d9478</v>
      </c>
      <c r="C2479" s="7">
        <f>IFERROR(__xludf.DUMMYFUNCTION("""COMPUTED_VALUE"""),40.0)</f>
        <v>40</v>
      </c>
      <c r="D2479" s="6">
        <f>IFERROR(__xludf.DUMMYFUNCTION("""COMPUTED_VALUE"""),45665.0)</f>
        <v>45665</v>
      </c>
      <c r="E2479" s="7" t="str">
        <f>IFERROR(__xludf.DUMMYFUNCTION("""COMPUTED_VALUE"""),"FRANQUIA_D&amp;G_SP")</f>
        <v>FRANQUIA_D&amp;G_SP</v>
      </c>
      <c r="F2479" s="7" t="str">
        <f>IFERROR(__xludf.DUMMYFUNCTION("""COMPUTED_VALUE"""),"BICYCLE")</f>
        <v>BICYCLE</v>
      </c>
      <c r="G2479" s="7" t="str">
        <f>IFERROR(__xludf.DUMMYFUNCTION("""COMPUTED_VALUE"""),"SUZANO")</f>
        <v>SUZANO</v>
      </c>
    </row>
    <row r="2480">
      <c r="A2480" s="6">
        <f>IFERROR(__xludf.DUMMYFUNCTION("""COMPUTED_VALUE"""),45705.0)</f>
        <v>45705</v>
      </c>
      <c r="B2480" s="7" t="str">
        <f>IFERROR(__xludf.DUMMYFUNCTION("""COMPUTED_VALUE"""),"f0673a68-3b83-494d-87e7-abf664953b2a")</f>
        <v>f0673a68-3b83-494d-87e7-abf664953b2a</v>
      </c>
      <c r="C2480" s="7">
        <f>IFERROR(__xludf.DUMMYFUNCTION("""COMPUTED_VALUE"""),0.0)</f>
        <v>0</v>
      </c>
      <c r="D2480" s="6">
        <f>IFERROR(__xludf.DUMMYFUNCTION("""COMPUTED_VALUE"""),45705.0)</f>
        <v>45705</v>
      </c>
      <c r="E2480" s="7" t="str">
        <f>IFERROR(__xludf.DUMMYFUNCTION("""COMPUTED_VALUE"""),"FRANQUIA_D&amp;G_SP")</f>
        <v>FRANQUIA_D&amp;G_SP</v>
      </c>
      <c r="F2480" s="7" t="str">
        <f>IFERROR(__xludf.DUMMYFUNCTION("""COMPUTED_VALUE"""),"MOTORCYCLE")</f>
        <v>MOTORCYCLE</v>
      </c>
      <c r="G2480" s="7" t="str">
        <f>IFERROR(__xludf.DUMMYFUNCTION("""COMPUTED_VALUE"""),"SAO PAULO")</f>
        <v>SAO PAULO</v>
      </c>
    </row>
    <row r="2481">
      <c r="A2481" s="6">
        <f>IFERROR(__xludf.DUMMYFUNCTION("""COMPUTED_VALUE"""),45705.0)</f>
        <v>45705</v>
      </c>
      <c r="B2481" s="7" t="str">
        <f>IFERROR(__xludf.DUMMYFUNCTION("""COMPUTED_VALUE"""),"2d9a0f63-4c88-4a16-962b-4ed11489e740")</f>
        <v>2d9a0f63-4c88-4a16-962b-4ed11489e740</v>
      </c>
      <c r="C2481" s="7">
        <f>IFERROR(__xludf.DUMMYFUNCTION("""COMPUTED_VALUE"""),0.0)</f>
        <v>0</v>
      </c>
      <c r="D2481" s="6">
        <f>IFERROR(__xludf.DUMMYFUNCTION("""COMPUTED_VALUE"""),45705.0)</f>
        <v>45705</v>
      </c>
      <c r="E2481" s="7" t="str">
        <f>IFERROR(__xludf.DUMMYFUNCTION("""COMPUTED_VALUE"""),"FRANQUIA_D&amp;G_SP")</f>
        <v>FRANQUIA_D&amp;G_SP</v>
      </c>
      <c r="F2481" s="7" t="str">
        <f>IFERROR(__xludf.DUMMYFUNCTION("""COMPUTED_VALUE"""),"MOTORCYCLE")</f>
        <v>MOTORCYCLE</v>
      </c>
      <c r="G2481" s="7" t="str">
        <f>IFERROR(__xludf.DUMMYFUNCTION("""COMPUTED_VALUE"""),"SAO PAULO")</f>
        <v>SAO PAULO</v>
      </c>
    </row>
    <row r="2482">
      <c r="A2482" s="6">
        <f>IFERROR(__xludf.DUMMYFUNCTION("""COMPUTED_VALUE"""),45705.0)</f>
        <v>45705</v>
      </c>
      <c r="B2482" s="7" t="str">
        <f>IFERROR(__xludf.DUMMYFUNCTION("""COMPUTED_VALUE"""),"62ea6246-f12c-426b-a920-0f8e1c7eb463")</f>
        <v>62ea6246-f12c-426b-a920-0f8e1c7eb463</v>
      </c>
      <c r="C2482" s="7">
        <f>IFERROR(__xludf.DUMMYFUNCTION("""COMPUTED_VALUE"""),34.0)</f>
        <v>34</v>
      </c>
      <c r="D2482" s="6">
        <f>IFERROR(__xludf.DUMMYFUNCTION("""COMPUTED_VALUE"""),45671.0)</f>
        <v>45671</v>
      </c>
      <c r="E2482" s="7" t="str">
        <f>IFERROR(__xludf.DUMMYFUNCTION("""COMPUTED_VALUE"""),"FRANQUIA_D&amp;G_SP")</f>
        <v>FRANQUIA_D&amp;G_SP</v>
      </c>
      <c r="F2482" s="7" t="str">
        <f>IFERROR(__xludf.DUMMYFUNCTION("""COMPUTED_VALUE"""),"BICYCLE")</f>
        <v>BICYCLE</v>
      </c>
      <c r="G2482" s="7" t="str">
        <f>IFERROR(__xludf.DUMMYFUNCTION("""COMPUTED_VALUE"""),"SAO PAULO")</f>
        <v>SAO PAULO</v>
      </c>
    </row>
    <row r="2483">
      <c r="A2483" s="6">
        <f>IFERROR(__xludf.DUMMYFUNCTION("""COMPUTED_VALUE"""),45705.0)</f>
        <v>45705</v>
      </c>
      <c r="B2483" s="7" t="str">
        <f>IFERROR(__xludf.DUMMYFUNCTION("""COMPUTED_VALUE"""),"b9e2342f-a09c-42ff-8377-e681d59ade7e")</f>
        <v>b9e2342f-a09c-42ff-8377-e681d59ade7e</v>
      </c>
      <c r="C2483" s="7">
        <f>IFERROR(__xludf.DUMMYFUNCTION("""COMPUTED_VALUE"""),0.0)</f>
        <v>0</v>
      </c>
      <c r="D2483" s="6">
        <f>IFERROR(__xludf.DUMMYFUNCTION("""COMPUTED_VALUE"""),45705.0)</f>
        <v>45705</v>
      </c>
      <c r="E2483" s="7" t="str">
        <f>IFERROR(__xludf.DUMMYFUNCTION("""COMPUTED_VALUE"""),"FRANQUIA_D&amp;G_SP")</f>
        <v>FRANQUIA_D&amp;G_SP</v>
      </c>
      <c r="F2483" s="7" t="str">
        <f>IFERROR(__xludf.DUMMYFUNCTION("""COMPUTED_VALUE"""),"MOTORCYCLE")</f>
        <v>MOTORCYCLE</v>
      </c>
      <c r="G2483" s="7" t="str">
        <f>IFERROR(__xludf.DUMMYFUNCTION("""COMPUTED_VALUE"""),"SAO PAULO")</f>
        <v>SAO PAULO</v>
      </c>
    </row>
    <row r="2484">
      <c r="A2484" s="6">
        <f>IFERROR(__xludf.DUMMYFUNCTION("""COMPUTED_VALUE"""),45705.0)</f>
        <v>45705</v>
      </c>
      <c r="B2484" s="7" t="str">
        <f>IFERROR(__xludf.DUMMYFUNCTION("""COMPUTED_VALUE"""),"7dc8a137-0ec0-4517-9f48-63adb15fed2f")</f>
        <v>7dc8a137-0ec0-4517-9f48-63adb15fed2f</v>
      </c>
      <c r="C2484" s="7">
        <f>IFERROR(__xludf.DUMMYFUNCTION("""COMPUTED_VALUE"""),24.0)</f>
        <v>24</v>
      </c>
      <c r="D2484" s="6">
        <f>IFERROR(__xludf.DUMMYFUNCTION("""COMPUTED_VALUE"""),45681.0)</f>
        <v>45681</v>
      </c>
      <c r="E2484" s="7" t="str">
        <f>IFERROR(__xludf.DUMMYFUNCTION("""COMPUTED_VALUE"""),"FRANQUIA_D&amp;G_SP")</f>
        <v>FRANQUIA_D&amp;G_SP</v>
      </c>
      <c r="F2484" s="7" t="str">
        <f>IFERROR(__xludf.DUMMYFUNCTION("""COMPUTED_VALUE"""),"MOTORCYCLE")</f>
        <v>MOTORCYCLE</v>
      </c>
      <c r="G2484" s="7" t="str">
        <f>IFERROR(__xludf.DUMMYFUNCTION("""COMPUTED_VALUE"""),"SAO PAULO")</f>
        <v>SAO PAULO</v>
      </c>
    </row>
    <row r="2485">
      <c r="A2485" s="6">
        <f>IFERROR(__xludf.DUMMYFUNCTION("""COMPUTED_VALUE"""),45705.0)</f>
        <v>45705</v>
      </c>
      <c r="B2485" s="7" t="str">
        <f>IFERROR(__xludf.DUMMYFUNCTION("""COMPUTED_VALUE"""),"34c6cbdf-b76e-4dfa-8fae-5ae59fb8f427")</f>
        <v>34c6cbdf-b76e-4dfa-8fae-5ae59fb8f427</v>
      </c>
      <c r="C2485" s="7">
        <f>IFERROR(__xludf.DUMMYFUNCTION("""COMPUTED_VALUE"""),0.0)</f>
        <v>0</v>
      </c>
      <c r="D2485" s="6">
        <f>IFERROR(__xludf.DUMMYFUNCTION("""COMPUTED_VALUE"""),45705.0)</f>
        <v>45705</v>
      </c>
      <c r="E2485" s="7" t="str">
        <f>IFERROR(__xludf.DUMMYFUNCTION("""COMPUTED_VALUE"""),"FRANQUIA_D&amp;G_SP")</f>
        <v>FRANQUIA_D&amp;G_SP</v>
      </c>
      <c r="F2485" s="7" t="str">
        <f>IFERROR(__xludf.DUMMYFUNCTION("""COMPUTED_VALUE"""),"MOTORCYCLE")</f>
        <v>MOTORCYCLE</v>
      </c>
      <c r="G2485" s="7" t="str">
        <f>IFERROR(__xludf.DUMMYFUNCTION("""COMPUTED_VALUE"""),"SAO PAULO")</f>
        <v>SAO PAULO</v>
      </c>
    </row>
    <row r="2486">
      <c r="A2486" s="6">
        <f>IFERROR(__xludf.DUMMYFUNCTION("""COMPUTED_VALUE"""),45705.0)</f>
        <v>45705</v>
      </c>
      <c r="B2486" s="7" t="str">
        <f>IFERROR(__xludf.DUMMYFUNCTION("""COMPUTED_VALUE"""),"1b56193b-df8a-42cd-8d46-bced11514ab0")</f>
        <v>1b56193b-df8a-42cd-8d46-bced11514ab0</v>
      </c>
      <c r="C2486" s="7">
        <f>IFERROR(__xludf.DUMMYFUNCTION("""COMPUTED_VALUE"""),0.0)</f>
        <v>0</v>
      </c>
      <c r="D2486" s="6">
        <f>IFERROR(__xludf.DUMMYFUNCTION("""COMPUTED_VALUE"""),0.0)</f>
        <v>0</v>
      </c>
      <c r="E2486" s="7" t="str">
        <f>IFERROR(__xludf.DUMMYFUNCTION("""COMPUTED_VALUE"""),"FRANQUIA_D&amp;G_SP")</f>
        <v>FRANQUIA_D&amp;G_SP</v>
      </c>
      <c r="F2486" s="7" t="str">
        <f>IFERROR(__xludf.DUMMYFUNCTION("""COMPUTED_VALUE"""),"MOTORCYCLE")</f>
        <v>MOTORCYCLE</v>
      </c>
      <c r="G2486" s="7" t="str">
        <f>IFERROR(__xludf.DUMMYFUNCTION("""COMPUTED_VALUE"""),"0")</f>
        <v>0</v>
      </c>
    </row>
    <row r="2487">
      <c r="A2487" s="6">
        <f>IFERROR(__xludf.DUMMYFUNCTION("""COMPUTED_VALUE"""),45705.0)</f>
        <v>45705</v>
      </c>
      <c r="B2487" s="7" t="str">
        <f>IFERROR(__xludf.DUMMYFUNCTION("""COMPUTED_VALUE"""),"1c337e7d-ccc8-4429-8ec9-d19534ae174a")</f>
        <v>1c337e7d-ccc8-4429-8ec9-d19534ae174a</v>
      </c>
      <c r="C2487" s="7">
        <f>IFERROR(__xludf.DUMMYFUNCTION("""COMPUTED_VALUE"""),1.0)</f>
        <v>1</v>
      </c>
      <c r="D2487" s="6">
        <f>IFERROR(__xludf.DUMMYFUNCTION("""COMPUTED_VALUE"""),45704.0)</f>
        <v>45704</v>
      </c>
      <c r="E2487" s="7" t="str">
        <f>IFERROR(__xludf.DUMMYFUNCTION("""COMPUTED_VALUE"""),"FRANQUIA_D&amp;G_SP")</f>
        <v>FRANQUIA_D&amp;G_SP</v>
      </c>
      <c r="F2487" s="7" t="str">
        <f>IFERROR(__xludf.DUMMYFUNCTION("""COMPUTED_VALUE"""),"MOTORCYCLE")</f>
        <v>MOTORCYCLE</v>
      </c>
      <c r="G2487" s="7" t="str">
        <f>IFERROR(__xludf.DUMMYFUNCTION("""COMPUTED_VALUE"""),"SAO PAULO")</f>
        <v>SAO PAULO</v>
      </c>
    </row>
    <row r="2488">
      <c r="A2488" s="6">
        <f>IFERROR(__xludf.DUMMYFUNCTION("""COMPUTED_VALUE"""),45705.0)</f>
        <v>45705</v>
      </c>
      <c r="B2488" s="7" t="str">
        <f>IFERROR(__xludf.DUMMYFUNCTION("""COMPUTED_VALUE"""),"99a66d02-fe0e-4b03-96c3-6e9691a7f0dd")</f>
        <v>99a66d02-fe0e-4b03-96c3-6e9691a7f0dd</v>
      </c>
      <c r="C2488" s="7">
        <f>IFERROR(__xludf.DUMMYFUNCTION("""COMPUTED_VALUE"""),0.0)</f>
        <v>0</v>
      </c>
      <c r="D2488" s="6">
        <f>IFERROR(__xludf.DUMMYFUNCTION("""COMPUTED_VALUE"""),0.0)</f>
        <v>0</v>
      </c>
      <c r="E2488" s="7" t="str">
        <f>IFERROR(__xludf.DUMMYFUNCTION("""COMPUTED_VALUE"""),"FRANQUIA_D&amp;G_SP")</f>
        <v>FRANQUIA_D&amp;G_SP</v>
      </c>
      <c r="F2488" s="7" t="str">
        <f>IFERROR(__xludf.DUMMYFUNCTION("""COMPUTED_VALUE"""),"BICYCLE")</f>
        <v>BICYCLE</v>
      </c>
      <c r="G2488" s="7" t="str">
        <f>IFERROR(__xludf.DUMMYFUNCTION("""COMPUTED_VALUE"""),"0")</f>
        <v>0</v>
      </c>
    </row>
    <row r="2489">
      <c r="A2489" s="6">
        <f>IFERROR(__xludf.DUMMYFUNCTION("""COMPUTED_VALUE"""),45705.0)</f>
        <v>45705</v>
      </c>
      <c r="B2489" s="7" t="str">
        <f>IFERROR(__xludf.DUMMYFUNCTION("""COMPUTED_VALUE"""),"29ac0025-e403-459c-95b9-dd8bac6cd074")</f>
        <v>29ac0025-e403-459c-95b9-dd8bac6cd074</v>
      </c>
      <c r="C2489" s="7">
        <f>IFERROR(__xludf.DUMMYFUNCTION("""COMPUTED_VALUE"""),172.0)</f>
        <v>172</v>
      </c>
      <c r="D2489" s="6">
        <f>IFERROR(__xludf.DUMMYFUNCTION("""COMPUTED_VALUE"""),45533.0)</f>
        <v>45533</v>
      </c>
      <c r="E2489" s="7" t="str">
        <f>IFERROR(__xludf.DUMMYFUNCTION("""COMPUTED_VALUE"""),"FRANQUIA_D&amp;G_SP")</f>
        <v>FRANQUIA_D&amp;G_SP</v>
      </c>
      <c r="F2489" s="7" t="str">
        <f>IFERROR(__xludf.DUMMYFUNCTION("""COMPUTED_VALUE"""),"MOTORCYCLE")</f>
        <v>MOTORCYCLE</v>
      </c>
      <c r="G2489" s="7" t="str">
        <f>IFERROR(__xludf.DUMMYFUNCTION("""COMPUTED_VALUE"""),"SAO PAULO")</f>
        <v>SAO PAULO</v>
      </c>
    </row>
    <row r="2490">
      <c r="A2490" s="6">
        <f>IFERROR(__xludf.DUMMYFUNCTION("""COMPUTED_VALUE"""),45705.0)</f>
        <v>45705</v>
      </c>
      <c r="B2490" s="7" t="str">
        <f>IFERROR(__xludf.DUMMYFUNCTION("""COMPUTED_VALUE"""),"2e245551-8e18-484d-aeb6-244e4e7ef9e3")</f>
        <v>2e245551-8e18-484d-aeb6-244e4e7ef9e3</v>
      </c>
      <c r="C2490" s="7">
        <f>IFERROR(__xludf.DUMMYFUNCTION("""COMPUTED_VALUE"""),0.0)</f>
        <v>0</v>
      </c>
      <c r="D2490" s="6">
        <f>IFERROR(__xludf.DUMMYFUNCTION("""COMPUTED_VALUE"""),45705.0)</f>
        <v>45705</v>
      </c>
      <c r="E2490" s="7" t="str">
        <f>IFERROR(__xludf.DUMMYFUNCTION("""COMPUTED_VALUE"""),"FRANQUIA_D&amp;G_SP")</f>
        <v>FRANQUIA_D&amp;G_SP</v>
      </c>
      <c r="F2490" s="7" t="str">
        <f>IFERROR(__xludf.DUMMYFUNCTION("""COMPUTED_VALUE"""),"MOTORCYCLE")</f>
        <v>MOTORCYCLE</v>
      </c>
      <c r="G2490" s="7" t="str">
        <f>IFERROR(__xludf.DUMMYFUNCTION("""COMPUTED_VALUE"""),"SAO PAULO")</f>
        <v>SAO PAULO</v>
      </c>
    </row>
    <row r="2491">
      <c r="A2491" s="6">
        <f>IFERROR(__xludf.DUMMYFUNCTION("""COMPUTED_VALUE"""),45705.0)</f>
        <v>45705</v>
      </c>
      <c r="B2491" s="7" t="str">
        <f>IFERROR(__xludf.DUMMYFUNCTION("""COMPUTED_VALUE"""),"f0b11991-3458-47ce-820e-45fbe59583a4")</f>
        <v>f0b11991-3458-47ce-820e-45fbe59583a4</v>
      </c>
      <c r="C2491" s="7">
        <f>IFERROR(__xludf.DUMMYFUNCTION("""COMPUTED_VALUE"""),0.0)</f>
        <v>0</v>
      </c>
      <c r="D2491" s="6">
        <f>IFERROR(__xludf.DUMMYFUNCTION("""COMPUTED_VALUE"""),45705.0)</f>
        <v>45705</v>
      </c>
      <c r="E2491" s="7" t="str">
        <f>IFERROR(__xludf.DUMMYFUNCTION("""COMPUTED_VALUE"""),"FRANQUIA_D&amp;G_SP")</f>
        <v>FRANQUIA_D&amp;G_SP</v>
      </c>
      <c r="F2491" s="7" t="str">
        <f>IFERROR(__xludf.DUMMYFUNCTION("""COMPUTED_VALUE"""),"MOTORCYCLE")</f>
        <v>MOTORCYCLE</v>
      </c>
      <c r="G2491" s="7" t="str">
        <f>IFERROR(__xludf.DUMMYFUNCTION("""COMPUTED_VALUE"""),"SAO PAULO")</f>
        <v>SAO PAULO</v>
      </c>
    </row>
    <row r="2492">
      <c r="A2492" s="6">
        <f>IFERROR(__xludf.DUMMYFUNCTION("""COMPUTED_VALUE"""),45705.0)</f>
        <v>45705</v>
      </c>
      <c r="B2492" s="7" t="str">
        <f>IFERROR(__xludf.DUMMYFUNCTION("""COMPUTED_VALUE"""),"7de4748e-f640-4567-9d87-a0f0d4c83bdf")</f>
        <v>7de4748e-f640-4567-9d87-a0f0d4c83bdf</v>
      </c>
      <c r="C2492" s="7">
        <f>IFERROR(__xludf.DUMMYFUNCTION("""COMPUTED_VALUE"""),2.0)</f>
        <v>2</v>
      </c>
      <c r="D2492" s="6">
        <f>IFERROR(__xludf.DUMMYFUNCTION("""COMPUTED_VALUE"""),45703.0)</f>
        <v>45703</v>
      </c>
      <c r="E2492" s="7" t="str">
        <f>IFERROR(__xludf.DUMMYFUNCTION("""COMPUTED_VALUE"""),"FRANQUIA_D&amp;G_SP")</f>
        <v>FRANQUIA_D&amp;G_SP</v>
      </c>
      <c r="F2492" s="7" t="str">
        <f>IFERROR(__xludf.DUMMYFUNCTION("""COMPUTED_VALUE"""),"MOTORCYCLE")</f>
        <v>MOTORCYCLE</v>
      </c>
      <c r="G2492" s="7" t="str">
        <f>IFERROR(__xludf.DUMMYFUNCTION("""COMPUTED_VALUE"""),"SAO PAULO")</f>
        <v>SAO PAULO</v>
      </c>
    </row>
    <row r="2493">
      <c r="A2493" s="6">
        <f>IFERROR(__xludf.DUMMYFUNCTION("""COMPUTED_VALUE"""),45705.0)</f>
        <v>45705</v>
      </c>
      <c r="B2493" s="7" t="str">
        <f>IFERROR(__xludf.DUMMYFUNCTION("""COMPUTED_VALUE"""),"0a911fee-8cbe-49e8-ac7e-1e95e4aa5518")</f>
        <v>0a911fee-8cbe-49e8-ac7e-1e95e4aa5518</v>
      </c>
      <c r="C2493" s="7">
        <f>IFERROR(__xludf.DUMMYFUNCTION("""COMPUTED_VALUE"""),24.0)</f>
        <v>24</v>
      </c>
      <c r="D2493" s="6">
        <f>IFERROR(__xludf.DUMMYFUNCTION("""COMPUTED_VALUE"""),45681.0)</f>
        <v>45681</v>
      </c>
      <c r="E2493" s="7" t="str">
        <f>IFERROR(__xludf.DUMMYFUNCTION("""COMPUTED_VALUE"""),"FRANQUIA_D&amp;G_SP")</f>
        <v>FRANQUIA_D&amp;G_SP</v>
      </c>
      <c r="F2493" s="7" t="str">
        <f>IFERROR(__xludf.DUMMYFUNCTION("""COMPUTED_VALUE"""),"MOTORCYCLE")</f>
        <v>MOTORCYCLE</v>
      </c>
      <c r="G2493" s="7" t="str">
        <f>IFERROR(__xludf.DUMMYFUNCTION("""COMPUTED_VALUE"""),"SAO PAULO")</f>
        <v>SAO PAULO</v>
      </c>
    </row>
    <row r="2494">
      <c r="A2494" s="6">
        <f>IFERROR(__xludf.DUMMYFUNCTION("""COMPUTED_VALUE"""),45705.0)</f>
        <v>45705</v>
      </c>
      <c r="B2494" s="7" t="str">
        <f>IFERROR(__xludf.DUMMYFUNCTION("""COMPUTED_VALUE"""),"30960721-5c1d-44e6-8e2e-65e3c9b04d97")</f>
        <v>30960721-5c1d-44e6-8e2e-65e3c9b04d97</v>
      </c>
      <c r="C2494" s="7">
        <f>IFERROR(__xludf.DUMMYFUNCTION("""COMPUTED_VALUE"""),0.0)</f>
        <v>0</v>
      </c>
      <c r="D2494" s="6">
        <f>IFERROR(__xludf.DUMMYFUNCTION("""COMPUTED_VALUE"""),45705.0)</f>
        <v>45705</v>
      </c>
      <c r="E2494" s="7" t="str">
        <f>IFERROR(__xludf.DUMMYFUNCTION("""COMPUTED_VALUE"""),"FRANQUIA_D&amp;G_SP")</f>
        <v>FRANQUIA_D&amp;G_SP</v>
      </c>
      <c r="F2494" s="7" t="str">
        <f>IFERROR(__xludf.DUMMYFUNCTION("""COMPUTED_VALUE"""),"MOTORCYCLE")</f>
        <v>MOTORCYCLE</v>
      </c>
      <c r="G2494" s="7" t="str">
        <f>IFERROR(__xludf.DUMMYFUNCTION("""COMPUTED_VALUE"""),"SAO PAULO")</f>
        <v>SAO PAULO</v>
      </c>
    </row>
    <row r="2495">
      <c r="A2495" s="6">
        <f>IFERROR(__xludf.DUMMYFUNCTION("""COMPUTED_VALUE"""),45705.0)</f>
        <v>45705</v>
      </c>
      <c r="B2495" s="7" t="str">
        <f>IFERROR(__xludf.DUMMYFUNCTION("""COMPUTED_VALUE"""),"a5717148-3568-4733-98e3-36e08b4cf58b")</f>
        <v>a5717148-3568-4733-98e3-36e08b4cf58b</v>
      </c>
      <c r="C2495" s="7">
        <f>IFERROR(__xludf.DUMMYFUNCTION("""COMPUTED_VALUE"""),0.0)</f>
        <v>0</v>
      </c>
      <c r="D2495" s="6">
        <f>IFERROR(__xludf.DUMMYFUNCTION("""COMPUTED_VALUE"""),45705.0)</f>
        <v>45705</v>
      </c>
      <c r="E2495" s="7" t="str">
        <f>IFERROR(__xludf.DUMMYFUNCTION("""COMPUTED_VALUE"""),"FRANQUIA_D&amp;G_SP")</f>
        <v>FRANQUIA_D&amp;G_SP</v>
      </c>
      <c r="F2495" s="7" t="str">
        <f>IFERROR(__xludf.DUMMYFUNCTION("""COMPUTED_VALUE"""),"BICYCLE")</f>
        <v>BICYCLE</v>
      </c>
      <c r="G2495" s="7" t="str">
        <f>IFERROR(__xludf.DUMMYFUNCTION("""COMPUTED_VALUE"""),"SAO PAULO")</f>
        <v>SAO PAULO</v>
      </c>
    </row>
    <row r="2496">
      <c r="A2496" s="6">
        <f>IFERROR(__xludf.DUMMYFUNCTION("""COMPUTED_VALUE"""),45705.0)</f>
        <v>45705</v>
      </c>
      <c r="B2496" s="7" t="str">
        <f>IFERROR(__xludf.DUMMYFUNCTION("""COMPUTED_VALUE"""),"e11828f7-1d7b-4dfa-b697-96d596f09a30")</f>
        <v>e11828f7-1d7b-4dfa-b697-96d596f09a30</v>
      </c>
      <c r="C2496" s="7">
        <f>IFERROR(__xludf.DUMMYFUNCTION("""COMPUTED_VALUE"""),5.0)</f>
        <v>5</v>
      </c>
      <c r="D2496" s="6">
        <f>IFERROR(__xludf.DUMMYFUNCTION("""COMPUTED_VALUE"""),45700.0)</f>
        <v>45700</v>
      </c>
      <c r="E2496" s="7" t="str">
        <f>IFERROR(__xludf.DUMMYFUNCTION("""COMPUTED_VALUE"""),"FRANQUIA_D&amp;G_SP")</f>
        <v>FRANQUIA_D&amp;G_SP</v>
      </c>
      <c r="F2496" s="7" t="str">
        <f>IFERROR(__xludf.DUMMYFUNCTION("""COMPUTED_VALUE"""),"MOTORCYCLE")</f>
        <v>MOTORCYCLE</v>
      </c>
      <c r="G2496" s="7" t="str">
        <f>IFERROR(__xludf.DUMMYFUNCTION("""COMPUTED_VALUE"""),"SAO PAULO")</f>
        <v>SAO PAULO</v>
      </c>
    </row>
    <row r="2497">
      <c r="A2497" s="6">
        <f>IFERROR(__xludf.DUMMYFUNCTION("""COMPUTED_VALUE"""),45705.0)</f>
        <v>45705</v>
      </c>
      <c r="B2497" s="7" t="str">
        <f>IFERROR(__xludf.DUMMYFUNCTION("""COMPUTED_VALUE"""),"f477d1b4-3ca7-4248-80a4-d14fbcaa3679")</f>
        <v>f477d1b4-3ca7-4248-80a4-d14fbcaa3679</v>
      </c>
      <c r="C2497" s="7">
        <f>IFERROR(__xludf.DUMMYFUNCTION("""COMPUTED_VALUE"""),0.0)</f>
        <v>0</v>
      </c>
      <c r="D2497" s="6">
        <f>IFERROR(__xludf.DUMMYFUNCTION("""COMPUTED_VALUE"""),45705.0)</f>
        <v>45705</v>
      </c>
      <c r="E2497" s="7" t="str">
        <f>IFERROR(__xludf.DUMMYFUNCTION("""COMPUTED_VALUE"""),"FRANQUIA_D&amp;G_SP")</f>
        <v>FRANQUIA_D&amp;G_SP</v>
      </c>
      <c r="F2497" s="7" t="str">
        <f>IFERROR(__xludf.DUMMYFUNCTION("""COMPUTED_VALUE"""),"MOTORCYCLE")</f>
        <v>MOTORCYCLE</v>
      </c>
      <c r="G2497" s="7" t="str">
        <f>IFERROR(__xludf.DUMMYFUNCTION("""COMPUTED_VALUE"""),"SAO PAULO")</f>
        <v>SAO PAULO</v>
      </c>
    </row>
    <row r="2498">
      <c r="A2498" s="6">
        <f>IFERROR(__xludf.DUMMYFUNCTION("""COMPUTED_VALUE"""),45705.0)</f>
        <v>45705</v>
      </c>
      <c r="B2498" s="7" t="str">
        <f>IFERROR(__xludf.DUMMYFUNCTION("""COMPUTED_VALUE"""),"45ebad1d-528b-4f2c-a64c-c385c948f5c4")</f>
        <v>45ebad1d-528b-4f2c-a64c-c385c948f5c4</v>
      </c>
      <c r="C2498" s="7">
        <f>IFERROR(__xludf.DUMMYFUNCTION("""COMPUTED_VALUE"""),0.0)</f>
        <v>0</v>
      </c>
      <c r="D2498" s="6">
        <f>IFERROR(__xludf.DUMMYFUNCTION("""COMPUTED_VALUE"""),45705.0)</f>
        <v>45705</v>
      </c>
      <c r="E2498" s="7" t="str">
        <f>IFERROR(__xludf.DUMMYFUNCTION("""COMPUTED_VALUE"""),"FRANQUIA_D&amp;G_SP")</f>
        <v>FRANQUIA_D&amp;G_SP</v>
      </c>
      <c r="F2498" s="7" t="str">
        <f>IFERROR(__xludf.DUMMYFUNCTION("""COMPUTED_VALUE"""),"BICYCLE")</f>
        <v>BICYCLE</v>
      </c>
      <c r="G2498" s="7" t="str">
        <f>IFERROR(__xludf.DUMMYFUNCTION("""COMPUTED_VALUE"""),"SAO PAULO")</f>
        <v>SAO PAULO</v>
      </c>
    </row>
    <row r="2499">
      <c r="A2499" s="6">
        <f>IFERROR(__xludf.DUMMYFUNCTION("""COMPUTED_VALUE"""),45705.0)</f>
        <v>45705</v>
      </c>
      <c r="B2499" s="7" t="str">
        <f>IFERROR(__xludf.DUMMYFUNCTION("""COMPUTED_VALUE"""),"d0c14663-9206-4ee2-a5ba-ba96c71c0a0f")</f>
        <v>d0c14663-9206-4ee2-a5ba-ba96c71c0a0f</v>
      </c>
      <c r="C2499" s="7">
        <f>IFERROR(__xludf.DUMMYFUNCTION("""COMPUTED_VALUE"""),0.0)</f>
        <v>0</v>
      </c>
      <c r="D2499" s="6">
        <f>IFERROR(__xludf.DUMMYFUNCTION("""COMPUTED_VALUE"""),45705.0)</f>
        <v>45705</v>
      </c>
      <c r="E2499" s="7" t="str">
        <f>IFERROR(__xludf.DUMMYFUNCTION("""COMPUTED_VALUE"""),"FRANQUIA_D&amp;G_SP")</f>
        <v>FRANQUIA_D&amp;G_SP</v>
      </c>
      <c r="F2499" s="7" t="str">
        <f>IFERROR(__xludf.DUMMYFUNCTION("""COMPUTED_VALUE"""),"BICYCLE")</f>
        <v>BICYCLE</v>
      </c>
      <c r="G2499" s="7" t="str">
        <f>IFERROR(__xludf.DUMMYFUNCTION("""COMPUTED_VALUE"""),"SAO PAULO")</f>
        <v>SAO PAULO</v>
      </c>
    </row>
    <row r="2500">
      <c r="A2500" s="6">
        <f>IFERROR(__xludf.DUMMYFUNCTION("""COMPUTED_VALUE"""),45705.0)</f>
        <v>45705</v>
      </c>
      <c r="B2500" s="7" t="str">
        <f>IFERROR(__xludf.DUMMYFUNCTION("""COMPUTED_VALUE"""),"142c4044-3fdb-4e0d-bf25-bf2ed09ac1f8")</f>
        <v>142c4044-3fdb-4e0d-bf25-bf2ed09ac1f8</v>
      </c>
      <c r="C2500" s="7">
        <f>IFERROR(__xludf.DUMMYFUNCTION("""COMPUTED_VALUE"""),3.0)</f>
        <v>3</v>
      </c>
      <c r="D2500" s="6">
        <f>IFERROR(__xludf.DUMMYFUNCTION("""COMPUTED_VALUE"""),45702.0)</f>
        <v>45702</v>
      </c>
      <c r="E2500" s="7" t="str">
        <f>IFERROR(__xludf.DUMMYFUNCTION("""COMPUTED_VALUE"""),"FRANQUIA_D&amp;G_SP")</f>
        <v>FRANQUIA_D&amp;G_SP</v>
      </c>
      <c r="F2500" s="7" t="str">
        <f>IFERROR(__xludf.DUMMYFUNCTION("""COMPUTED_VALUE"""),"MOTORCYCLE")</f>
        <v>MOTORCYCLE</v>
      </c>
      <c r="G2500" s="7" t="str">
        <f>IFERROR(__xludf.DUMMYFUNCTION("""COMPUTED_VALUE"""),"SAO PAULO")</f>
        <v>SAO PAULO</v>
      </c>
    </row>
    <row r="2501">
      <c r="A2501" s="6">
        <f>IFERROR(__xludf.DUMMYFUNCTION("""COMPUTED_VALUE"""),45705.0)</f>
        <v>45705</v>
      </c>
      <c r="B2501" s="7" t="str">
        <f>IFERROR(__xludf.DUMMYFUNCTION("""COMPUTED_VALUE"""),"956ba606-34b0-4f8c-8a0d-85ac3eb3f9bd")</f>
        <v>956ba606-34b0-4f8c-8a0d-85ac3eb3f9bd</v>
      </c>
      <c r="C2501" s="7">
        <f>IFERROR(__xludf.DUMMYFUNCTION("""COMPUTED_VALUE"""),6.0)</f>
        <v>6</v>
      </c>
      <c r="D2501" s="6">
        <f>IFERROR(__xludf.DUMMYFUNCTION("""COMPUTED_VALUE"""),45699.0)</f>
        <v>45699</v>
      </c>
      <c r="E2501" s="7" t="str">
        <f>IFERROR(__xludf.DUMMYFUNCTION("""COMPUTED_VALUE"""),"FRANQUIA_D&amp;G_SP")</f>
        <v>FRANQUIA_D&amp;G_SP</v>
      </c>
      <c r="F2501" s="7" t="str">
        <f>IFERROR(__xludf.DUMMYFUNCTION("""COMPUTED_VALUE"""),"BICYCLE")</f>
        <v>BICYCLE</v>
      </c>
      <c r="G2501" s="7" t="str">
        <f>IFERROR(__xludf.DUMMYFUNCTION("""COMPUTED_VALUE"""),"SAO PAULO")</f>
        <v>SAO PAULO</v>
      </c>
    </row>
    <row r="2502">
      <c r="A2502" s="6">
        <f>IFERROR(__xludf.DUMMYFUNCTION("""COMPUTED_VALUE"""),45705.0)</f>
        <v>45705</v>
      </c>
      <c r="B2502" s="7" t="str">
        <f>IFERROR(__xludf.DUMMYFUNCTION("""COMPUTED_VALUE"""),"4a30335d-b91c-4ce9-a6b0-bc3d2ddc790f")</f>
        <v>4a30335d-b91c-4ce9-a6b0-bc3d2ddc790f</v>
      </c>
      <c r="C2502" s="7">
        <f>IFERROR(__xludf.DUMMYFUNCTION("""COMPUTED_VALUE"""),0.0)</f>
        <v>0</v>
      </c>
      <c r="D2502" s="6">
        <f>IFERROR(__xludf.DUMMYFUNCTION("""COMPUTED_VALUE"""),45705.0)</f>
        <v>45705</v>
      </c>
      <c r="E2502" s="7" t="str">
        <f>IFERROR(__xludf.DUMMYFUNCTION("""COMPUTED_VALUE"""),"FRANQUIA_D&amp;G_SP")</f>
        <v>FRANQUIA_D&amp;G_SP</v>
      </c>
      <c r="F2502" s="7" t="str">
        <f>IFERROR(__xludf.DUMMYFUNCTION("""COMPUTED_VALUE"""),"MOTORCYCLE")</f>
        <v>MOTORCYCLE</v>
      </c>
      <c r="G2502" s="7" t="str">
        <f>IFERROR(__xludf.DUMMYFUNCTION("""COMPUTED_VALUE"""),"SAO PAULO")</f>
        <v>SAO PAULO</v>
      </c>
    </row>
    <row r="2503">
      <c r="A2503" s="6">
        <f>IFERROR(__xludf.DUMMYFUNCTION("""COMPUTED_VALUE"""),45705.0)</f>
        <v>45705</v>
      </c>
      <c r="B2503" s="7" t="str">
        <f>IFERROR(__xludf.DUMMYFUNCTION("""COMPUTED_VALUE"""),"f1e3de18-3e09-4df2-9099-c243cdbea76a")</f>
        <v>f1e3de18-3e09-4df2-9099-c243cdbea76a</v>
      </c>
      <c r="C2503" s="7">
        <f>IFERROR(__xludf.DUMMYFUNCTION("""COMPUTED_VALUE"""),0.0)</f>
        <v>0</v>
      </c>
      <c r="D2503" s="6">
        <f>IFERROR(__xludf.DUMMYFUNCTION("""COMPUTED_VALUE"""),45705.0)</f>
        <v>45705</v>
      </c>
      <c r="E2503" s="7" t="str">
        <f>IFERROR(__xludf.DUMMYFUNCTION("""COMPUTED_VALUE"""),"FRANQUIA_D&amp;G_SP")</f>
        <v>FRANQUIA_D&amp;G_SP</v>
      </c>
      <c r="F2503" s="7" t="str">
        <f>IFERROR(__xludf.DUMMYFUNCTION("""COMPUTED_VALUE"""),"EMOTORCYCLE")</f>
        <v>EMOTORCYCLE</v>
      </c>
      <c r="G2503" s="7" t="str">
        <f>IFERROR(__xludf.DUMMYFUNCTION("""COMPUTED_VALUE"""),"SAO PAULO")</f>
        <v>SAO PAULO</v>
      </c>
    </row>
    <row r="2504">
      <c r="A2504" s="6">
        <f>IFERROR(__xludf.DUMMYFUNCTION("""COMPUTED_VALUE"""),45705.0)</f>
        <v>45705</v>
      </c>
      <c r="B2504" s="7" t="str">
        <f>IFERROR(__xludf.DUMMYFUNCTION("""COMPUTED_VALUE"""),"62e60f9b-b6c3-4e22-bd24-6a948b105990")</f>
        <v>62e60f9b-b6c3-4e22-bd24-6a948b105990</v>
      </c>
      <c r="C2504" s="7">
        <f>IFERROR(__xludf.DUMMYFUNCTION("""COMPUTED_VALUE"""),624.0)</f>
        <v>624</v>
      </c>
      <c r="D2504" s="6">
        <f>IFERROR(__xludf.DUMMYFUNCTION("""COMPUTED_VALUE"""),45081.0)</f>
        <v>45081</v>
      </c>
      <c r="E2504" s="7" t="str">
        <f>IFERROR(__xludf.DUMMYFUNCTION("""COMPUTED_VALUE"""),"FRANQUIA_D&amp;G_SP")</f>
        <v>FRANQUIA_D&amp;G_SP</v>
      </c>
      <c r="F2504" s="7" t="str">
        <f>IFERROR(__xludf.DUMMYFUNCTION("""COMPUTED_VALUE"""),"BICYCLE")</f>
        <v>BICYCLE</v>
      </c>
      <c r="G2504" s="7" t="str">
        <f>IFERROR(__xludf.DUMMYFUNCTION("""COMPUTED_VALUE"""),"SAO PAULO")</f>
        <v>SAO PAULO</v>
      </c>
    </row>
    <row r="2505">
      <c r="A2505" s="6">
        <f>IFERROR(__xludf.DUMMYFUNCTION("""COMPUTED_VALUE"""),45705.0)</f>
        <v>45705</v>
      </c>
      <c r="B2505" s="7" t="str">
        <f>IFERROR(__xludf.DUMMYFUNCTION("""COMPUTED_VALUE"""),"bce68b3a-a502-4705-b2f0-823f24aeb188")</f>
        <v>bce68b3a-a502-4705-b2f0-823f24aeb188</v>
      </c>
      <c r="C2505" s="7">
        <f>IFERROR(__xludf.DUMMYFUNCTION("""COMPUTED_VALUE"""),1.0)</f>
        <v>1</v>
      </c>
      <c r="D2505" s="6">
        <f>IFERROR(__xludf.DUMMYFUNCTION("""COMPUTED_VALUE"""),45704.0)</f>
        <v>45704</v>
      </c>
      <c r="E2505" s="7" t="str">
        <f>IFERROR(__xludf.DUMMYFUNCTION("""COMPUTED_VALUE"""),"FRANQUIA_D&amp;G_SP")</f>
        <v>FRANQUIA_D&amp;G_SP</v>
      </c>
      <c r="F2505" s="7" t="str">
        <f>IFERROR(__xludf.DUMMYFUNCTION("""COMPUTED_VALUE"""),"MOTORCYCLE")</f>
        <v>MOTORCYCLE</v>
      </c>
      <c r="G2505" s="7" t="str">
        <f>IFERROR(__xludf.DUMMYFUNCTION("""COMPUTED_VALUE"""),"SAO PAULO")</f>
        <v>SAO PAULO</v>
      </c>
    </row>
    <row r="2506">
      <c r="A2506" s="6">
        <f>IFERROR(__xludf.DUMMYFUNCTION("""COMPUTED_VALUE"""),45705.0)</f>
        <v>45705</v>
      </c>
      <c r="B2506" s="7" t="str">
        <f>IFERROR(__xludf.DUMMYFUNCTION("""COMPUTED_VALUE"""),"d379c45e-925e-4d1f-9541-436bbcc6f707")</f>
        <v>d379c45e-925e-4d1f-9541-436bbcc6f707</v>
      </c>
      <c r="C2506" s="7">
        <f>IFERROR(__xludf.DUMMYFUNCTION("""COMPUTED_VALUE"""),48.0)</f>
        <v>48</v>
      </c>
      <c r="D2506" s="6">
        <f>IFERROR(__xludf.DUMMYFUNCTION("""COMPUTED_VALUE"""),45657.0)</f>
        <v>45657</v>
      </c>
      <c r="E2506" s="7" t="str">
        <f>IFERROR(__xludf.DUMMYFUNCTION("""COMPUTED_VALUE"""),"FRANQUIA_D&amp;G_SP")</f>
        <v>FRANQUIA_D&amp;G_SP</v>
      </c>
      <c r="F2506" s="7" t="str">
        <f>IFERROR(__xludf.DUMMYFUNCTION("""COMPUTED_VALUE"""),"BICYCLE")</f>
        <v>BICYCLE</v>
      </c>
      <c r="G2506" s="7" t="str">
        <f>IFERROR(__xludf.DUMMYFUNCTION("""COMPUTED_VALUE"""),"SAO PAULO")</f>
        <v>SAO PAULO</v>
      </c>
    </row>
    <row r="2507">
      <c r="A2507" s="6">
        <f>IFERROR(__xludf.DUMMYFUNCTION("""COMPUTED_VALUE"""),45705.0)</f>
        <v>45705</v>
      </c>
      <c r="B2507" s="7" t="str">
        <f>IFERROR(__xludf.DUMMYFUNCTION("""COMPUTED_VALUE"""),"a8c1a035-d73b-426f-9309-08f746e24e7d")</f>
        <v>a8c1a035-d73b-426f-9309-08f746e24e7d</v>
      </c>
      <c r="C2507" s="7">
        <f>IFERROR(__xludf.DUMMYFUNCTION("""COMPUTED_VALUE"""),0.0)</f>
        <v>0</v>
      </c>
      <c r="D2507" s="6">
        <f>IFERROR(__xludf.DUMMYFUNCTION("""COMPUTED_VALUE"""),45705.0)</f>
        <v>45705</v>
      </c>
      <c r="E2507" s="7" t="str">
        <f>IFERROR(__xludf.DUMMYFUNCTION("""COMPUTED_VALUE"""),"FRANQUIA_D&amp;G_SP")</f>
        <v>FRANQUIA_D&amp;G_SP</v>
      </c>
      <c r="F2507" s="7" t="str">
        <f>IFERROR(__xludf.DUMMYFUNCTION("""COMPUTED_VALUE"""),"MOTORCYCLE")</f>
        <v>MOTORCYCLE</v>
      </c>
      <c r="G2507" s="7" t="str">
        <f>IFERROR(__xludf.DUMMYFUNCTION("""COMPUTED_VALUE"""),"RESTAURANTE PARCEIRO")</f>
        <v>RESTAURANTE PARCEIRO</v>
      </c>
    </row>
    <row r="2508">
      <c r="A2508" s="6">
        <f>IFERROR(__xludf.DUMMYFUNCTION("""COMPUTED_VALUE"""),45705.0)</f>
        <v>45705</v>
      </c>
      <c r="B2508" s="7" t="str">
        <f>IFERROR(__xludf.DUMMYFUNCTION("""COMPUTED_VALUE"""),"dae27f63-374c-4305-b250-b93c55885139")</f>
        <v>dae27f63-374c-4305-b250-b93c55885139</v>
      </c>
      <c r="C2508" s="7">
        <f>IFERROR(__xludf.DUMMYFUNCTION("""COMPUTED_VALUE"""),0.0)</f>
        <v>0</v>
      </c>
      <c r="D2508" s="6">
        <f>IFERROR(__xludf.DUMMYFUNCTION("""COMPUTED_VALUE"""),45705.0)</f>
        <v>45705</v>
      </c>
      <c r="E2508" s="7" t="str">
        <f>IFERROR(__xludf.DUMMYFUNCTION("""COMPUTED_VALUE"""),"FRANQUIA_D&amp;G_SP")</f>
        <v>FRANQUIA_D&amp;G_SP</v>
      </c>
      <c r="F2508" s="7" t="str">
        <f>IFERROR(__xludf.DUMMYFUNCTION("""COMPUTED_VALUE"""),"MOTORCYCLE")</f>
        <v>MOTORCYCLE</v>
      </c>
      <c r="G2508" s="7" t="str">
        <f>IFERROR(__xludf.DUMMYFUNCTION("""COMPUTED_VALUE"""),"SAO PAULO")</f>
        <v>SAO PAULO</v>
      </c>
    </row>
    <row r="2509">
      <c r="A2509" s="6">
        <f>IFERROR(__xludf.DUMMYFUNCTION("""COMPUTED_VALUE"""),45705.0)</f>
        <v>45705</v>
      </c>
      <c r="B2509" s="7" t="str">
        <f>IFERROR(__xludf.DUMMYFUNCTION("""COMPUTED_VALUE"""),"11ef11d5-e072-4c17-a34c-def5e27f276a")</f>
        <v>11ef11d5-e072-4c17-a34c-def5e27f276a</v>
      </c>
      <c r="C2509" s="7">
        <f>IFERROR(__xludf.DUMMYFUNCTION("""COMPUTED_VALUE"""),9.0)</f>
        <v>9</v>
      </c>
      <c r="D2509" s="6">
        <f>IFERROR(__xludf.DUMMYFUNCTION("""COMPUTED_VALUE"""),45696.0)</f>
        <v>45696</v>
      </c>
      <c r="E2509" s="7" t="str">
        <f>IFERROR(__xludf.DUMMYFUNCTION("""COMPUTED_VALUE"""),"FRANQUIA_D&amp;G_SP")</f>
        <v>FRANQUIA_D&amp;G_SP</v>
      </c>
      <c r="F2509" s="7" t="str">
        <f>IFERROR(__xludf.DUMMYFUNCTION("""COMPUTED_VALUE"""),"EMOTORCYCLE")</f>
        <v>EMOTORCYCLE</v>
      </c>
      <c r="G2509" s="7" t="str">
        <f>IFERROR(__xludf.DUMMYFUNCTION("""COMPUTED_VALUE"""),"SAO PAULO")</f>
        <v>SAO PAULO</v>
      </c>
    </row>
    <row r="2510">
      <c r="A2510" s="6">
        <f>IFERROR(__xludf.DUMMYFUNCTION("""COMPUTED_VALUE"""),45705.0)</f>
        <v>45705</v>
      </c>
      <c r="B2510" s="7" t="str">
        <f>IFERROR(__xludf.DUMMYFUNCTION("""COMPUTED_VALUE"""),"52531d3f-e75d-494d-822c-406919edb624")</f>
        <v>52531d3f-e75d-494d-822c-406919edb624</v>
      </c>
      <c r="C2510" s="7">
        <f>IFERROR(__xludf.DUMMYFUNCTION("""COMPUTED_VALUE"""),0.0)</f>
        <v>0</v>
      </c>
      <c r="D2510" s="6">
        <f>IFERROR(__xludf.DUMMYFUNCTION("""COMPUTED_VALUE"""),45705.0)</f>
        <v>45705</v>
      </c>
      <c r="E2510" s="7" t="str">
        <f>IFERROR(__xludf.DUMMYFUNCTION("""COMPUTED_VALUE"""),"FRANQUIA_D&amp;G_SP")</f>
        <v>FRANQUIA_D&amp;G_SP</v>
      </c>
      <c r="F2510" s="7" t="str">
        <f>IFERROR(__xludf.DUMMYFUNCTION("""COMPUTED_VALUE"""),"MOTORCYCLE")</f>
        <v>MOTORCYCLE</v>
      </c>
      <c r="G2510" s="7" t="str">
        <f>IFERROR(__xludf.DUMMYFUNCTION("""COMPUTED_VALUE"""),"SAO PAULO")</f>
        <v>SAO PAULO</v>
      </c>
    </row>
    <row r="2511">
      <c r="A2511" s="6">
        <f>IFERROR(__xludf.DUMMYFUNCTION("""COMPUTED_VALUE"""),45705.0)</f>
        <v>45705</v>
      </c>
      <c r="B2511" s="7" t="str">
        <f>IFERROR(__xludf.DUMMYFUNCTION("""COMPUTED_VALUE"""),"bfe4695f-69b9-4d71-89aa-8d504430e38f")</f>
        <v>bfe4695f-69b9-4d71-89aa-8d504430e38f</v>
      </c>
      <c r="C2511" s="7">
        <f>IFERROR(__xludf.DUMMYFUNCTION("""COMPUTED_VALUE"""),1.0)</f>
        <v>1</v>
      </c>
      <c r="D2511" s="6">
        <f>IFERROR(__xludf.DUMMYFUNCTION("""COMPUTED_VALUE"""),45704.0)</f>
        <v>45704</v>
      </c>
      <c r="E2511" s="7" t="str">
        <f>IFERROR(__xludf.DUMMYFUNCTION("""COMPUTED_VALUE"""),"FRANQUIA_D&amp;G_SP")</f>
        <v>FRANQUIA_D&amp;G_SP</v>
      </c>
      <c r="F2511" s="7" t="str">
        <f>IFERROR(__xludf.DUMMYFUNCTION("""COMPUTED_VALUE"""),"MOTORCYCLE")</f>
        <v>MOTORCYCLE</v>
      </c>
      <c r="G2511" s="7" t="str">
        <f>IFERROR(__xludf.DUMMYFUNCTION("""COMPUTED_VALUE"""),"SAO PAULO")</f>
        <v>SAO PAULO</v>
      </c>
    </row>
    <row r="2512">
      <c r="A2512" s="6">
        <f>IFERROR(__xludf.DUMMYFUNCTION("""COMPUTED_VALUE"""),45705.0)</f>
        <v>45705</v>
      </c>
      <c r="B2512" s="7" t="str">
        <f>IFERROR(__xludf.DUMMYFUNCTION("""COMPUTED_VALUE"""),"d9486189-067b-4fcb-a665-f782f7669050")</f>
        <v>d9486189-067b-4fcb-a665-f782f7669050</v>
      </c>
      <c r="C2512" s="7">
        <f>IFERROR(__xludf.DUMMYFUNCTION("""COMPUTED_VALUE"""),0.0)</f>
        <v>0</v>
      </c>
      <c r="D2512" s="6">
        <f>IFERROR(__xludf.DUMMYFUNCTION("""COMPUTED_VALUE"""),45705.0)</f>
        <v>45705</v>
      </c>
      <c r="E2512" s="7" t="str">
        <f>IFERROR(__xludf.DUMMYFUNCTION("""COMPUTED_VALUE"""),"FRANQUIA_D&amp;G_SP")</f>
        <v>FRANQUIA_D&amp;G_SP</v>
      </c>
      <c r="F2512" s="7" t="str">
        <f>IFERROR(__xludf.DUMMYFUNCTION("""COMPUTED_VALUE"""),"MOTORCYCLE")</f>
        <v>MOTORCYCLE</v>
      </c>
      <c r="G2512" s="7" t="str">
        <f>IFERROR(__xludf.DUMMYFUNCTION("""COMPUTED_VALUE"""),"SAO PAULO")</f>
        <v>SAO PAULO</v>
      </c>
    </row>
    <row r="2513">
      <c r="A2513" s="6">
        <f>IFERROR(__xludf.DUMMYFUNCTION("""COMPUTED_VALUE"""),45705.0)</f>
        <v>45705</v>
      </c>
      <c r="B2513" s="7" t="str">
        <f>IFERROR(__xludf.DUMMYFUNCTION("""COMPUTED_VALUE"""),"68149e58-686d-49a0-94b0-eca445fff712")</f>
        <v>68149e58-686d-49a0-94b0-eca445fff712</v>
      </c>
      <c r="C2513" s="7">
        <f>IFERROR(__xludf.DUMMYFUNCTION("""COMPUTED_VALUE"""),64.0)</f>
        <v>64</v>
      </c>
      <c r="D2513" s="6">
        <f>IFERROR(__xludf.DUMMYFUNCTION("""COMPUTED_VALUE"""),45641.0)</f>
        <v>45641</v>
      </c>
      <c r="E2513" s="7" t="str">
        <f>IFERROR(__xludf.DUMMYFUNCTION("""COMPUTED_VALUE"""),"FRANQUIA_D&amp;G_SP")</f>
        <v>FRANQUIA_D&amp;G_SP</v>
      </c>
      <c r="F2513" s="7" t="str">
        <f>IFERROR(__xludf.DUMMYFUNCTION("""COMPUTED_VALUE"""),"BICYCLE")</f>
        <v>BICYCLE</v>
      </c>
      <c r="G2513" s="7" t="str">
        <f>IFERROR(__xludf.DUMMYFUNCTION("""COMPUTED_VALUE"""),"SAO PAULO")</f>
        <v>SAO PAULO</v>
      </c>
    </row>
    <row r="2514">
      <c r="A2514" s="6">
        <f>IFERROR(__xludf.DUMMYFUNCTION("""COMPUTED_VALUE"""),45705.0)</f>
        <v>45705</v>
      </c>
      <c r="B2514" s="7" t="str">
        <f>IFERROR(__xludf.DUMMYFUNCTION("""COMPUTED_VALUE"""),"bae18b7b-0ef6-4cda-8c7e-ba9e3ff39d3a")</f>
        <v>bae18b7b-0ef6-4cda-8c7e-ba9e3ff39d3a</v>
      </c>
      <c r="C2514" s="7">
        <f>IFERROR(__xludf.DUMMYFUNCTION("""COMPUTED_VALUE"""),3.0)</f>
        <v>3</v>
      </c>
      <c r="D2514" s="6">
        <f>IFERROR(__xludf.DUMMYFUNCTION("""COMPUTED_VALUE"""),45702.0)</f>
        <v>45702</v>
      </c>
      <c r="E2514" s="7" t="str">
        <f>IFERROR(__xludf.DUMMYFUNCTION("""COMPUTED_VALUE"""),"FRANQUIA_D&amp;G_SP")</f>
        <v>FRANQUIA_D&amp;G_SP</v>
      </c>
      <c r="F2514" s="7" t="str">
        <f>IFERROR(__xludf.DUMMYFUNCTION("""COMPUTED_VALUE"""),"MOTORCYCLE")</f>
        <v>MOTORCYCLE</v>
      </c>
      <c r="G2514" s="7" t="str">
        <f>IFERROR(__xludf.DUMMYFUNCTION("""COMPUTED_VALUE"""),"SAO PAULO")</f>
        <v>SAO PAULO</v>
      </c>
    </row>
    <row r="2515">
      <c r="A2515" s="6">
        <f>IFERROR(__xludf.DUMMYFUNCTION("""COMPUTED_VALUE"""),45705.0)</f>
        <v>45705</v>
      </c>
      <c r="B2515" s="7" t="str">
        <f>IFERROR(__xludf.DUMMYFUNCTION("""COMPUTED_VALUE"""),"8a385224-aadb-422f-b507-234ecec1b6b5")</f>
        <v>8a385224-aadb-422f-b507-234ecec1b6b5</v>
      </c>
      <c r="C2515" s="7">
        <f>IFERROR(__xludf.DUMMYFUNCTION("""COMPUTED_VALUE"""),391.0)</f>
        <v>391</v>
      </c>
      <c r="D2515" s="6">
        <f>IFERROR(__xludf.DUMMYFUNCTION("""COMPUTED_VALUE"""),45314.0)</f>
        <v>45314</v>
      </c>
      <c r="E2515" s="7" t="str">
        <f>IFERROR(__xludf.DUMMYFUNCTION("""COMPUTED_VALUE"""),"FRANQUIA_D&amp;G_SP")</f>
        <v>FRANQUIA_D&amp;G_SP</v>
      </c>
      <c r="F2515" s="7" t="str">
        <f>IFERROR(__xludf.DUMMYFUNCTION("""COMPUTED_VALUE"""),"BICYCLE")</f>
        <v>BICYCLE</v>
      </c>
      <c r="G2515" s="7" t="str">
        <f>IFERROR(__xludf.DUMMYFUNCTION("""COMPUTED_VALUE"""),"SAO PAULO")</f>
        <v>SAO PAULO</v>
      </c>
    </row>
    <row r="2516">
      <c r="A2516" s="6">
        <f>IFERROR(__xludf.DUMMYFUNCTION("""COMPUTED_VALUE"""),45705.0)</f>
        <v>45705</v>
      </c>
      <c r="B2516" s="7" t="str">
        <f>IFERROR(__xludf.DUMMYFUNCTION("""COMPUTED_VALUE"""),"48f20b5f-0f8b-43dc-aa4b-95f6aeaac953")</f>
        <v>48f20b5f-0f8b-43dc-aa4b-95f6aeaac953</v>
      </c>
      <c r="C2516" s="7">
        <f>IFERROR(__xludf.DUMMYFUNCTION("""COMPUTED_VALUE"""),26.0)</f>
        <v>26</v>
      </c>
      <c r="D2516" s="6">
        <f>IFERROR(__xludf.DUMMYFUNCTION("""COMPUTED_VALUE"""),45679.0)</f>
        <v>45679</v>
      </c>
      <c r="E2516" s="7" t="str">
        <f>IFERROR(__xludf.DUMMYFUNCTION("""COMPUTED_VALUE"""),"FRANQUIA_D&amp;G_SP")</f>
        <v>FRANQUIA_D&amp;G_SP</v>
      </c>
      <c r="F2516" s="7" t="str">
        <f>IFERROR(__xludf.DUMMYFUNCTION("""COMPUTED_VALUE"""),"BICYCLE")</f>
        <v>BICYCLE</v>
      </c>
      <c r="G2516" s="7" t="str">
        <f>IFERROR(__xludf.DUMMYFUNCTION("""COMPUTED_VALUE"""),"SAO PAULO")</f>
        <v>SAO PAULO</v>
      </c>
    </row>
    <row r="2517">
      <c r="A2517" s="6">
        <f>IFERROR(__xludf.DUMMYFUNCTION("""COMPUTED_VALUE"""),45705.0)</f>
        <v>45705</v>
      </c>
      <c r="B2517" s="7" t="str">
        <f>IFERROR(__xludf.DUMMYFUNCTION("""COMPUTED_VALUE"""),"78cb5384-c318-4544-9756-86fba3b096bd")</f>
        <v>78cb5384-c318-4544-9756-86fba3b096bd</v>
      </c>
      <c r="C2517" s="7">
        <f>IFERROR(__xludf.DUMMYFUNCTION("""COMPUTED_VALUE"""),0.0)</f>
        <v>0</v>
      </c>
      <c r="D2517" s="6">
        <f>IFERROR(__xludf.DUMMYFUNCTION("""COMPUTED_VALUE"""),45705.0)</f>
        <v>45705</v>
      </c>
      <c r="E2517" s="7" t="str">
        <f>IFERROR(__xludf.DUMMYFUNCTION("""COMPUTED_VALUE"""),"FRANQUIA_D&amp;G_SP")</f>
        <v>FRANQUIA_D&amp;G_SP</v>
      </c>
      <c r="F2517" s="7" t="str">
        <f>IFERROR(__xludf.DUMMYFUNCTION("""COMPUTED_VALUE"""),"BICYCLE")</f>
        <v>BICYCLE</v>
      </c>
      <c r="G2517" s="7" t="str">
        <f>IFERROR(__xludf.DUMMYFUNCTION("""COMPUTED_VALUE"""),"SAO PAULO")</f>
        <v>SAO PAULO</v>
      </c>
    </row>
    <row r="2518">
      <c r="A2518" s="6">
        <f>IFERROR(__xludf.DUMMYFUNCTION("""COMPUTED_VALUE"""),45705.0)</f>
        <v>45705</v>
      </c>
      <c r="B2518" s="7" t="str">
        <f>IFERROR(__xludf.DUMMYFUNCTION("""COMPUTED_VALUE"""),"0a012160-d73e-49c2-a9d3-a2d06e7f6285")</f>
        <v>0a012160-d73e-49c2-a9d3-a2d06e7f6285</v>
      </c>
      <c r="C2518" s="7">
        <f>IFERROR(__xludf.DUMMYFUNCTION("""COMPUTED_VALUE"""),0.0)</f>
        <v>0</v>
      </c>
      <c r="D2518" s="6">
        <f>IFERROR(__xludf.DUMMYFUNCTION("""COMPUTED_VALUE"""),45705.0)</f>
        <v>45705</v>
      </c>
      <c r="E2518" s="7" t="str">
        <f>IFERROR(__xludf.DUMMYFUNCTION("""COMPUTED_VALUE"""),"FRANQUIA_D&amp;G_SP")</f>
        <v>FRANQUIA_D&amp;G_SP</v>
      </c>
      <c r="F2518" s="7" t="str">
        <f>IFERROR(__xludf.DUMMYFUNCTION("""COMPUTED_VALUE"""),"MOTORCYCLE")</f>
        <v>MOTORCYCLE</v>
      </c>
      <c r="G2518" s="7" t="str">
        <f>IFERROR(__xludf.DUMMYFUNCTION("""COMPUTED_VALUE"""),"SAO PAULO")</f>
        <v>SAO PAULO</v>
      </c>
    </row>
    <row r="2519">
      <c r="A2519" s="6">
        <f>IFERROR(__xludf.DUMMYFUNCTION("""COMPUTED_VALUE"""),45705.0)</f>
        <v>45705</v>
      </c>
      <c r="B2519" s="7" t="str">
        <f>IFERROR(__xludf.DUMMYFUNCTION("""COMPUTED_VALUE"""),"44b1896c-c26e-4740-8ea5-ab49709f3c09")</f>
        <v>44b1896c-c26e-4740-8ea5-ab49709f3c09</v>
      </c>
      <c r="C2519" s="7">
        <f>IFERROR(__xludf.DUMMYFUNCTION("""COMPUTED_VALUE"""),251.0)</f>
        <v>251</v>
      </c>
      <c r="D2519" s="6">
        <f>IFERROR(__xludf.DUMMYFUNCTION("""COMPUTED_VALUE"""),45454.0)</f>
        <v>45454</v>
      </c>
      <c r="E2519" s="7" t="str">
        <f>IFERROR(__xludf.DUMMYFUNCTION("""COMPUTED_VALUE"""),"FRANQUIA_D&amp;G_SP")</f>
        <v>FRANQUIA_D&amp;G_SP</v>
      </c>
      <c r="F2519" s="7" t="str">
        <f>IFERROR(__xludf.DUMMYFUNCTION("""COMPUTED_VALUE"""),"BICYCLE")</f>
        <v>BICYCLE</v>
      </c>
      <c r="G2519" s="7" t="str">
        <f>IFERROR(__xludf.DUMMYFUNCTION("""COMPUTED_VALUE"""),"SAO PAULO")</f>
        <v>SAO PAULO</v>
      </c>
    </row>
    <row r="2520">
      <c r="A2520" s="6">
        <f>IFERROR(__xludf.DUMMYFUNCTION("""COMPUTED_VALUE"""),45705.0)</f>
        <v>45705</v>
      </c>
      <c r="B2520" s="7" t="str">
        <f>IFERROR(__xludf.DUMMYFUNCTION("""COMPUTED_VALUE"""),"4851ebe2-3fc8-4865-a4b7-1116081c8742")</f>
        <v>4851ebe2-3fc8-4865-a4b7-1116081c8742</v>
      </c>
      <c r="C2520" s="7">
        <f>IFERROR(__xludf.DUMMYFUNCTION("""COMPUTED_VALUE"""),97.0)</f>
        <v>97</v>
      </c>
      <c r="D2520" s="6">
        <f>IFERROR(__xludf.DUMMYFUNCTION("""COMPUTED_VALUE"""),45608.0)</f>
        <v>45608</v>
      </c>
      <c r="E2520" s="7" t="str">
        <f>IFERROR(__xludf.DUMMYFUNCTION("""COMPUTED_VALUE"""),"FRANQUIA_D&amp;G_SP")</f>
        <v>FRANQUIA_D&amp;G_SP</v>
      </c>
      <c r="F2520" s="7" t="str">
        <f>IFERROR(__xludf.DUMMYFUNCTION("""COMPUTED_VALUE"""),"MOTORCYCLE")</f>
        <v>MOTORCYCLE</v>
      </c>
      <c r="G2520" s="7" t="str">
        <f>IFERROR(__xludf.DUMMYFUNCTION("""COMPUTED_VALUE"""),"SAO PAULO")</f>
        <v>SAO PAULO</v>
      </c>
    </row>
    <row r="2521">
      <c r="A2521" s="6">
        <f>IFERROR(__xludf.DUMMYFUNCTION("""COMPUTED_VALUE"""),45705.0)</f>
        <v>45705</v>
      </c>
      <c r="B2521" s="7" t="str">
        <f>IFERROR(__xludf.DUMMYFUNCTION("""COMPUTED_VALUE"""),"360090af-468b-4354-9f66-8caee4c4593c")</f>
        <v>360090af-468b-4354-9f66-8caee4c4593c</v>
      </c>
      <c r="C2521" s="7">
        <f>IFERROR(__xludf.DUMMYFUNCTION("""COMPUTED_VALUE"""),23.0)</f>
        <v>23</v>
      </c>
      <c r="D2521" s="6">
        <f>IFERROR(__xludf.DUMMYFUNCTION("""COMPUTED_VALUE"""),45682.0)</f>
        <v>45682</v>
      </c>
      <c r="E2521" s="7" t="str">
        <f>IFERROR(__xludf.DUMMYFUNCTION("""COMPUTED_VALUE"""),"FRANQUIA_D&amp;G_SP")</f>
        <v>FRANQUIA_D&amp;G_SP</v>
      </c>
      <c r="F2521" s="7" t="str">
        <f>IFERROR(__xludf.DUMMYFUNCTION("""COMPUTED_VALUE"""),"BICYCLE")</f>
        <v>BICYCLE</v>
      </c>
      <c r="G2521" s="7" t="str">
        <f>IFERROR(__xludf.DUMMYFUNCTION("""COMPUTED_VALUE"""),"SAO PAULO")</f>
        <v>SAO PAULO</v>
      </c>
    </row>
    <row r="2522">
      <c r="A2522" s="6">
        <f>IFERROR(__xludf.DUMMYFUNCTION("""COMPUTED_VALUE"""),45705.0)</f>
        <v>45705</v>
      </c>
      <c r="B2522" s="7" t="str">
        <f>IFERROR(__xludf.DUMMYFUNCTION("""COMPUTED_VALUE"""),"2634347f-7ed2-498b-b070-4e0d7a667096")</f>
        <v>2634347f-7ed2-498b-b070-4e0d7a667096</v>
      </c>
      <c r="C2522" s="7">
        <f>IFERROR(__xludf.DUMMYFUNCTION("""COMPUTED_VALUE"""),38.0)</f>
        <v>38</v>
      </c>
      <c r="D2522" s="6">
        <f>IFERROR(__xludf.DUMMYFUNCTION("""COMPUTED_VALUE"""),45667.0)</f>
        <v>45667</v>
      </c>
      <c r="E2522" s="7" t="str">
        <f>IFERROR(__xludf.DUMMYFUNCTION("""COMPUTED_VALUE"""),"FRANQUIA_D&amp;G_SP")</f>
        <v>FRANQUIA_D&amp;G_SP</v>
      </c>
      <c r="F2522" s="7" t="str">
        <f>IFERROR(__xludf.DUMMYFUNCTION("""COMPUTED_VALUE"""),"BICYCLE")</f>
        <v>BICYCLE</v>
      </c>
      <c r="G2522" s="7" t="str">
        <f>IFERROR(__xludf.DUMMYFUNCTION("""COMPUTED_VALUE"""),"SAO PAULO")</f>
        <v>SAO PAULO</v>
      </c>
    </row>
    <row r="2523">
      <c r="A2523" s="6">
        <f>IFERROR(__xludf.DUMMYFUNCTION("""COMPUTED_VALUE"""),45705.0)</f>
        <v>45705</v>
      </c>
      <c r="B2523" s="7" t="str">
        <f>IFERROR(__xludf.DUMMYFUNCTION("""COMPUTED_VALUE"""),"9d49904c-1e84-4d43-8942-c126147b6b70")</f>
        <v>9d49904c-1e84-4d43-8942-c126147b6b70</v>
      </c>
      <c r="C2523" s="7">
        <f>IFERROR(__xludf.DUMMYFUNCTION("""COMPUTED_VALUE"""),0.0)</f>
        <v>0</v>
      </c>
      <c r="D2523" s="6">
        <f>IFERROR(__xludf.DUMMYFUNCTION("""COMPUTED_VALUE"""),45705.0)</f>
        <v>45705</v>
      </c>
      <c r="E2523" s="7" t="str">
        <f>IFERROR(__xludf.DUMMYFUNCTION("""COMPUTED_VALUE"""),"FRANQUIA_D&amp;G_SP")</f>
        <v>FRANQUIA_D&amp;G_SP</v>
      </c>
      <c r="F2523" s="7" t="str">
        <f>IFERROR(__xludf.DUMMYFUNCTION("""COMPUTED_VALUE"""),"MOTORCYCLE")</f>
        <v>MOTORCYCLE</v>
      </c>
      <c r="G2523" s="7" t="str">
        <f>IFERROR(__xludf.DUMMYFUNCTION("""COMPUTED_VALUE"""),"SAO PAULO")</f>
        <v>SAO PAULO</v>
      </c>
    </row>
    <row r="2524">
      <c r="A2524" s="6">
        <f>IFERROR(__xludf.DUMMYFUNCTION("""COMPUTED_VALUE"""),45705.0)</f>
        <v>45705</v>
      </c>
      <c r="B2524" s="7" t="str">
        <f>IFERROR(__xludf.DUMMYFUNCTION("""COMPUTED_VALUE"""),"bab59193-23b2-4691-80bb-cb88af0219fe")</f>
        <v>bab59193-23b2-4691-80bb-cb88af0219fe</v>
      </c>
      <c r="C2524" s="7">
        <f>IFERROR(__xludf.DUMMYFUNCTION("""COMPUTED_VALUE"""),312.0)</f>
        <v>312</v>
      </c>
      <c r="D2524" s="6">
        <f>IFERROR(__xludf.DUMMYFUNCTION("""COMPUTED_VALUE"""),45393.0)</f>
        <v>45393</v>
      </c>
      <c r="E2524" s="7" t="str">
        <f>IFERROR(__xludf.DUMMYFUNCTION("""COMPUTED_VALUE"""),"FRANQUIA_D&amp;G_SP")</f>
        <v>FRANQUIA_D&amp;G_SP</v>
      </c>
      <c r="F2524" s="7" t="str">
        <f>IFERROR(__xludf.DUMMYFUNCTION("""COMPUTED_VALUE"""),"MOTORCYCLE")</f>
        <v>MOTORCYCLE</v>
      </c>
      <c r="G2524" s="7" t="str">
        <f>IFERROR(__xludf.DUMMYFUNCTION("""COMPUTED_VALUE"""),"SAO PAULO")</f>
        <v>SAO PAULO</v>
      </c>
    </row>
    <row r="2525">
      <c r="A2525" s="6">
        <f>IFERROR(__xludf.DUMMYFUNCTION("""COMPUTED_VALUE"""),45705.0)</f>
        <v>45705</v>
      </c>
      <c r="B2525" s="7" t="str">
        <f>IFERROR(__xludf.DUMMYFUNCTION("""COMPUTED_VALUE"""),"b249c837-fcca-4bc8-9d8a-bed007c79cd1")</f>
        <v>b249c837-fcca-4bc8-9d8a-bed007c79cd1</v>
      </c>
      <c r="C2525" s="7">
        <f>IFERROR(__xludf.DUMMYFUNCTION("""COMPUTED_VALUE"""),2.0)</f>
        <v>2</v>
      </c>
      <c r="D2525" s="6">
        <f>IFERROR(__xludf.DUMMYFUNCTION("""COMPUTED_VALUE"""),45703.0)</f>
        <v>45703</v>
      </c>
      <c r="E2525" s="7" t="str">
        <f>IFERROR(__xludf.DUMMYFUNCTION("""COMPUTED_VALUE"""),"FRANQUIA_D&amp;G_SP")</f>
        <v>FRANQUIA_D&amp;G_SP</v>
      </c>
      <c r="F2525" s="7" t="str">
        <f>IFERROR(__xludf.DUMMYFUNCTION("""COMPUTED_VALUE"""),"MOTORCYCLE")</f>
        <v>MOTORCYCLE</v>
      </c>
      <c r="G2525" s="7" t="str">
        <f>IFERROR(__xludf.DUMMYFUNCTION("""COMPUTED_VALUE"""),"SAO PAULO")</f>
        <v>SAO PAULO</v>
      </c>
    </row>
    <row r="2526">
      <c r="A2526" s="6">
        <f>IFERROR(__xludf.DUMMYFUNCTION("""COMPUTED_VALUE"""),45705.0)</f>
        <v>45705</v>
      </c>
      <c r="B2526" s="7" t="str">
        <f>IFERROR(__xludf.DUMMYFUNCTION("""COMPUTED_VALUE"""),"da46696c-e9ce-4626-9217-a6c63b7ef99d")</f>
        <v>da46696c-e9ce-4626-9217-a6c63b7ef99d</v>
      </c>
      <c r="C2526" s="7">
        <f>IFERROR(__xludf.DUMMYFUNCTION("""COMPUTED_VALUE"""),0.0)</f>
        <v>0</v>
      </c>
      <c r="D2526" s="6">
        <f>IFERROR(__xludf.DUMMYFUNCTION("""COMPUTED_VALUE"""),45705.0)</f>
        <v>45705</v>
      </c>
      <c r="E2526" s="7" t="str">
        <f>IFERROR(__xludf.DUMMYFUNCTION("""COMPUTED_VALUE"""),"FRANQUIA_D&amp;G_SP")</f>
        <v>FRANQUIA_D&amp;G_SP</v>
      </c>
      <c r="F2526" s="7" t="str">
        <f>IFERROR(__xludf.DUMMYFUNCTION("""COMPUTED_VALUE"""),"MOTORCYCLE")</f>
        <v>MOTORCYCLE</v>
      </c>
      <c r="G2526" s="7" t="str">
        <f>IFERROR(__xludf.DUMMYFUNCTION("""COMPUTED_VALUE"""),"SAO PAULO")</f>
        <v>SAO PAULO</v>
      </c>
    </row>
    <row r="2527">
      <c r="A2527" s="6">
        <f>IFERROR(__xludf.DUMMYFUNCTION("""COMPUTED_VALUE"""),45705.0)</f>
        <v>45705</v>
      </c>
      <c r="B2527" s="7" t="str">
        <f>IFERROR(__xludf.DUMMYFUNCTION("""COMPUTED_VALUE"""),"82053076-1adc-46ee-8220-8444321c1b86")</f>
        <v>82053076-1adc-46ee-8220-8444321c1b86</v>
      </c>
      <c r="C2527" s="7">
        <f>IFERROR(__xludf.DUMMYFUNCTION("""COMPUTED_VALUE"""),185.0)</f>
        <v>185</v>
      </c>
      <c r="D2527" s="6">
        <f>IFERROR(__xludf.DUMMYFUNCTION("""COMPUTED_VALUE"""),45520.0)</f>
        <v>45520</v>
      </c>
      <c r="E2527" s="7" t="str">
        <f>IFERROR(__xludf.DUMMYFUNCTION("""COMPUTED_VALUE"""),"FRANQUIA_D&amp;G_SP")</f>
        <v>FRANQUIA_D&amp;G_SP</v>
      </c>
      <c r="F2527" s="7" t="str">
        <f>IFERROR(__xludf.DUMMYFUNCTION("""COMPUTED_VALUE"""),"MOTORCYCLE")</f>
        <v>MOTORCYCLE</v>
      </c>
      <c r="G2527" s="7" t="str">
        <f>IFERROR(__xludf.DUMMYFUNCTION("""COMPUTED_VALUE"""),"SAO PAULO")</f>
        <v>SAO PAULO</v>
      </c>
    </row>
    <row r="2528">
      <c r="A2528" s="6">
        <f>IFERROR(__xludf.DUMMYFUNCTION("""COMPUTED_VALUE"""),45705.0)</f>
        <v>45705</v>
      </c>
      <c r="B2528" s="7" t="str">
        <f>IFERROR(__xludf.DUMMYFUNCTION("""COMPUTED_VALUE"""),"6fc05e37-bd81-49a1-a8bd-515dfd456a55")</f>
        <v>6fc05e37-bd81-49a1-a8bd-515dfd456a55</v>
      </c>
      <c r="C2528" s="7">
        <f>IFERROR(__xludf.DUMMYFUNCTION("""COMPUTED_VALUE"""),0.0)</f>
        <v>0</v>
      </c>
      <c r="D2528" s="6">
        <f>IFERROR(__xludf.DUMMYFUNCTION("""COMPUTED_VALUE"""),45705.0)</f>
        <v>45705</v>
      </c>
      <c r="E2528" s="7" t="str">
        <f>IFERROR(__xludf.DUMMYFUNCTION("""COMPUTED_VALUE"""),"FRANQUIA_D&amp;G_SP")</f>
        <v>FRANQUIA_D&amp;G_SP</v>
      </c>
      <c r="F2528" s="7" t="str">
        <f>IFERROR(__xludf.DUMMYFUNCTION("""COMPUTED_VALUE"""),"BICYCLE")</f>
        <v>BICYCLE</v>
      </c>
      <c r="G2528" s="7" t="str">
        <f>IFERROR(__xludf.DUMMYFUNCTION("""COMPUTED_VALUE"""),"SAO PAULO")</f>
        <v>SAO PAULO</v>
      </c>
    </row>
    <row r="2529">
      <c r="A2529" s="6">
        <f>IFERROR(__xludf.DUMMYFUNCTION("""COMPUTED_VALUE"""),45705.0)</f>
        <v>45705</v>
      </c>
      <c r="B2529" s="7" t="str">
        <f>IFERROR(__xludf.DUMMYFUNCTION("""COMPUTED_VALUE"""),"5f2d6d5a-4f2e-4ff3-9e34-3cafda28015e")</f>
        <v>5f2d6d5a-4f2e-4ff3-9e34-3cafda28015e</v>
      </c>
      <c r="C2529" s="7">
        <f>IFERROR(__xludf.DUMMYFUNCTION("""COMPUTED_VALUE"""),0.0)</f>
        <v>0</v>
      </c>
      <c r="D2529" s="6">
        <f>IFERROR(__xludf.DUMMYFUNCTION("""COMPUTED_VALUE"""),45705.0)</f>
        <v>45705</v>
      </c>
      <c r="E2529" s="7" t="str">
        <f>IFERROR(__xludf.DUMMYFUNCTION("""COMPUTED_VALUE"""),"FRANQUIA_D&amp;G_SP")</f>
        <v>FRANQUIA_D&amp;G_SP</v>
      </c>
      <c r="F2529" s="7" t="str">
        <f>IFERROR(__xludf.DUMMYFUNCTION("""COMPUTED_VALUE"""),"MOTORCYCLE")</f>
        <v>MOTORCYCLE</v>
      </c>
      <c r="G2529" s="7" t="str">
        <f>IFERROR(__xludf.DUMMYFUNCTION("""COMPUTED_VALUE"""),"SAO PAULO")</f>
        <v>SAO PAULO</v>
      </c>
    </row>
    <row r="2530">
      <c r="A2530" s="6">
        <f>IFERROR(__xludf.DUMMYFUNCTION("""COMPUTED_VALUE"""),45705.0)</f>
        <v>45705</v>
      </c>
      <c r="B2530" s="7" t="str">
        <f>IFERROR(__xludf.DUMMYFUNCTION("""COMPUTED_VALUE"""),"ed60d289-b005-4653-81e6-282e8a74731e")</f>
        <v>ed60d289-b005-4653-81e6-282e8a74731e</v>
      </c>
      <c r="C2530" s="7">
        <f>IFERROR(__xludf.DUMMYFUNCTION("""COMPUTED_VALUE"""),0.0)</f>
        <v>0</v>
      </c>
      <c r="D2530" s="6">
        <f>IFERROR(__xludf.DUMMYFUNCTION("""COMPUTED_VALUE"""),45705.0)</f>
        <v>45705</v>
      </c>
      <c r="E2530" s="7" t="str">
        <f>IFERROR(__xludf.DUMMYFUNCTION("""COMPUTED_VALUE"""),"FRANQUIA_D&amp;G_SP")</f>
        <v>FRANQUIA_D&amp;G_SP</v>
      </c>
      <c r="F2530" s="7" t="str">
        <f>IFERROR(__xludf.DUMMYFUNCTION("""COMPUTED_VALUE"""),"MOTORCYCLE")</f>
        <v>MOTORCYCLE</v>
      </c>
      <c r="G2530" s="7" t="str">
        <f>IFERROR(__xludf.DUMMYFUNCTION("""COMPUTED_VALUE"""),"SAO PAULO")</f>
        <v>SAO PAULO</v>
      </c>
    </row>
    <row r="2531">
      <c r="A2531" s="6">
        <f>IFERROR(__xludf.DUMMYFUNCTION("""COMPUTED_VALUE"""),45705.0)</f>
        <v>45705</v>
      </c>
      <c r="B2531" s="7" t="str">
        <f>IFERROR(__xludf.DUMMYFUNCTION("""COMPUTED_VALUE"""),"859838bd-0e46-4545-ae8b-0e38ba46304b")</f>
        <v>859838bd-0e46-4545-ae8b-0e38ba46304b</v>
      </c>
      <c r="C2531" s="7">
        <f>IFERROR(__xludf.DUMMYFUNCTION("""COMPUTED_VALUE"""),68.0)</f>
        <v>68</v>
      </c>
      <c r="D2531" s="6">
        <f>IFERROR(__xludf.DUMMYFUNCTION("""COMPUTED_VALUE"""),45637.0)</f>
        <v>45637</v>
      </c>
      <c r="E2531" s="7" t="str">
        <f>IFERROR(__xludf.DUMMYFUNCTION("""COMPUTED_VALUE"""),"FRANQUIA_D&amp;G_SP")</f>
        <v>FRANQUIA_D&amp;G_SP</v>
      </c>
      <c r="F2531" s="7" t="str">
        <f>IFERROR(__xludf.DUMMYFUNCTION("""COMPUTED_VALUE"""),"MOTORCYCLE")</f>
        <v>MOTORCYCLE</v>
      </c>
      <c r="G2531" s="7" t="str">
        <f>IFERROR(__xludf.DUMMYFUNCTION("""COMPUTED_VALUE"""),"SAO PAULO")</f>
        <v>SAO PAULO</v>
      </c>
    </row>
    <row r="2532">
      <c r="A2532" s="6">
        <f>IFERROR(__xludf.DUMMYFUNCTION("""COMPUTED_VALUE"""),45705.0)</f>
        <v>45705</v>
      </c>
      <c r="B2532" s="7" t="str">
        <f>IFERROR(__xludf.DUMMYFUNCTION("""COMPUTED_VALUE"""),"b6dd2d21-2b7e-4df2-a9f8-f191f3f94bb0")</f>
        <v>b6dd2d21-2b7e-4df2-a9f8-f191f3f94bb0</v>
      </c>
      <c r="C2532" s="7">
        <f>IFERROR(__xludf.DUMMYFUNCTION("""COMPUTED_VALUE"""),21.0)</f>
        <v>21</v>
      </c>
      <c r="D2532" s="6">
        <f>IFERROR(__xludf.DUMMYFUNCTION("""COMPUTED_VALUE"""),45684.0)</f>
        <v>45684</v>
      </c>
      <c r="E2532" s="7" t="str">
        <f>IFERROR(__xludf.DUMMYFUNCTION("""COMPUTED_VALUE"""),"FRANQUIA_D&amp;G_SP")</f>
        <v>FRANQUIA_D&amp;G_SP</v>
      </c>
      <c r="F2532" s="7" t="str">
        <f>IFERROR(__xludf.DUMMYFUNCTION("""COMPUTED_VALUE"""),"BICYCLE")</f>
        <v>BICYCLE</v>
      </c>
      <c r="G2532" s="7" t="str">
        <f>IFERROR(__xludf.DUMMYFUNCTION("""COMPUTED_VALUE"""),"ABC")</f>
        <v>ABC</v>
      </c>
    </row>
    <row r="2533">
      <c r="A2533" s="6">
        <f>IFERROR(__xludf.DUMMYFUNCTION("""COMPUTED_VALUE"""),45705.0)</f>
        <v>45705</v>
      </c>
      <c r="B2533" s="7" t="str">
        <f>IFERROR(__xludf.DUMMYFUNCTION("""COMPUTED_VALUE"""),"edc6f40f-ec86-4f11-8b28-5e72ff42e703")</f>
        <v>edc6f40f-ec86-4f11-8b28-5e72ff42e703</v>
      </c>
      <c r="C2533" s="7">
        <f>IFERROR(__xludf.DUMMYFUNCTION("""COMPUTED_VALUE"""),32.0)</f>
        <v>32</v>
      </c>
      <c r="D2533" s="6">
        <f>IFERROR(__xludf.DUMMYFUNCTION("""COMPUTED_VALUE"""),45673.0)</f>
        <v>45673</v>
      </c>
      <c r="E2533" s="7" t="str">
        <f>IFERROR(__xludf.DUMMYFUNCTION("""COMPUTED_VALUE"""),"FRANQUIA_D&amp;G_SP")</f>
        <v>FRANQUIA_D&amp;G_SP</v>
      </c>
      <c r="F2533" s="7" t="str">
        <f>IFERROR(__xludf.DUMMYFUNCTION("""COMPUTED_VALUE"""),"BICYCLE")</f>
        <v>BICYCLE</v>
      </c>
      <c r="G2533" s="7" t="str">
        <f>IFERROR(__xludf.DUMMYFUNCTION("""COMPUTED_VALUE"""),"BARUERI")</f>
        <v>BARUERI</v>
      </c>
    </row>
    <row r="2534">
      <c r="A2534" s="6">
        <f>IFERROR(__xludf.DUMMYFUNCTION("""COMPUTED_VALUE"""),45705.0)</f>
        <v>45705</v>
      </c>
      <c r="B2534" s="7" t="str">
        <f>IFERROR(__xludf.DUMMYFUNCTION("""COMPUTED_VALUE"""),"b6516b4c-22aa-4812-afbc-d4e67c5c3618")</f>
        <v>b6516b4c-22aa-4812-afbc-d4e67c5c3618</v>
      </c>
      <c r="C2534" s="7">
        <f>IFERROR(__xludf.DUMMYFUNCTION("""COMPUTED_VALUE"""),21.0)</f>
        <v>21</v>
      </c>
      <c r="D2534" s="6">
        <f>IFERROR(__xludf.DUMMYFUNCTION("""COMPUTED_VALUE"""),45684.0)</f>
        <v>45684</v>
      </c>
      <c r="E2534" s="7" t="str">
        <f>IFERROR(__xludf.DUMMYFUNCTION("""COMPUTED_VALUE"""),"FRANQUIA_D&amp;G_SP")</f>
        <v>FRANQUIA_D&amp;G_SP</v>
      </c>
      <c r="F2534" s="7" t="str">
        <f>IFERROR(__xludf.DUMMYFUNCTION("""COMPUTED_VALUE"""),"MOTORCYCLE")</f>
        <v>MOTORCYCLE</v>
      </c>
      <c r="G2534" s="7" t="str">
        <f>IFERROR(__xludf.DUMMYFUNCTION("""COMPUTED_VALUE"""),"SAO PAULO")</f>
        <v>SAO PAULO</v>
      </c>
    </row>
    <row r="2535">
      <c r="A2535" s="6">
        <f>IFERROR(__xludf.DUMMYFUNCTION("""COMPUTED_VALUE"""),45705.0)</f>
        <v>45705</v>
      </c>
      <c r="B2535" s="7" t="str">
        <f>IFERROR(__xludf.DUMMYFUNCTION("""COMPUTED_VALUE"""),"e6093d5b-bb39-4fa6-a1da-ec28f1075958")</f>
        <v>e6093d5b-bb39-4fa6-a1da-ec28f1075958</v>
      </c>
      <c r="C2535" s="7">
        <f>IFERROR(__xludf.DUMMYFUNCTION("""COMPUTED_VALUE"""),0.0)</f>
        <v>0</v>
      </c>
      <c r="D2535" s="6">
        <f>IFERROR(__xludf.DUMMYFUNCTION("""COMPUTED_VALUE"""),45705.0)</f>
        <v>45705</v>
      </c>
      <c r="E2535" s="7" t="str">
        <f>IFERROR(__xludf.DUMMYFUNCTION("""COMPUTED_VALUE"""),"FRANQUIA_D&amp;G_SP")</f>
        <v>FRANQUIA_D&amp;G_SP</v>
      </c>
      <c r="F2535" s="7" t="str">
        <f>IFERROR(__xludf.DUMMYFUNCTION("""COMPUTED_VALUE"""),"MOTORCYCLE")</f>
        <v>MOTORCYCLE</v>
      </c>
      <c r="G2535" s="7" t="str">
        <f>IFERROR(__xludf.DUMMYFUNCTION("""COMPUTED_VALUE"""),"SAO PAULO")</f>
        <v>SAO PAULO</v>
      </c>
    </row>
    <row r="2536">
      <c r="A2536" s="6">
        <f>IFERROR(__xludf.DUMMYFUNCTION("""COMPUTED_VALUE"""),45705.0)</f>
        <v>45705</v>
      </c>
      <c r="B2536" s="7" t="str">
        <f>IFERROR(__xludf.DUMMYFUNCTION("""COMPUTED_VALUE"""),"71779520-a663-4b9c-a951-c692b89e31f1")</f>
        <v>71779520-a663-4b9c-a951-c692b89e31f1</v>
      </c>
      <c r="C2536" s="7">
        <f>IFERROR(__xludf.DUMMYFUNCTION("""COMPUTED_VALUE"""),0.0)</f>
        <v>0</v>
      </c>
      <c r="D2536" s="6">
        <f>IFERROR(__xludf.DUMMYFUNCTION("""COMPUTED_VALUE"""),45705.0)</f>
        <v>45705</v>
      </c>
      <c r="E2536" s="7" t="str">
        <f>IFERROR(__xludf.DUMMYFUNCTION("""COMPUTED_VALUE"""),"FRANQUIA_D&amp;G_SP")</f>
        <v>FRANQUIA_D&amp;G_SP</v>
      </c>
      <c r="F2536" s="7" t="str">
        <f>IFERROR(__xludf.DUMMYFUNCTION("""COMPUTED_VALUE"""),"MOTORCYCLE")</f>
        <v>MOTORCYCLE</v>
      </c>
      <c r="G2536" s="7" t="str">
        <f>IFERROR(__xludf.DUMMYFUNCTION("""COMPUTED_VALUE"""),"SAO PAULO")</f>
        <v>SAO PAULO</v>
      </c>
    </row>
    <row r="2537">
      <c r="A2537" s="6">
        <f>IFERROR(__xludf.DUMMYFUNCTION("""COMPUTED_VALUE"""),45705.0)</f>
        <v>45705</v>
      </c>
      <c r="B2537" s="7" t="str">
        <f>IFERROR(__xludf.DUMMYFUNCTION("""COMPUTED_VALUE"""),"0fe38ab8-3497-46fc-af4c-be6eda07225f")</f>
        <v>0fe38ab8-3497-46fc-af4c-be6eda07225f</v>
      </c>
      <c r="C2537" s="7">
        <f>IFERROR(__xludf.DUMMYFUNCTION("""COMPUTED_VALUE"""),0.0)</f>
        <v>0</v>
      </c>
      <c r="D2537" s="6">
        <f>IFERROR(__xludf.DUMMYFUNCTION("""COMPUTED_VALUE"""),45705.0)</f>
        <v>45705</v>
      </c>
      <c r="E2537" s="7" t="str">
        <f>IFERROR(__xludf.DUMMYFUNCTION("""COMPUTED_VALUE"""),"FRANQUIA_D&amp;G_SP")</f>
        <v>FRANQUIA_D&amp;G_SP</v>
      </c>
      <c r="F2537" s="7" t="str">
        <f>IFERROR(__xludf.DUMMYFUNCTION("""COMPUTED_VALUE"""),"BICYCLE")</f>
        <v>BICYCLE</v>
      </c>
      <c r="G2537" s="7" t="str">
        <f>IFERROR(__xludf.DUMMYFUNCTION("""COMPUTED_VALUE"""),"SAO PAULO")</f>
        <v>SAO PAULO</v>
      </c>
    </row>
    <row r="2538">
      <c r="A2538" s="6">
        <f>IFERROR(__xludf.DUMMYFUNCTION("""COMPUTED_VALUE"""),45705.0)</f>
        <v>45705</v>
      </c>
      <c r="B2538" s="7" t="str">
        <f>IFERROR(__xludf.DUMMYFUNCTION("""COMPUTED_VALUE"""),"c1f951ee-bfd9-4054-a0b1-c6d6634b0b07")</f>
        <v>c1f951ee-bfd9-4054-a0b1-c6d6634b0b07</v>
      </c>
      <c r="C2538" s="7">
        <f>IFERROR(__xludf.DUMMYFUNCTION("""COMPUTED_VALUE"""),0.0)</f>
        <v>0</v>
      </c>
      <c r="D2538" s="6">
        <f>IFERROR(__xludf.DUMMYFUNCTION("""COMPUTED_VALUE"""),45705.0)</f>
        <v>45705</v>
      </c>
      <c r="E2538" s="7" t="str">
        <f>IFERROR(__xludf.DUMMYFUNCTION("""COMPUTED_VALUE"""),"FRANQUIA_D&amp;G_SP")</f>
        <v>FRANQUIA_D&amp;G_SP</v>
      </c>
      <c r="F2538" s="7" t="str">
        <f>IFERROR(__xludf.DUMMYFUNCTION("""COMPUTED_VALUE"""),"BICYCLE")</f>
        <v>BICYCLE</v>
      </c>
      <c r="G2538" s="7" t="str">
        <f>IFERROR(__xludf.DUMMYFUNCTION("""COMPUTED_VALUE"""),"SAO PAULO")</f>
        <v>SAO PAULO</v>
      </c>
    </row>
    <row r="2539">
      <c r="A2539" s="6">
        <f>IFERROR(__xludf.DUMMYFUNCTION("""COMPUTED_VALUE"""),45705.0)</f>
        <v>45705</v>
      </c>
      <c r="B2539" s="7" t="str">
        <f>IFERROR(__xludf.DUMMYFUNCTION("""COMPUTED_VALUE"""),"95258cb9-217c-4d9f-b7f2-4f427e3af16f")</f>
        <v>95258cb9-217c-4d9f-b7f2-4f427e3af16f</v>
      </c>
      <c r="C2539" s="7">
        <f>IFERROR(__xludf.DUMMYFUNCTION("""COMPUTED_VALUE"""),243.0)</f>
        <v>243</v>
      </c>
      <c r="D2539" s="6">
        <f>IFERROR(__xludf.DUMMYFUNCTION("""COMPUTED_VALUE"""),45462.0)</f>
        <v>45462</v>
      </c>
      <c r="E2539" s="7" t="str">
        <f>IFERROR(__xludf.DUMMYFUNCTION("""COMPUTED_VALUE"""),"FRANQUIA_D&amp;G_SP")</f>
        <v>FRANQUIA_D&amp;G_SP</v>
      </c>
      <c r="F2539" s="7" t="str">
        <f>IFERROR(__xludf.DUMMYFUNCTION("""COMPUTED_VALUE"""),"BICYCLE")</f>
        <v>BICYCLE</v>
      </c>
      <c r="G2539" s="7" t="str">
        <f>IFERROR(__xludf.DUMMYFUNCTION("""COMPUTED_VALUE"""),"SAO PAULO")</f>
        <v>SAO PAULO</v>
      </c>
    </row>
    <row r="2540">
      <c r="A2540" s="6">
        <f>IFERROR(__xludf.DUMMYFUNCTION("""COMPUTED_VALUE"""),45705.0)</f>
        <v>45705</v>
      </c>
      <c r="B2540" s="7" t="str">
        <f>IFERROR(__xludf.DUMMYFUNCTION("""COMPUTED_VALUE"""),"297eecde-98b6-44c8-9386-0f398820a0b1")</f>
        <v>297eecde-98b6-44c8-9386-0f398820a0b1</v>
      </c>
      <c r="C2540" s="7">
        <f>IFERROR(__xludf.DUMMYFUNCTION("""COMPUTED_VALUE"""),2.0)</f>
        <v>2</v>
      </c>
      <c r="D2540" s="6">
        <f>IFERROR(__xludf.DUMMYFUNCTION("""COMPUTED_VALUE"""),45703.0)</f>
        <v>45703</v>
      </c>
      <c r="E2540" s="7" t="str">
        <f>IFERROR(__xludf.DUMMYFUNCTION("""COMPUTED_VALUE"""),"FRANQUIA_D&amp;G_SP")</f>
        <v>FRANQUIA_D&amp;G_SP</v>
      </c>
      <c r="F2540" s="7" t="str">
        <f>IFERROR(__xludf.DUMMYFUNCTION("""COMPUTED_VALUE"""),"MOTORCYCLE")</f>
        <v>MOTORCYCLE</v>
      </c>
      <c r="G2540" s="7" t="str">
        <f>IFERROR(__xludf.DUMMYFUNCTION("""COMPUTED_VALUE"""),"SAO PAULO")</f>
        <v>SAO PAULO</v>
      </c>
    </row>
    <row r="2541">
      <c r="A2541" s="6">
        <f>IFERROR(__xludf.DUMMYFUNCTION("""COMPUTED_VALUE"""),45705.0)</f>
        <v>45705</v>
      </c>
      <c r="B2541" s="7" t="str">
        <f>IFERROR(__xludf.DUMMYFUNCTION("""COMPUTED_VALUE"""),"609bffde-eedc-4d25-a4fe-c27569f875e3")</f>
        <v>609bffde-eedc-4d25-a4fe-c27569f875e3</v>
      </c>
      <c r="C2541" s="7">
        <f>IFERROR(__xludf.DUMMYFUNCTION("""COMPUTED_VALUE"""),0.0)</f>
        <v>0</v>
      </c>
      <c r="D2541" s="6">
        <f>IFERROR(__xludf.DUMMYFUNCTION("""COMPUTED_VALUE"""),45705.0)</f>
        <v>45705</v>
      </c>
      <c r="E2541" s="7" t="str">
        <f>IFERROR(__xludf.DUMMYFUNCTION("""COMPUTED_VALUE"""),"FRANQUIA_D&amp;G_SP")</f>
        <v>FRANQUIA_D&amp;G_SP</v>
      </c>
      <c r="F2541" s="7" t="str">
        <f>IFERROR(__xludf.DUMMYFUNCTION("""COMPUTED_VALUE"""),"MOTORCYCLE")</f>
        <v>MOTORCYCLE</v>
      </c>
      <c r="G2541" s="7" t="str">
        <f>IFERROR(__xludf.DUMMYFUNCTION("""COMPUTED_VALUE"""),"SAO PAULO")</f>
        <v>SAO PAULO</v>
      </c>
    </row>
    <row r="2542">
      <c r="A2542" s="6">
        <f>IFERROR(__xludf.DUMMYFUNCTION("""COMPUTED_VALUE"""),45705.0)</f>
        <v>45705</v>
      </c>
      <c r="B2542" s="7" t="str">
        <f>IFERROR(__xludf.DUMMYFUNCTION("""COMPUTED_VALUE"""),"da942997-5833-4f17-b798-896f62a74ad3")</f>
        <v>da942997-5833-4f17-b798-896f62a74ad3</v>
      </c>
      <c r="C2542" s="7">
        <f>IFERROR(__xludf.DUMMYFUNCTION("""COMPUTED_VALUE"""),461.0)</f>
        <v>461</v>
      </c>
      <c r="D2542" s="6">
        <f>IFERROR(__xludf.DUMMYFUNCTION("""COMPUTED_VALUE"""),45244.0)</f>
        <v>45244</v>
      </c>
      <c r="E2542" s="7" t="str">
        <f>IFERROR(__xludf.DUMMYFUNCTION("""COMPUTED_VALUE"""),"FRANQUIA_D&amp;G_SP")</f>
        <v>FRANQUIA_D&amp;G_SP</v>
      </c>
      <c r="F2542" s="7" t="str">
        <f>IFERROR(__xludf.DUMMYFUNCTION("""COMPUTED_VALUE"""),"BICYCLE")</f>
        <v>BICYCLE</v>
      </c>
      <c r="G2542" s="7" t="str">
        <f>IFERROR(__xludf.DUMMYFUNCTION("""COMPUTED_VALUE"""),"SAO PAULO")</f>
        <v>SAO PAULO</v>
      </c>
    </row>
    <row r="2543">
      <c r="A2543" s="6">
        <f>IFERROR(__xludf.DUMMYFUNCTION("""COMPUTED_VALUE"""),45705.0)</f>
        <v>45705</v>
      </c>
      <c r="B2543" s="7" t="str">
        <f>IFERROR(__xludf.DUMMYFUNCTION("""COMPUTED_VALUE"""),"b350780e-69e4-40d9-a157-414cb2d05e59")</f>
        <v>b350780e-69e4-40d9-a157-414cb2d05e59</v>
      </c>
      <c r="C2543" s="7">
        <f>IFERROR(__xludf.DUMMYFUNCTION("""COMPUTED_VALUE"""),0.0)</f>
        <v>0</v>
      </c>
      <c r="D2543" s="6">
        <f>IFERROR(__xludf.DUMMYFUNCTION("""COMPUTED_VALUE"""),45705.0)</f>
        <v>45705</v>
      </c>
      <c r="E2543" s="7" t="str">
        <f>IFERROR(__xludf.DUMMYFUNCTION("""COMPUTED_VALUE"""),"FRANQUIA_D&amp;G_SP")</f>
        <v>FRANQUIA_D&amp;G_SP</v>
      </c>
      <c r="F2543" s="7" t="str">
        <f>IFERROR(__xludf.DUMMYFUNCTION("""COMPUTED_VALUE"""),"MOTORCYCLE")</f>
        <v>MOTORCYCLE</v>
      </c>
      <c r="G2543" s="7" t="str">
        <f>IFERROR(__xludf.DUMMYFUNCTION("""COMPUTED_VALUE"""),"SAO PAULO")</f>
        <v>SAO PAULO</v>
      </c>
    </row>
    <row r="2544">
      <c r="A2544" s="6">
        <f>IFERROR(__xludf.DUMMYFUNCTION("""COMPUTED_VALUE"""),45705.0)</f>
        <v>45705</v>
      </c>
      <c r="B2544" s="7" t="str">
        <f>IFERROR(__xludf.DUMMYFUNCTION("""COMPUTED_VALUE"""),"f19ccc67-4ae3-4a30-af46-e2950d466a40")</f>
        <v>f19ccc67-4ae3-4a30-af46-e2950d466a40</v>
      </c>
      <c r="C2544" s="7">
        <f>IFERROR(__xludf.DUMMYFUNCTION("""COMPUTED_VALUE"""),0.0)</f>
        <v>0</v>
      </c>
      <c r="D2544" s="6">
        <f>IFERROR(__xludf.DUMMYFUNCTION("""COMPUTED_VALUE"""),45705.0)</f>
        <v>45705</v>
      </c>
      <c r="E2544" s="7" t="str">
        <f>IFERROR(__xludf.DUMMYFUNCTION("""COMPUTED_VALUE"""),"FRANQUIA_D&amp;G_SP")</f>
        <v>FRANQUIA_D&amp;G_SP</v>
      </c>
      <c r="F2544" s="7" t="str">
        <f>IFERROR(__xludf.DUMMYFUNCTION("""COMPUTED_VALUE"""),"BICYCLE")</f>
        <v>BICYCLE</v>
      </c>
      <c r="G2544" s="7" t="str">
        <f>IFERROR(__xludf.DUMMYFUNCTION("""COMPUTED_VALUE"""),"SAO PAULO")</f>
        <v>SAO PAULO</v>
      </c>
    </row>
    <row r="2545">
      <c r="A2545" s="6">
        <f>IFERROR(__xludf.DUMMYFUNCTION("""COMPUTED_VALUE"""),45705.0)</f>
        <v>45705</v>
      </c>
      <c r="B2545" s="7" t="str">
        <f>IFERROR(__xludf.DUMMYFUNCTION("""COMPUTED_VALUE"""),"0500851d-a0b4-4ebf-b2f9-3d36ea2b412a")</f>
        <v>0500851d-a0b4-4ebf-b2f9-3d36ea2b412a</v>
      </c>
      <c r="C2545" s="7">
        <f>IFERROR(__xludf.DUMMYFUNCTION("""COMPUTED_VALUE"""),5.0)</f>
        <v>5</v>
      </c>
      <c r="D2545" s="6">
        <f>IFERROR(__xludf.DUMMYFUNCTION("""COMPUTED_VALUE"""),45700.0)</f>
        <v>45700</v>
      </c>
      <c r="E2545" s="7" t="str">
        <f>IFERROR(__xludf.DUMMYFUNCTION("""COMPUTED_VALUE"""),"FRANQUIA_D&amp;G_SP")</f>
        <v>FRANQUIA_D&amp;G_SP</v>
      </c>
      <c r="F2545" s="7" t="str">
        <f>IFERROR(__xludf.DUMMYFUNCTION("""COMPUTED_VALUE"""),"MOTORCYCLE")</f>
        <v>MOTORCYCLE</v>
      </c>
      <c r="G2545" s="7" t="str">
        <f>IFERROR(__xludf.DUMMYFUNCTION("""COMPUTED_VALUE"""),"SAO PAULO")</f>
        <v>SAO PAULO</v>
      </c>
    </row>
    <row r="2546">
      <c r="A2546" s="6">
        <f>IFERROR(__xludf.DUMMYFUNCTION("""COMPUTED_VALUE"""),45705.0)</f>
        <v>45705</v>
      </c>
      <c r="B2546" s="7" t="str">
        <f>IFERROR(__xludf.DUMMYFUNCTION("""COMPUTED_VALUE"""),"c90ddc99-2559-49ba-a80f-8ea89bd57fdb")</f>
        <v>c90ddc99-2559-49ba-a80f-8ea89bd57fdb</v>
      </c>
      <c r="C2546" s="7">
        <f>IFERROR(__xludf.DUMMYFUNCTION("""COMPUTED_VALUE"""),0.0)</f>
        <v>0</v>
      </c>
      <c r="D2546" s="6">
        <f>IFERROR(__xludf.DUMMYFUNCTION("""COMPUTED_VALUE"""),45705.0)</f>
        <v>45705</v>
      </c>
      <c r="E2546" s="7" t="str">
        <f>IFERROR(__xludf.DUMMYFUNCTION("""COMPUTED_VALUE"""),"FRANQUIA_D&amp;G_SP")</f>
        <v>FRANQUIA_D&amp;G_SP</v>
      </c>
      <c r="F2546" s="7" t="str">
        <f>IFERROR(__xludf.DUMMYFUNCTION("""COMPUTED_VALUE"""),"MOTORCYCLE")</f>
        <v>MOTORCYCLE</v>
      </c>
      <c r="G2546" s="7" t="str">
        <f>IFERROR(__xludf.DUMMYFUNCTION("""COMPUTED_VALUE"""),"SAO PAULO")</f>
        <v>SAO PAULO</v>
      </c>
    </row>
    <row r="2547">
      <c r="A2547" s="6">
        <f>IFERROR(__xludf.DUMMYFUNCTION("""COMPUTED_VALUE"""),45705.0)</f>
        <v>45705</v>
      </c>
      <c r="B2547" s="7" t="str">
        <f>IFERROR(__xludf.DUMMYFUNCTION("""COMPUTED_VALUE"""),"558d37dc-042a-4a23-a880-69ea516bcb9f")</f>
        <v>558d37dc-042a-4a23-a880-69ea516bcb9f</v>
      </c>
      <c r="C2547" s="7">
        <f>IFERROR(__xludf.DUMMYFUNCTION("""COMPUTED_VALUE"""),53.0)</f>
        <v>53</v>
      </c>
      <c r="D2547" s="6">
        <f>IFERROR(__xludf.DUMMYFUNCTION("""COMPUTED_VALUE"""),45652.0)</f>
        <v>45652</v>
      </c>
      <c r="E2547" s="7" t="str">
        <f>IFERROR(__xludf.DUMMYFUNCTION("""COMPUTED_VALUE"""),"FRANQUIA_D&amp;G_SP")</f>
        <v>FRANQUIA_D&amp;G_SP</v>
      </c>
      <c r="F2547" s="7" t="str">
        <f>IFERROR(__xludf.DUMMYFUNCTION("""COMPUTED_VALUE"""),"MOTORCYCLE")</f>
        <v>MOTORCYCLE</v>
      </c>
      <c r="G2547" s="7" t="str">
        <f>IFERROR(__xludf.DUMMYFUNCTION("""COMPUTED_VALUE"""),"MAUA")</f>
        <v>MAUA</v>
      </c>
    </row>
    <row r="2548">
      <c r="A2548" s="6">
        <f>IFERROR(__xludf.DUMMYFUNCTION("""COMPUTED_VALUE"""),45705.0)</f>
        <v>45705</v>
      </c>
      <c r="B2548" s="7" t="str">
        <f>IFERROR(__xludf.DUMMYFUNCTION("""COMPUTED_VALUE"""),"d0d13789-ff5a-4a0b-aba4-c348e1b824e7")</f>
        <v>d0d13789-ff5a-4a0b-aba4-c348e1b824e7</v>
      </c>
      <c r="C2548" s="7">
        <f>IFERROR(__xludf.DUMMYFUNCTION("""COMPUTED_VALUE"""),28.0)</f>
        <v>28</v>
      </c>
      <c r="D2548" s="6">
        <f>IFERROR(__xludf.DUMMYFUNCTION("""COMPUTED_VALUE"""),45677.0)</f>
        <v>45677</v>
      </c>
      <c r="E2548" s="7" t="str">
        <f>IFERROR(__xludf.DUMMYFUNCTION("""COMPUTED_VALUE"""),"FRANQUIA_D&amp;G_SP")</f>
        <v>FRANQUIA_D&amp;G_SP</v>
      </c>
      <c r="F2548" s="7" t="str">
        <f>IFERROR(__xludf.DUMMYFUNCTION("""COMPUTED_VALUE"""),"MOTORCYCLE")</f>
        <v>MOTORCYCLE</v>
      </c>
      <c r="G2548" s="7" t="str">
        <f>IFERROR(__xludf.DUMMYFUNCTION("""COMPUTED_VALUE"""),"SAO PAULO")</f>
        <v>SAO PAULO</v>
      </c>
    </row>
    <row r="2549">
      <c r="A2549" s="6">
        <f>IFERROR(__xludf.DUMMYFUNCTION("""COMPUTED_VALUE"""),45705.0)</f>
        <v>45705</v>
      </c>
      <c r="B2549" s="7" t="str">
        <f>IFERROR(__xludf.DUMMYFUNCTION("""COMPUTED_VALUE"""),"0260646f-2adb-4438-bce9-eabd423ae4da")</f>
        <v>0260646f-2adb-4438-bce9-eabd423ae4da</v>
      </c>
      <c r="C2549" s="7">
        <f>IFERROR(__xludf.DUMMYFUNCTION("""COMPUTED_VALUE"""),93.0)</f>
        <v>93</v>
      </c>
      <c r="D2549" s="6">
        <f>IFERROR(__xludf.DUMMYFUNCTION("""COMPUTED_VALUE"""),45612.0)</f>
        <v>45612</v>
      </c>
      <c r="E2549" s="7" t="str">
        <f>IFERROR(__xludf.DUMMYFUNCTION("""COMPUTED_VALUE"""),"FRANQUIA_D&amp;G_SP")</f>
        <v>FRANQUIA_D&amp;G_SP</v>
      </c>
      <c r="F2549" s="7" t="str">
        <f>IFERROR(__xludf.DUMMYFUNCTION("""COMPUTED_VALUE"""),"BICYCLE")</f>
        <v>BICYCLE</v>
      </c>
      <c r="G2549" s="7" t="str">
        <f>IFERROR(__xludf.DUMMYFUNCTION("""COMPUTED_VALUE"""),"SAO PAULO")</f>
        <v>SAO PAULO</v>
      </c>
    </row>
    <row r="2550">
      <c r="A2550" s="6">
        <f>IFERROR(__xludf.DUMMYFUNCTION("""COMPUTED_VALUE"""),45705.0)</f>
        <v>45705</v>
      </c>
      <c r="B2550" s="7" t="str">
        <f>IFERROR(__xludf.DUMMYFUNCTION("""COMPUTED_VALUE"""),"b0dbdde5-19a6-4465-9a3c-77972c8020a4")</f>
        <v>b0dbdde5-19a6-4465-9a3c-77972c8020a4</v>
      </c>
      <c r="C2550" s="7">
        <f>IFERROR(__xludf.DUMMYFUNCTION("""COMPUTED_VALUE"""),70.0)</f>
        <v>70</v>
      </c>
      <c r="D2550" s="6">
        <f>IFERROR(__xludf.DUMMYFUNCTION("""COMPUTED_VALUE"""),45635.0)</f>
        <v>45635</v>
      </c>
      <c r="E2550" s="7" t="str">
        <f>IFERROR(__xludf.DUMMYFUNCTION("""COMPUTED_VALUE"""),"FRANQUIA_D&amp;G_SP")</f>
        <v>FRANQUIA_D&amp;G_SP</v>
      </c>
      <c r="F2550" s="7" t="str">
        <f>IFERROR(__xludf.DUMMYFUNCTION("""COMPUTED_VALUE"""),"BICYCLE")</f>
        <v>BICYCLE</v>
      </c>
      <c r="G2550" s="7" t="str">
        <f>IFERROR(__xludf.DUMMYFUNCTION("""COMPUTED_VALUE"""),"SAO PAULO")</f>
        <v>SAO PAULO</v>
      </c>
    </row>
    <row r="2551">
      <c r="A2551" s="6">
        <f>IFERROR(__xludf.DUMMYFUNCTION("""COMPUTED_VALUE"""),45705.0)</f>
        <v>45705</v>
      </c>
      <c r="B2551" s="7" t="str">
        <f>IFERROR(__xludf.DUMMYFUNCTION("""COMPUTED_VALUE"""),"a5f67fcf-ea4a-41dd-b6ad-e75baaf60b8c")</f>
        <v>a5f67fcf-ea4a-41dd-b6ad-e75baaf60b8c</v>
      </c>
      <c r="C2551" s="7">
        <f>IFERROR(__xludf.DUMMYFUNCTION("""COMPUTED_VALUE"""),592.0)</f>
        <v>592</v>
      </c>
      <c r="D2551" s="6">
        <f>IFERROR(__xludf.DUMMYFUNCTION("""COMPUTED_VALUE"""),45113.0)</f>
        <v>45113</v>
      </c>
      <c r="E2551" s="7" t="str">
        <f>IFERROR(__xludf.DUMMYFUNCTION("""COMPUTED_VALUE"""),"FRANQUIA_D&amp;G_SP")</f>
        <v>FRANQUIA_D&amp;G_SP</v>
      </c>
      <c r="F2551" s="7" t="str">
        <f>IFERROR(__xludf.DUMMYFUNCTION("""COMPUTED_VALUE"""),"BICYCLE")</f>
        <v>BICYCLE</v>
      </c>
      <c r="G2551" s="7" t="str">
        <f>IFERROR(__xludf.DUMMYFUNCTION("""COMPUTED_VALUE"""),"SAO PAULO")</f>
        <v>SAO PAULO</v>
      </c>
    </row>
    <row r="2552">
      <c r="A2552" s="6">
        <f>IFERROR(__xludf.DUMMYFUNCTION("""COMPUTED_VALUE"""),45705.0)</f>
        <v>45705</v>
      </c>
      <c r="B2552" s="7" t="str">
        <f>IFERROR(__xludf.DUMMYFUNCTION("""COMPUTED_VALUE"""),"d5b74094-0f0e-4ad2-95b9-f97067bddb2e")</f>
        <v>d5b74094-0f0e-4ad2-95b9-f97067bddb2e</v>
      </c>
      <c r="C2552" s="7">
        <f>IFERROR(__xludf.DUMMYFUNCTION("""COMPUTED_VALUE"""),0.0)</f>
        <v>0</v>
      </c>
      <c r="D2552" s="6">
        <f>IFERROR(__xludf.DUMMYFUNCTION("""COMPUTED_VALUE"""),45705.0)</f>
        <v>45705</v>
      </c>
      <c r="E2552" s="7" t="str">
        <f>IFERROR(__xludf.DUMMYFUNCTION("""COMPUTED_VALUE"""),"FRANQUIA_D&amp;G_SP")</f>
        <v>FRANQUIA_D&amp;G_SP</v>
      </c>
      <c r="F2552" s="7" t="str">
        <f>IFERROR(__xludf.DUMMYFUNCTION("""COMPUTED_VALUE"""),"MOTORCYCLE")</f>
        <v>MOTORCYCLE</v>
      </c>
      <c r="G2552" s="7" t="str">
        <f>IFERROR(__xludf.DUMMYFUNCTION("""COMPUTED_VALUE"""),"SAO PAULO")</f>
        <v>SAO PAULO</v>
      </c>
    </row>
    <row r="2553">
      <c r="A2553" s="6">
        <f>IFERROR(__xludf.DUMMYFUNCTION("""COMPUTED_VALUE"""),45705.0)</f>
        <v>45705</v>
      </c>
      <c r="B2553" s="7" t="str">
        <f>IFERROR(__xludf.DUMMYFUNCTION("""COMPUTED_VALUE"""),"b3bd035f-fc51-4eb8-81cc-4d12772da40b")</f>
        <v>b3bd035f-fc51-4eb8-81cc-4d12772da40b</v>
      </c>
      <c r="C2553" s="7">
        <f>IFERROR(__xludf.DUMMYFUNCTION("""COMPUTED_VALUE"""),0.0)</f>
        <v>0</v>
      </c>
      <c r="D2553" s="6">
        <f>IFERROR(__xludf.DUMMYFUNCTION("""COMPUTED_VALUE"""),45705.0)</f>
        <v>45705</v>
      </c>
      <c r="E2553" s="7" t="str">
        <f>IFERROR(__xludf.DUMMYFUNCTION("""COMPUTED_VALUE"""),"FRANQUIA_D&amp;G_SP")</f>
        <v>FRANQUIA_D&amp;G_SP</v>
      </c>
      <c r="F2553" s="7" t="str">
        <f>IFERROR(__xludf.DUMMYFUNCTION("""COMPUTED_VALUE"""),"EBIKE")</f>
        <v>EBIKE</v>
      </c>
      <c r="G2553" s="7" t="str">
        <f>IFERROR(__xludf.DUMMYFUNCTION("""COMPUTED_VALUE"""),"SAO PAULO")</f>
        <v>SAO PAULO</v>
      </c>
    </row>
    <row r="2554">
      <c r="A2554" s="6">
        <f>IFERROR(__xludf.DUMMYFUNCTION("""COMPUTED_VALUE"""),45705.0)</f>
        <v>45705</v>
      </c>
      <c r="B2554" s="7" t="str">
        <f>IFERROR(__xludf.DUMMYFUNCTION("""COMPUTED_VALUE"""),"e0360ca9-8530-4b31-b87d-ff648abae275")</f>
        <v>e0360ca9-8530-4b31-b87d-ff648abae275</v>
      </c>
      <c r="C2554" s="7">
        <f>IFERROR(__xludf.DUMMYFUNCTION("""COMPUTED_VALUE"""),210.0)</f>
        <v>210</v>
      </c>
      <c r="D2554" s="6">
        <f>IFERROR(__xludf.DUMMYFUNCTION("""COMPUTED_VALUE"""),45495.0)</f>
        <v>45495</v>
      </c>
      <c r="E2554" s="7" t="str">
        <f>IFERROR(__xludf.DUMMYFUNCTION("""COMPUTED_VALUE"""),"FRANQUIA_D&amp;G_SP")</f>
        <v>FRANQUIA_D&amp;G_SP</v>
      </c>
      <c r="F2554" s="7" t="str">
        <f>IFERROR(__xludf.DUMMYFUNCTION("""COMPUTED_VALUE"""),"MOTORCYCLE")</f>
        <v>MOTORCYCLE</v>
      </c>
      <c r="G2554" s="7" t="str">
        <f>IFERROR(__xludf.DUMMYFUNCTION("""COMPUTED_VALUE"""),"SAO PAULO")</f>
        <v>SAO PAULO</v>
      </c>
    </row>
    <row r="2555">
      <c r="A2555" s="6">
        <f>IFERROR(__xludf.DUMMYFUNCTION("""COMPUTED_VALUE"""),45705.0)</f>
        <v>45705</v>
      </c>
      <c r="B2555" s="7" t="str">
        <f>IFERROR(__xludf.DUMMYFUNCTION("""COMPUTED_VALUE"""),"f3ffc861-5a35-4295-9955-fd160b41ae60")</f>
        <v>f3ffc861-5a35-4295-9955-fd160b41ae60</v>
      </c>
      <c r="C2555" s="7">
        <f>IFERROR(__xludf.DUMMYFUNCTION("""COMPUTED_VALUE"""),42.0)</f>
        <v>42</v>
      </c>
      <c r="D2555" s="6">
        <f>IFERROR(__xludf.DUMMYFUNCTION("""COMPUTED_VALUE"""),45663.0)</f>
        <v>45663</v>
      </c>
      <c r="E2555" s="7" t="str">
        <f>IFERROR(__xludf.DUMMYFUNCTION("""COMPUTED_VALUE"""),"FRANQUIA_D&amp;G_SP")</f>
        <v>FRANQUIA_D&amp;G_SP</v>
      </c>
      <c r="F2555" s="7" t="str">
        <f>IFERROR(__xludf.DUMMYFUNCTION("""COMPUTED_VALUE"""),"MOTORCYCLE")</f>
        <v>MOTORCYCLE</v>
      </c>
      <c r="G2555" s="7" t="str">
        <f>IFERROR(__xludf.DUMMYFUNCTION("""COMPUTED_VALUE"""),"SAO PAULO")</f>
        <v>SAO PAULO</v>
      </c>
    </row>
    <row r="2556">
      <c r="A2556" s="6">
        <f>IFERROR(__xludf.DUMMYFUNCTION("""COMPUTED_VALUE"""),45705.0)</f>
        <v>45705</v>
      </c>
      <c r="B2556" s="7" t="str">
        <f>IFERROR(__xludf.DUMMYFUNCTION("""COMPUTED_VALUE"""),"663c86af-28c1-43aa-b667-68276c945ba9")</f>
        <v>663c86af-28c1-43aa-b667-68276c945ba9</v>
      </c>
      <c r="C2556" s="7">
        <f>IFERROR(__xludf.DUMMYFUNCTION("""COMPUTED_VALUE"""),6.0)</f>
        <v>6</v>
      </c>
      <c r="D2556" s="6">
        <f>IFERROR(__xludf.DUMMYFUNCTION("""COMPUTED_VALUE"""),45699.0)</f>
        <v>45699</v>
      </c>
      <c r="E2556" s="7" t="str">
        <f>IFERROR(__xludf.DUMMYFUNCTION("""COMPUTED_VALUE"""),"FRANQUIA_D&amp;G_SP")</f>
        <v>FRANQUIA_D&amp;G_SP</v>
      </c>
      <c r="F2556" s="7" t="str">
        <f>IFERROR(__xludf.DUMMYFUNCTION("""COMPUTED_VALUE"""),"BICYCLE")</f>
        <v>BICYCLE</v>
      </c>
      <c r="G2556" s="7" t="str">
        <f>IFERROR(__xludf.DUMMYFUNCTION("""COMPUTED_VALUE"""),"SAO PAULO")</f>
        <v>SAO PAULO</v>
      </c>
    </row>
    <row r="2557">
      <c r="A2557" s="6">
        <f>IFERROR(__xludf.DUMMYFUNCTION("""COMPUTED_VALUE"""),45705.0)</f>
        <v>45705</v>
      </c>
      <c r="B2557" s="7" t="str">
        <f>IFERROR(__xludf.DUMMYFUNCTION("""COMPUTED_VALUE"""),"6051e48e-fc20-4761-837c-ab47954c0692")</f>
        <v>6051e48e-fc20-4761-837c-ab47954c0692</v>
      </c>
      <c r="C2557" s="7">
        <f>IFERROR(__xludf.DUMMYFUNCTION("""COMPUTED_VALUE"""),0.0)</f>
        <v>0</v>
      </c>
      <c r="D2557" s="6">
        <f>IFERROR(__xludf.DUMMYFUNCTION("""COMPUTED_VALUE"""),45705.0)</f>
        <v>45705</v>
      </c>
      <c r="E2557" s="7" t="str">
        <f>IFERROR(__xludf.DUMMYFUNCTION("""COMPUTED_VALUE"""),"FRANQUIA_D&amp;G_SP")</f>
        <v>FRANQUIA_D&amp;G_SP</v>
      </c>
      <c r="F2557" s="7" t="str">
        <f>IFERROR(__xludf.DUMMYFUNCTION("""COMPUTED_VALUE"""),"BICYCLE")</f>
        <v>BICYCLE</v>
      </c>
      <c r="G2557" s="7" t="str">
        <f>IFERROR(__xludf.DUMMYFUNCTION("""COMPUTED_VALUE"""),"SAO PAULO")</f>
        <v>SAO PAULO</v>
      </c>
    </row>
    <row r="2558">
      <c r="A2558" s="6">
        <f>IFERROR(__xludf.DUMMYFUNCTION("""COMPUTED_VALUE"""),45705.0)</f>
        <v>45705</v>
      </c>
      <c r="B2558" s="7" t="str">
        <f>IFERROR(__xludf.DUMMYFUNCTION("""COMPUTED_VALUE"""),"d222fbee-53c8-404b-ad21-2583bccc6415")</f>
        <v>d222fbee-53c8-404b-ad21-2583bccc6415</v>
      </c>
      <c r="C2558" s="7">
        <f>IFERROR(__xludf.DUMMYFUNCTION("""COMPUTED_VALUE"""),94.0)</f>
        <v>94</v>
      </c>
      <c r="D2558" s="6">
        <f>IFERROR(__xludf.DUMMYFUNCTION("""COMPUTED_VALUE"""),45611.0)</f>
        <v>45611</v>
      </c>
      <c r="E2558" s="7" t="str">
        <f>IFERROR(__xludf.DUMMYFUNCTION("""COMPUTED_VALUE"""),"FRANQUIA_D&amp;G_SP")</f>
        <v>FRANQUIA_D&amp;G_SP</v>
      </c>
      <c r="F2558" s="7" t="str">
        <f>IFERROR(__xludf.DUMMYFUNCTION("""COMPUTED_VALUE"""),"MOTORCYCLE")</f>
        <v>MOTORCYCLE</v>
      </c>
      <c r="G2558" s="7" t="str">
        <f>IFERROR(__xludf.DUMMYFUNCTION("""COMPUTED_VALUE"""),"SAO PAULO")</f>
        <v>SAO PAULO</v>
      </c>
    </row>
    <row r="2559">
      <c r="A2559" s="6">
        <f>IFERROR(__xludf.DUMMYFUNCTION("""COMPUTED_VALUE"""),45705.0)</f>
        <v>45705</v>
      </c>
      <c r="B2559" s="7" t="str">
        <f>IFERROR(__xludf.DUMMYFUNCTION("""COMPUTED_VALUE"""),"7a3651f8-5863-4265-8576-a274ec751679")</f>
        <v>7a3651f8-5863-4265-8576-a274ec751679</v>
      </c>
      <c r="C2559" s="7">
        <f>IFERROR(__xludf.DUMMYFUNCTION("""COMPUTED_VALUE"""),0.0)</f>
        <v>0</v>
      </c>
      <c r="D2559" s="6">
        <f>IFERROR(__xludf.DUMMYFUNCTION("""COMPUTED_VALUE"""),45705.0)</f>
        <v>45705</v>
      </c>
      <c r="E2559" s="7" t="str">
        <f>IFERROR(__xludf.DUMMYFUNCTION("""COMPUTED_VALUE"""),"FRANQUIA_D&amp;G_SP")</f>
        <v>FRANQUIA_D&amp;G_SP</v>
      </c>
      <c r="F2559" s="7" t="str">
        <f>IFERROR(__xludf.DUMMYFUNCTION("""COMPUTED_VALUE"""),"BICYCLE")</f>
        <v>BICYCLE</v>
      </c>
      <c r="G2559" s="7" t="str">
        <f>IFERROR(__xludf.DUMMYFUNCTION("""COMPUTED_VALUE"""),"SAO PAULO")</f>
        <v>SAO PAULO</v>
      </c>
    </row>
    <row r="2560">
      <c r="A2560" s="6">
        <f>IFERROR(__xludf.DUMMYFUNCTION("""COMPUTED_VALUE"""),45705.0)</f>
        <v>45705</v>
      </c>
      <c r="B2560" s="7" t="str">
        <f>IFERROR(__xludf.DUMMYFUNCTION("""COMPUTED_VALUE"""),"4b2165a3-1e21-4939-b3ab-1c27fdf264bf")</f>
        <v>4b2165a3-1e21-4939-b3ab-1c27fdf264bf</v>
      </c>
      <c r="C2560" s="7">
        <f>IFERROR(__xludf.DUMMYFUNCTION("""COMPUTED_VALUE"""),4.0)</f>
        <v>4</v>
      </c>
      <c r="D2560" s="6">
        <f>IFERROR(__xludf.DUMMYFUNCTION("""COMPUTED_VALUE"""),45701.0)</f>
        <v>45701</v>
      </c>
      <c r="E2560" s="7" t="str">
        <f>IFERROR(__xludf.DUMMYFUNCTION("""COMPUTED_VALUE"""),"FRANQUIA_D&amp;G_SP")</f>
        <v>FRANQUIA_D&amp;G_SP</v>
      </c>
      <c r="F2560" s="7" t="str">
        <f>IFERROR(__xludf.DUMMYFUNCTION("""COMPUTED_VALUE"""),"BICYCLE")</f>
        <v>BICYCLE</v>
      </c>
      <c r="G2560" s="7" t="str">
        <f>IFERROR(__xludf.DUMMYFUNCTION("""COMPUTED_VALUE"""),"SAO PAULO")</f>
        <v>SAO PAULO</v>
      </c>
    </row>
    <row r="2561">
      <c r="A2561" s="6">
        <f>IFERROR(__xludf.DUMMYFUNCTION("""COMPUTED_VALUE"""),45705.0)</f>
        <v>45705</v>
      </c>
      <c r="B2561" s="7" t="str">
        <f>IFERROR(__xludf.DUMMYFUNCTION("""COMPUTED_VALUE"""),"20614259-8583-4241-b9d9-4c36e61599e7")</f>
        <v>20614259-8583-4241-b9d9-4c36e61599e7</v>
      </c>
      <c r="C2561" s="7">
        <f>IFERROR(__xludf.DUMMYFUNCTION("""COMPUTED_VALUE"""),72.0)</f>
        <v>72</v>
      </c>
      <c r="D2561" s="6">
        <f>IFERROR(__xludf.DUMMYFUNCTION("""COMPUTED_VALUE"""),45633.0)</f>
        <v>45633</v>
      </c>
      <c r="E2561" s="7" t="str">
        <f>IFERROR(__xludf.DUMMYFUNCTION("""COMPUTED_VALUE"""),"FRANQUIA_D&amp;G_SP")</f>
        <v>FRANQUIA_D&amp;G_SP</v>
      </c>
      <c r="F2561" s="7" t="str">
        <f>IFERROR(__xludf.DUMMYFUNCTION("""COMPUTED_VALUE"""),"MOTORCYCLE")</f>
        <v>MOTORCYCLE</v>
      </c>
      <c r="G2561" s="7" t="str">
        <f>IFERROR(__xludf.DUMMYFUNCTION("""COMPUTED_VALUE"""),"ABC")</f>
        <v>ABC</v>
      </c>
    </row>
    <row r="2562">
      <c r="A2562" s="6">
        <f>IFERROR(__xludf.DUMMYFUNCTION("""COMPUTED_VALUE"""),45705.0)</f>
        <v>45705</v>
      </c>
      <c r="B2562" s="7" t="str">
        <f>IFERROR(__xludf.DUMMYFUNCTION("""COMPUTED_VALUE"""),"784ef6e0-5481-4536-8590-4e1475fcc38a")</f>
        <v>784ef6e0-5481-4536-8590-4e1475fcc38a</v>
      </c>
      <c r="C2562" s="7">
        <f>IFERROR(__xludf.DUMMYFUNCTION("""COMPUTED_VALUE"""),50.0)</f>
        <v>50</v>
      </c>
      <c r="D2562" s="6">
        <f>IFERROR(__xludf.DUMMYFUNCTION("""COMPUTED_VALUE"""),45655.0)</f>
        <v>45655</v>
      </c>
      <c r="E2562" s="7" t="str">
        <f>IFERROR(__xludf.DUMMYFUNCTION("""COMPUTED_VALUE"""),"FRANQUIA_D&amp;G_SP")</f>
        <v>FRANQUIA_D&amp;G_SP</v>
      </c>
      <c r="F2562" s="7" t="str">
        <f>IFERROR(__xludf.DUMMYFUNCTION("""COMPUTED_VALUE"""),"MOTORCYCLE")</f>
        <v>MOTORCYCLE</v>
      </c>
      <c r="G2562" s="7" t="str">
        <f>IFERROR(__xludf.DUMMYFUNCTION("""COMPUTED_VALUE"""),"SAO PAULO")</f>
        <v>SAO PAULO</v>
      </c>
    </row>
    <row r="2563">
      <c r="A2563" s="6">
        <f>IFERROR(__xludf.DUMMYFUNCTION("""COMPUTED_VALUE"""),45705.0)</f>
        <v>45705</v>
      </c>
      <c r="B2563" s="7" t="str">
        <f>IFERROR(__xludf.DUMMYFUNCTION("""COMPUTED_VALUE"""),"06daca2c-9568-4138-831e-e5ee05ff2ca8")</f>
        <v>06daca2c-9568-4138-831e-e5ee05ff2ca8</v>
      </c>
      <c r="C2563" s="7">
        <f>IFERROR(__xludf.DUMMYFUNCTION("""COMPUTED_VALUE"""),194.0)</f>
        <v>194</v>
      </c>
      <c r="D2563" s="6">
        <f>IFERROR(__xludf.DUMMYFUNCTION("""COMPUTED_VALUE"""),45511.0)</f>
        <v>45511</v>
      </c>
      <c r="E2563" s="7" t="str">
        <f>IFERROR(__xludf.DUMMYFUNCTION("""COMPUTED_VALUE"""),"FRANQUIA_D&amp;G_SP")</f>
        <v>FRANQUIA_D&amp;G_SP</v>
      </c>
      <c r="F2563" s="7" t="str">
        <f>IFERROR(__xludf.DUMMYFUNCTION("""COMPUTED_VALUE"""),"MOTORCYCLE")</f>
        <v>MOTORCYCLE</v>
      </c>
      <c r="G2563" s="7" t="str">
        <f>IFERROR(__xludf.DUMMYFUNCTION("""COMPUTED_VALUE"""),"SAO PAULO")</f>
        <v>SAO PAULO</v>
      </c>
    </row>
    <row r="2564">
      <c r="A2564" s="6">
        <f>IFERROR(__xludf.DUMMYFUNCTION("""COMPUTED_VALUE"""),45705.0)</f>
        <v>45705</v>
      </c>
      <c r="B2564" s="7" t="str">
        <f>IFERROR(__xludf.DUMMYFUNCTION("""COMPUTED_VALUE"""),"50d813c3-fe12-410f-82b2-6c8c5d8df0af")</f>
        <v>50d813c3-fe12-410f-82b2-6c8c5d8df0af</v>
      </c>
      <c r="C2564" s="7">
        <f>IFERROR(__xludf.DUMMYFUNCTION("""COMPUTED_VALUE"""),13.0)</f>
        <v>13</v>
      </c>
      <c r="D2564" s="6">
        <f>IFERROR(__xludf.DUMMYFUNCTION("""COMPUTED_VALUE"""),45692.0)</f>
        <v>45692</v>
      </c>
      <c r="E2564" s="7" t="str">
        <f>IFERROR(__xludf.DUMMYFUNCTION("""COMPUTED_VALUE"""),"FRANQUIA_D&amp;G_SP")</f>
        <v>FRANQUIA_D&amp;G_SP</v>
      </c>
      <c r="F2564" s="7" t="str">
        <f>IFERROR(__xludf.DUMMYFUNCTION("""COMPUTED_VALUE"""),"MOTORCYCLE")</f>
        <v>MOTORCYCLE</v>
      </c>
      <c r="G2564" s="7" t="str">
        <f>IFERROR(__xludf.DUMMYFUNCTION("""COMPUTED_VALUE"""),"SAO PAULO")</f>
        <v>SAO PAULO</v>
      </c>
    </row>
    <row r="2565">
      <c r="A2565" s="6">
        <f>IFERROR(__xludf.DUMMYFUNCTION("""COMPUTED_VALUE"""),45705.0)</f>
        <v>45705</v>
      </c>
      <c r="B2565" s="7" t="str">
        <f>IFERROR(__xludf.DUMMYFUNCTION("""COMPUTED_VALUE"""),"b43d2ce9-d1df-4732-831e-49c3b8586d97")</f>
        <v>b43d2ce9-d1df-4732-831e-49c3b8586d97</v>
      </c>
      <c r="C2565" s="7">
        <f>IFERROR(__xludf.DUMMYFUNCTION("""COMPUTED_VALUE"""),0.0)</f>
        <v>0</v>
      </c>
      <c r="D2565" s="6">
        <f>IFERROR(__xludf.DUMMYFUNCTION("""COMPUTED_VALUE"""),45705.0)</f>
        <v>45705</v>
      </c>
      <c r="E2565" s="7" t="str">
        <f>IFERROR(__xludf.DUMMYFUNCTION("""COMPUTED_VALUE"""),"FRANQUIA_D&amp;G_SP")</f>
        <v>FRANQUIA_D&amp;G_SP</v>
      </c>
      <c r="F2565" s="7" t="str">
        <f>IFERROR(__xludf.DUMMYFUNCTION("""COMPUTED_VALUE"""),"MOTORCYCLE")</f>
        <v>MOTORCYCLE</v>
      </c>
      <c r="G2565" s="7" t="str">
        <f>IFERROR(__xludf.DUMMYFUNCTION("""COMPUTED_VALUE"""),"SAO PAULO")</f>
        <v>SAO PAULO</v>
      </c>
    </row>
    <row r="2566">
      <c r="A2566" s="6">
        <f>IFERROR(__xludf.DUMMYFUNCTION("""COMPUTED_VALUE"""),45705.0)</f>
        <v>45705</v>
      </c>
      <c r="B2566" s="7" t="str">
        <f>IFERROR(__xludf.DUMMYFUNCTION("""COMPUTED_VALUE"""),"9ce119bf-f447-4d5f-a54d-313bd0042c0f")</f>
        <v>9ce119bf-f447-4d5f-a54d-313bd0042c0f</v>
      </c>
      <c r="C2566" s="7">
        <f>IFERROR(__xludf.DUMMYFUNCTION("""COMPUTED_VALUE"""),7.0)</f>
        <v>7</v>
      </c>
      <c r="D2566" s="6">
        <f>IFERROR(__xludf.DUMMYFUNCTION("""COMPUTED_VALUE"""),45698.0)</f>
        <v>45698</v>
      </c>
      <c r="E2566" s="7" t="str">
        <f>IFERROR(__xludf.DUMMYFUNCTION("""COMPUTED_VALUE"""),"FRANQUIA_D&amp;G_SP")</f>
        <v>FRANQUIA_D&amp;G_SP</v>
      </c>
      <c r="F2566" s="7" t="str">
        <f>IFERROR(__xludf.DUMMYFUNCTION("""COMPUTED_VALUE"""),"MOTORCYCLE")</f>
        <v>MOTORCYCLE</v>
      </c>
      <c r="G2566" s="7" t="str">
        <f>IFERROR(__xludf.DUMMYFUNCTION("""COMPUTED_VALUE"""),"SAO PAULO")</f>
        <v>SAO PAULO</v>
      </c>
    </row>
    <row r="2567">
      <c r="A2567" s="6">
        <f>IFERROR(__xludf.DUMMYFUNCTION("""COMPUTED_VALUE"""),45705.0)</f>
        <v>45705</v>
      </c>
      <c r="B2567" s="7" t="str">
        <f>IFERROR(__xludf.DUMMYFUNCTION("""COMPUTED_VALUE"""),"2f1740ee-af3f-4c06-a132-42dc7c99601a")</f>
        <v>2f1740ee-af3f-4c06-a132-42dc7c99601a</v>
      </c>
      <c r="C2567" s="7">
        <f>IFERROR(__xludf.DUMMYFUNCTION("""COMPUTED_VALUE"""),358.0)</f>
        <v>358</v>
      </c>
      <c r="D2567" s="6">
        <f>IFERROR(__xludf.DUMMYFUNCTION("""COMPUTED_VALUE"""),45347.0)</f>
        <v>45347</v>
      </c>
      <c r="E2567" s="7" t="str">
        <f>IFERROR(__xludf.DUMMYFUNCTION("""COMPUTED_VALUE"""),"FRANQUIA_D&amp;G_SP")</f>
        <v>FRANQUIA_D&amp;G_SP</v>
      </c>
      <c r="F2567" s="7" t="str">
        <f>IFERROR(__xludf.DUMMYFUNCTION("""COMPUTED_VALUE"""),"MOTORCYCLE")</f>
        <v>MOTORCYCLE</v>
      </c>
      <c r="G2567" s="7" t="str">
        <f>IFERROR(__xludf.DUMMYFUNCTION("""COMPUTED_VALUE"""),"SAO PAULO")</f>
        <v>SAO PAULO</v>
      </c>
    </row>
    <row r="2568">
      <c r="A2568" s="6">
        <f>IFERROR(__xludf.DUMMYFUNCTION("""COMPUTED_VALUE"""),45705.0)</f>
        <v>45705</v>
      </c>
      <c r="B2568" s="7" t="str">
        <f>IFERROR(__xludf.DUMMYFUNCTION("""COMPUTED_VALUE"""),"4821fb38-40c8-4804-a47a-194d30263977")</f>
        <v>4821fb38-40c8-4804-a47a-194d30263977</v>
      </c>
      <c r="C2568" s="7">
        <f>IFERROR(__xludf.DUMMYFUNCTION("""COMPUTED_VALUE"""),263.0)</f>
        <v>263</v>
      </c>
      <c r="D2568" s="6">
        <f>IFERROR(__xludf.DUMMYFUNCTION("""COMPUTED_VALUE"""),45442.0)</f>
        <v>45442</v>
      </c>
      <c r="E2568" s="7" t="str">
        <f>IFERROR(__xludf.DUMMYFUNCTION("""COMPUTED_VALUE"""),"FRANQUIA_D&amp;G_SP")</f>
        <v>FRANQUIA_D&amp;G_SP</v>
      </c>
      <c r="F2568" s="7" t="str">
        <f>IFERROR(__xludf.DUMMYFUNCTION("""COMPUTED_VALUE"""),"MOTORCYCLE")</f>
        <v>MOTORCYCLE</v>
      </c>
      <c r="G2568" s="7" t="str">
        <f>IFERROR(__xludf.DUMMYFUNCTION("""COMPUTED_VALUE"""),"SAO PAULO")</f>
        <v>SAO PAULO</v>
      </c>
    </row>
    <row r="2569">
      <c r="A2569" s="6">
        <f>IFERROR(__xludf.DUMMYFUNCTION("""COMPUTED_VALUE"""),45705.0)</f>
        <v>45705</v>
      </c>
      <c r="B2569" s="7" t="str">
        <f>IFERROR(__xludf.DUMMYFUNCTION("""COMPUTED_VALUE"""),"1413e33c-ed96-493e-bfbc-6541c061a649")</f>
        <v>1413e33c-ed96-493e-bfbc-6541c061a649</v>
      </c>
      <c r="C2569" s="7">
        <f>IFERROR(__xludf.DUMMYFUNCTION("""COMPUTED_VALUE"""),9.0)</f>
        <v>9</v>
      </c>
      <c r="D2569" s="6">
        <f>IFERROR(__xludf.DUMMYFUNCTION("""COMPUTED_VALUE"""),45696.0)</f>
        <v>45696</v>
      </c>
      <c r="E2569" s="7" t="str">
        <f>IFERROR(__xludf.DUMMYFUNCTION("""COMPUTED_VALUE"""),"FRANQUIA_D&amp;G_SP")</f>
        <v>FRANQUIA_D&amp;G_SP</v>
      </c>
      <c r="F2569" s="7" t="str">
        <f>IFERROR(__xludf.DUMMYFUNCTION("""COMPUTED_VALUE"""),"BICYCLE")</f>
        <v>BICYCLE</v>
      </c>
      <c r="G2569" s="7" t="str">
        <f>IFERROR(__xludf.DUMMYFUNCTION("""COMPUTED_VALUE"""),"SAO PAULO")</f>
        <v>SAO PAULO</v>
      </c>
    </row>
    <row r="2570">
      <c r="A2570" s="6">
        <f>IFERROR(__xludf.DUMMYFUNCTION("""COMPUTED_VALUE"""),45705.0)</f>
        <v>45705</v>
      </c>
      <c r="B2570" s="7" t="str">
        <f>IFERROR(__xludf.DUMMYFUNCTION("""COMPUTED_VALUE"""),"d1d4327d-b969-49de-8c72-826715f25344")</f>
        <v>d1d4327d-b969-49de-8c72-826715f25344</v>
      </c>
      <c r="C2570" s="7">
        <f>IFERROR(__xludf.DUMMYFUNCTION("""COMPUTED_VALUE"""),43.0)</f>
        <v>43</v>
      </c>
      <c r="D2570" s="6">
        <f>IFERROR(__xludf.DUMMYFUNCTION("""COMPUTED_VALUE"""),45662.0)</f>
        <v>45662</v>
      </c>
      <c r="E2570" s="7" t="str">
        <f>IFERROR(__xludf.DUMMYFUNCTION("""COMPUTED_VALUE"""),"FRANQUIA_D&amp;G_SP")</f>
        <v>FRANQUIA_D&amp;G_SP</v>
      </c>
      <c r="F2570" s="7" t="str">
        <f>IFERROR(__xludf.DUMMYFUNCTION("""COMPUTED_VALUE"""),"MOTORCYCLE")</f>
        <v>MOTORCYCLE</v>
      </c>
      <c r="G2570" s="7" t="str">
        <f>IFERROR(__xludf.DUMMYFUNCTION("""COMPUTED_VALUE"""),"SAO PAULO")</f>
        <v>SAO PAULO</v>
      </c>
    </row>
    <row r="2571">
      <c r="A2571" s="6">
        <f>IFERROR(__xludf.DUMMYFUNCTION("""COMPUTED_VALUE"""),45705.0)</f>
        <v>45705</v>
      </c>
      <c r="B2571" s="7" t="str">
        <f>IFERROR(__xludf.DUMMYFUNCTION("""COMPUTED_VALUE"""),"9d099466-793b-4a8f-a30c-ad877d5dac66")</f>
        <v>9d099466-793b-4a8f-a30c-ad877d5dac66</v>
      </c>
      <c r="C2571" s="7">
        <f>IFERROR(__xludf.DUMMYFUNCTION("""COMPUTED_VALUE"""),0.0)</f>
        <v>0</v>
      </c>
      <c r="D2571" s="6">
        <f>IFERROR(__xludf.DUMMYFUNCTION("""COMPUTED_VALUE"""),45705.0)</f>
        <v>45705</v>
      </c>
      <c r="E2571" s="7" t="str">
        <f>IFERROR(__xludf.DUMMYFUNCTION("""COMPUTED_VALUE"""),"FRANQUIA_D&amp;G_SP")</f>
        <v>FRANQUIA_D&amp;G_SP</v>
      </c>
      <c r="F2571" s="7" t="str">
        <f>IFERROR(__xludf.DUMMYFUNCTION("""COMPUTED_VALUE"""),"MOTORCYCLE")</f>
        <v>MOTORCYCLE</v>
      </c>
      <c r="G2571" s="7" t="str">
        <f>IFERROR(__xludf.DUMMYFUNCTION("""COMPUTED_VALUE"""),"SAO PAULO")</f>
        <v>SAO PAULO</v>
      </c>
    </row>
    <row r="2572">
      <c r="A2572" s="6">
        <f>IFERROR(__xludf.DUMMYFUNCTION("""COMPUTED_VALUE"""),45705.0)</f>
        <v>45705</v>
      </c>
      <c r="B2572" s="7" t="str">
        <f>IFERROR(__xludf.DUMMYFUNCTION("""COMPUTED_VALUE"""),"6c4ce310-93b0-4d30-b286-353318650d84")</f>
        <v>6c4ce310-93b0-4d30-b286-353318650d84</v>
      </c>
      <c r="C2572" s="7">
        <f>IFERROR(__xludf.DUMMYFUNCTION("""COMPUTED_VALUE"""),416.0)</f>
        <v>416</v>
      </c>
      <c r="D2572" s="6">
        <f>IFERROR(__xludf.DUMMYFUNCTION("""COMPUTED_VALUE"""),45289.0)</f>
        <v>45289</v>
      </c>
      <c r="E2572" s="7" t="str">
        <f>IFERROR(__xludf.DUMMYFUNCTION("""COMPUTED_VALUE"""),"FRANQUIA_D&amp;G_SP")</f>
        <v>FRANQUIA_D&amp;G_SP</v>
      </c>
      <c r="F2572" s="7" t="str">
        <f>IFERROR(__xludf.DUMMYFUNCTION("""COMPUTED_VALUE"""),"MOTORCYCLE")</f>
        <v>MOTORCYCLE</v>
      </c>
      <c r="G2572" s="7" t="str">
        <f>IFERROR(__xludf.DUMMYFUNCTION("""COMPUTED_VALUE"""),"SAO PAULO")</f>
        <v>SAO PAULO</v>
      </c>
    </row>
    <row r="2573">
      <c r="A2573" s="6">
        <f>IFERROR(__xludf.DUMMYFUNCTION("""COMPUTED_VALUE"""),45705.0)</f>
        <v>45705</v>
      </c>
      <c r="B2573" s="7" t="str">
        <f>IFERROR(__xludf.DUMMYFUNCTION("""COMPUTED_VALUE"""),"6800029c-7d4b-48c9-8e8d-3ec5396b0d29")</f>
        <v>6800029c-7d4b-48c9-8e8d-3ec5396b0d29</v>
      </c>
      <c r="C2573" s="7">
        <f>IFERROR(__xludf.DUMMYFUNCTION("""COMPUTED_VALUE"""),2.0)</f>
        <v>2</v>
      </c>
      <c r="D2573" s="6">
        <f>IFERROR(__xludf.DUMMYFUNCTION("""COMPUTED_VALUE"""),45703.0)</f>
        <v>45703</v>
      </c>
      <c r="E2573" s="7" t="str">
        <f>IFERROR(__xludf.DUMMYFUNCTION("""COMPUTED_VALUE"""),"FRANQUIA_D&amp;G_SP")</f>
        <v>FRANQUIA_D&amp;G_SP</v>
      </c>
      <c r="F2573" s="7" t="str">
        <f>IFERROR(__xludf.DUMMYFUNCTION("""COMPUTED_VALUE"""),"BICYCLE")</f>
        <v>BICYCLE</v>
      </c>
      <c r="G2573" s="7" t="str">
        <f>IFERROR(__xludf.DUMMYFUNCTION("""COMPUTED_VALUE"""),"SAO PAULO")</f>
        <v>SAO PAULO</v>
      </c>
    </row>
    <row r="2574">
      <c r="A2574" s="6">
        <f>IFERROR(__xludf.DUMMYFUNCTION("""COMPUTED_VALUE"""),45705.0)</f>
        <v>45705</v>
      </c>
      <c r="B2574" s="7" t="str">
        <f>IFERROR(__xludf.DUMMYFUNCTION("""COMPUTED_VALUE"""),"21fd90c8-581f-434e-9245-b7c1aa534ca5")</f>
        <v>21fd90c8-581f-434e-9245-b7c1aa534ca5</v>
      </c>
      <c r="C2574" s="7">
        <f>IFERROR(__xludf.DUMMYFUNCTION("""COMPUTED_VALUE"""),0.0)</f>
        <v>0</v>
      </c>
      <c r="D2574" s="6">
        <f>IFERROR(__xludf.DUMMYFUNCTION("""COMPUTED_VALUE"""),45705.0)</f>
        <v>45705</v>
      </c>
      <c r="E2574" s="7" t="str">
        <f>IFERROR(__xludf.DUMMYFUNCTION("""COMPUTED_VALUE"""),"FRANQUIA_D&amp;G_SP")</f>
        <v>FRANQUIA_D&amp;G_SP</v>
      </c>
      <c r="F2574" s="7" t="str">
        <f>IFERROR(__xludf.DUMMYFUNCTION("""COMPUTED_VALUE"""),"MOTORCYCLE")</f>
        <v>MOTORCYCLE</v>
      </c>
      <c r="G2574" s="7" t="str">
        <f>IFERROR(__xludf.DUMMYFUNCTION("""COMPUTED_VALUE"""),"RECIFE")</f>
        <v>RECIFE</v>
      </c>
    </row>
    <row r="2575">
      <c r="A2575" s="6">
        <f>IFERROR(__xludf.DUMMYFUNCTION("""COMPUTED_VALUE"""),45705.0)</f>
        <v>45705</v>
      </c>
      <c r="B2575" s="7" t="str">
        <f>IFERROR(__xludf.DUMMYFUNCTION("""COMPUTED_VALUE"""),"b0c3c042-c488-454b-95c1-a2da6e5f2a50")</f>
        <v>b0c3c042-c488-454b-95c1-a2da6e5f2a50</v>
      </c>
      <c r="C2575" s="7">
        <f>IFERROR(__xludf.DUMMYFUNCTION("""COMPUTED_VALUE"""),409.0)</f>
        <v>409</v>
      </c>
      <c r="D2575" s="6">
        <f>IFERROR(__xludf.DUMMYFUNCTION("""COMPUTED_VALUE"""),45296.0)</f>
        <v>45296</v>
      </c>
      <c r="E2575" s="7" t="str">
        <f>IFERROR(__xludf.DUMMYFUNCTION("""COMPUTED_VALUE"""),"FRANQUIA_D&amp;G_SP")</f>
        <v>FRANQUIA_D&amp;G_SP</v>
      </c>
      <c r="F2575" s="7" t="str">
        <f>IFERROR(__xludf.DUMMYFUNCTION("""COMPUTED_VALUE"""),"BICYCLE")</f>
        <v>BICYCLE</v>
      </c>
      <c r="G2575" s="7" t="str">
        <f>IFERROR(__xludf.DUMMYFUNCTION("""COMPUTED_VALUE"""),"SAO PAULO")</f>
        <v>SAO PAULO</v>
      </c>
    </row>
    <row r="2576">
      <c r="A2576" s="6">
        <f>IFERROR(__xludf.DUMMYFUNCTION("""COMPUTED_VALUE"""),45705.0)</f>
        <v>45705</v>
      </c>
      <c r="B2576" s="7" t="str">
        <f>IFERROR(__xludf.DUMMYFUNCTION("""COMPUTED_VALUE"""),"fe2bbfc9-eced-48b7-ae9c-902bf48dab95")</f>
        <v>fe2bbfc9-eced-48b7-ae9c-902bf48dab95</v>
      </c>
      <c r="C2576" s="7">
        <f>IFERROR(__xludf.DUMMYFUNCTION("""COMPUTED_VALUE"""),2.0)</f>
        <v>2</v>
      </c>
      <c r="D2576" s="6">
        <f>IFERROR(__xludf.DUMMYFUNCTION("""COMPUTED_VALUE"""),45703.0)</f>
        <v>45703</v>
      </c>
      <c r="E2576" s="7" t="str">
        <f>IFERROR(__xludf.DUMMYFUNCTION("""COMPUTED_VALUE"""),"FRANQUIA_D&amp;G_SP")</f>
        <v>FRANQUIA_D&amp;G_SP</v>
      </c>
      <c r="F2576" s="7" t="str">
        <f>IFERROR(__xludf.DUMMYFUNCTION("""COMPUTED_VALUE"""),"BICYCLE")</f>
        <v>BICYCLE</v>
      </c>
      <c r="G2576" s="7" t="str">
        <f>IFERROR(__xludf.DUMMYFUNCTION("""COMPUTED_VALUE"""),"SAO PAULO")</f>
        <v>SAO PAULO</v>
      </c>
    </row>
    <row r="2577">
      <c r="A2577" s="6">
        <f>IFERROR(__xludf.DUMMYFUNCTION("""COMPUTED_VALUE"""),45705.0)</f>
        <v>45705</v>
      </c>
      <c r="B2577" s="7" t="str">
        <f>IFERROR(__xludf.DUMMYFUNCTION("""COMPUTED_VALUE"""),"62ad4d91-0fd3-4f19-bd9b-60dc45be5c1e")</f>
        <v>62ad4d91-0fd3-4f19-bd9b-60dc45be5c1e</v>
      </c>
      <c r="C2577" s="7">
        <f>IFERROR(__xludf.DUMMYFUNCTION("""COMPUTED_VALUE"""),426.0)</f>
        <v>426</v>
      </c>
      <c r="D2577" s="6">
        <f>IFERROR(__xludf.DUMMYFUNCTION("""COMPUTED_VALUE"""),45279.0)</f>
        <v>45279</v>
      </c>
      <c r="E2577" s="7" t="str">
        <f>IFERROR(__xludf.DUMMYFUNCTION("""COMPUTED_VALUE"""),"FRANQUIA_D&amp;G_SP")</f>
        <v>FRANQUIA_D&amp;G_SP</v>
      </c>
      <c r="F2577" s="7" t="str">
        <f>IFERROR(__xludf.DUMMYFUNCTION("""COMPUTED_VALUE"""),"MOTORCYCLE")</f>
        <v>MOTORCYCLE</v>
      </c>
      <c r="G2577" s="7" t="str">
        <f>IFERROR(__xludf.DUMMYFUNCTION("""COMPUTED_VALUE"""),"SAO PAULO")</f>
        <v>SAO PAULO</v>
      </c>
    </row>
    <row r="2578">
      <c r="A2578" s="6">
        <f>IFERROR(__xludf.DUMMYFUNCTION("""COMPUTED_VALUE"""),45705.0)</f>
        <v>45705</v>
      </c>
      <c r="B2578" s="7" t="str">
        <f>IFERROR(__xludf.DUMMYFUNCTION("""COMPUTED_VALUE"""),"b2e47a74-d82c-4340-8ba5-a4d448331d29")</f>
        <v>b2e47a74-d82c-4340-8ba5-a4d448331d29</v>
      </c>
      <c r="C2578" s="7">
        <f>IFERROR(__xludf.DUMMYFUNCTION("""COMPUTED_VALUE"""),0.0)</f>
        <v>0</v>
      </c>
      <c r="D2578" s="6">
        <f>IFERROR(__xludf.DUMMYFUNCTION("""COMPUTED_VALUE"""),45705.0)</f>
        <v>45705</v>
      </c>
      <c r="E2578" s="7" t="str">
        <f>IFERROR(__xludf.DUMMYFUNCTION("""COMPUTED_VALUE"""),"FRANQUIA_D&amp;G_SP")</f>
        <v>FRANQUIA_D&amp;G_SP</v>
      </c>
      <c r="F2578" s="7" t="str">
        <f>IFERROR(__xludf.DUMMYFUNCTION("""COMPUTED_VALUE"""),"MOTORCYCLE")</f>
        <v>MOTORCYCLE</v>
      </c>
      <c r="G2578" s="7" t="str">
        <f>IFERROR(__xludf.DUMMYFUNCTION("""COMPUTED_VALUE"""),"SAO PAULO")</f>
        <v>SAO PAULO</v>
      </c>
    </row>
    <row r="2579">
      <c r="A2579" s="6">
        <f>IFERROR(__xludf.DUMMYFUNCTION("""COMPUTED_VALUE"""),45705.0)</f>
        <v>45705</v>
      </c>
      <c r="B2579" s="7" t="str">
        <f>IFERROR(__xludf.DUMMYFUNCTION("""COMPUTED_VALUE"""),"afd53ad6-873b-4919-b785-37162459b403")</f>
        <v>afd53ad6-873b-4919-b785-37162459b403</v>
      </c>
      <c r="C2579" s="7">
        <f>IFERROR(__xludf.DUMMYFUNCTION("""COMPUTED_VALUE"""),389.0)</f>
        <v>389</v>
      </c>
      <c r="D2579" s="6">
        <f>IFERROR(__xludf.DUMMYFUNCTION("""COMPUTED_VALUE"""),45316.0)</f>
        <v>45316</v>
      </c>
      <c r="E2579" s="7" t="str">
        <f>IFERROR(__xludf.DUMMYFUNCTION("""COMPUTED_VALUE"""),"FRANQUIA_D&amp;G_SP")</f>
        <v>FRANQUIA_D&amp;G_SP</v>
      </c>
      <c r="F2579" s="7" t="str">
        <f>IFERROR(__xludf.DUMMYFUNCTION("""COMPUTED_VALUE"""),"BICYCLE")</f>
        <v>BICYCLE</v>
      </c>
      <c r="G2579" s="7" t="str">
        <f>IFERROR(__xludf.DUMMYFUNCTION("""COMPUTED_VALUE"""),"SAO PAULO")</f>
        <v>SAO PAULO</v>
      </c>
    </row>
    <row r="2580">
      <c r="A2580" s="6">
        <f>IFERROR(__xludf.DUMMYFUNCTION("""COMPUTED_VALUE"""),45705.0)</f>
        <v>45705</v>
      </c>
      <c r="B2580" s="7" t="str">
        <f>IFERROR(__xludf.DUMMYFUNCTION("""COMPUTED_VALUE"""),"c93a9b9c-21e4-4ac2-95b5-59e5be8c0231")</f>
        <v>c93a9b9c-21e4-4ac2-95b5-59e5be8c0231</v>
      </c>
      <c r="C2580" s="7">
        <f>IFERROR(__xludf.DUMMYFUNCTION("""COMPUTED_VALUE"""),0.0)</f>
        <v>0</v>
      </c>
      <c r="D2580" s="6">
        <f>IFERROR(__xludf.DUMMYFUNCTION("""COMPUTED_VALUE"""),45705.0)</f>
        <v>45705</v>
      </c>
      <c r="E2580" s="7" t="str">
        <f>IFERROR(__xludf.DUMMYFUNCTION("""COMPUTED_VALUE"""),"FRANQUIA_D&amp;G_SP")</f>
        <v>FRANQUIA_D&amp;G_SP</v>
      </c>
      <c r="F2580" s="7" t="str">
        <f>IFERROR(__xludf.DUMMYFUNCTION("""COMPUTED_VALUE"""),"BICYCLE")</f>
        <v>BICYCLE</v>
      </c>
      <c r="G2580" s="7" t="str">
        <f>IFERROR(__xludf.DUMMYFUNCTION("""COMPUTED_VALUE"""),"SAO PAULO")</f>
        <v>SAO PAULO</v>
      </c>
    </row>
    <row r="2581">
      <c r="A2581" s="6">
        <f>IFERROR(__xludf.DUMMYFUNCTION("""COMPUTED_VALUE"""),45705.0)</f>
        <v>45705</v>
      </c>
      <c r="B2581" s="7" t="str">
        <f>IFERROR(__xludf.DUMMYFUNCTION("""COMPUTED_VALUE"""),"4141c547-ba42-472f-b10f-7638ff3715d1")</f>
        <v>4141c547-ba42-472f-b10f-7638ff3715d1</v>
      </c>
      <c r="C2581" s="7">
        <f>IFERROR(__xludf.DUMMYFUNCTION("""COMPUTED_VALUE"""),19.0)</f>
        <v>19</v>
      </c>
      <c r="D2581" s="6">
        <f>IFERROR(__xludf.DUMMYFUNCTION("""COMPUTED_VALUE"""),45686.0)</f>
        <v>45686</v>
      </c>
      <c r="E2581" s="7" t="str">
        <f>IFERROR(__xludf.DUMMYFUNCTION("""COMPUTED_VALUE"""),"FRANQUIA_D&amp;G_SP")</f>
        <v>FRANQUIA_D&amp;G_SP</v>
      </c>
      <c r="F2581" s="7" t="str">
        <f>IFERROR(__xludf.DUMMYFUNCTION("""COMPUTED_VALUE"""),"MOTORCYCLE")</f>
        <v>MOTORCYCLE</v>
      </c>
      <c r="G2581" s="7" t="str">
        <f>IFERROR(__xludf.DUMMYFUNCTION("""COMPUTED_VALUE"""),"SAO PAULO")</f>
        <v>SAO PAULO</v>
      </c>
    </row>
    <row r="2582">
      <c r="A2582" s="6">
        <f>IFERROR(__xludf.DUMMYFUNCTION("""COMPUTED_VALUE"""),45705.0)</f>
        <v>45705</v>
      </c>
      <c r="B2582" s="7" t="str">
        <f>IFERROR(__xludf.DUMMYFUNCTION("""COMPUTED_VALUE"""),"f2421fd6-b835-44d3-afad-1acf91a79469")</f>
        <v>f2421fd6-b835-44d3-afad-1acf91a79469</v>
      </c>
      <c r="C2582" s="7">
        <f>IFERROR(__xludf.DUMMYFUNCTION("""COMPUTED_VALUE"""),173.0)</f>
        <v>173</v>
      </c>
      <c r="D2582" s="6">
        <f>IFERROR(__xludf.DUMMYFUNCTION("""COMPUTED_VALUE"""),45532.0)</f>
        <v>45532</v>
      </c>
      <c r="E2582" s="7" t="str">
        <f>IFERROR(__xludf.DUMMYFUNCTION("""COMPUTED_VALUE"""),"FRANQUIA_D&amp;G_SP")</f>
        <v>FRANQUIA_D&amp;G_SP</v>
      </c>
      <c r="F2582" s="7" t="str">
        <f>IFERROR(__xludf.DUMMYFUNCTION("""COMPUTED_VALUE"""),"MOTORCYCLE")</f>
        <v>MOTORCYCLE</v>
      </c>
      <c r="G2582" s="7" t="str">
        <f>IFERROR(__xludf.DUMMYFUNCTION("""COMPUTED_VALUE"""),"SAO PAULO")</f>
        <v>SAO PAULO</v>
      </c>
    </row>
    <row r="2583">
      <c r="A2583" s="6">
        <f>IFERROR(__xludf.DUMMYFUNCTION("""COMPUTED_VALUE"""),45705.0)</f>
        <v>45705</v>
      </c>
      <c r="B2583" s="7" t="str">
        <f>IFERROR(__xludf.DUMMYFUNCTION("""COMPUTED_VALUE"""),"846440cd-3262-4239-99cd-6a2761d1a90d")</f>
        <v>846440cd-3262-4239-99cd-6a2761d1a90d</v>
      </c>
      <c r="C2583" s="7">
        <f>IFERROR(__xludf.DUMMYFUNCTION("""COMPUTED_VALUE"""),0.0)</f>
        <v>0</v>
      </c>
      <c r="D2583" s="6">
        <f>IFERROR(__xludf.DUMMYFUNCTION("""COMPUTED_VALUE"""),45705.0)</f>
        <v>45705</v>
      </c>
      <c r="E2583" s="7" t="str">
        <f>IFERROR(__xludf.DUMMYFUNCTION("""COMPUTED_VALUE"""),"FRANQUIA_D&amp;G_SP")</f>
        <v>FRANQUIA_D&amp;G_SP</v>
      </c>
      <c r="F2583" s="7" t="str">
        <f>IFERROR(__xludf.DUMMYFUNCTION("""COMPUTED_VALUE"""),"MOTORCYCLE")</f>
        <v>MOTORCYCLE</v>
      </c>
      <c r="G2583" s="7" t="str">
        <f>IFERROR(__xludf.DUMMYFUNCTION("""COMPUTED_VALUE"""),"SAO PAULO")</f>
        <v>SAO PAULO</v>
      </c>
    </row>
    <row r="2584">
      <c r="A2584" s="6">
        <f>IFERROR(__xludf.DUMMYFUNCTION("""COMPUTED_VALUE"""),45705.0)</f>
        <v>45705</v>
      </c>
      <c r="B2584" s="7" t="str">
        <f>IFERROR(__xludf.DUMMYFUNCTION("""COMPUTED_VALUE"""),"d651d976-17b2-426a-b519-d0385c2bc6f1")</f>
        <v>d651d976-17b2-426a-b519-d0385c2bc6f1</v>
      </c>
      <c r="C2584" s="7">
        <f>IFERROR(__xludf.DUMMYFUNCTION("""COMPUTED_VALUE"""),1.0)</f>
        <v>1</v>
      </c>
      <c r="D2584" s="6">
        <f>IFERROR(__xludf.DUMMYFUNCTION("""COMPUTED_VALUE"""),45704.0)</f>
        <v>45704</v>
      </c>
      <c r="E2584" s="7" t="str">
        <f>IFERROR(__xludf.DUMMYFUNCTION("""COMPUTED_VALUE"""),"FRANQUIA_D&amp;G_SP")</f>
        <v>FRANQUIA_D&amp;G_SP</v>
      </c>
      <c r="F2584" s="7" t="str">
        <f>IFERROR(__xludf.DUMMYFUNCTION("""COMPUTED_VALUE"""),"MOTORCYCLE")</f>
        <v>MOTORCYCLE</v>
      </c>
      <c r="G2584" s="7" t="str">
        <f>IFERROR(__xludf.DUMMYFUNCTION("""COMPUTED_VALUE"""),"SAO PAULO")</f>
        <v>SAO PAULO</v>
      </c>
    </row>
    <row r="2585">
      <c r="A2585" s="6">
        <f>IFERROR(__xludf.DUMMYFUNCTION("""COMPUTED_VALUE"""),45705.0)</f>
        <v>45705</v>
      </c>
      <c r="B2585" s="7" t="str">
        <f>IFERROR(__xludf.DUMMYFUNCTION("""COMPUTED_VALUE"""),"8848f0d1-1f74-4a2e-b12e-0dab35dfac0a")</f>
        <v>8848f0d1-1f74-4a2e-b12e-0dab35dfac0a</v>
      </c>
      <c r="C2585" s="7">
        <f>IFERROR(__xludf.DUMMYFUNCTION("""COMPUTED_VALUE"""),0.0)</f>
        <v>0</v>
      </c>
      <c r="D2585" s="6">
        <f>IFERROR(__xludf.DUMMYFUNCTION("""COMPUTED_VALUE"""),45705.0)</f>
        <v>45705</v>
      </c>
      <c r="E2585" s="7" t="str">
        <f>IFERROR(__xludf.DUMMYFUNCTION("""COMPUTED_VALUE"""),"FRANQUIA_D&amp;G_SP")</f>
        <v>FRANQUIA_D&amp;G_SP</v>
      </c>
      <c r="F2585" s="7" t="str">
        <f>IFERROR(__xludf.DUMMYFUNCTION("""COMPUTED_VALUE"""),"BICYCLE")</f>
        <v>BICYCLE</v>
      </c>
      <c r="G2585" s="7" t="str">
        <f>IFERROR(__xludf.DUMMYFUNCTION("""COMPUTED_VALUE"""),"SAO PAULO")</f>
        <v>SAO PAULO</v>
      </c>
    </row>
    <row r="2586">
      <c r="A2586" s="6">
        <f>IFERROR(__xludf.DUMMYFUNCTION("""COMPUTED_VALUE"""),45705.0)</f>
        <v>45705</v>
      </c>
      <c r="B2586" s="7" t="str">
        <f>IFERROR(__xludf.DUMMYFUNCTION("""COMPUTED_VALUE"""),"75838821-3e91-40c1-a531-f36ffdb1238b")</f>
        <v>75838821-3e91-40c1-a531-f36ffdb1238b</v>
      </c>
      <c r="C2586" s="7">
        <f>IFERROR(__xludf.DUMMYFUNCTION("""COMPUTED_VALUE"""),49.0)</f>
        <v>49</v>
      </c>
      <c r="D2586" s="6">
        <f>IFERROR(__xludf.DUMMYFUNCTION("""COMPUTED_VALUE"""),45656.0)</f>
        <v>45656</v>
      </c>
      <c r="E2586" s="7" t="str">
        <f>IFERROR(__xludf.DUMMYFUNCTION("""COMPUTED_VALUE"""),"FRANQUIA_D&amp;G_SP")</f>
        <v>FRANQUIA_D&amp;G_SP</v>
      </c>
      <c r="F2586" s="7" t="str">
        <f>IFERROR(__xludf.DUMMYFUNCTION("""COMPUTED_VALUE"""),"BICYCLE")</f>
        <v>BICYCLE</v>
      </c>
      <c r="G2586" s="7" t="str">
        <f>IFERROR(__xludf.DUMMYFUNCTION("""COMPUTED_VALUE"""),"SAO PAULO")</f>
        <v>SAO PAULO</v>
      </c>
    </row>
    <row r="2587">
      <c r="A2587" s="6">
        <f>IFERROR(__xludf.DUMMYFUNCTION("""COMPUTED_VALUE"""),45705.0)</f>
        <v>45705</v>
      </c>
      <c r="B2587" s="7" t="str">
        <f>IFERROR(__xludf.DUMMYFUNCTION("""COMPUTED_VALUE"""),"7c6ba3fd-378b-4a7d-8104-0cff86952a07")</f>
        <v>7c6ba3fd-378b-4a7d-8104-0cff86952a07</v>
      </c>
      <c r="C2587" s="7">
        <f>IFERROR(__xludf.DUMMYFUNCTION("""COMPUTED_VALUE"""),202.0)</f>
        <v>202</v>
      </c>
      <c r="D2587" s="6">
        <f>IFERROR(__xludf.DUMMYFUNCTION("""COMPUTED_VALUE"""),45503.0)</f>
        <v>45503</v>
      </c>
      <c r="E2587" s="7" t="str">
        <f>IFERROR(__xludf.DUMMYFUNCTION("""COMPUTED_VALUE"""),"FRANQUIA_D&amp;G_SP")</f>
        <v>FRANQUIA_D&amp;G_SP</v>
      </c>
      <c r="F2587" s="7" t="str">
        <f>IFERROR(__xludf.DUMMYFUNCTION("""COMPUTED_VALUE"""),"MOTORCYCLE")</f>
        <v>MOTORCYCLE</v>
      </c>
      <c r="G2587" s="7" t="str">
        <f>IFERROR(__xludf.DUMMYFUNCTION("""COMPUTED_VALUE"""),"SAO PAULO")</f>
        <v>SAO PAULO</v>
      </c>
    </row>
    <row r="2588">
      <c r="A2588" s="6">
        <f>IFERROR(__xludf.DUMMYFUNCTION("""COMPUTED_VALUE"""),45705.0)</f>
        <v>45705</v>
      </c>
      <c r="B2588" s="7" t="str">
        <f>IFERROR(__xludf.DUMMYFUNCTION("""COMPUTED_VALUE"""),"709b000f-ab0b-45fe-9127-50fe1a7982e6")</f>
        <v>709b000f-ab0b-45fe-9127-50fe1a7982e6</v>
      </c>
      <c r="C2588" s="7">
        <f>IFERROR(__xludf.DUMMYFUNCTION("""COMPUTED_VALUE"""),0.0)</f>
        <v>0</v>
      </c>
      <c r="D2588" s="6">
        <f>IFERROR(__xludf.DUMMYFUNCTION("""COMPUTED_VALUE"""),45705.0)</f>
        <v>45705</v>
      </c>
      <c r="E2588" s="7" t="str">
        <f>IFERROR(__xludf.DUMMYFUNCTION("""COMPUTED_VALUE"""),"FRANQUIA_D&amp;G_SP")</f>
        <v>FRANQUIA_D&amp;G_SP</v>
      </c>
      <c r="F2588" s="7" t="str">
        <f>IFERROR(__xludf.DUMMYFUNCTION("""COMPUTED_VALUE"""),"MOTORCYCLE")</f>
        <v>MOTORCYCLE</v>
      </c>
      <c r="G2588" s="7" t="str">
        <f>IFERROR(__xludf.DUMMYFUNCTION("""COMPUTED_VALUE"""),"SAO PAULO")</f>
        <v>SAO PAULO</v>
      </c>
    </row>
    <row r="2589">
      <c r="A2589" s="6">
        <f>IFERROR(__xludf.DUMMYFUNCTION("""COMPUTED_VALUE"""),45705.0)</f>
        <v>45705</v>
      </c>
      <c r="B2589" s="7" t="str">
        <f>IFERROR(__xludf.DUMMYFUNCTION("""COMPUTED_VALUE"""),"367b9454-8a90-4109-b566-d8ea467f6fe9")</f>
        <v>367b9454-8a90-4109-b566-d8ea467f6fe9</v>
      </c>
      <c r="C2589" s="7">
        <f>IFERROR(__xludf.DUMMYFUNCTION("""COMPUTED_VALUE"""),46.0)</f>
        <v>46</v>
      </c>
      <c r="D2589" s="6">
        <f>IFERROR(__xludf.DUMMYFUNCTION("""COMPUTED_VALUE"""),45659.0)</f>
        <v>45659</v>
      </c>
      <c r="E2589" s="7" t="str">
        <f>IFERROR(__xludf.DUMMYFUNCTION("""COMPUTED_VALUE"""),"FRANQUIA_D&amp;G_SP")</f>
        <v>FRANQUIA_D&amp;G_SP</v>
      </c>
      <c r="F2589" s="7" t="str">
        <f>IFERROR(__xludf.DUMMYFUNCTION("""COMPUTED_VALUE"""),"MOTORCYCLE")</f>
        <v>MOTORCYCLE</v>
      </c>
      <c r="G2589" s="7" t="str">
        <f>IFERROR(__xludf.DUMMYFUNCTION("""COMPUTED_VALUE"""),"SAO PAULO")</f>
        <v>SAO PAULO</v>
      </c>
    </row>
    <row r="2590">
      <c r="A2590" s="6">
        <f>IFERROR(__xludf.DUMMYFUNCTION("""COMPUTED_VALUE"""),45705.0)</f>
        <v>45705</v>
      </c>
      <c r="B2590" s="7" t="str">
        <f>IFERROR(__xludf.DUMMYFUNCTION("""COMPUTED_VALUE"""),"bd2d6489-96d3-437f-b02d-5ed0725ebd29")</f>
        <v>bd2d6489-96d3-437f-b02d-5ed0725ebd29</v>
      </c>
      <c r="C2590" s="7">
        <f>IFERROR(__xludf.DUMMYFUNCTION("""COMPUTED_VALUE"""),117.0)</f>
        <v>117</v>
      </c>
      <c r="D2590" s="6">
        <f>IFERROR(__xludf.DUMMYFUNCTION("""COMPUTED_VALUE"""),45588.0)</f>
        <v>45588</v>
      </c>
      <c r="E2590" s="7" t="str">
        <f>IFERROR(__xludf.DUMMYFUNCTION("""COMPUTED_VALUE"""),"FRANQUIA_D&amp;G_SP")</f>
        <v>FRANQUIA_D&amp;G_SP</v>
      </c>
      <c r="F2590" s="7" t="str">
        <f>IFERROR(__xludf.DUMMYFUNCTION("""COMPUTED_VALUE"""),"MOTORCYCLE")</f>
        <v>MOTORCYCLE</v>
      </c>
      <c r="G2590" s="7" t="str">
        <f>IFERROR(__xludf.DUMMYFUNCTION("""COMPUTED_VALUE"""),"SAO PAULO")</f>
        <v>SAO PAULO</v>
      </c>
    </row>
    <row r="2591">
      <c r="A2591" s="6">
        <f>IFERROR(__xludf.DUMMYFUNCTION("""COMPUTED_VALUE"""),45705.0)</f>
        <v>45705</v>
      </c>
      <c r="B2591" s="7" t="str">
        <f>IFERROR(__xludf.DUMMYFUNCTION("""COMPUTED_VALUE"""),"fa009a65-5e4d-4752-adeb-b9c08c60d075")</f>
        <v>fa009a65-5e4d-4752-adeb-b9c08c60d075</v>
      </c>
      <c r="C2591" s="7">
        <f>IFERROR(__xludf.DUMMYFUNCTION("""COMPUTED_VALUE"""),34.0)</f>
        <v>34</v>
      </c>
      <c r="D2591" s="6">
        <f>IFERROR(__xludf.DUMMYFUNCTION("""COMPUTED_VALUE"""),45671.0)</f>
        <v>45671</v>
      </c>
      <c r="E2591" s="7" t="str">
        <f>IFERROR(__xludf.DUMMYFUNCTION("""COMPUTED_VALUE"""),"FRANQUIA_D&amp;G_SP")</f>
        <v>FRANQUIA_D&amp;G_SP</v>
      </c>
      <c r="F2591" s="7" t="str">
        <f>IFERROR(__xludf.DUMMYFUNCTION("""COMPUTED_VALUE"""),"MOTORCYCLE")</f>
        <v>MOTORCYCLE</v>
      </c>
      <c r="G2591" s="7" t="str">
        <f>IFERROR(__xludf.DUMMYFUNCTION("""COMPUTED_VALUE"""),"SAO PAULO")</f>
        <v>SAO PAULO</v>
      </c>
    </row>
    <row r="2592">
      <c r="A2592" s="6">
        <f>IFERROR(__xludf.DUMMYFUNCTION("""COMPUTED_VALUE"""),45705.0)</f>
        <v>45705</v>
      </c>
      <c r="B2592" s="7" t="str">
        <f>IFERROR(__xludf.DUMMYFUNCTION("""COMPUTED_VALUE"""),"54c850e0-1fb6-4fa6-9fe3-19bc5c8550b9")</f>
        <v>54c850e0-1fb6-4fa6-9fe3-19bc5c8550b9</v>
      </c>
      <c r="C2592" s="7">
        <f>IFERROR(__xludf.DUMMYFUNCTION("""COMPUTED_VALUE"""),1.0)</f>
        <v>1</v>
      </c>
      <c r="D2592" s="6">
        <f>IFERROR(__xludf.DUMMYFUNCTION("""COMPUTED_VALUE"""),45704.0)</f>
        <v>45704</v>
      </c>
      <c r="E2592" s="7" t="str">
        <f>IFERROR(__xludf.DUMMYFUNCTION("""COMPUTED_VALUE"""),"FRANQUIA_D&amp;G_SP")</f>
        <v>FRANQUIA_D&amp;G_SP</v>
      </c>
      <c r="F2592" s="7" t="str">
        <f>IFERROR(__xludf.DUMMYFUNCTION("""COMPUTED_VALUE"""),"MOTORCYCLE")</f>
        <v>MOTORCYCLE</v>
      </c>
      <c r="G2592" s="7" t="str">
        <f>IFERROR(__xludf.DUMMYFUNCTION("""COMPUTED_VALUE"""),"SAO PAULO")</f>
        <v>SAO PAULO</v>
      </c>
    </row>
    <row r="2593">
      <c r="A2593" s="6">
        <f>IFERROR(__xludf.DUMMYFUNCTION("""COMPUTED_VALUE"""),45705.0)</f>
        <v>45705</v>
      </c>
      <c r="B2593" s="7" t="str">
        <f>IFERROR(__xludf.DUMMYFUNCTION("""COMPUTED_VALUE"""),"cd2a5fbc-884b-4e50-95d3-d1da708e8d8c")</f>
        <v>cd2a5fbc-884b-4e50-95d3-d1da708e8d8c</v>
      </c>
      <c r="C2593" s="7">
        <f>IFERROR(__xludf.DUMMYFUNCTION("""COMPUTED_VALUE"""),35.0)</f>
        <v>35</v>
      </c>
      <c r="D2593" s="6">
        <f>IFERROR(__xludf.DUMMYFUNCTION("""COMPUTED_VALUE"""),45670.0)</f>
        <v>45670</v>
      </c>
      <c r="E2593" s="7" t="str">
        <f>IFERROR(__xludf.DUMMYFUNCTION("""COMPUTED_VALUE"""),"FRANQUIA_D&amp;G_SP")</f>
        <v>FRANQUIA_D&amp;G_SP</v>
      </c>
      <c r="F2593" s="7" t="str">
        <f>IFERROR(__xludf.DUMMYFUNCTION("""COMPUTED_VALUE"""),"MOTORCYCLE")</f>
        <v>MOTORCYCLE</v>
      </c>
      <c r="G2593" s="7" t="str">
        <f>IFERROR(__xludf.DUMMYFUNCTION("""COMPUTED_VALUE"""),"SAO PAULO")</f>
        <v>SAO PAULO</v>
      </c>
    </row>
    <row r="2594">
      <c r="A2594" s="6">
        <f>IFERROR(__xludf.DUMMYFUNCTION("""COMPUTED_VALUE"""),45705.0)</f>
        <v>45705</v>
      </c>
      <c r="B2594" s="7" t="str">
        <f>IFERROR(__xludf.DUMMYFUNCTION("""COMPUTED_VALUE"""),"177f6d6e-3388-49ed-8036-132752944922")</f>
        <v>177f6d6e-3388-49ed-8036-132752944922</v>
      </c>
      <c r="C2594" s="7">
        <f>IFERROR(__xludf.DUMMYFUNCTION("""COMPUTED_VALUE"""),0.0)</f>
        <v>0</v>
      </c>
      <c r="D2594" s="6">
        <f>IFERROR(__xludf.DUMMYFUNCTION("""COMPUTED_VALUE"""),45705.0)</f>
        <v>45705</v>
      </c>
      <c r="E2594" s="7" t="str">
        <f>IFERROR(__xludf.DUMMYFUNCTION("""COMPUTED_VALUE"""),"FRANQUIA_D&amp;G_SP")</f>
        <v>FRANQUIA_D&amp;G_SP</v>
      </c>
      <c r="F2594" s="7" t="str">
        <f>IFERROR(__xludf.DUMMYFUNCTION("""COMPUTED_VALUE"""),"BICYCLE")</f>
        <v>BICYCLE</v>
      </c>
      <c r="G2594" s="7" t="str">
        <f>IFERROR(__xludf.DUMMYFUNCTION("""COMPUTED_VALUE"""),"SAO PAULO")</f>
        <v>SAO PAULO</v>
      </c>
    </row>
    <row r="2595">
      <c r="A2595" s="6">
        <f>IFERROR(__xludf.DUMMYFUNCTION("""COMPUTED_VALUE"""),45705.0)</f>
        <v>45705</v>
      </c>
      <c r="B2595" s="7" t="str">
        <f>IFERROR(__xludf.DUMMYFUNCTION("""COMPUTED_VALUE"""),"50372402-d884-44e6-8ded-91f0fef4908e")</f>
        <v>50372402-d884-44e6-8ded-91f0fef4908e</v>
      </c>
      <c r="C2595" s="7">
        <f>IFERROR(__xludf.DUMMYFUNCTION("""COMPUTED_VALUE"""),167.0)</f>
        <v>167</v>
      </c>
      <c r="D2595" s="6">
        <f>IFERROR(__xludf.DUMMYFUNCTION("""COMPUTED_VALUE"""),45538.0)</f>
        <v>45538</v>
      </c>
      <c r="E2595" s="7" t="str">
        <f>IFERROR(__xludf.DUMMYFUNCTION("""COMPUTED_VALUE"""),"FRANQUIA_D&amp;G_SP")</f>
        <v>FRANQUIA_D&amp;G_SP</v>
      </c>
      <c r="F2595" s="7" t="str">
        <f>IFERROR(__xludf.DUMMYFUNCTION("""COMPUTED_VALUE"""),"BICYCLE")</f>
        <v>BICYCLE</v>
      </c>
      <c r="G2595" s="7" t="str">
        <f>IFERROR(__xludf.DUMMYFUNCTION("""COMPUTED_VALUE"""),"SAO PAULO")</f>
        <v>SAO PAULO</v>
      </c>
    </row>
    <row r="2596">
      <c r="A2596" s="6">
        <f>IFERROR(__xludf.DUMMYFUNCTION("""COMPUTED_VALUE"""),45705.0)</f>
        <v>45705</v>
      </c>
      <c r="B2596" s="7" t="str">
        <f>IFERROR(__xludf.DUMMYFUNCTION("""COMPUTED_VALUE"""),"f0c0b6c2-9760-4b95-9b5a-219022c8aa6c")</f>
        <v>f0c0b6c2-9760-4b95-9b5a-219022c8aa6c</v>
      </c>
      <c r="C2596" s="7">
        <f>IFERROR(__xludf.DUMMYFUNCTION("""COMPUTED_VALUE"""),162.0)</f>
        <v>162</v>
      </c>
      <c r="D2596" s="6">
        <f>IFERROR(__xludf.DUMMYFUNCTION("""COMPUTED_VALUE"""),45543.0)</f>
        <v>45543</v>
      </c>
      <c r="E2596" s="7" t="str">
        <f>IFERROR(__xludf.DUMMYFUNCTION("""COMPUTED_VALUE"""),"FRANQUIA_D&amp;G_SP")</f>
        <v>FRANQUIA_D&amp;G_SP</v>
      </c>
      <c r="F2596" s="7" t="str">
        <f>IFERROR(__xludf.DUMMYFUNCTION("""COMPUTED_VALUE"""),"MOTORCYCLE")</f>
        <v>MOTORCYCLE</v>
      </c>
      <c r="G2596" s="7" t="str">
        <f>IFERROR(__xludf.DUMMYFUNCTION("""COMPUTED_VALUE"""),"SAO PAULO")</f>
        <v>SAO PAULO</v>
      </c>
    </row>
    <row r="2597">
      <c r="A2597" s="6">
        <f>IFERROR(__xludf.DUMMYFUNCTION("""COMPUTED_VALUE"""),45705.0)</f>
        <v>45705</v>
      </c>
      <c r="B2597" s="7" t="str">
        <f>IFERROR(__xludf.DUMMYFUNCTION("""COMPUTED_VALUE"""),"b9e8282b-56cb-457e-897c-3aa42fff8089")</f>
        <v>b9e8282b-56cb-457e-897c-3aa42fff8089</v>
      </c>
      <c r="C2597" s="7">
        <f>IFERROR(__xludf.DUMMYFUNCTION("""COMPUTED_VALUE"""),0.0)</f>
        <v>0</v>
      </c>
      <c r="D2597" s="6">
        <f>IFERROR(__xludf.DUMMYFUNCTION("""COMPUTED_VALUE"""),45705.0)</f>
        <v>45705</v>
      </c>
      <c r="E2597" s="7" t="str">
        <f>IFERROR(__xludf.DUMMYFUNCTION("""COMPUTED_VALUE"""),"FRANQUIA_D&amp;G_SP")</f>
        <v>FRANQUIA_D&amp;G_SP</v>
      </c>
      <c r="F2597" s="7" t="str">
        <f>IFERROR(__xludf.DUMMYFUNCTION("""COMPUTED_VALUE"""),"MOTORCYCLE")</f>
        <v>MOTORCYCLE</v>
      </c>
      <c r="G2597" s="7" t="str">
        <f>IFERROR(__xludf.DUMMYFUNCTION("""COMPUTED_VALUE"""),"SAO PAULO")</f>
        <v>SAO PAULO</v>
      </c>
    </row>
    <row r="2598">
      <c r="A2598" s="6">
        <f>IFERROR(__xludf.DUMMYFUNCTION("""COMPUTED_VALUE"""),45705.0)</f>
        <v>45705</v>
      </c>
      <c r="B2598" s="7" t="str">
        <f>IFERROR(__xludf.DUMMYFUNCTION("""COMPUTED_VALUE"""),"15236d97-338c-40cc-9d9e-c0edde5ba8a4")</f>
        <v>15236d97-338c-40cc-9d9e-c0edde5ba8a4</v>
      </c>
      <c r="C2598" s="7">
        <f>IFERROR(__xludf.DUMMYFUNCTION("""COMPUTED_VALUE"""),621.0)</f>
        <v>621</v>
      </c>
      <c r="D2598" s="6">
        <f>IFERROR(__xludf.DUMMYFUNCTION("""COMPUTED_VALUE"""),45084.0)</f>
        <v>45084</v>
      </c>
      <c r="E2598" s="7" t="str">
        <f>IFERROR(__xludf.DUMMYFUNCTION("""COMPUTED_VALUE"""),"FRANQUIA_D&amp;G_SP")</f>
        <v>FRANQUIA_D&amp;G_SP</v>
      </c>
      <c r="F2598" s="7" t="str">
        <f>IFERROR(__xludf.DUMMYFUNCTION("""COMPUTED_VALUE"""),"BICYCLE")</f>
        <v>BICYCLE</v>
      </c>
      <c r="G2598" s="7" t="str">
        <f>IFERROR(__xludf.DUMMYFUNCTION("""COMPUTED_VALUE"""),"SAO PAULO")</f>
        <v>SAO PAULO</v>
      </c>
    </row>
    <row r="2599">
      <c r="A2599" s="6">
        <f>IFERROR(__xludf.DUMMYFUNCTION("""COMPUTED_VALUE"""),45705.0)</f>
        <v>45705</v>
      </c>
      <c r="B2599" s="7" t="str">
        <f>IFERROR(__xludf.DUMMYFUNCTION("""COMPUTED_VALUE"""),"294d931c-d53f-47e9-9c05-60001bc5a1bb")</f>
        <v>294d931c-d53f-47e9-9c05-60001bc5a1bb</v>
      </c>
      <c r="C2599" s="7">
        <f>IFERROR(__xludf.DUMMYFUNCTION("""COMPUTED_VALUE"""),0.0)</f>
        <v>0</v>
      </c>
      <c r="D2599" s="6">
        <f>IFERROR(__xludf.DUMMYFUNCTION("""COMPUTED_VALUE"""),45705.0)</f>
        <v>45705</v>
      </c>
      <c r="E2599" s="7" t="str">
        <f>IFERROR(__xludf.DUMMYFUNCTION("""COMPUTED_VALUE"""),"FRANQUIA_D&amp;G_SP")</f>
        <v>FRANQUIA_D&amp;G_SP</v>
      </c>
      <c r="F2599" s="7" t="str">
        <f>IFERROR(__xludf.DUMMYFUNCTION("""COMPUTED_VALUE"""),"MOTORCYCLE")</f>
        <v>MOTORCYCLE</v>
      </c>
      <c r="G2599" s="7" t="str">
        <f>IFERROR(__xludf.DUMMYFUNCTION("""COMPUTED_VALUE"""),"SAO PAULO")</f>
        <v>SAO PAULO</v>
      </c>
    </row>
    <row r="2600">
      <c r="A2600" s="6">
        <f>IFERROR(__xludf.DUMMYFUNCTION("""COMPUTED_VALUE"""),45705.0)</f>
        <v>45705</v>
      </c>
      <c r="B2600" s="7" t="str">
        <f>IFERROR(__xludf.DUMMYFUNCTION("""COMPUTED_VALUE"""),"fafdbbfb-61ca-45eb-b67f-fb95ab9bf4a9")</f>
        <v>fafdbbfb-61ca-45eb-b67f-fb95ab9bf4a9</v>
      </c>
      <c r="C2600" s="7">
        <f>IFERROR(__xludf.DUMMYFUNCTION("""COMPUTED_VALUE"""),1.0)</f>
        <v>1</v>
      </c>
      <c r="D2600" s="6">
        <f>IFERROR(__xludf.DUMMYFUNCTION("""COMPUTED_VALUE"""),45704.0)</f>
        <v>45704</v>
      </c>
      <c r="E2600" s="7" t="str">
        <f>IFERROR(__xludf.DUMMYFUNCTION("""COMPUTED_VALUE"""),"FRANQUIA_D&amp;G_SP")</f>
        <v>FRANQUIA_D&amp;G_SP</v>
      </c>
      <c r="F2600" s="7" t="str">
        <f>IFERROR(__xludf.DUMMYFUNCTION("""COMPUTED_VALUE"""),"MOTORCYCLE")</f>
        <v>MOTORCYCLE</v>
      </c>
      <c r="G2600" s="7" t="str">
        <f>IFERROR(__xludf.DUMMYFUNCTION("""COMPUTED_VALUE"""),"SAO PAULO")</f>
        <v>SAO PAULO</v>
      </c>
    </row>
    <row r="2601">
      <c r="A2601" s="6">
        <f>IFERROR(__xludf.DUMMYFUNCTION("""COMPUTED_VALUE"""),45705.0)</f>
        <v>45705</v>
      </c>
      <c r="B2601" s="7" t="str">
        <f>IFERROR(__xludf.DUMMYFUNCTION("""COMPUTED_VALUE"""),"3e514b71-e93d-44c1-817c-d882301b03f6")</f>
        <v>3e514b71-e93d-44c1-817c-d882301b03f6</v>
      </c>
      <c r="C2601" s="7">
        <f>IFERROR(__xludf.DUMMYFUNCTION("""COMPUTED_VALUE"""),24.0)</f>
        <v>24</v>
      </c>
      <c r="D2601" s="6">
        <f>IFERROR(__xludf.DUMMYFUNCTION("""COMPUTED_VALUE"""),45681.0)</f>
        <v>45681</v>
      </c>
      <c r="E2601" s="7" t="str">
        <f>IFERROR(__xludf.DUMMYFUNCTION("""COMPUTED_VALUE"""),"FRANQUIA_D&amp;G_SP")</f>
        <v>FRANQUIA_D&amp;G_SP</v>
      </c>
      <c r="F2601" s="7" t="str">
        <f>IFERROR(__xludf.DUMMYFUNCTION("""COMPUTED_VALUE"""),"MOTORCYCLE")</f>
        <v>MOTORCYCLE</v>
      </c>
      <c r="G2601" s="7" t="str">
        <f>IFERROR(__xludf.DUMMYFUNCTION("""COMPUTED_VALUE"""),"SAO PAULO")</f>
        <v>SAO PAULO</v>
      </c>
    </row>
    <row r="2602">
      <c r="A2602" s="6">
        <f>IFERROR(__xludf.DUMMYFUNCTION("""COMPUTED_VALUE"""),45705.0)</f>
        <v>45705</v>
      </c>
      <c r="B2602" s="7" t="str">
        <f>IFERROR(__xludf.DUMMYFUNCTION("""COMPUTED_VALUE"""),"42dde7a6-7a23-4763-bfa3-ba1b3c2a7866")</f>
        <v>42dde7a6-7a23-4763-bfa3-ba1b3c2a7866</v>
      </c>
      <c r="C2602" s="7">
        <f>IFERROR(__xludf.DUMMYFUNCTION("""COMPUTED_VALUE"""),8.0)</f>
        <v>8</v>
      </c>
      <c r="D2602" s="6">
        <f>IFERROR(__xludf.DUMMYFUNCTION("""COMPUTED_VALUE"""),45697.0)</f>
        <v>45697</v>
      </c>
      <c r="E2602" s="7" t="str">
        <f>IFERROR(__xludf.DUMMYFUNCTION("""COMPUTED_VALUE"""),"FRANQUIA_D&amp;G_SP")</f>
        <v>FRANQUIA_D&amp;G_SP</v>
      </c>
      <c r="F2602" s="7" t="str">
        <f>IFERROR(__xludf.DUMMYFUNCTION("""COMPUTED_VALUE"""),"BICYCLE")</f>
        <v>BICYCLE</v>
      </c>
      <c r="G2602" s="7" t="str">
        <f>IFERROR(__xludf.DUMMYFUNCTION("""COMPUTED_VALUE"""),"SAO PAULO")</f>
        <v>SAO PAULO</v>
      </c>
    </row>
    <row r="2603">
      <c r="A2603" s="6">
        <f>IFERROR(__xludf.DUMMYFUNCTION("""COMPUTED_VALUE"""),45705.0)</f>
        <v>45705</v>
      </c>
      <c r="B2603" s="7" t="str">
        <f>IFERROR(__xludf.DUMMYFUNCTION("""COMPUTED_VALUE"""),"37f017a8-88be-4041-951c-bb9f6336bb8f")</f>
        <v>37f017a8-88be-4041-951c-bb9f6336bb8f</v>
      </c>
      <c r="C2603" s="7">
        <f>IFERROR(__xludf.DUMMYFUNCTION("""COMPUTED_VALUE"""),276.0)</f>
        <v>276</v>
      </c>
      <c r="D2603" s="6">
        <f>IFERROR(__xludf.DUMMYFUNCTION("""COMPUTED_VALUE"""),45429.0)</f>
        <v>45429</v>
      </c>
      <c r="E2603" s="7" t="str">
        <f>IFERROR(__xludf.DUMMYFUNCTION("""COMPUTED_VALUE"""),"FRANQUIA_D&amp;G_SP")</f>
        <v>FRANQUIA_D&amp;G_SP</v>
      </c>
      <c r="F2603" s="7" t="str">
        <f>IFERROR(__xludf.DUMMYFUNCTION("""COMPUTED_VALUE"""),"BICYCLE")</f>
        <v>BICYCLE</v>
      </c>
      <c r="G2603" s="7" t="str">
        <f>IFERROR(__xludf.DUMMYFUNCTION("""COMPUTED_VALUE"""),"SAO PAULO")</f>
        <v>SAO PAULO</v>
      </c>
    </row>
    <row r="2604">
      <c r="A2604" s="6">
        <f>IFERROR(__xludf.DUMMYFUNCTION("""COMPUTED_VALUE"""),45705.0)</f>
        <v>45705</v>
      </c>
      <c r="B2604" s="7" t="str">
        <f>IFERROR(__xludf.DUMMYFUNCTION("""COMPUTED_VALUE"""),"b3f2b0fc-721e-4c98-9780-828a49c4cebb")</f>
        <v>b3f2b0fc-721e-4c98-9780-828a49c4cebb</v>
      </c>
      <c r="C2604" s="7">
        <f>IFERROR(__xludf.DUMMYFUNCTION("""COMPUTED_VALUE"""),1.0)</f>
        <v>1</v>
      </c>
      <c r="D2604" s="6">
        <f>IFERROR(__xludf.DUMMYFUNCTION("""COMPUTED_VALUE"""),45704.0)</f>
        <v>45704</v>
      </c>
      <c r="E2604" s="7" t="str">
        <f>IFERROR(__xludf.DUMMYFUNCTION("""COMPUTED_VALUE"""),"FRANQUIA_D&amp;G_SP")</f>
        <v>FRANQUIA_D&amp;G_SP</v>
      </c>
      <c r="F2604" s="7" t="str">
        <f>IFERROR(__xludf.DUMMYFUNCTION("""COMPUTED_VALUE"""),"MOTORCYCLE")</f>
        <v>MOTORCYCLE</v>
      </c>
      <c r="G2604" s="7" t="str">
        <f>IFERROR(__xludf.DUMMYFUNCTION("""COMPUTED_VALUE"""),"SAO PAULO")</f>
        <v>SAO PAULO</v>
      </c>
    </row>
    <row r="2605">
      <c r="A2605" s="6">
        <f>IFERROR(__xludf.DUMMYFUNCTION("""COMPUTED_VALUE"""),45705.0)</f>
        <v>45705</v>
      </c>
      <c r="B2605" s="7" t="str">
        <f>IFERROR(__xludf.DUMMYFUNCTION("""COMPUTED_VALUE"""),"897e5bb8-559d-4897-9034-e2e9893eddd5")</f>
        <v>897e5bb8-559d-4897-9034-e2e9893eddd5</v>
      </c>
      <c r="C2605" s="7">
        <f>IFERROR(__xludf.DUMMYFUNCTION("""COMPUTED_VALUE"""),0.0)</f>
        <v>0</v>
      </c>
      <c r="D2605" s="6">
        <f>IFERROR(__xludf.DUMMYFUNCTION("""COMPUTED_VALUE"""),45705.0)</f>
        <v>45705</v>
      </c>
      <c r="E2605" s="7" t="str">
        <f>IFERROR(__xludf.DUMMYFUNCTION("""COMPUTED_VALUE"""),"FRANQUIA_D&amp;G_SP")</f>
        <v>FRANQUIA_D&amp;G_SP</v>
      </c>
      <c r="F2605" s="7" t="str">
        <f>IFERROR(__xludf.DUMMYFUNCTION("""COMPUTED_VALUE"""),"BICYCLE")</f>
        <v>BICYCLE</v>
      </c>
      <c r="G2605" s="7" t="str">
        <f>IFERROR(__xludf.DUMMYFUNCTION("""COMPUTED_VALUE"""),"SAO PAULO")</f>
        <v>SAO PAULO</v>
      </c>
    </row>
    <row r="2606">
      <c r="A2606" s="6">
        <f>IFERROR(__xludf.DUMMYFUNCTION("""COMPUTED_VALUE"""),45705.0)</f>
        <v>45705</v>
      </c>
      <c r="B2606" s="7" t="str">
        <f>IFERROR(__xludf.DUMMYFUNCTION("""COMPUTED_VALUE"""),"31f9a7fb-a046-4021-96b9-170f25c96385")</f>
        <v>31f9a7fb-a046-4021-96b9-170f25c96385</v>
      </c>
      <c r="C2606" s="7">
        <f>IFERROR(__xludf.DUMMYFUNCTION("""COMPUTED_VALUE"""),1.0)</f>
        <v>1</v>
      </c>
      <c r="D2606" s="6">
        <f>IFERROR(__xludf.DUMMYFUNCTION("""COMPUTED_VALUE"""),45704.0)</f>
        <v>45704</v>
      </c>
      <c r="E2606" s="7" t="str">
        <f>IFERROR(__xludf.DUMMYFUNCTION("""COMPUTED_VALUE"""),"FRANQUIA_D&amp;G_SP")</f>
        <v>FRANQUIA_D&amp;G_SP</v>
      </c>
      <c r="F2606" s="7" t="str">
        <f>IFERROR(__xludf.DUMMYFUNCTION("""COMPUTED_VALUE"""),"BICYCLE")</f>
        <v>BICYCLE</v>
      </c>
      <c r="G2606" s="7" t="str">
        <f>IFERROR(__xludf.DUMMYFUNCTION("""COMPUTED_VALUE"""),"SAO PAULO")</f>
        <v>SAO PAULO</v>
      </c>
    </row>
    <row r="2607">
      <c r="A2607" s="6">
        <f>IFERROR(__xludf.DUMMYFUNCTION("""COMPUTED_VALUE"""),45705.0)</f>
        <v>45705</v>
      </c>
      <c r="B2607" s="7" t="str">
        <f>IFERROR(__xludf.DUMMYFUNCTION("""COMPUTED_VALUE"""),"44bb5cc6-1790-4395-a1dd-40b62ade3272")</f>
        <v>44bb5cc6-1790-4395-a1dd-40b62ade3272</v>
      </c>
      <c r="C2607" s="7">
        <f>IFERROR(__xludf.DUMMYFUNCTION("""COMPUTED_VALUE"""),19.0)</f>
        <v>19</v>
      </c>
      <c r="D2607" s="6">
        <f>IFERROR(__xludf.DUMMYFUNCTION("""COMPUTED_VALUE"""),45686.0)</f>
        <v>45686</v>
      </c>
      <c r="E2607" s="7" t="str">
        <f>IFERROR(__xludf.DUMMYFUNCTION("""COMPUTED_VALUE"""),"FRANQUIA_D&amp;G_SP")</f>
        <v>FRANQUIA_D&amp;G_SP</v>
      </c>
      <c r="F2607" s="7" t="str">
        <f>IFERROR(__xludf.DUMMYFUNCTION("""COMPUTED_VALUE"""),"BICYCLE")</f>
        <v>BICYCLE</v>
      </c>
      <c r="G2607" s="7" t="str">
        <f>IFERROR(__xludf.DUMMYFUNCTION("""COMPUTED_VALUE"""),"SAO PAULO")</f>
        <v>SAO PAULO</v>
      </c>
    </row>
    <row r="2608">
      <c r="A2608" s="6">
        <f>IFERROR(__xludf.DUMMYFUNCTION("""COMPUTED_VALUE"""),45705.0)</f>
        <v>45705</v>
      </c>
      <c r="B2608" s="7" t="str">
        <f>IFERROR(__xludf.DUMMYFUNCTION("""COMPUTED_VALUE"""),"a6645e3c-f2f4-481e-9abe-b4bbb72d428b")</f>
        <v>a6645e3c-f2f4-481e-9abe-b4bbb72d428b</v>
      </c>
      <c r="C2608" s="7">
        <f>IFERROR(__xludf.DUMMYFUNCTION("""COMPUTED_VALUE"""),2.0)</f>
        <v>2</v>
      </c>
      <c r="D2608" s="6">
        <f>IFERROR(__xludf.DUMMYFUNCTION("""COMPUTED_VALUE"""),45703.0)</f>
        <v>45703</v>
      </c>
      <c r="E2608" s="7" t="str">
        <f>IFERROR(__xludf.DUMMYFUNCTION("""COMPUTED_VALUE"""),"FRANQUIA_D&amp;G_SP")</f>
        <v>FRANQUIA_D&amp;G_SP</v>
      </c>
      <c r="F2608" s="7" t="str">
        <f>IFERROR(__xludf.DUMMYFUNCTION("""COMPUTED_VALUE"""),"BICYCLE")</f>
        <v>BICYCLE</v>
      </c>
      <c r="G2608" s="7" t="str">
        <f>IFERROR(__xludf.DUMMYFUNCTION("""COMPUTED_VALUE"""),"SAO PAULO")</f>
        <v>SAO PAULO</v>
      </c>
    </row>
    <row r="2609">
      <c r="A2609" s="6">
        <f>IFERROR(__xludf.DUMMYFUNCTION("""COMPUTED_VALUE"""),45705.0)</f>
        <v>45705</v>
      </c>
      <c r="B2609" s="7" t="str">
        <f>IFERROR(__xludf.DUMMYFUNCTION("""COMPUTED_VALUE"""),"c9517650-45cb-4a06-86ed-48dd9c13d1ad")</f>
        <v>c9517650-45cb-4a06-86ed-48dd9c13d1ad</v>
      </c>
      <c r="C2609" s="7">
        <f>IFERROR(__xludf.DUMMYFUNCTION("""COMPUTED_VALUE"""),7.0)</f>
        <v>7</v>
      </c>
      <c r="D2609" s="6">
        <f>IFERROR(__xludf.DUMMYFUNCTION("""COMPUTED_VALUE"""),45698.0)</f>
        <v>45698</v>
      </c>
      <c r="E2609" s="7" t="str">
        <f>IFERROR(__xludf.DUMMYFUNCTION("""COMPUTED_VALUE"""),"FRANQUIA_D&amp;G_SP")</f>
        <v>FRANQUIA_D&amp;G_SP</v>
      </c>
      <c r="F2609" s="7" t="str">
        <f>IFERROR(__xludf.DUMMYFUNCTION("""COMPUTED_VALUE"""),"MOTORCYCLE")</f>
        <v>MOTORCYCLE</v>
      </c>
      <c r="G2609" s="7" t="str">
        <f>IFERROR(__xludf.DUMMYFUNCTION("""COMPUTED_VALUE"""),"BAURU")</f>
        <v>BAURU</v>
      </c>
    </row>
    <row r="2610">
      <c r="A2610" s="6">
        <f>IFERROR(__xludf.DUMMYFUNCTION("""COMPUTED_VALUE"""),45705.0)</f>
        <v>45705</v>
      </c>
      <c r="B2610" s="7" t="str">
        <f>IFERROR(__xludf.DUMMYFUNCTION("""COMPUTED_VALUE"""),"8363e40d-43df-4857-b529-111b814b31cd")</f>
        <v>8363e40d-43df-4857-b529-111b814b31cd</v>
      </c>
      <c r="C2610" s="7">
        <f>IFERROR(__xludf.DUMMYFUNCTION("""COMPUTED_VALUE"""),368.0)</f>
        <v>368</v>
      </c>
      <c r="D2610" s="6">
        <f>IFERROR(__xludf.DUMMYFUNCTION("""COMPUTED_VALUE"""),45337.0)</f>
        <v>45337</v>
      </c>
      <c r="E2610" s="7" t="str">
        <f>IFERROR(__xludf.DUMMYFUNCTION("""COMPUTED_VALUE"""),"FRANQUIA_D&amp;G_SP")</f>
        <v>FRANQUIA_D&amp;G_SP</v>
      </c>
      <c r="F2610" s="7" t="str">
        <f>IFERROR(__xludf.DUMMYFUNCTION("""COMPUTED_VALUE"""),"MOTORCYCLE")</f>
        <v>MOTORCYCLE</v>
      </c>
      <c r="G2610" s="7" t="str">
        <f>IFERROR(__xludf.DUMMYFUNCTION("""COMPUTED_VALUE"""),"SAO PAULO")</f>
        <v>SAO PAULO</v>
      </c>
    </row>
    <row r="2611">
      <c r="A2611" s="6">
        <f>IFERROR(__xludf.DUMMYFUNCTION("""COMPUTED_VALUE"""),45705.0)</f>
        <v>45705</v>
      </c>
      <c r="B2611" s="7" t="str">
        <f>IFERROR(__xludf.DUMMYFUNCTION("""COMPUTED_VALUE"""),"6a99cb35-b9fd-4850-9081-4339f8c1c81c")</f>
        <v>6a99cb35-b9fd-4850-9081-4339f8c1c81c</v>
      </c>
      <c r="C2611" s="7">
        <f>IFERROR(__xludf.DUMMYFUNCTION("""COMPUTED_VALUE"""),91.0)</f>
        <v>91</v>
      </c>
      <c r="D2611" s="6">
        <f>IFERROR(__xludf.DUMMYFUNCTION("""COMPUTED_VALUE"""),45614.0)</f>
        <v>45614</v>
      </c>
      <c r="E2611" s="7" t="str">
        <f>IFERROR(__xludf.DUMMYFUNCTION("""COMPUTED_VALUE"""),"FRANQUIA_D&amp;G_SP")</f>
        <v>FRANQUIA_D&amp;G_SP</v>
      </c>
      <c r="F2611" s="7" t="str">
        <f>IFERROR(__xludf.DUMMYFUNCTION("""COMPUTED_VALUE"""),"BICYCLE")</f>
        <v>BICYCLE</v>
      </c>
      <c r="G2611" s="7" t="str">
        <f>IFERROR(__xludf.DUMMYFUNCTION("""COMPUTED_VALUE"""),"SAO PAULO")</f>
        <v>SAO PAULO</v>
      </c>
    </row>
    <row r="2612">
      <c r="A2612" s="6">
        <f>IFERROR(__xludf.DUMMYFUNCTION("""COMPUTED_VALUE"""),45705.0)</f>
        <v>45705</v>
      </c>
      <c r="B2612" s="7" t="str">
        <f>IFERROR(__xludf.DUMMYFUNCTION("""COMPUTED_VALUE"""),"bb63235e-cb5e-4955-9e46-3221e44f03ea")</f>
        <v>bb63235e-cb5e-4955-9e46-3221e44f03ea</v>
      </c>
      <c r="C2612" s="7">
        <f>IFERROR(__xludf.DUMMYFUNCTION("""COMPUTED_VALUE"""),0.0)</f>
        <v>0</v>
      </c>
      <c r="D2612" s="6">
        <f>IFERROR(__xludf.DUMMYFUNCTION("""COMPUTED_VALUE"""),45705.0)</f>
        <v>45705</v>
      </c>
      <c r="E2612" s="7" t="str">
        <f>IFERROR(__xludf.DUMMYFUNCTION("""COMPUTED_VALUE"""),"FRANQUIA_D&amp;G_SP")</f>
        <v>FRANQUIA_D&amp;G_SP</v>
      </c>
      <c r="F2612" s="7" t="str">
        <f>IFERROR(__xludf.DUMMYFUNCTION("""COMPUTED_VALUE"""),"MOTORCYCLE")</f>
        <v>MOTORCYCLE</v>
      </c>
      <c r="G2612" s="7" t="str">
        <f>IFERROR(__xludf.DUMMYFUNCTION("""COMPUTED_VALUE"""),"SAO PAULO")</f>
        <v>SAO PAULO</v>
      </c>
    </row>
    <row r="2613">
      <c r="A2613" s="6">
        <f>IFERROR(__xludf.DUMMYFUNCTION("""COMPUTED_VALUE"""),45705.0)</f>
        <v>45705</v>
      </c>
      <c r="B2613" s="7" t="str">
        <f>IFERROR(__xludf.DUMMYFUNCTION("""COMPUTED_VALUE"""),"66bd3820-d62b-4c59-a2c1-0f5be29f7fb8")</f>
        <v>66bd3820-d62b-4c59-a2c1-0f5be29f7fb8</v>
      </c>
      <c r="C2613" s="7">
        <f>IFERROR(__xludf.DUMMYFUNCTION("""COMPUTED_VALUE"""),26.0)</f>
        <v>26</v>
      </c>
      <c r="D2613" s="6">
        <f>IFERROR(__xludf.DUMMYFUNCTION("""COMPUTED_VALUE"""),45679.0)</f>
        <v>45679</v>
      </c>
      <c r="E2613" s="7" t="str">
        <f>IFERROR(__xludf.DUMMYFUNCTION("""COMPUTED_VALUE"""),"FRANQUIA_D&amp;G_SP")</f>
        <v>FRANQUIA_D&amp;G_SP</v>
      </c>
      <c r="F2613" s="7" t="str">
        <f>IFERROR(__xludf.DUMMYFUNCTION("""COMPUTED_VALUE"""),"MOTORCYCLE")</f>
        <v>MOTORCYCLE</v>
      </c>
      <c r="G2613" s="7" t="str">
        <f>IFERROR(__xludf.DUMMYFUNCTION("""COMPUTED_VALUE"""),"SAO PAULO")</f>
        <v>SAO PAULO</v>
      </c>
    </row>
    <row r="2614">
      <c r="A2614" s="6">
        <f>IFERROR(__xludf.DUMMYFUNCTION("""COMPUTED_VALUE"""),45705.0)</f>
        <v>45705</v>
      </c>
      <c r="B2614" s="7" t="str">
        <f>IFERROR(__xludf.DUMMYFUNCTION("""COMPUTED_VALUE"""),"e5ccb72b-4124-49b1-ad57-02e8e5cad973")</f>
        <v>e5ccb72b-4124-49b1-ad57-02e8e5cad973</v>
      </c>
      <c r="C2614" s="7">
        <f>IFERROR(__xludf.DUMMYFUNCTION("""COMPUTED_VALUE"""),27.0)</f>
        <v>27</v>
      </c>
      <c r="D2614" s="6">
        <f>IFERROR(__xludf.DUMMYFUNCTION("""COMPUTED_VALUE"""),45678.0)</f>
        <v>45678</v>
      </c>
      <c r="E2614" s="7" t="str">
        <f>IFERROR(__xludf.DUMMYFUNCTION("""COMPUTED_VALUE"""),"FRANQUIA_D&amp;G_SP")</f>
        <v>FRANQUIA_D&amp;G_SP</v>
      </c>
      <c r="F2614" s="7" t="str">
        <f>IFERROR(__xludf.DUMMYFUNCTION("""COMPUTED_VALUE"""),"MOTORCYCLE")</f>
        <v>MOTORCYCLE</v>
      </c>
      <c r="G2614" s="7" t="str">
        <f>IFERROR(__xludf.DUMMYFUNCTION("""COMPUTED_VALUE"""),"SUZANO")</f>
        <v>SUZANO</v>
      </c>
    </row>
    <row r="2615">
      <c r="A2615" s="6">
        <f>IFERROR(__xludf.DUMMYFUNCTION("""COMPUTED_VALUE"""),45705.0)</f>
        <v>45705</v>
      </c>
      <c r="B2615" s="7" t="str">
        <f>IFERROR(__xludf.DUMMYFUNCTION("""COMPUTED_VALUE"""),"2aee65fc-ed54-4008-95f0-966d26fefb5f")</f>
        <v>2aee65fc-ed54-4008-95f0-966d26fefb5f</v>
      </c>
      <c r="C2615" s="7">
        <f>IFERROR(__xludf.DUMMYFUNCTION("""COMPUTED_VALUE"""),0.0)</f>
        <v>0</v>
      </c>
      <c r="D2615" s="6">
        <f>IFERROR(__xludf.DUMMYFUNCTION("""COMPUTED_VALUE"""),45705.0)</f>
        <v>45705</v>
      </c>
      <c r="E2615" s="7" t="str">
        <f>IFERROR(__xludf.DUMMYFUNCTION("""COMPUTED_VALUE"""),"FRANQUIA_D&amp;G_SP")</f>
        <v>FRANQUIA_D&amp;G_SP</v>
      </c>
      <c r="F2615" s="7" t="str">
        <f>IFERROR(__xludf.DUMMYFUNCTION("""COMPUTED_VALUE"""),"BICYCLE")</f>
        <v>BICYCLE</v>
      </c>
      <c r="G2615" s="7" t="str">
        <f>IFERROR(__xludf.DUMMYFUNCTION("""COMPUTED_VALUE"""),"SAO PAULO")</f>
        <v>SAO PAULO</v>
      </c>
    </row>
    <row r="2616">
      <c r="A2616" s="6">
        <f>IFERROR(__xludf.DUMMYFUNCTION("""COMPUTED_VALUE"""),45705.0)</f>
        <v>45705</v>
      </c>
      <c r="B2616" s="7" t="str">
        <f>IFERROR(__xludf.DUMMYFUNCTION("""COMPUTED_VALUE"""),"0e83c17c-a750-4dc8-99fe-8cc2d4f10616")</f>
        <v>0e83c17c-a750-4dc8-99fe-8cc2d4f10616</v>
      </c>
      <c r="C2616" s="7">
        <f>IFERROR(__xludf.DUMMYFUNCTION("""COMPUTED_VALUE"""),1.0)</f>
        <v>1</v>
      </c>
      <c r="D2616" s="6">
        <f>IFERROR(__xludf.DUMMYFUNCTION("""COMPUTED_VALUE"""),45704.0)</f>
        <v>45704</v>
      </c>
      <c r="E2616" s="7" t="str">
        <f>IFERROR(__xludf.DUMMYFUNCTION("""COMPUTED_VALUE"""),"FRANQUIA_D&amp;G_SP")</f>
        <v>FRANQUIA_D&amp;G_SP</v>
      </c>
      <c r="F2616" s="7" t="str">
        <f>IFERROR(__xludf.DUMMYFUNCTION("""COMPUTED_VALUE"""),"BICYCLE")</f>
        <v>BICYCLE</v>
      </c>
      <c r="G2616" s="7" t="str">
        <f>IFERROR(__xludf.DUMMYFUNCTION("""COMPUTED_VALUE"""),"SAO PAULO")</f>
        <v>SAO PAULO</v>
      </c>
    </row>
    <row r="2617">
      <c r="A2617" s="6">
        <f>IFERROR(__xludf.DUMMYFUNCTION("""COMPUTED_VALUE"""),45705.0)</f>
        <v>45705</v>
      </c>
      <c r="B2617" s="7" t="str">
        <f>IFERROR(__xludf.DUMMYFUNCTION("""COMPUTED_VALUE"""),"bc0484a4-f775-4e9d-8057-eae1fb140297")</f>
        <v>bc0484a4-f775-4e9d-8057-eae1fb140297</v>
      </c>
      <c r="C2617" s="7">
        <f>IFERROR(__xludf.DUMMYFUNCTION("""COMPUTED_VALUE"""),98.0)</f>
        <v>98</v>
      </c>
      <c r="D2617" s="6">
        <f>IFERROR(__xludf.DUMMYFUNCTION("""COMPUTED_VALUE"""),45607.0)</f>
        <v>45607</v>
      </c>
      <c r="E2617" s="7" t="str">
        <f>IFERROR(__xludf.DUMMYFUNCTION("""COMPUTED_VALUE"""),"FRANQUIA_D&amp;G_SP")</f>
        <v>FRANQUIA_D&amp;G_SP</v>
      </c>
      <c r="F2617" s="7" t="str">
        <f>IFERROR(__xludf.DUMMYFUNCTION("""COMPUTED_VALUE"""),"BICYCLE")</f>
        <v>BICYCLE</v>
      </c>
      <c r="G2617" s="7" t="str">
        <f>IFERROR(__xludf.DUMMYFUNCTION("""COMPUTED_VALUE"""),"SAO PAULO")</f>
        <v>SAO PAULO</v>
      </c>
    </row>
    <row r="2618">
      <c r="A2618" s="6">
        <f>IFERROR(__xludf.DUMMYFUNCTION("""COMPUTED_VALUE"""),45705.0)</f>
        <v>45705</v>
      </c>
      <c r="B2618" s="7" t="str">
        <f>IFERROR(__xludf.DUMMYFUNCTION("""COMPUTED_VALUE"""),"1d447db4-8105-4ed4-a7dd-5e37dbb2dbc4")</f>
        <v>1d447db4-8105-4ed4-a7dd-5e37dbb2dbc4</v>
      </c>
      <c r="C2618" s="7">
        <f>IFERROR(__xludf.DUMMYFUNCTION("""COMPUTED_VALUE"""),3.0)</f>
        <v>3</v>
      </c>
      <c r="D2618" s="6">
        <f>IFERROR(__xludf.DUMMYFUNCTION("""COMPUTED_VALUE"""),45702.0)</f>
        <v>45702</v>
      </c>
      <c r="E2618" s="7" t="str">
        <f>IFERROR(__xludf.DUMMYFUNCTION("""COMPUTED_VALUE"""),"FRANQUIA_D&amp;G_SP")</f>
        <v>FRANQUIA_D&amp;G_SP</v>
      </c>
      <c r="F2618" s="7" t="str">
        <f>IFERROR(__xludf.DUMMYFUNCTION("""COMPUTED_VALUE"""),"BICYCLE")</f>
        <v>BICYCLE</v>
      </c>
      <c r="G2618" s="7" t="str">
        <f>IFERROR(__xludf.DUMMYFUNCTION("""COMPUTED_VALUE"""),"SAO PAULO")</f>
        <v>SAO PAULO</v>
      </c>
    </row>
    <row r="2619">
      <c r="A2619" s="6">
        <f>IFERROR(__xludf.DUMMYFUNCTION("""COMPUTED_VALUE"""),45705.0)</f>
        <v>45705</v>
      </c>
      <c r="B2619" s="7" t="str">
        <f>IFERROR(__xludf.DUMMYFUNCTION("""COMPUTED_VALUE"""),"3cb2a764-9a2f-4b2f-af84-fc75393aede7")</f>
        <v>3cb2a764-9a2f-4b2f-af84-fc75393aede7</v>
      </c>
      <c r="C2619" s="7">
        <f>IFERROR(__xludf.DUMMYFUNCTION("""COMPUTED_VALUE"""),181.0)</f>
        <v>181</v>
      </c>
      <c r="D2619" s="6">
        <f>IFERROR(__xludf.DUMMYFUNCTION("""COMPUTED_VALUE"""),45524.0)</f>
        <v>45524</v>
      </c>
      <c r="E2619" s="7" t="str">
        <f>IFERROR(__xludf.DUMMYFUNCTION("""COMPUTED_VALUE"""),"FRANQUIA_D&amp;G_SP")</f>
        <v>FRANQUIA_D&amp;G_SP</v>
      </c>
      <c r="F2619" s="7" t="str">
        <f>IFERROR(__xludf.DUMMYFUNCTION("""COMPUTED_VALUE"""),"BICYCLE")</f>
        <v>BICYCLE</v>
      </c>
      <c r="G2619" s="7" t="str">
        <f>IFERROR(__xludf.DUMMYFUNCTION("""COMPUTED_VALUE"""),"SAO PAULO")</f>
        <v>SAO PAULO</v>
      </c>
    </row>
    <row r="2620">
      <c r="A2620" s="6">
        <f>IFERROR(__xludf.DUMMYFUNCTION("""COMPUTED_VALUE"""),45705.0)</f>
        <v>45705</v>
      </c>
      <c r="B2620" s="7" t="str">
        <f>IFERROR(__xludf.DUMMYFUNCTION("""COMPUTED_VALUE"""),"4f56ead0-4d64-421e-9aa2-b7746b960452")</f>
        <v>4f56ead0-4d64-421e-9aa2-b7746b960452</v>
      </c>
      <c r="C2620" s="7">
        <f>IFERROR(__xludf.DUMMYFUNCTION("""COMPUTED_VALUE"""),30.0)</f>
        <v>30</v>
      </c>
      <c r="D2620" s="6">
        <f>IFERROR(__xludf.DUMMYFUNCTION("""COMPUTED_VALUE"""),45675.0)</f>
        <v>45675</v>
      </c>
      <c r="E2620" s="7" t="str">
        <f>IFERROR(__xludf.DUMMYFUNCTION("""COMPUTED_VALUE"""),"FRANQUIA_D&amp;G_SP")</f>
        <v>FRANQUIA_D&amp;G_SP</v>
      </c>
      <c r="F2620" s="7" t="str">
        <f>IFERROR(__xludf.DUMMYFUNCTION("""COMPUTED_VALUE"""),"MOTORCYCLE")</f>
        <v>MOTORCYCLE</v>
      </c>
      <c r="G2620" s="7" t="str">
        <f>IFERROR(__xludf.DUMMYFUNCTION("""COMPUTED_VALUE"""),"SAO PAULO")</f>
        <v>SAO PAULO</v>
      </c>
    </row>
    <row r="2621">
      <c r="A2621" s="6">
        <f>IFERROR(__xludf.DUMMYFUNCTION("""COMPUTED_VALUE"""),45705.0)</f>
        <v>45705</v>
      </c>
      <c r="B2621" s="7" t="str">
        <f>IFERROR(__xludf.DUMMYFUNCTION("""COMPUTED_VALUE"""),"25ba1fc6-8fd1-428e-8686-820e4ce770c6")</f>
        <v>25ba1fc6-8fd1-428e-8686-820e4ce770c6</v>
      </c>
      <c r="C2621" s="7">
        <f>IFERROR(__xludf.DUMMYFUNCTION("""COMPUTED_VALUE"""),33.0)</f>
        <v>33</v>
      </c>
      <c r="D2621" s="6">
        <f>IFERROR(__xludf.DUMMYFUNCTION("""COMPUTED_VALUE"""),45672.0)</f>
        <v>45672</v>
      </c>
      <c r="E2621" s="7" t="str">
        <f>IFERROR(__xludf.DUMMYFUNCTION("""COMPUTED_VALUE"""),"FRANQUIA_D&amp;G_SP")</f>
        <v>FRANQUIA_D&amp;G_SP</v>
      </c>
      <c r="F2621" s="7" t="str">
        <f>IFERROR(__xludf.DUMMYFUNCTION("""COMPUTED_VALUE"""),"MOTORCYCLE")</f>
        <v>MOTORCYCLE</v>
      </c>
      <c r="G2621" s="7" t="str">
        <f>IFERROR(__xludf.DUMMYFUNCTION("""COMPUTED_VALUE"""),"ABC")</f>
        <v>ABC</v>
      </c>
    </row>
    <row r="2622">
      <c r="A2622" s="6">
        <f>IFERROR(__xludf.DUMMYFUNCTION("""COMPUTED_VALUE"""),45705.0)</f>
        <v>45705</v>
      </c>
      <c r="B2622" s="7" t="str">
        <f>IFERROR(__xludf.DUMMYFUNCTION("""COMPUTED_VALUE"""),"b47a723f-5aae-4c1b-b4be-360dfb7bccd4")</f>
        <v>b47a723f-5aae-4c1b-b4be-360dfb7bccd4</v>
      </c>
      <c r="C2622" s="7">
        <f>IFERROR(__xludf.DUMMYFUNCTION("""COMPUTED_VALUE"""),16.0)</f>
        <v>16</v>
      </c>
      <c r="D2622" s="6">
        <f>IFERROR(__xludf.DUMMYFUNCTION("""COMPUTED_VALUE"""),45689.0)</f>
        <v>45689</v>
      </c>
      <c r="E2622" s="7" t="str">
        <f>IFERROR(__xludf.DUMMYFUNCTION("""COMPUTED_VALUE"""),"FRANQUIA_D&amp;G_SP")</f>
        <v>FRANQUIA_D&amp;G_SP</v>
      </c>
      <c r="F2622" s="7" t="str">
        <f>IFERROR(__xludf.DUMMYFUNCTION("""COMPUTED_VALUE"""),"MOTORCYCLE")</f>
        <v>MOTORCYCLE</v>
      </c>
      <c r="G2622" s="7" t="str">
        <f>IFERROR(__xludf.DUMMYFUNCTION("""COMPUTED_VALUE"""),"SAO PAULO")</f>
        <v>SAO PAULO</v>
      </c>
    </row>
    <row r="2623">
      <c r="A2623" s="6">
        <f>IFERROR(__xludf.DUMMYFUNCTION("""COMPUTED_VALUE"""),45705.0)</f>
        <v>45705</v>
      </c>
      <c r="B2623" s="7" t="str">
        <f>IFERROR(__xludf.DUMMYFUNCTION("""COMPUTED_VALUE"""),"c2948812-4dd6-47fe-aca2-b583da725eba")</f>
        <v>c2948812-4dd6-47fe-aca2-b583da725eba</v>
      </c>
      <c r="C2623" s="7">
        <f>IFERROR(__xludf.DUMMYFUNCTION("""COMPUTED_VALUE"""),3.0)</f>
        <v>3</v>
      </c>
      <c r="D2623" s="6">
        <f>IFERROR(__xludf.DUMMYFUNCTION("""COMPUTED_VALUE"""),45702.0)</f>
        <v>45702</v>
      </c>
      <c r="E2623" s="7" t="str">
        <f>IFERROR(__xludf.DUMMYFUNCTION("""COMPUTED_VALUE"""),"FRANQUIA_D&amp;G_SP")</f>
        <v>FRANQUIA_D&amp;G_SP</v>
      </c>
      <c r="F2623" s="7" t="str">
        <f>IFERROR(__xludf.DUMMYFUNCTION("""COMPUTED_VALUE"""),"BICYCLE")</f>
        <v>BICYCLE</v>
      </c>
      <c r="G2623" s="7" t="str">
        <f>IFERROR(__xludf.DUMMYFUNCTION("""COMPUTED_VALUE"""),"SAO PAULO")</f>
        <v>SAO PAULO</v>
      </c>
    </row>
    <row r="2624">
      <c r="A2624" s="6">
        <f>IFERROR(__xludf.DUMMYFUNCTION("""COMPUTED_VALUE"""),45705.0)</f>
        <v>45705</v>
      </c>
      <c r="B2624" s="7" t="str">
        <f>IFERROR(__xludf.DUMMYFUNCTION("""COMPUTED_VALUE"""),"9549ab4f-6631-44ad-8d25-fb4c28a07112")</f>
        <v>9549ab4f-6631-44ad-8d25-fb4c28a07112</v>
      </c>
      <c r="C2624" s="7">
        <f>IFERROR(__xludf.DUMMYFUNCTION("""COMPUTED_VALUE"""),177.0)</f>
        <v>177</v>
      </c>
      <c r="D2624" s="6">
        <f>IFERROR(__xludf.DUMMYFUNCTION("""COMPUTED_VALUE"""),45528.0)</f>
        <v>45528</v>
      </c>
      <c r="E2624" s="7" t="str">
        <f>IFERROR(__xludf.DUMMYFUNCTION("""COMPUTED_VALUE"""),"FRANQUIA_D&amp;G_SP")</f>
        <v>FRANQUIA_D&amp;G_SP</v>
      </c>
      <c r="F2624" s="7" t="str">
        <f>IFERROR(__xludf.DUMMYFUNCTION("""COMPUTED_VALUE"""),"BICYCLE")</f>
        <v>BICYCLE</v>
      </c>
      <c r="G2624" s="7" t="str">
        <f>IFERROR(__xludf.DUMMYFUNCTION("""COMPUTED_VALUE"""),"SAO PAULO")</f>
        <v>SAO PAULO</v>
      </c>
    </row>
    <row r="2625">
      <c r="A2625" s="6">
        <f>IFERROR(__xludf.DUMMYFUNCTION("""COMPUTED_VALUE"""),45705.0)</f>
        <v>45705</v>
      </c>
      <c r="B2625" s="7" t="str">
        <f>IFERROR(__xludf.DUMMYFUNCTION("""COMPUTED_VALUE"""),"c107dc73-cb59-493d-90a0-40ead7f56443")</f>
        <v>c107dc73-cb59-493d-90a0-40ead7f56443</v>
      </c>
      <c r="C2625" s="7">
        <f>IFERROR(__xludf.DUMMYFUNCTION("""COMPUTED_VALUE"""),343.0)</f>
        <v>343</v>
      </c>
      <c r="D2625" s="6">
        <f>IFERROR(__xludf.DUMMYFUNCTION("""COMPUTED_VALUE"""),45362.0)</f>
        <v>45362</v>
      </c>
      <c r="E2625" s="7" t="str">
        <f>IFERROR(__xludf.DUMMYFUNCTION("""COMPUTED_VALUE"""),"FRANQUIA_D&amp;G_SP")</f>
        <v>FRANQUIA_D&amp;G_SP</v>
      </c>
      <c r="F2625" s="7" t="str">
        <f>IFERROR(__xludf.DUMMYFUNCTION("""COMPUTED_VALUE"""),"BICYCLE")</f>
        <v>BICYCLE</v>
      </c>
      <c r="G2625" s="7" t="str">
        <f>IFERROR(__xludf.DUMMYFUNCTION("""COMPUTED_VALUE"""),"SAO PAULO")</f>
        <v>SAO PAULO</v>
      </c>
    </row>
    <row r="2626">
      <c r="A2626" s="6">
        <f>IFERROR(__xludf.DUMMYFUNCTION("""COMPUTED_VALUE"""),45705.0)</f>
        <v>45705</v>
      </c>
      <c r="B2626" s="7" t="str">
        <f>IFERROR(__xludf.DUMMYFUNCTION("""COMPUTED_VALUE"""),"1fc66d70-8e66-4876-b712-86bfb5b78c14")</f>
        <v>1fc66d70-8e66-4876-b712-86bfb5b78c14</v>
      </c>
      <c r="C2626" s="7">
        <f>IFERROR(__xludf.DUMMYFUNCTION("""COMPUTED_VALUE"""),44.0)</f>
        <v>44</v>
      </c>
      <c r="D2626" s="6">
        <f>IFERROR(__xludf.DUMMYFUNCTION("""COMPUTED_VALUE"""),45661.0)</f>
        <v>45661</v>
      </c>
      <c r="E2626" s="7" t="str">
        <f>IFERROR(__xludf.DUMMYFUNCTION("""COMPUTED_VALUE"""),"FRANQUIA_D&amp;G_SP")</f>
        <v>FRANQUIA_D&amp;G_SP</v>
      </c>
      <c r="F2626" s="7" t="str">
        <f>IFERROR(__xludf.DUMMYFUNCTION("""COMPUTED_VALUE"""),"MOTORCYCLE")</f>
        <v>MOTORCYCLE</v>
      </c>
      <c r="G2626" s="7" t="str">
        <f>IFERROR(__xludf.DUMMYFUNCTION("""COMPUTED_VALUE"""),"SAO PAULO")</f>
        <v>SAO PAULO</v>
      </c>
    </row>
    <row r="2627">
      <c r="A2627" s="6">
        <f>IFERROR(__xludf.DUMMYFUNCTION("""COMPUTED_VALUE"""),45705.0)</f>
        <v>45705</v>
      </c>
      <c r="B2627" s="7" t="str">
        <f>IFERROR(__xludf.DUMMYFUNCTION("""COMPUTED_VALUE"""),"aae82336-fd4f-471f-8c75-4a133617cadc")</f>
        <v>aae82336-fd4f-471f-8c75-4a133617cadc</v>
      </c>
      <c r="C2627" s="7">
        <f>IFERROR(__xludf.DUMMYFUNCTION("""COMPUTED_VALUE"""),0.0)</f>
        <v>0</v>
      </c>
      <c r="D2627" s="6">
        <f>IFERROR(__xludf.DUMMYFUNCTION("""COMPUTED_VALUE"""),45705.0)</f>
        <v>45705</v>
      </c>
      <c r="E2627" s="7" t="str">
        <f>IFERROR(__xludf.DUMMYFUNCTION("""COMPUTED_VALUE"""),"FRANQUIA_D&amp;G_SP")</f>
        <v>FRANQUIA_D&amp;G_SP</v>
      </c>
      <c r="F2627" s="7" t="str">
        <f>IFERROR(__xludf.DUMMYFUNCTION("""COMPUTED_VALUE"""),"MOTORCYCLE")</f>
        <v>MOTORCYCLE</v>
      </c>
      <c r="G2627" s="7" t="str">
        <f>IFERROR(__xludf.DUMMYFUNCTION("""COMPUTED_VALUE"""),"SAO PAULO")</f>
        <v>SAO PAULO</v>
      </c>
    </row>
    <row r="2628">
      <c r="A2628" s="6">
        <f>IFERROR(__xludf.DUMMYFUNCTION("""COMPUTED_VALUE"""),45705.0)</f>
        <v>45705</v>
      </c>
      <c r="B2628" s="7" t="str">
        <f>IFERROR(__xludf.DUMMYFUNCTION("""COMPUTED_VALUE"""),"4d68c9de-7108-4662-9899-619185e2fb3a")</f>
        <v>4d68c9de-7108-4662-9899-619185e2fb3a</v>
      </c>
      <c r="C2628" s="7">
        <f>IFERROR(__xludf.DUMMYFUNCTION("""COMPUTED_VALUE"""),0.0)</f>
        <v>0</v>
      </c>
      <c r="D2628" s="6">
        <f>IFERROR(__xludf.DUMMYFUNCTION("""COMPUTED_VALUE"""),45705.0)</f>
        <v>45705</v>
      </c>
      <c r="E2628" s="7" t="str">
        <f>IFERROR(__xludf.DUMMYFUNCTION("""COMPUTED_VALUE"""),"FRANQUIA_D&amp;G_SP")</f>
        <v>FRANQUIA_D&amp;G_SP</v>
      </c>
      <c r="F2628" s="7" t="str">
        <f>IFERROR(__xludf.DUMMYFUNCTION("""COMPUTED_VALUE"""),"BICYCLE")</f>
        <v>BICYCLE</v>
      </c>
      <c r="G2628" s="7" t="str">
        <f>IFERROR(__xludf.DUMMYFUNCTION("""COMPUTED_VALUE"""),"SAO PAULO")</f>
        <v>SAO PAULO</v>
      </c>
    </row>
    <row r="2629">
      <c r="A2629" s="6">
        <f>IFERROR(__xludf.DUMMYFUNCTION("""COMPUTED_VALUE"""),45705.0)</f>
        <v>45705</v>
      </c>
      <c r="B2629" s="7" t="str">
        <f>IFERROR(__xludf.DUMMYFUNCTION("""COMPUTED_VALUE"""),"1ed01c3c-6be7-471c-842d-513a2bb6ab07")</f>
        <v>1ed01c3c-6be7-471c-842d-513a2bb6ab07</v>
      </c>
      <c r="C2629" s="7">
        <f>IFERROR(__xludf.DUMMYFUNCTION("""COMPUTED_VALUE"""),0.0)</f>
        <v>0</v>
      </c>
      <c r="D2629" s="6">
        <f>IFERROR(__xludf.DUMMYFUNCTION("""COMPUTED_VALUE"""),45705.0)</f>
        <v>45705</v>
      </c>
      <c r="E2629" s="7" t="str">
        <f>IFERROR(__xludf.DUMMYFUNCTION("""COMPUTED_VALUE"""),"FRANQUIA_D&amp;G_SP")</f>
        <v>FRANQUIA_D&amp;G_SP</v>
      </c>
      <c r="F2629" s="7" t="str">
        <f>IFERROR(__xludf.DUMMYFUNCTION("""COMPUTED_VALUE"""),"MOTORCYCLE")</f>
        <v>MOTORCYCLE</v>
      </c>
      <c r="G2629" s="7" t="str">
        <f>IFERROR(__xludf.DUMMYFUNCTION("""COMPUTED_VALUE"""),"SAO PAULO")</f>
        <v>SAO PAULO</v>
      </c>
    </row>
    <row r="2630">
      <c r="A2630" s="6">
        <f>IFERROR(__xludf.DUMMYFUNCTION("""COMPUTED_VALUE"""),45705.0)</f>
        <v>45705</v>
      </c>
      <c r="B2630" s="7" t="str">
        <f>IFERROR(__xludf.DUMMYFUNCTION("""COMPUTED_VALUE"""),"d74eba54-f0b1-4957-aa70-71f4faca668d")</f>
        <v>d74eba54-f0b1-4957-aa70-71f4faca668d</v>
      </c>
      <c r="C2630" s="7">
        <f>IFERROR(__xludf.DUMMYFUNCTION("""COMPUTED_VALUE"""),602.0)</f>
        <v>602</v>
      </c>
      <c r="D2630" s="6">
        <f>IFERROR(__xludf.DUMMYFUNCTION("""COMPUTED_VALUE"""),45103.0)</f>
        <v>45103</v>
      </c>
      <c r="E2630" s="7" t="str">
        <f>IFERROR(__xludf.DUMMYFUNCTION("""COMPUTED_VALUE"""),"FRANQUIA_D&amp;G_SP")</f>
        <v>FRANQUIA_D&amp;G_SP</v>
      </c>
      <c r="F2630" s="7" t="str">
        <f>IFERROR(__xludf.DUMMYFUNCTION("""COMPUTED_VALUE"""),"MOTORCYCLE")</f>
        <v>MOTORCYCLE</v>
      </c>
      <c r="G2630" s="7" t="str">
        <f>IFERROR(__xludf.DUMMYFUNCTION("""COMPUTED_VALUE"""),"SAO PAULO")</f>
        <v>SAO PAULO</v>
      </c>
    </row>
    <row r="2631">
      <c r="A2631" s="6">
        <f>IFERROR(__xludf.DUMMYFUNCTION("""COMPUTED_VALUE"""),45705.0)</f>
        <v>45705</v>
      </c>
      <c r="B2631" s="7" t="str">
        <f>IFERROR(__xludf.DUMMYFUNCTION("""COMPUTED_VALUE"""),"0f0613dc-efde-43cc-b051-6274ab25e8ce")</f>
        <v>0f0613dc-efde-43cc-b051-6274ab25e8ce</v>
      </c>
      <c r="C2631" s="7">
        <f>IFERROR(__xludf.DUMMYFUNCTION("""COMPUTED_VALUE"""),609.0)</f>
        <v>609</v>
      </c>
      <c r="D2631" s="6">
        <f>IFERROR(__xludf.DUMMYFUNCTION("""COMPUTED_VALUE"""),45096.0)</f>
        <v>45096</v>
      </c>
      <c r="E2631" s="7" t="str">
        <f>IFERROR(__xludf.DUMMYFUNCTION("""COMPUTED_VALUE"""),"FRANQUIA_D&amp;G_SP")</f>
        <v>FRANQUIA_D&amp;G_SP</v>
      </c>
      <c r="F2631" s="7" t="str">
        <f>IFERROR(__xludf.DUMMYFUNCTION("""COMPUTED_VALUE"""),"BICYCLE")</f>
        <v>BICYCLE</v>
      </c>
      <c r="G2631" s="7" t="str">
        <f>IFERROR(__xludf.DUMMYFUNCTION("""COMPUTED_VALUE"""),"SAO PAULO")</f>
        <v>SAO PAULO</v>
      </c>
    </row>
    <row r="2632">
      <c r="A2632" s="6">
        <f>IFERROR(__xludf.DUMMYFUNCTION("""COMPUTED_VALUE"""),45705.0)</f>
        <v>45705</v>
      </c>
      <c r="B2632" s="7" t="str">
        <f>IFERROR(__xludf.DUMMYFUNCTION("""COMPUTED_VALUE"""),"1ff5117a-2689-4d9f-9c1e-f6eda89af78b")</f>
        <v>1ff5117a-2689-4d9f-9c1e-f6eda89af78b</v>
      </c>
      <c r="C2632" s="7">
        <f>IFERROR(__xludf.DUMMYFUNCTION("""COMPUTED_VALUE"""),17.0)</f>
        <v>17</v>
      </c>
      <c r="D2632" s="6">
        <f>IFERROR(__xludf.DUMMYFUNCTION("""COMPUTED_VALUE"""),45688.0)</f>
        <v>45688</v>
      </c>
      <c r="E2632" s="7" t="str">
        <f>IFERROR(__xludf.DUMMYFUNCTION("""COMPUTED_VALUE"""),"FRANQUIA_D&amp;G_SP")</f>
        <v>FRANQUIA_D&amp;G_SP</v>
      </c>
      <c r="F2632" s="7" t="str">
        <f>IFERROR(__xludf.DUMMYFUNCTION("""COMPUTED_VALUE"""),"BICYCLE")</f>
        <v>BICYCLE</v>
      </c>
      <c r="G2632" s="7" t="str">
        <f>IFERROR(__xludf.DUMMYFUNCTION("""COMPUTED_VALUE"""),"SAO PAULO")</f>
        <v>SAO PAULO</v>
      </c>
    </row>
    <row r="2633">
      <c r="A2633" s="6">
        <f>IFERROR(__xludf.DUMMYFUNCTION("""COMPUTED_VALUE"""),45705.0)</f>
        <v>45705</v>
      </c>
      <c r="B2633" s="7" t="str">
        <f>IFERROR(__xludf.DUMMYFUNCTION("""COMPUTED_VALUE"""),"eec3eb97-b39f-42d7-a0ac-5258a0302f9a")</f>
        <v>eec3eb97-b39f-42d7-a0ac-5258a0302f9a</v>
      </c>
      <c r="C2633" s="7">
        <f>IFERROR(__xludf.DUMMYFUNCTION("""COMPUTED_VALUE"""),9.0)</f>
        <v>9</v>
      </c>
      <c r="D2633" s="6">
        <f>IFERROR(__xludf.DUMMYFUNCTION("""COMPUTED_VALUE"""),45696.0)</f>
        <v>45696</v>
      </c>
      <c r="E2633" s="7" t="str">
        <f>IFERROR(__xludf.DUMMYFUNCTION("""COMPUTED_VALUE"""),"FRANQUIA_D&amp;G_SP")</f>
        <v>FRANQUIA_D&amp;G_SP</v>
      </c>
      <c r="F2633" s="7" t="str">
        <f>IFERROR(__xludf.DUMMYFUNCTION("""COMPUTED_VALUE"""),"BICYCLE")</f>
        <v>BICYCLE</v>
      </c>
      <c r="G2633" s="7" t="str">
        <f>IFERROR(__xludf.DUMMYFUNCTION("""COMPUTED_VALUE"""),"SAO PAULO")</f>
        <v>SAO PAULO</v>
      </c>
    </row>
    <row r="2634">
      <c r="A2634" s="6">
        <f>IFERROR(__xludf.DUMMYFUNCTION("""COMPUTED_VALUE"""),45705.0)</f>
        <v>45705</v>
      </c>
      <c r="B2634" s="7" t="str">
        <f>IFERROR(__xludf.DUMMYFUNCTION("""COMPUTED_VALUE"""),"48e8702d-d884-454b-aa03-fd619f853d30")</f>
        <v>48e8702d-d884-454b-aa03-fd619f853d30</v>
      </c>
      <c r="C2634" s="7">
        <f>IFERROR(__xludf.DUMMYFUNCTION("""COMPUTED_VALUE"""),1.0)</f>
        <v>1</v>
      </c>
      <c r="D2634" s="6">
        <f>IFERROR(__xludf.DUMMYFUNCTION("""COMPUTED_VALUE"""),45704.0)</f>
        <v>45704</v>
      </c>
      <c r="E2634" s="7" t="str">
        <f>IFERROR(__xludf.DUMMYFUNCTION("""COMPUTED_VALUE"""),"FRANQUIA_D&amp;G_SP")</f>
        <v>FRANQUIA_D&amp;G_SP</v>
      </c>
      <c r="F2634" s="7" t="str">
        <f>IFERROR(__xludf.DUMMYFUNCTION("""COMPUTED_VALUE"""),"MOTORCYCLE")</f>
        <v>MOTORCYCLE</v>
      </c>
      <c r="G2634" s="7" t="str">
        <f>IFERROR(__xludf.DUMMYFUNCTION("""COMPUTED_VALUE"""),"SAO PAULO")</f>
        <v>SAO PAULO</v>
      </c>
    </row>
    <row r="2635">
      <c r="A2635" s="6">
        <f>IFERROR(__xludf.DUMMYFUNCTION("""COMPUTED_VALUE"""),45705.0)</f>
        <v>45705</v>
      </c>
      <c r="B2635" s="7" t="str">
        <f>IFERROR(__xludf.DUMMYFUNCTION("""COMPUTED_VALUE"""),"d8702e27-73c1-4d1d-831b-3d26742a854f")</f>
        <v>d8702e27-73c1-4d1d-831b-3d26742a854f</v>
      </c>
      <c r="C2635" s="7">
        <f>IFERROR(__xludf.DUMMYFUNCTION("""COMPUTED_VALUE"""),12.0)</f>
        <v>12</v>
      </c>
      <c r="D2635" s="6">
        <f>IFERROR(__xludf.DUMMYFUNCTION("""COMPUTED_VALUE"""),45693.0)</f>
        <v>45693</v>
      </c>
      <c r="E2635" s="7" t="str">
        <f>IFERROR(__xludf.DUMMYFUNCTION("""COMPUTED_VALUE"""),"FRANQUIA_D&amp;G_SP")</f>
        <v>FRANQUIA_D&amp;G_SP</v>
      </c>
      <c r="F2635" s="7" t="str">
        <f>IFERROR(__xludf.DUMMYFUNCTION("""COMPUTED_VALUE"""),"MOTORCYCLE")</f>
        <v>MOTORCYCLE</v>
      </c>
      <c r="G2635" s="7" t="str">
        <f>IFERROR(__xludf.DUMMYFUNCTION("""COMPUTED_VALUE"""),"SAO PAULO")</f>
        <v>SAO PAULO</v>
      </c>
    </row>
    <row r="2636">
      <c r="A2636" s="6">
        <f>IFERROR(__xludf.DUMMYFUNCTION("""COMPUTED_VALUE"""),45705.0)</f>
        <v>45705</v>
      </c>
      <c r="B2636" s="7" t="str">
        <f>IFERROR(__xludf.DUMMYFUNCTION("""COMPUTED_VALUE"""),"258a3a6e-608a-4cfd-b168-290013d3212a")</f>
        <v>258a3a6e-608a-4cfd-b168-290013d3212a</v>
      </c>
      <c r="C2636" s="7">
        <f>IFERROR(__xludf.DUMMYFUNCTION("""COMPUTED_VALUE"""),0.0)</f>
        <v>0</v>
      </c>
      <c r="D2636" s="6">
        <f>IFERROR(__xludf.DUMMYFUNCTION("""COMPUTED_VALUE"""),0.0)</f>
        <v>0</v>
      </c>
      <c r="E2636" s="7" t="str">
        <f>IFERROR(__xludf.DUMMYFUNCTION("""COMPUTED_VALUE"""),"FRANQUIA_D&amp;G_SP")</f>
        <v>FRANQUIA_D&amp;G_SP</v>
      </c>
      <c r="F2636" s="7" t="str">
        <f>IFERROR(__xludf.DUMMYFUNCTION("""COMPUTED_VALUE"""),"MOTORCYCLE")</f>
        <v>MOTORCYCLE</v>
      </c>
      <c r="G2636" s="7" t="str">
        <f>IFERROR(__xludf.DUMMYFUNCTION("""COMPUTED_VALUE"""),"0")</f>
        <v>0</v>
      </c>
    </row>
    <row r="2637">
      <c r="A2637" s="6">
        <f>IFERROR(__xludf.DUMMYFUNCTION("""COMPUTED_VALUE"""),45705.0)</f>
        <v>45705</v>
      </c>
      <c r="B2637" s="7" t="str">
        <f>IFERROR(__xludf.DUMMYFUNCTION("""COMPUTED_VALUE"""),"a8c94ba4-a634-4c60-84fd-4210ec22467b")</f>
        <v>a8c94ba4-a634-4c60-84fd-4210ec22467b</v>
      </c>
      <c r="C2637" s="7">
        <f>IFERROR(__xludf.DUMMYFUNCTION("""COMPUTED_VALUE"""),484.0)</f>
        <v>484</v>
      </c>
      <c r="D2637" s="6">
        <f>IFERROR(__xludf.DUMMYFUNCTION("""COMPUTED_VALUE"""),45221.0)</f>
        <v>45221</v>
      </c>
      <c r="E2637" s="7" t="str">
        <f>IFERROR(__xludf.DUMMYFUNCTION("""COMPUTED_VALUE"""),"FRANQUIA_D&amp;G_SP")</f>
        <v>FRANQUIA_D&amp;G_SP</v>
      </c>
      <c r="F2637" s="7" t="str">
        <f>IFERROR(__xludf.DUMMYFUNCTION("""COMPUTED_VALUE"""),"Bike Express")</f>
        <v>Bike Express</v>
      </c>
      <c r="G2637" s="7" t="str">
        <f>IFERROR(__xludf.DUMMYFUNCTION("""COMPUTED_VALUE"""),"FRANCO DA ROCHA")</f>
        <v>FRANCO DA ROCHA</v>
      </c>
    </row>
    <row r="2638">
      <c r="A2638" s="6">
        <f>IFERROR(__xludf.DUMMYFUNCTION("""COMPUTED_VALUE"""),45705.0)</f>
        <v>45705</v>
      </c>
      <c r="B2638" s="7" t="str">
        <f>IFERROR(__xludf.DUMMYFUNCTION("""COMPUTED_VALUE"""),"6d45273b-b5e2-490d-b615-d52ea9f1d784")</f>
        <v>6d45273b-b5e2-490d-b615-d52ea9f1d784</v>
      </c>
      <c r="C2638" s="7">
        <f>IFERROR(__xludf.DUMMYFUNCTION("""COMPUTED_VALUE"""),0.0)</f>
        <v>0</v>
      </c>
      <c r="D2638" s="6">
        <f>IFERROR(__xludf.DUMMYFUNCTION("""COMPUTED_VALUE"""),45705.0)</f>
        <v>45705</v>
      </c>
      <c r="E2638" s="7" t="str">
        <f>IFERROR(__xludf.DUMMYFUNCTION("""COMPUTED_VALUE"""),"FRANQUIA_D&amp;G_SP")</f>
        <v>FRANQUIA_D&amp;G_SP</v>
      </c>
      <c r="F2638" s="7" t="str">
        <f>IFERROR(__xludf.DUMMYFUNCTION("""COMPUTED_VALUE"""),"MOTORCYCLE")</f>
        <v>MOTORCYCLE</v>
      </c>
      <c r="G2638" s="7" t="str">
        <f>IFERROR(__xludf.DUMMYFUNCTION("""COMPUTED_VALUE"""),"SAO PAULO")</f>
        <v>SAO PAULO</v>
      </c>
    </row>
    <row r="2639">
      <c r="A2639" s="6">
        <f>IFERROR(__xludf.DUMMYFUNCTION("""COMPUTED_VALUE"""),45705.0)</f>
        <v>45705</v>
      </c>
      <c r="B2639" s="7" t="str">
        <f>IFERROR(__xludf.DUMMYFUNCTION("""COMPUTED_VALUE"""),"d9c5d70f-7201-48ed-9689-b708da468c4b")</f>
        <v>d9c5d70f-7201-48ed-9689-b708da468c4b</v>
      </c>
      <c r="C2639" s="7">
        <f>IFERROR(__xludf.DUMMYFUNCTION("""COMPUTED_VALUE"""),272.0)</f>
        <v>272</v>
      </c>
      <c r="D2639" s="6">
        <f>IFERROR(__xludf.DUMMYFUNCTION("""COMPUTED_VALUE"""),45433.0)</f>
        <v>45433</v>
      </c>
      <c r="E2639" s="7" t="str">
        <f>IFERROR(__xludf.DUMMYFUNCTION("""COMPUTED_VALUE"""),"FRANQUIA_D&amp;G_SP")</f>
        <v>FRANQUIA_D&amp;G_SP</v>
      </c>
      <c r="F2639" s="7" t="str">
        <f>IFERROR(__xludf.DUMMYFUNCTION("""COMPUTED_VALUE"""),"MOTORCYCLE")</f>
        <v>MOTORCYCLE</v>
      </c>
      <c r="G2639" s="7" t="str">
        <f>IFERROR(__xludf.DUMMYFUNCTION("""COMPUTED_VALUE"""),"SAO PAULO")</f>
        <v>SAO PAULO</v>
      </c>
    </row>
    <row r="2640">
      <c r="A2640" s="6">
        <f>IFERROR(__xludf.DUMMYFUNCTION("""COMPUTED_VALUE"""),45705.0)</f>
        <v>45705</v>
      </c>
      <c r="B2640" s="7" t="str">
        <f>IFERROR(__xludf.DUMMYFUNCTION("""COMPUTED_VALUE"""),"9a70503d-c0f0-420d-8de5-c2a3efa6a0e1")</f>
        <v>9a70503d-c0f0-420d-8de5-c2a3efa6a0e1</v>
      </c>
      <c r="C2640" s="7">
        <f>IFERROR(__xludf.DUMMYFUNCTION("""COMPUTED_VALUE"""),61.0)</f>
        <v>61</v>
      </c>
      <c r="D2640" s="6">
        <f>IFERROR(__xludf.DUMMYFUNCTION("""COMPUTED_VALUE"""),45644.0)</f>
        <v>45644</v>
      </c>
      <c r="E2640" s="7" t="str">
        <f>IFERROR(__xludf.DUMMYFUNCTION("""COMPUTED_VALUE"""),"FRANQUIA_D&amp;G_SP")</f>
        <v>FRANQUIA_D&amp;G_SP</v>
      </c>
      <c r="F2640" s="7" t="str">
        <f>IFERROR(__xludf.DUMMYFUNCTION("""COMPUTED_VALUE"""),"MOTORCYCLE")</f>
        <v>MOTORCYCLE</v>
      </c>
      <c r="G2640" s="7" t="str">
        <f>IFERROR(__xludf.DUMMYFUNCTION("""COMPUTED_VALUE"""),"SAO PAULO")</f>
        <v>SAO PAULO</v>
      </c>
    </row>
    <row r="2641">
      <c r="A2641" s="6">
        <f>IFERROR(__xludf.DUMMYFUNCTION("""COMPUTED_VALUE"""),45705.0)</f>
        <v>45705</v>
      </c>
      <c r="B2641" s="7" t="str">
        <f>IFERROR(__xludf.DUMMYFUNCTION("""COMPUTED_VALUE"""),"bb8a6f42-1448-4f33-b920-3b7f1c659627")</f>
        <v>bb8a6f42-1448-4f33-b920-3b7f1c659627</v>
      </c>
      <c r="C2641" s="7">
        <f>IFERROR(__xludf.DUMMYFUNCTION("""COMPUTED_VALUE"""),186.0)</f>
        <v>186</v>
      </c>
      <c r="D2641" s="6">
        <f>IFERROR(__xludf.DUMMYFUNCTION("""COMPUTED_VALUE"""),45519.0)</f>
        <v>45519</v>
      </c>
      <c r="E2641" s="7" t="str">
        <f>IFERROR(__xludf.DUMMYFUNCTION("""COMPUTED_VALUE"""),"FRANQUIA_D&amp;G_SP")</f>
        <v>FRANQUIA_D&amp;G_SP</v>
      </c>
      <c r="F2641" s="7" t="str">
        <f>IFERROR(__xludf.DUMMYFUNCTION("""COMPUTED_VALUE"""),"MOTORCYCLE")</f>
        <v>MOTORCYCLE</v>
      </c>
      <c r="G2641" s="7" t="str">
        <f>IFERROR(__xludf.DUMMYFUNCTION("""COMPUTED_VALUE"""),"SAO PAULO")</f>
        <v>SAO PAULO</v>
      </c>
    </row>
    <row r="2642">
      <c r="A2642" s="6">
        <f>IFERROR(__xludf.DUMMYFUNCTION("""COMPUTED_VALUE"""),45705.0)</f>
        <v>45705</v>
      </c>
      <c r="B2642" s="7" t="str">
        <f>IFERROR(__xludf.DUMMYFUNCTION("""COMPUTED_VALUE"""),"4c2e7eec-858c-4989-ad1b-957ef39648d5")</f>
        <v>4c2e7eec-858c-4989-ad1b-957ef39648d5</v>
      </c>
      <c r="C2642" s="7">
        <f>IFERROR(__xludf.DUMMYFUNCTION("""COMPUTED_VALUE"""),1.0)</f>
        <v>1</v>
      </c>
      <c r="D2642" s="6">
        <f>IFERROR(__xludf.DUMMYFUNCTION("""COMPUTED_VALUE"""),45704.0)</f>
        <v>45704</v>
      </c>
      <c r="E2642" s="7" t="str">
        <f>IFERROR(__xludf.DUMMYFUNCTION("""COMPUTED_VALUE"""),"FRANQUIA_D&amp;G_SP")</f>
        <v>FRANQUIA_D&amp;G_SP</v>
      </c>
      <c r="F2642" s="7" t="str">
        <f>IFERROR(__xludf.DUMMYFUNCTION("""COMPUTED_VALUE"""),"MOTORCYCLE")</f>
        <v>MOTORCYCLE</v>
      </c>
      <c r="G2642" s="7" t="str">
        <f>IFERROR(__xludf.DUMMYFUNCTION("""COMPUTED_VALUE"""),"SAO PAULO")</f>
        <v>SAO PAULO</v>
      </c>
    </row>
    <row r="2643">
      <c r="A2643" s="6">
        <f>IFERROR(__xludf.DUMMYFUNCTION("""COMPUTED_VALUE"""),45705.0)</f>
        <v>45705</v>
      </c>
      <c r="B2643" s="7" t="str">
        <f>IFERROR(__xludf.DUMMYFUNCTION("""COMPUTED_VALUE"""),"45417bc7-f9f1-4438-8be5-1d09b8158e7b")</f>
        <v>45417bc7-f9f1-4438-8be5-1d09b8158e7b</v>
      </c>
      <c r="C2643" s="7">
        <f>IFERROR(__xludf.DUMMYFUNCTION("""COMPUTED_VALUE"""),260.0)</f>
        <v>260</v>
      </c>
      <c r="D2643" s="6">
        <f>IFERROR(__xludf.DUMMYFUNCTION("""COMPUTED_VALUE"""),45445.0)</f>
        <v>45445</v>
      </c>
      <c r="E2643" s="7" t="str">
        <f>IFERROR(__xludf.DUMMYFUNCTION("""COMPUTED_VALUE"""),"FRANQUIA_D&amp;G_SP")</f>
        <v>FRANQUIA_D&amp;G_SP</v>
      </c>
      <c r="F2643" s="7" t="str">
        <f>IFERROR(__xludf.DUMMYFUNCTION("""COMPUTED_VALUE"""),"BICYCLE")</f>
        <v>BICYCLE</v>
      </c>
      <c r="G2643" s="7" t="str">
        <f>IFERROR(__xludf.DUMMYFUNCTION("""COMPUTED_VALUE"""),"SAO PAULO")</f>
        <v>SAO PAULO</v>
      </c>
    </row>
    <row r="2644">
      <c r="A2644" s="6">
        <f>IFERROR(__xludf.DUMMYFUNCTION("""COMPUTED_VALUE"""),45705.0)</f>
        <v>45705</v>
      </c>
      <c r="B2644" s="7" t="str">
        <f>IFERROR(__xludf.DUMMYFUNCTION("""COMPUTED_VALUE"""),"474174fe-feba-4d75-8335-7867ce2476df")</f>
        <v>474174fe-feba-4d75-8335-7867ce2476df</v>
      </c>
      <c r="C2644" s="7">
        <f>IFERROR(__xludf.DUMMYFUNCTION("""COMPUTED_VALUE"""),0.0)</f>
        <v>0</v>
      </c>
      <c r="D2644" s="6">
        <f>IFERROR(__xludf.DUMMYFUNCTION("""COMPUTED_VALUE"""),45705.0)</f>
        <v>45705</v>
      </c>
      <c r="E2644" s="7" t="str">
        <f>IFERROR(__xludf.DUMMYFUNCTION("""COMPUTED_VALUE"""),"FRANQUIA_D&amp;G_SP")</f>
        <v>FRANQUIA_D&amp;G_SP</v>
      </c>
      <c r="F2644" s="7" t="str">
        <f>IFERROR(__xludf.DUMMYFUNCTION("""COMPUTED_VALUE"""),"MOTORCYCLE")</f>
        <v>MOTORCYCLE</v>
      </c>
      <c r="G2644" s="7" t="str">
        <f>IFERROR(__xludf.DUMMYFUNCTION("""COMPUTED_VALUE"""),"SAO PAULO")</f>
        <v>SAO PAULO</v>
      </c>
    </row>
    <row r="2645">
      <c r="A2645" s="6">
        <f>IFERROR(__xludf.DUMMYFUNCTION("""COMPUTED_VALUE"""),45705.0)</f>
        <v>45705</v>
      </c>
      <c r="B2645" s="7" t="str">
        <f>IFERROR(__xludf.DUMMYFUNCTION("""COMPUTED_VALUE"""),"1c42d658-547b-4433-8aba-cb46c9020cd1")</f>
        <v>1c42d658-547b-4433-8aba-cb46c9020cd1</v>
      </c>
      <c r="C2645" s="7">
        <f>IFERROR(__xludf.DUMMYFUNCTION("""COMPUTED_VALUE"""),577.0)</f>
        <v>577</v>
      </c>
      <c r="D2645" s="6">
        <f>IFERROR(__xludf.DUMMYFUNCTION("""COMPUTED_VALUE"""),45128.0)</f>
        <v>45128</v>
      </c>
      <c r="E2645" s="7" t="str">
        <f>IFERROR(__xludf.DUMMYFUNCTION("""COMPUTED_VALUE"""),"FRANQUIA_D&amp;G_SP")</f>
        <v>FRANQUIA_D&amp;G_SP</v>
      </c>
      <c r="F2645" s="7" t="str">
        <f>IFERROR(__xludf.DUMMYFUNCTION("""COMPUTED_VALUE"""),"MOTORCYCLE")</f>
        <v>MOTORCYCLE</v>
      </c>
      <c r="G2645" s="7" t="str">
        <f>IFERROR(__xludf.DUMMYFUNCTION("""COMPUTED_VALUE"""),"ABC")</f>
        <v>ABC</v>
      </c>
    </row>
    <row r="2646">
      <c r="A2646" s="6">
        <f>IFERROR(__xludf.DUMMYFUNCTION("""COMPUTED_VALUE"""),45705.0)</f>
        <v>45705</v>
      </c>
      <c r="B2646" s="7" t="str">
        <f>IFERROR(__xludf.DUMMYFUNCTION("""COMPUTED_VALUE"""),"b84d19b2-b6ea-4258-9829-6ee78d5d4912")</f>
        <v>b84d19b2-b6ea-4258-9829-6ee78d5d4912</v>
      </c>
      <c r="C2646" s="7">
        <f>IFERROR(__xludf.DUMMYFUNCTION("""COMPUTED_VALUE"""),254.0)</f>
        <v>254</v>
      </c>
      <c r="D2646" s="6">
        <f>IFERROR(__xludf.DUMMYFUNCTION("""COMPUTED_VALUE"""),45451.0)</f>
        <v>45451</v>
      </c>
      <c r="E2646" s="7" t="str">
        <f>IFERROR(__xludf.DUMMYFUNCTION("""COMPUTED_VALUE"""),"FRANQUIA_D&amp;G_SP")</f>
        <v>FRANQUIA_D&amp;G_SP</v>
      </c>
      <c r="F2646" s="7" t="str">
        <f>IFERROR(__xludf.DUMMYFUNCTION("""COMPUTED_VALUE"""),"MOTORCYCLE")</f>
        <v>MOTORCYCLE</v>
      </c>
      <c r="G2646" s="7" t="str">
        <f>IFERROR(__xludf.DUMMYFUNCTION("""COMPUTED_VALUE"""),"SAO PAULO")</f>
        <v>SAO PAULO</v>
      </c>
    </row>
    <row r="2647">
      <c r="A2647" s="6">
        <f>IFERROR(__xludf.DUMMYFUNCTION("""COMPUTED_VALUE"""),45705.0)</f>
        <v>45705</v>
      </c>
      <c r="B2647" s="7" t="str">
        <f>IFERROR(__xludf.DUMMYFUNCTION("""COMPUTED_VALUE"""),"b6501113-5e7a-48b7-b16f-9df5fb50e6eb")</f>
        <v>b6501113-5e7a-48b7-b16f-9df5fb50e6eb</v>
      </c>
      <c r="C2647" s="7">
        <f>IFERROR(__xludf.DUMMYFUNCTION("""COMPUTED_VALUE"""),320.0)</f>
        <v>320</v>
      </c>
      <c r="D2647" s="6">
        <f>IFERROR(__xludf.DUMMYFUNCTION("""COMPUTED_VALUE"""),45385.0)</f>
        <v>45385</v>
      </c>
      <c r="E2647" s="7" t="str">
        <f>IFERROR(__xludf.DUMMYFUNCTION("""COMPUTED_VALUE"""),"FRANQUIA_D&amp;G_SP")</f>
        <v>FRANQUIA_D&amp;G_SP</v>
      </c>
      <c r="F2647" s="7" t="str">
        <f>IFERROR(__xludf.DUMMYFUNCTION("""COMPUTED_VALUE"""),"MOTORCYCLE")</f>
        <v>MOTORCYCLE</v>
      </c>
      <c r="G2647" s="7" t="str">
        <f>IFERROR(__xludf.DUMMYFUNCTION("""COMPUTED_VALUE"""),"SAO PAULO")</f>
        <v>SAO PAULO</v>
      </c>
    </row>
    <row r="2648">
      <c r="A2648" s="6">
        <f>IFERROR(__xludf.DUMMYFUNCTION("""COMPUTED_VALUE"""),45705.0)</f>
        <v>45705</v>
      </c>
      <c r="B2648" s="7" t="str">
        <f>IFERROR(__xludf.DUMMYFUNCTION("""COMPUTED_VALUE"""),"a70e29e9-efc1-4b19-9a63-8ece038407f6")</f>
        <v>a70e29e9-efc1-4b19-9a63-8ece038407f6</v>
      </c>
      <c r="C2648" s="7">
        <f>IFERROR(__xludf.DUMMYFUNCTION("""COMPUTED_VALUE"""),3.0)</f>
        <v>3</v>
      </c>
      <c r="D2648" s="6">
        <f>IFERROR(__xludf.DUMMYFUNCTION("""COMPUTED_VALUE"""),45702.0)</f>
        <v>45702</v>
      </c>
      <c r="E2648" s="7" t="str">
        <f>IFERROR(__xludf.DUMMYFUNCTION("""COMPUTED_VALUE"""),"FRANQUIA_D&amp;G_SP")</f>
        <v>FRANQUIA_D&amp;G_SP</v>
      </c>
      <c r="F2648" s="7" t="str">
        <f>IFERROR(__xludf.DUMMYFUNCTION("""COMPUTED_VALUE"""),"BICYCLE")</f>
        <v>BICYCLE</v>
      </c>
      <c r="G2648" s="7" t="str">
        <f>IFERROR(__xludf.DUMMYFUNCTION("""COMPUTED_VALUE"""),"SAO PAULO")</f>
        <v>SAO PAULO</v>
      </c>
    </row>
    <row r="2649">
      <c r="A2649" s="6">
        <f>IFERROR(__xludf.DUMMYFUNCTION("""COMPUTED_VALUE"""),45705.0)</f>
        <v>45705</v>
      </c>
      <c r="B2649" s="7" t="str">
        <f>IFERROR(__xludf.DUMMYFUNCTION("""COMPUTED_VALUE"""),"fe7c9e6e-8b7b-4d73-8d83-ea7535cbe936")</f>
        <v>fe7c9e6e-8b7b-4d73-8d83-ea7535cbe936</v>
      </c>
      <c r="C2649" s="7">
        <f>IFERROR(__xludf.DUMMYFUNCTION("""COMPUTED_VALUE"""),0.0)</f>
        <v>0</v>
      </c>
      <c r="D2649" s="6">
        <f>IFERROR(__xludf.DUMMYFUNCTION("""COMPUTED_VALUE"""),0.0)</f>
        <v>0</v>
      </c>
      <c r="E2649" s="7" t="str">
        <f>IFERROR(__xludf.DUMMYFUNCTION("""COMPUTED_VALUE"""),"FRANQUIA_D&amp;G_SP")</f>
        <v>FRANQUIA_D&amp;G_SP</v>
      </c>
      <c r="F2649" s="7" t="str">
        <f>IFERROR(__xludf.DUMMYFUNCTION("""COMPUTED_VALUE"""),"BICYCLE")</f>
        <v>BICYCLE</v>
      </c>
      <c r="G2649" s="7" t="str">
        <f>IFERROR(__xludf.DUMMYFUNCTION("""COMPUTED_VALUE"""),"0")</f>
        <v>0</v>
      </c>
    </row>
    <row r="2650">
      <c r="A2650" s="6">
        <f>IFERROR(__xludf.DUMMYFUNCTION("""COMPUTED_VALUE"""),45705.0)</f>
        <v>45705</v>
      </c>
      <c r="B2650" s="7" t="str">
        <f>IFERROR(__xludf.DUMMYFUNCTION("""COMPUTED_VALUE"""),"3c056401-201d-4d23-bcac-a0e37554e796")</f>
        <v>3c056401-201d-4d23-bcac-a0e37554e796</v>
      </c>
      <c r="C2650" s="7">
        <f>IFERROR(__xludf.DUMMYFUNCTION("""COMPUTED_VALUE"""),19.0)</f>
        <v>19</v>
      </c>
      <c r="D2650" s="6">
        <f>IFERROR(__xludf.DUMMYFUNCTION("""COMPUTED_VALUE"""),45686.0)</f>
        <v>45686</v>
      </c>
      <c r="E2650" s="7" t="str">
        <f>IFERROR(__xludf.DUMMYFUNCTION("""COMPUTED_VALUE"""),"FRANQUIA_D&amp;G_SP")</f>
        <v>FRANQUIA_D&amp;G_SP</v>
      </c>
      <c r="F2650" s="7" t="str">
        <f>IFERROR(__xludf.DUMMYFUNCTION("""COMPUTED_VALUE"""),"MOTORCYCLE")</f>
        <v>MOTORCYCLE</v>
      </c>
      <c r="G2650" s="7" t="str">
        <f>IFERROR(__xludf.DUMMYFUNCTION("""COMPUTED_VALUE"""),"SAO PAULO")</f>
        <v>SAO PAULO</v>
      </c>
    </row>
    <row r="2651">
      <c r="A2651" s="6">
        <f>IFERROR(__xludf.DUMMYFUNCTION("""COMPUTED_VALUE"""),45705.0)</f>
        <v>45705</v>
      </c>
      <c r="B2651" s="7" t="str">
        <f>IFERROR(__xludf.DUMMYFUNCTION("""COMPUTED_VALUE"""),"7d250c1e-e724-4070-88e1-0a4e6f13520d")</f>
        <v>7d250c1e-e724-4070-88e1-0a4e6f13520d</v>
      </c>
      <c r="C2651" s="7">
        <f>IFERROR(__xludf.DUMMYFUNCTION("""COMPUTED_VALUE"""),1.0)</f>
        <v>1</v>
      </c>
      <c r="D2651" s="6">
        <f>IFERROR(__xludf.DUMMYFUNCTION("""COMPUTED_VALUE"""),45704.0)</f>
        <v>45704</v>
      </c>
      <c r="E2651" s="7" t="str">
        <f>IFERROR(__xludf.DUMMYFUNCTION("""COMPUTED_VALUE"""),"FRANQUIA_D&amp;G_SP")</f>
        <v>FRANQUIA_D&amp;G_SP</v>
      </c>
      <c r="F2651" s="7" t="str">
        <f>IFERROR(__xludf.DUMMYFUNCTION("""COMPUTED_VALUE"""),"MOTORCYCLE")</f>
        <v>MOTORCYCLE</v>
      </c>
      <c r="G2651" s="7" t="str">
        <f>IFERROR(__xludf.DUMMYFUNCTION("""COMPUTED_VALUE"""),"SAO PAULO")</f>
        <v>SAO PAULO</v>
      </c>
    </row>
    <row r="2652">
      <c r="A2652" s="6">
        <f>IFERROR(__xludf.DUMMYFUNCTION("""COMPUTED_VALUE"""),45705.0)</f>
        <v>45705</v>
      </c>
      <c r="B2652" s="7" t="str">
        <f>IFERROR(__xludf.DUMMYFUNCTION("""COMPUTED_VALUE"""),"8dd45706-995c-4716-a7a6-00835ad765d8")</f>
        <v>8dd45706-995c-4716-a7a6-00835ad765d8</v>
      </c>
      <c r="C2652" s="7">
        <f>IFERROR(__xludf.DUMMYFUNCTION("""COMPUTED_VALUE"""),2.0)</f>
        <v>2</v>
      </c>
      <c r="D2652" s="6">
        <f>IFERROR(__xludf.DUMMYFUNCTION("""COMPUTED_VALUE"""),45703.0)</f>
        <v>45703</v>
      </c>
      <c r="E2652" s="7" t="str">
        <f>IFERROR(__xludf.DUMMYFUNCTION("""COMPUTED_VALUE"""),"FRANQUIA_D&amp;G_SP")</f>
        <v>FRANQUIA_D&amp;G_SP</v>
      </c>
      <c r="F2652" s="7" t="str">
        <f>IFERROR(__xludf.DUMMYFUNCTION("""COMPUTED_VALUE"""),"BICYCLE")</f>
        <v>BICYCLE</v>
      </c>
      <c r="G2652" s="7" t="str">
        <f>IFERROR(__xludf.DUMMYFUNCTION("""COMPUTED_VALUE"""),"SAO PAULO")</f>
        <v>SAO PAULO</v>
      </c>
    </row>
    <row r="2653">
      <c r="A2653" s="6">
        <f>IFERROR(__xludf.DUMMYFUNCTION("""COMPUTED_VALUE"""),45705.0)</f>
        <v>45705</v>
      </c>
      <c r="B2653" s="7" t="str">
        <f>IFERROR(__xludf.DUMMYFUNCTION("""COMPUTED_VALUE"""),"e738191a-9e9b-46fd-ba39-bd4c69c0c77e")</f>
        <v>e738191a-9e9b-46fd-ba39-bd4c69c0c77e</v>
      </c>
      <c r="C2653" s="7">
        <f>IFERROR(__xludf.DUMMYFUNCTION("""COMPUTED_VALUE"""),0.0)</f>
        <v>0</v>
      </c>
      <c r="D2653" s="6">
        <f>IFERROR(__xludf.DUMMYFUNCTION("""COMPUTED_VALUE"""),45705.0)</f>
        <v>45705</v>
      </c>
      <c r="E2653" s="7" t="str">
        <f>IFERROR(__xludf.DUMMYFUNCTION("""COMPUTED_VALUE"""),"FRANQUIA_D&amp;G_SP")</f>
        <v>FRANQUIA_D&amp;G_SP</v>
      </c>
      <c r="F2653" s="7" t="str">
        <f>IFERROR(__xludf.DUMMYFUNCTION("""COMPUTED_VALUE"""),"BICYCLE")</f>
        <v>BICYCLE</v>
      </c>
      <c r="G2653" s="7" t="str">
        <f>IFERROR(__xludf.DUMMYFUNCTION("""COMPUTED_VALUE"""),"SAO PAULO")</f>
        <v>SAO PAULO</v>
      </c>
    </row>
    <row r="2654">
      <c r="A2654" s="6">
        <f>IFERROR(__xludf.DUMMYFUNCTION("""COMPUTED_VALUE"""),45705.0)</f>
        <v>45705</v>
      </c>
      <c r="B2654" s="7" t="str">
        <f>IFERROR(__xludf.DUMMYFUNCTION("""COMPUTED_VALUE"""),"f56c0b42-ffdc-4169-a2b7-fa5085e8ea1f")</f>
        <v>f56c0b42-ffdc-4169-a2b7-fa5085e8ea1f</v>
      </c>
      <c r="C2654" s="7">
        <f>IFERROR(__xludf.DUMMYFUNCTION("""COMPUTED_VALUE"""),1.0)</f>
        <v>1</v>
      </c>
      <c r="D2654" s="6">
        <f>IFERROR(__xludf.DUMMYFUNCTION("""COMPUTED_VALUE"""),45704.0)</f>
        <v>45704</v>
      </c>
      <c r="E2654" s="7" t="str">
        <f>IFERROR(__xludf.DUMMYFUNCTION("""COMPUTED_VALUE"""),"FRANQUIA_D&amp;G_SP")</f>
        <v>FRANQUIA_D&amp;G_SP</v>
      </c>
      <c r="F2654" s="7" t="str">
        <f>IFERROR(__xludf.DUMMYFUNCTION("""COMPUTED_VALUE"""),"MOTORCYCLE")</f>
        <v>MOTORCYCLE</v>
      </c>
      <c r="G2654" s="7" t="str">
        <f>IFERROR(__xludf.DUMMYFUNCTION("""COMPUTED_VALUE"""),"SAO PAULO")</f>
        <v>SAO PAULO</v>
      </c>
    </row>
    <row r="2655">
      <c r="A2655" s="6">
        <f>IFERROR(__xludf.DUMMYFUNCTION("""COMPUTED_VALUE"""),45705.0)</f>
        <v>45705</v>
      </c>
      <c r="B2655" s="7" t="str">
        <f>IFERROR(__xludf.DUMMYFUNCTION("""COMPUTED_VALUE"""),"8d872ed1-6f4c-48cc-8f2f-249af54da5e3")</f>
        <v>8d872ed1-6f4c-48cc-8f2f-249af54da5e3</v>
      </c>
      <c r="C2655" s="7">
        <f>IFERROR(__xludf.DUMMYFUNCTION("""COMPUTED_VALUE"""),0.0)</f>
        <v>0</v>
      </c>
      <c r="D2655" s="6">
        <f>IFERROR(__xludf.DUMMYFUNCTION("""COMPUTED_VALUE"""),45705.0)</f>
        <v>45705</v>
      </c>
      <c r="E2655" s="7" t="str">
        <f>IFERROR(__xludf.DUMMYFUNCTION("""COMPUTED_VALUE"""),"FRANQUIA_D&amp;G_SP")</f>
        <v>FRANQUIA_D&amp;G_SP</v>
      </c>
      <c r="F2655" s="7" t="str">
        <f>IFERROR(__xludf.DUMMYFUNCTION("""COMPUTED_VALUE"""),"MOTORCYCLE")</f>
        <v>MOTORCYCLE</v>
      </c>
      <c r="G2655" s="7" t="str">
        <f>IFERROR(__xludf.DUMMYFUNCTION("""COMPUTED_VALUE"""),"SAO PAULO")</f>
        <v>SAO PAULO</v>
      </c>
    </row>
    <row r="2656">
      <c r="A2656" s="6">
        <f>IFERROR(__xludf.DUMMYFUNCTION("""COMPUTED_VALUE"""),45705.0)</f>
        <v>45705</v>
      </c>
      <c r="B2656" s="7" t="str">
        <f>IFERROR(__xludf.DUMMYFUNCTION("""COMPUTED_VALUE"""),"86c3096b-4f04-4f83-9865-6d6c9ee3f119")</f>
        <v>86c3096b-4f04-4f83-9865-6d6c9ee3f119</v>
      </c>
      <c r="C2656" s="7">
        <f>IFERROR(__xludf.DUMMYFUNCTION("""COMPUTED_VALUE"""),192.0)</f>
        <v>192</v>
      </c>
      <c r="D2656" s="6">
        <f>IFERROR(__xludf.DUMMYFUNCTION("""COMPUTED_VALUE"""),45513.0)</f>
        <v>45513</v>
      </c>
      <c r="E2656" s="7" t="str">
        <f>IFERROR(__xludf.DUMMYFUNCTION("""COMPUTED_VALUE"""),"FRANQUIA_D&amp;G_SP")</f>
        <v>FRANQUIA_D&amp;G_SP</v>
      </c>
      <c r="F2656" s="7" t="str">
        <f>IFERROR(__xludf.DUMMYFUNCTION("""COMPUTED_VALUE"""),"MOTORCYCLE")</f>
        <v>MOTORCYCLE</v>
      </c>
      <c r="G2656" s="7" t="str">
        <f>IFERROR(__xludf.DUMMYFUNCTION("""COMPUTED_VALUE"""),"SAO PAULO")</f>
        <v>SAO PAULO</v>
      </c>
    </row>
    <row r="2657">
      <c r="A2657" s="6">
        <f>IFERROR(__xludf.DUMMYFUNCTION("""COMPUTED_VALUE"""),45705.0)</f>
        <v>45705</v>
      </c>
      <c r="B2657" s="7" t="str">
        <f>IFERROR(__xludf.DUMMYFUNCTION("""COMPUTED_VALUE"""),"3ed45e89-b0d5-419c-b967-b25d643ccd46")</f>
        <v>3ed45e89-b0d5-419c-b967-b25d643ccd46</v>
      </c>
      <c r="C2657" s="7">
        <f>IFERROR(__xludf.DUMMYFUNCTION("""COMPUTED_VALUE"""),78.0)</f>
        <v>78</v>
      </c>
      <c r="D2657" s="6">
        <f>IFERROR(__xludf.DUMMYFUNCTION("""COMPUTED_VALUE"""),45627.0)</f>
        <v>45627</v>
      </c>
      <c r="E2657" s="7" t="str">
        <f>IFERROR(__xludf.DUMMYFUNCTION("""COMPUTED_VALUE"""),"FRANQUIA_D&amp;G_SP")</f>
        <v>FRANQUIA_D&amp;G_SP</v>
      </c>
      <c r="F2657" s="7" t="str">
        <f>IFERROR(__xludf.DUMMYFUNCTION("""COMPUTED_VALUE"""),"MOTORCYCLE")</f>
        <v>MOTORCYCLE</v>
      </c>
      <c r="G2657" s="7" t="str">
        <f>IFERROR(__xludf.DUMMYFUNCTION("""COMPUTED_VALUE"""),"SAO PAULO")</f>
        <v>SAO PAULO</v>
      </c>
    </row>
    <row r="2658">
      <c r="A2658" s="6">
        <f>IFERROR(__xludf.DUMMYFUNCTION("""COMPUTED_VALUE"""),45705.0)</f>
        <v>45705</v>
      </c>
      <c r="B2658" s="7" t="str">
        <f>IFERROR(__xludf.DUMMYFUNCTION("""COMPUTED_VALUE"""),"92316232-f67e-462b-9b1c-b8eb953dcad7")</f>
        <v>92316232-f67e-462b-9b1c-b8eb953dcad7</v>
      </c>
      <c r="C2658" s="7">
        <f>IFERROR(__xludf.DUMMYFUNCTION("""COMPUTED_VALUE"""),1.0)</f>
        <v>1</v>
      </c>
      <c r="D2658" s="6">
        <f>IFERROR(__xludf.DUMMYFUNCTION("""COMPUTED_VALUE"""),45704.0)</f>
        <v>45704</v>
      </c>
      <c r="E2658" s="7" t="str">
        <f>IFERROR(__xludf.DUMMYFUNCTION("""COMPUTED_VALUE"""),"FRANQUIA_D&amp;G_SP")</f>
        <v>FRANQUIA_D&amp;G_SP</v>
      </c>
      <c r="F2658" s="7" t="str">
        <f>IFERROR(__xludf.DUMMYFUNCTION("""COMPUTED_VALUE"""),"BICYCLE")</f>
        <v>BICYCLE</v>
      </c>
      <c r="G2658" s="7" t="str">
        <f>IFERROR(__xludf.DUMMYFUNCTION("""COMPUTED_VALUE"""),"SAO PAULO")</f>
        <v>SAO PAULO</v>
      </c>
    </row>
    <row r="2659">
      <c r="A2659" s="6">
        <f>IFERROR(__xludf.DUMMYFUNCTION("""COMPUTED_VALUE"""),45705.0)</f>
        <v>45705</v>
      </c>
      <c r="B2659" s="7" t="str">
        <f>IFERROR(__xludf.DUMMYFUNCTION("""COMPUTED_VALUE"""),"75234233-e8f5-4b0b-9cc1-7f2c4cc281c5")</f>
        <v>75234233-e8f5-4b0b-9cc1-7f2c4cc281c5</v>
      </c>
      <c r="C2659" s="7">
        <f>IFERROR(__xludf.DUMMYFUNCTION("""COMPUTED_VALUE"""),0.0)</f>
        <v>0</v>
      </c>
      <c r="D2659" s="6">
        <f>IFERROR(__xludf.DUMMYFUNCTION("""COMPUTED_VALUE"""),45705.0)</f>
        <v>45705</v>
      </c>
      <c r="E2659" s="7" t="str">
        <f>IFERROR(__xludf.DUMMYFUNCTION("""COMPUTED_VALUE"""),"FRANQUIA_D&amp;G_SP")</f>
        <v>FRANQUIA_D&amp;G_SP</v>
      </c>
      <c r="F2659" s="7" t="str">
        <f>IFERROR(__xludf.DUMMYFUNCTION("""COMPUTED_VALUE"""),"MOTORCYCLE")</f>
        <v>MOTORCYCLE</v>
      </c>
      <c r="G2659" s="7" t="str">
        <f>IFERROR(__xludf.DUMMYFUNCTION("""COMPUTED_VALUE"""),"SAO PAULO")</f>
        <v>SAO PAULO</v>
      </c>
    </row>
    <row r="2660">
      <c r="A2660" s="6">
        <f>IFERROR(__xludf.DUMMYFUNCTION("""COMPUTED_VALUE"""),45705.0)</f>
        <v>45705</v>
      </c>
      <c r="B2660" s="7" t="str">
        <f>IFERROR(__xludf.DUMMYFUNCTION("""COMPUTED_VALUE"""),"49c7cb5f-af83-4feb-97c9-fb51b778a616")</f>
        <v>49c7cb5f-af83-4feb-97c9-fb51b778a616</v>
      </c>
      <c r="C2660" s="7">
        <f>IFERROR(__xludf.DUMMYFUNCTION("""COMPUTED_VALUE"""),5.0)</f>
        <v>5</v>
      </c>
      <c r="D2660" s="6">
        <f>IFERROR(__xludf.DUMMYFUNCTION("""COMPUTED_VALUE"""),45700.0)</f>
        <v>45700</v>
      </c>
      <c r="E2660" s="7" t="str">
        <f>IFERROR(__xludf.DUMMYFUNCTION("""COMPUTED_VALUE"""),"FRANQUIA_D&amp;G_SP")</f>
        <v>FRANQUIA_D&amp;G_SP</v>
      </c>
      <c r="F2660" s="7" t="str">
        <f>IFERROR(__xludf.DUMMYFUNCTION("""COMPUTED_VALUE"""),"BICYCLE")</f>
        <v>BICYCLE</v>
      </c>
      <c r="G2660" s="7" t="str">
        <f>IFERROR(__xludf.DUMMYFUNCTION("""COMPUTED_VALUE"""),"SAO PAULO")</f>
        <v>SAO PAULO</v>
      </c>
    </row>
    <row r="2661">
      <c r="A2661" s="6">
        <f>IFERROR(__xludf.DUMMYFUNCTION("""COMPUTED_VALUE"""),45705.0)</f>
        <v>45705</v>
      </c>
      <c r="B2661" s="7" t="str">
        <f>IFERROR(__xludf.DUMMYFUNCTION("""COMPUTED_VALUE"""),"c391d759-ec66-42ac-b6d0-5b1341e74bdc")</f>
        <v>c391d759-ec66-42ac-b6d0-5b1341e74bdc</v>
      </c>
      <c r="C2661" s="7">
        <f>IFERROR(__xludf.DUMMYFUNCTION("""COMPUTED_VALUE"""),0.0)</f>
        <v>0</v>
      </c>
      <c r="D2661" s="6">
        <f>IFERROR(__xludf.DUMMYFUNCTION("""COMPUTED_VALUE"""),45705.0)</f>
        <v>45705</v>
      </c>
      <c r="E2661" s="7" t="str">
        <f>IFERROR(__xludf.DUMMYFUNCTION("""COMPUTED_VALUE"""),"FRANQUIA_D&amp;G_SP")</f>
        <v>FRANQUIA_D&amp;G_SP</v>
      </c>
      <c r="F2661" s="7" t="str">
        <f>IFERROR(__xludf.DUMMYFUNCTION("""COMPUTED_VALUE"""),"BICYCLE")</f>
        <v>BICYCLE</v>
      </c>
      <c r="G2661" s="7" t="str">
        <f>IFERROR(__xludf.DUMMYFUNCTION("""COMPUTED_VALUE"""),"SAO PAULO")</f>
        <v>SAO PAULO</v>
      </c>
    </row>
    <row r="2662">
      <c r="A2662" s="6">
        <f>IFERROR(__xludf.DUMMYFUNCTION("""COMPUTED_VALUE"""),45705.0)</f>
        <v>45705</v>
      </c>
      <c r="B2662" s="7" t="str">
        <f>IFERROR(__xludf.DUMMYFUNCTION("""COMPUTED_VALUE"""),"775f0aee-a5d3-4454-a014-f31de730b559")</f>
        <v>775f0aee-a5d3-4454-a014-f31de730b559</v>
      </c>
      <c r="C2662" s="7">
        <f>IFERROR(__xludf.DUMMYFUNCTION("""COMPUTED_VALUE"""),0.0)</f>
        <v>0</v>
      </c>
      <c r="D2662" s="6">
        <f>IFERROR(__xludf.DUMMYFUNCTION("""COMPUTED_VALUE"""),45705.0)</f>
        <v>45705</v>
      </c>
      <c r="E2662" s="7" t="str">
        <f>IFERROR(__xludf.DUMMYFUNCTION("""COMPUTED_VALUE"""),"FRANQUIA_D&amp;G_SP")</f>
        <v>FRANQUIA_D&amp;G_SP</v>
      </c>
      <c r="F2662" s="7" t="str">
        <f>IFERROR(__xludf.DUMMYFUNCTION("""COMPUTED_VALUE"""),"MOTORCYCLE")</f>
        <v>MOTORCYCLE</v>
      </c>
      <c r="G2662" s="7" t="str">
        <f>IFERROR(__xludf.DUMMYFUNCTION("""COMPUTED_VALUE"""),"SAO PAULO")</f>
        <v>SAO PAULO</v>
      </c>
    </row>
    <row r="2663">
      <c r="A2663" s="6">
        <f>IFERROR(__xludf.DUMMYFUNCTION("""COMPUTED_VALUE"""),45705.0)</f>
        <v>45705</v>
      </c>
      <c r="B2663" s="7" t="str">
        <f>IFERROR(__xludf.DUMMYFUNCTION("""COMPUTED_VALUE"""),"4d42baa6-4e5a-4256-83f7-8f767f82eb31")</f>
        <v>4d42baa6-4e5a-4256-83f7-8f767f82eb31</v>
      </c>
      <c r="C2663" s="7">
        <f>IFERROR(__xludf.DUMMYFUNCTION("""COMPUTED_VALUE"""),0.0)</f>
        <v>0</v>
      </c>
      <c r="D2663" s="6">
        <f>IFERROR(__xludf.DUMMYFUNCTION("""COMPUTED_VALUE"""),0.0)</f>
        <v>0</v>
      </c>
      <c r="E2663" s="7" t="str">
        <f>IFERROR(__xludf.DUMMYFUNCTION("""COMPUTED_VALUE"""),"FRANQUIA_D&amp;G_SP")</f>
        <v>FRANQUIA_D&amp;G_SP</v>
      </c>
      <c r="F2663" s="7" t="str">
        <f>IFERROR(__xludf.DUMMYFUNCTION("""COMPUTED_VALUE"""),"BICYCLE")</f>
        <v>BICYCLE</v>
      </c>
      <c r="G2663" s="7" t="str">
        <f>IFERROR(__xludf.DUMMYFUNCTION("""COMPUTED_VALUE"""),"0")</f>
        <v>0</v>
      </c>
    </row>
    <row r="2664">
      <c r="A2664" s="6">
        <f>IFERROR(__xludf.DUMMYFUNCTION("""COMPUTED_VALUE"""),45705.0)</f>
        <v>45705</v>
      </c>
      <c r="B2664" s="7" t="str">
        <f>IFERROR(__xludf.DUMMYFUNCTION("""COMPUTED_VALUE"""),"d6c13e48-307f-46ff-8e7f-5be800d9b75d")</f>
        <v>d6c13e48-307f-46ff-8e7f-5be800d9b75d</v>
      </c>
      <c r="C2664" s="7">
        <f>IFERROR(__xludf.DUMMYFUNCTION("""COMPUTED_VALUE"""),501.0)</f>
        <v>501</v>
      </c>
      <c r="D2664" s="6">
        <f>IFERROR(__xludf.DUMMYFUNCTION("""COMPUTED_VALUE"""),45204.0)</f>
        <v>45204</v>
      </c>
      <c r="E2664" s="7" t="str">
        <f>IFERROR(__xludf.DUMMYFUNCTION("""COMPUTED_VALUE"""),"FRANQUIA_D&amp;G_SP")</f>
        <v>FRANQUIA_D&amp;G_SP</v>
      </c>
      <c r="F2664" s="7" t="str">
        <f>IFERROR(__xludf.DUMMYFUNCTION("""COMPUTED_VALUE"""),"BICYCLE")</f>
        <v>BICYCLE</v>
      </c>
      <c r="G2664" s="7" t="str">
        <f>IFERROR(__xludf.DUMMYFUNCTION("""COMPUTED_VALUE"""),"SAO PAULO")</f>
        <v>SAO PAULO</v>
      </c>
    </row>
    <row r="2665">
      <c r="A2665" s="6">
        <f>IFERROR(__xludf.DUMMYFUNCTION("""COMPUTED_VALUE"""),45705.0)</f>
        <v>45705</v>
      </c>
      <c r="B2665" s="7" t="str">
        <f>IFERROR(__xludf.DUMMYFUNCTION("""COMPUTED_VALUE"""),"6464da26-9a46-40b9-9684-7b85771ccf4f")</f>
        <v>6464da26-9a46-40b9-9684-7b85771ccf4f</v>
      </c>
      <c r="C2665" s="7">
        <f>IFERROR(__xludf.DUMMYFUNCTION("""COMPUTED_VALUE"""),153.0)</f>
        <v>153</v>
      </c>
      <c r="D2665" s="6">
        <f>IFERROR(__xludf.DUMMYFUNCTION("""COMPUTED_VALUE"""),45552.0)</f>
        <v>45552</v>
      </c>
      <c r="E2665" s="7" t="str">
        <f>IFERROR(__xludf.DUMMYFUNCTION("""COMPUTED_VALUE"""),"FRANQUIA_D&amp;G_SP")</f>
        <v>FRANQUIA_D&amp;G_SP</v>
      </c>
      <c r="F2665" s="7" t="str">
        <f>IFERROR(__xludf.DUMMYFUNCTION("""COMPUTED_VALUE"""),"MOTORCYCLE")</f>
        <v>MOTORCYCLE</v>
      </c>
      <c r="G2665" s="7" t="str">
        <f>IFERROR(__xludf.DUMMYFUNCTION("""COMPUTED_VALUE"""),"SAO PAULO")</f>
        <v>SAO PAULO</v>
      </c>
    </row>
    <row r="2666">
      <c r="A2666" s="6">
        <f>IFERROR(__xludf.DUMMYFUNCTION("""COMPUTED_VALUE"""),45705.0)</f>
        <v>45705</v>
      </c>
      <c r="B2666" s="7" t="str">
        <f>IFERROR(__xludf.DUMMYFUNCTION("""COMPUTED_VALUE"""),"449116c7-6190-414f-9b06-53e191619eb0")</f>
        <v>449116c7-6190-414f-9b06-53e191619eb0</v>
      </c>
      <c r="C2666" s="7">
        <f>IFERROR(__xludf.DUMMYFUNCTION("""COMPUTED_VALUE"""),0.0)</f>
        <v>0</v>
      </c>
      <c r="D2666" s="6">
        <f>IFERROR(__xludf.DUMMYFUNCTION("""COMPUTED_VALUE"""),45705.0)</f>
        <v>45705</v>
      </c>
      <c r="E2666" s="7" t="str">
        <f>IFERROR(__xludf.DUMMYFUNCTION("""COMPUTED_VALUE"""),"FRANQUIA_D&amp;G_SP")</f>
        <v>FRANQUIA_D&amp;G_SP</v>
      </c>
      <c r="F2666" s="7" t="str">
        <f>IFERROR(__xludf.DUMMYFUNCTION("""COMPUTED_VALUE"""),"MOTORCYCLE")</f>
        <v>MOTORCYCLE</v>
      </c>
      <c r="G2666" s="7" t="str">
        <f>IFERROR(__xludf.DUMMYFUNCTION("""COMPUTED_VALUE"""),"SAO PAULO")</f>
        <v>SAO PAULO</v>
      </c>
    </row>
    <row r="2667">
      <c r="A2667" s="6">
        <f>IFERROR(__xludf.DUMMYFUNCTION("""COMPUTED_VALUE"""),45705.0)</f>
        <v>45705</v>
      </c>
      <c r="B2667" s="7" t="str">
        <f>IFERROR(__xludf.DUMMYFUNCTION("""COMPUTED_VALUE"""),"feaf1582-cffc-4253-9ebd-8c69fe9d30e3")</f>
        <v>feaf1582-cffc-4253-9ebd-8c69fe9d30e3</v>
      </c>
      <c r="C2667" s="7">
        <f>IFERROR(__xludf.DUMMYFUNCTION("""COMPUTED_VALUE"""),546.0)</f>
        <v>546</v>
      </c>
      <c r="D2667" s="6">
        <f>IFERROR(__xludf.DUMMYFUNCTION("""COMPUTED_VALUE"""),45159.0)</f>
        <v>45159</v>
      </c>
      <c r="E2667" s="7" t="str">
        <f>IFERROR(__xludf.DUMMYFUNCTION("""COMPUTED_VALUE"""),"FRANQUIA_D&amp;G_SP")</f>
        <v>FRANQUIA_D&amp;G_SP</v>
      </c>
      <c r="F2667" s="7" t="str">
        <f>IFERROR(__xludf.DUMMYFUNCTION("""COMPUTED_VALUE"""),"BICYCLE")</f>
        <v>BICYCLE</v>
      </c>
      <c r="G2667" s="7" t="str">
        <f>IFERROR(__xludf.DUMMYFUNCTION("""COMPUTED_VALUE"""),"SAO PAULO")</f>
        <v>SAO PAULO</v>
      </c>
    </row>
    <row r="2668">
      <c r="A2668" s="6">
        <f>IFERROR(__xludf.DUMMYFUNCTION("""COMPUTED_VALUE"""),45705.0)</f>
        <v>45705</v>
      </c>
      <c r="B2668" s="7" t="str">
        <f>IFERROR(__xludf.DUMMYFUNCTION("""COMPUTED_VALUE"""),"3f22c00b-16df-4a83-8b7f-f9e513b1d0c0")</f>
        <v>3f22c00b-16df-4a83-8b7f-f9e513b1d0c0</v>
      </c>
      <c r="C2668" s="7">
        <f>IFERROR(__xludf.DUMMYFUNCTION("""COMPUTED_VALUE"""),0.0)</f>
        <v>0</v>
      </c>
      <c r="D2668" s="6">
        <f>IFERROR(__xludf.DUMMYFUNCTION("""COMPUTED_VALUE"""),45705.0)</f>
        <v>45705</v>
      </c>
      <c r="E2668" s="7" t="str">
        <f>IFERROR(__xludf.DUMMYFUNCTION("""COMPUTED_VALUE"""),"FRANQUIA_D&amp;G_SP")</f>
        <v>FRANQUIA_D&amp;G_SP</v>
      </c>
      <c r="F2668" s="7" t="str">
        <f>IFERROR(__xludf.DUMMYFUNCTION("""COMPUTED_VALUE"""),"MOTORCYCLE")</f>
        <v>MOTORCYCLE</v>
      </c>
      <c r="G2668" s="7" t="str">
        <f>IFERROR(__xludf.DUMMYFUNCTION("""COMPUTED_VALUE"""),"SAO PAULO")</f>
        <v>SAO PAULO</v>
      </c>
    </row>
    <row r="2669">
      <c r="A2669" s="6">
        <f>IFERROR(__xludf.DUMMYFUNCTION("""COMPUTED_VALUE"""),45705.0)</f>
        <v>45705</v>
      </c>
      <c r="B2669" s="7" t="str">
        <f>IFERROR(__xludf.DUMMYFUNCTION("""COMPUTED_VALUE"""),"bb86fa0b-daa2-4405-af52-8e330796d6b6")</f>
        <v>bb86fa0b-daa2-4405-af52-8e330796d6b6</v>
      </c>
      <c r="C2669" s="7">
        <f>IFERROR(__xludf.DUMMYFUNCTION("""COMPUTED_VALUE"""),0.0)</f>
        <v>0</v>
      </c>
      <c r="D2669" s="6">
        <f>IFERROR(__xludf.DUMMYFUNCTION("""COMPUTED_VALUE"""),0.0)</f>
        <v>0</v>
      </c>
      <c r="E2669" s="7" t="str">
        <f>IFERROR(__xludf.DUMMYFUNCTION("""COMPUTED_VALUE"""),"FRANQUIA_D&amp;G_SP")</f>
        <v>FRANQUIA_D&amp;G_SP</v>
      </c>
      <c r="F2669" s="7" t="str">
        <f>IFERROR(__xludf.DUMMYFUNCTION("""COMPUTED_VALUE"""),"BICYCLE")</f>
        <v>BICYCLE</v>
      </c>
      <c r="G2669" s="7" t="str">
        <f>IFERROR(__xludf.DUMMYFUNCTION("""COMPUTED_VALUE"""),"0")</f>
        <v>0</v>
      </c>
    </row>
    <row r="2670">
      <c r="A2670" s="6">
        <f>IFERROR(__xludf.DUMMYFUNCTION("""COMPUTED_VALUE"""),45705.0)</f>
        <v>45705</v>
      </c>
      <c r="B2670" s="7" t="str">
        <f>IFERROR(__xludf.DUMMYFUNCTION("""COMPUTED_VALUE"""),"78499699-097a-40c6-aa38-799367da5d5f")</f>
        <v>78499699-097a-40c6-aa38-799367da5d5f</v>
      </c>
      <c r="C2670" s="7">
        <f>IFERROR(__xludf.DUMMYFUNCTION("""COMPUTED_VALUE"""),17.0)</f>
        <v>17</v>
      </c>
      <c r="D2670" s="6">
        <f>IFERROR(__xludf.DUMMYFUNCTION("""COMPUTED_VALUE"""),45688.0)</f>
        <v>45688</v>
      </c>
      <c r="E2670" s="7" t="str">
        <f>IFERROR(__xludf.DUMMYFUNCTION("""COMPUTED_VALUE"""),"FRANQUIA_D&amp;G_SP")</f>
        <v>FRANQUIA_D&amp;G_SP</v>
      </c>
      <c r="F2670" s="7" t="str">
        <f>IFERROR(__xludf.DUMMYFUNCTION("""COMPUTED_VALUE"""),"BICYCLE")</f>
        <v>BICYCLE</v>
      </c>
      <c r="G2670" s="7" t="str">
        <f>IFERROR(__xludf.DUMMYFUNCTION("""COMPUTED_VALUE"""),"SAO PAULO")</f>
        <v>SAO PAULO</v>
      </c>
    </row>
    <row r="2671">
      <c r="A2671" s="6">
        <f>IFERROR(__xludf.DUMMYFUNCTION("""COMPUTED_VALUE"""),45705.0)</f>
        <v>45705</v>
      </c>
      <c r="B2671" s="7" t="str">
        <f>IFERROR(__xludf.DUMMYFUNCTION("""COMPUTED_VALUE"""),"393a281f-9944-4d1d-a86a-8b7dab0b7409")</f>
        <v>393a281f-9944-4d1d-a86a-8b7dab0b7409</v>
      </c>
      <c r="C2671" s="7">
        <f>IFERROR(__xludf.DUMMYFUNCTION("""COMPUTED_VALUE"""),6.0)</f>
        <v>6</v>
      </c>
      <c r="D2671" s="6">
        <f>IFERROR(__xludf.DUMMYFUNCTION("""COMPUTED_VALUE"""),45699.0)</f>
        <v>45699</v>
      </c>
      <c r="E2671" s="7" t="str">
        <f>IFERROR(__xludf.DUMMYFUNCTION("""COMPUTED_VALUE"""),"FRANQUIA_D&amp;G_SP")</f>
        <v>FRANQUIA_D&amp;G_SP</v>
      </c>
      <c r="F2671" s="7" t="str">
        <f>IFERROR(__xludf.DUMMYFUNCTION("""COMPUTED_VALUE"""),"MOTORCYCLE")</f>
        <v>MOTORCYCLE</v>
      </c>
      <c r="G2671" s="7" t="str">
        <f>IFERROR(__xludf.DUMMYFUNCTION("""COMPUTED_VALUE"""),"SAO PAULO")</f>
        <v>SAO PAULO</v>
      </c>
    </row>
    <row r="2672">
      <c r="A2672" s="6">
        <f>IFERROR(__xludf.DUMMYFUNCTION("""COMPUTED_VALUE"""),45705.0)</f>
        <v>45705</v>
      </c>
      <c r="B2672" s="7" t="str">
        <f>IFERROR(__xludf.DUMMYFUNCTION("""COMPUTED_VALUE"""),"7b610573-529c-48dd-a17a-cd4679b376ca")</f>
        <v>7b610573-529c-48dd-a17a-cd4679b376ca</v>
      </c>
      <c r="C2672" s="7">
        <f>IFERROR(__xludf.DUMMYFUNCTION("""COMPUTED_VALUE"""),0.0)</f>
        <v>0</v>
      </c>
      <c r="D2672" s="6">
        <f>IFERROR(__xludf.DUMMYFUNCTION("""COMPUTED_VALUE"""),45705.0)</f>
        <v>45705</v>
      </c>
      <c r="E2672" s="7" t="str">
        <f>IFERROR(__xludf.DUMMYFUNCTION("""COMPUTED_VALUE"""),"FRANQUIA_D&amp;G_SP")</f>
        <v>FRANQUIA_D&amp;G_SP</v>
      </c>
      <c r="F2672" s="7" t="str">
        <f>IFERROR(__xludf.DUMMYFUNCTION("""COMPUTED_VALUE"""),"BICYCLE")</f>
        <v>BICYCLE</v>
      </c>
      <c r="G2672" s="7" t="str">
        <f>IFERROR(__xludf.DUMMYFUNCTION("""COMPUTED_VALUE"""),"SAO PAULO")</f>
        <v>SAO PAULO</v>
      </c>
    </row>
    <row r="2673">
      <c r="A2673" s="6">
        <f>IFERROR(__xludf.DUMMYFUNCTION("""COMPUTED_VALUE"""),45705.0)</f>
        <v>45705</v>
      </c>
      <c r="B2673" s="7" t="str">
        <f>IFERROR(__xludf.DUMMYFUNCTION("""COMPUTED_VALUE"""),"3dccdb0c-1eae-419b-b025-075f9ea88708")</f>
        <v>3dccdb0c-1eae-419b-b025-075f9ea88708</v>
      </c>
      <c r="C2673" s="7">
        <f>IFERROR(__xludf.DUMMYFUNCTION("""COMPUTED_VALUE"""),30.0)</f>
        <v>30</v>
      </c>
      <c r="D2673" s="6">
        <f>IFERROR(__xludf.DUMMYFUNCTION("""COMPUTED_VALUE"""),45675.0)</f>
        <v>45675</v>
      </c>
      <c r="E2673" s="7" t="str">
        <f>IFERROR(__xludf.DUMMYFUNCTION("""COMPUTED_VALUE"""),"FRANQUIA_D&amp;G_SP")</f>
        <v>FRANQUIA_D&amp;G_SP</v>
      </c>
      <c r="F2673" s="7" t="str">
        <f>IFERROR(__xludf.DUMMYFUNCTION("""COMPUTED_VALUE"""),"BICYCLE")</f>
        <v>BICYCLE</v>
      </c>
      <c r="G2673" s="7" t="str">
        <f>IFERROR(__xludf.DUMMYFUNCTION("""COMPUTED_VALUE"""),"SAO PAULO")</f>
        <v>SAO PAULO</v>
      </c>
    </row>
    <row r="2674">
      <c r="A2674" s="6">
        <f>IFERROR(__xludf.DUMMYFUNCTION("""COMPUTED_VALUE"""),45705.0)</f>
        <v>45705</v>
      </c>
      <c r="B2674" s="7" t="str">
        <f>IFERROR(__xludf.DUMMYFUNCTION("""COMPUTED_VALUE"""),"174c963c-713a-4ada-8717-613bdf15777a")</f>
        <v>174c963c-713a-4ada-8717-613bdf15777a</v>
      </c>
      <c r="C2674" s="7">
        <f>IFERROR(__xludf.DUMMYFUNCTION("""COMPUTED_VALUE"""),0.0)</f>
        <v>0</v>
      </c>
      <c r="D2674" s="6">
        <f>IFERROR(__xludf.DUMMYFUNCTION("""COMPUTED_VALUE"""),45705.0)</f>
        <v>45705</v>
      </c>
      <c r="E2674" s="7" t="str">
        <f>IFERROR(__xludf.DUMMYFUNCTION("""COMPUTED_VALUE"""),"FRANQUIA_D&amp;G_SP")</f>
        <v>FRANQUIA_D&amp;G_SP</v>
      </c>
      <c r="F2674" s="7" t="str">
        <f>IFERROR(__xludf.DUMMYFUNCTION("""COMPUTED_VALUE"""),"BICYCLE")</f>
        <v>BICYCLE</v>
      </c>
      <c r="G2674" s="7" t="str">
        <f>IFERROR(__xludf.DUMMYFUNCTION("""COMPUTED_VALUE"""),"SAO PAULO")</f>
        <v>SAO PAULO</v>
      </c>
    </row>
    <row r="2675">
      <c r="A2675" s="6">
        <f>IFERROR(__xludf.DUMMYFUNCTION("""COMPUTED_VALUE"""),45705.0)</f>
        <v>45705</v>
      </c>
      <c r="B2675" s="7" t="str">
        <f>IFERROR(__xludf.DUMMYFUNCTION("""COMPUTED_VALUE"""),"75d416e5-cf7e-4471-842e-a67ab0df4086")</f>
        <v>75d416e5-cf7e-4471-842e-a67ab0df4086</v>
      </c>
      <c r="C2675" s="7">
        <f>IFERROR(__xludf.DUMMYFUNCTION("""COMPUTED_VALUE"""),16.0)</f>
        <v>16</v>
      </c>
      <c r="D2675" s="6">
        <f>IFERROR(__xludf.DUMMYFUNCTION("""COMPUTED_VALUE"""),45689.0)</f>
        <v>45689</v>
      </c>
      <c r="E2675" s="7" t="str">
        <f>IFERROR(__xludf.DUMMYFUNCTION("""COMPUTED_VALUE"""),"FRANQUIA_D&amp;G_SP")</f>
        <v>FRANQUIA_D&amp;G_SP</v>
      </c>
      <c r="F2675" s="7" t="str">
        <f>IFERROR(__xludf.DUMMYFUNCTION("""COMPUTED_VALUE"""),"MOTORCYCLE")</f>
        <v>MOTORCYCLE</v>
      </c>
      <c r="G2675" s="7" t="str">
        <f>IFERROR(__xludf.DUMMYFUNCTION("""COMPUTED_VALUE"""),"SAO PAULO")</f>
        <v>SAO PAULO</v>
      </c>
    </row>
    <row r="2676">
      <c r="A2676" s="6">
        <f>IFERROR(__xludf.DUMMYFUNCTION("""COMPUTED_VALUE"""),45705.0)</f>
        <v>45705</v>
      </c>
      <c r="B2676" s="7" t="str">
        <f>IFERROR(__xludf.DUMMYFUNCTION("""COMPUTED_VALUE"""),"4fd097f0-3d67-4316-9ddc-2314c9a769c3")</f>
        <v>4fd097f0-3d67-4316-9ddc-2314c9a769c3</v>
      </c>
      <c r="C2676" s="7">
        <f>IFERROR(__xludf.DUMMYFUNCTION("""COMPUTED_VALUE"""),34.0)</f>
        <v>34</v>
      </c>
      <c r="D2676" s="6">
        <f>IFERROR(__xludf.DUMMYFUNCTION("""COMPUTED_VALUE"""),45671.0)</f>
        <v>45671</v>
      </c>
      <c r="E2676" s="7" t="str">
        <f>IFERROR(__xludf.DUMMYFUNCTION("""COMPUTED_VALUE"""),"FRANQUIA_D&amp;G_SP")</f>
        <v>FRANQUIA_D&amp;G_SP</v>
      </c>
      <c r="F2676" s="7" t="str">
        <f>IFERROR(__xludf.DUMMYFUNCTION("""COMPUTED_VALUE"""),"BICYCLE")</f>
        <v>BICYCLE</v>
      </c>
      <c r="G2676" s="7" t="str">
        <f>IFERROR(__xludf.DUMMYFUNCTION("""COMPUTED_VALUE"""),"SAO PAULO")</f>
        <v>SAO PAULO</v>
      </c>
    </row>
    <row r="2677">
      <c r="A2677" s="6">
        <f>IFERROR(__xludf.DUMMYFUNCTION("""COMPUTED_VALUE"""),45705.0)</f>
        <v>45705</v>
      </c>
      <c r="B2677" s="7" t="str">
        <f>IFERROR(__xludf.DUMMYFUNCTION("""COMPUTED_VALUE"""),"98d9976e-b55a-461e-a785-e28df054b2fc")</f>
        <v>98d9976e-b55a-461e-a785-e28df054b2fc</v>
      </c>
      <c r="C2677" s="7">
        <f>IFERROR(__xludf.DUMMYFUNCTION("""COMPUTED_VALUE"""),6.0)</f>
        <v>6</v>
      </c>
      <c r="D2677" s="6">
        <f>IFERROR(__xludf.DUMMYFUNCTION("""COMPUTED_VALUE"""),45699.0)</f>
        <v>45699</v>
      </c>
      <c r="E2677" s="7" t="str">
        <f>IFERROR(__xludf.DUMMYFUNCTION("""COMPUTED_VALUE"""),"FRANQUIA_D&amp;G_SP")</f>
        <v>FRANQUIA_D&amp;G_SP</v>
      </c>
      <c r="F2677" s="7" t="str">
        <f>IFERROR(__xludf.DUMMYFUNCTION("""COMPUTED_VALUE"""),"MOTORCYCLE")</f>
        <v>MOTORCYCLE</v>
      </c>
      <c r="G2677" s="7" t="str">
        <f>IFERROR(__xludf.DUMMYFUNCTION("""COMPUTED_VALUE"""),"SAO PAULO")</f>
        <v>SAO PAULO</v>
      </c>
    </row>
    <row r="2678">
      <c r="A2678" s="6">
        <f>IFERROR(__xludf.DUMMYFUNCTION("""COMPUTED_VALUE"""),45705.0)</f>
        <v>45705</v>
      </c>
      <c r="B2678" s="7" t="str">
        <f>IFERROR(__xludf.DUMMYFUNCTION("""COMPUTED_VALUE"""),"27530e95-bc2c-40a0-a818-33e34a1216ad")</f>
        <v>27530e95-bc2c-40a0-a818-33e34a1216ad</v>
      </c>
      <c r="C2678" s="7">
        <f>IFERROR(__xludf.DUMMYFUNCTION("""COMPUTED_VALUE"""),545.0)</f>
        <v>545</v>
      </c>
      <c r="D2678" s="6">
        <f>IFERROR(__xludf.DUMMYFUNCTION("""COMPUTED_VALUE"""),45160.0)</f>
        <v>45160</v>
      </c>
      <c r="E2678" s="7" t="str">
        <f>IFERROR(__xludf.DUMMYFUNCTION("""COMPUTED_VALUE"""),"FRANQUIA_D&amp;G_SP")</f>
        <v>FRANQUIA_D&amp;G_SP</v>
      </c>
      <c r="F2678" s="7" t="str">
        <f>IFERROR(__xludf.DUMMYFUNCTION("""COMPUTED_VALUE"""),"MOTORCYCLE")</f>
        <v>MOTORCYCLE</v>
      </c>
      <c r="G2678" s="7" t="str">
        <f>IFERROR(__xludf.DUMMYFUNCTION("""COMPUTED_VALUE"""),"SAO PAULO")</f>
        <v>SAO PAULO</v>
      </c>
    </row>
    <row r="2679">
      <c r="A2679" s="6">
        <f>IFERROR(__xludf.DUMMYFUNCTION("""COMPUTED_VALUE"""),45705.0)</f>
        <v>45705</v>
      </c>
      <c r="B2679" s="7" t="str">
        <f>IFERROR(__xludf.DUMMYFUNCTION("""COMPUTED_VALUE"""),"376c4a37-6e52-4473-bd8a-3fc9ba8aa402")</f>
        <v>376c4a37-6e52-4473-bd8a-3fc9ba8aa402</v>
      </c>
      <c r="C2679" s="7">
        <f>IFERROR(__xludf.DUMMYFUNCTION("""COMPUTED_VALUE"""),24.0)</f>
        <v>24</v>
      </c>
      <c r="D2679" s="6">
        <f>IFERROR(__xludf.DUMMYFUNCTION("""COMPUTED_VALUE"""),45681.0)</f>
        <v>45681</v>
      </c>
      <c r="E2679" s="7" t="str">
        <f>IFERROR(__xludf.DUMMYFUNCTION("""COMPUTED_VALUE"""),"FRANQUIA_D&amp;G_SP")</f>
        <v>FRANQUIA_D&amp;G_SP</v>
      </c>
      <c r="F2679" s="7" t="str">
        <f>IFERROR(__xludf.DUMMYFUNCTION("""COMPUTED_VALUE"""),"BICYCLE")</f>
        <v>BICYCLE</v>
      </c>
      <c r="G2679" s="7" t="str">
        <f>IFERROR(__xludf.DUMMYFUNCTION("""COMPUTED_VALUE"""),"SAO PAULO")</f>
        <v>SAO PAULO</v>
      </c>
    </row>
    <row r="2680">
      <c r="A2680" s="6">
        <f>IFERROR(__xludf.DUMMYFUNCTION("""COMPUTED_VALUE"""),45705.0)</f>
        <v>45705</v>
      </c>
      <c r="B2680" s="7" t="str">
        <f>IFERROR(__xludf.DUMMYFUNCTION("""COMPUTED_VALUE"""),"2dc718bd-adcb-48bb-b323-dc82f1250d36")</f>
        <v>2dc718bd-adcb-48bb-b323-dc82f1250d36</v>
      </c>
      <c r="C2680" s="7">
        <f>IFERROR(__xludf.DUMMYFUNCTION("""COMPUTED_VALUE"""),0.0)</f>
        <v>0</v>
      </c>
      <c r="D2680" s="6">
        <f>IFERROR(__xludf.DUMMYFUNCTION("""COMPUTED_VALUE"""),45705.0)</f>
        <v>45705</v>
      </c>
      <c r="E2680" s="7" t="str">
        <f>IFERROR(__xludf.DUMMYFUNCTION("""COMPUTED_VALUE"""),"FRANQUIA_D&amp;G_SP")</f>
        <v>FRANQUIA_D&amp;G_SP</v>
      </c>
      <c r="F2680" s="7" t="str">
        <f>IFERROR(__xludf.DUMMYFUNCTION("""COMPUTED_VALUE"""),"MOTORCYCLE")</f>
        <v>MOTORCYCLE</v>
      </c>
      <c r="G2680" s="7" t="str">
        <f>IFERROR(__xludf.DUMMYFUNCTION("""COMPUTED_VALUE"""),"SAO PAULO")</f>
        <v>SAO PAULO</v>
      </c>
    </row>
    <row r="2681">
      <c r="A2681" s="6">
        <f>IFERROR(__xludf.DUMMYFUNCTION("""COMPUTED_VALUE"""),45705.0)</f>
        <v>45705</v>
      </c>
      <c r="B2681" s="7" t="str">
        <f>IFERROR(__xludf.DUMMYFUNCTION("""COMPUTED_VALUE"""),"fcbd50de-4f02-48df-8239-a28571163d8d")</f>
        <v>fcbd50de-4f02-48df-8239-a28571163d8d</v>
      </c>
      <c r="C2681" s="7">
        <f>IFERROR(__xludf.DUMMYFUNCTION("""COMPUTED_VALUE"""),0.0)</f>
        <v>0</v>
      </c>
      <c r="D2681" s="6">
        <f>IFERROR(__xludf.DUMMYFUNCTION("""COMPUTED_VALUE"""),45705.0)</f>
        <v>45705</v>
      </c>
      <c r="E2681" s="7" t="str">
        <f>IFERROR(__xludf.DUMMYFUNCTION("""COMPUTED_VALUE"""),"FRANQUIA_D&amp;G_SP")</f>
        <v>FRANQUIA_D&amp;G_SP</v>
      </c>
      <c r="F2681" s="7" t="str">
        <f>IFERROR(__xludf.DUMMYFUNCTION("""COMPUTED_VALUE"""),"MOTORCYCLE")</f>
        <v>MOTORCYCLE</v>
      </c>
      <c r="G2681" s="7" t="str">
        <f>IFERROR(__xludf.DUMMYFUNCTION("""COMPUTED_VALUE"""),"SAO PAULO")</f>
        <v>SAO PAULO</v>
      </c>
    </row>
    <row r="2682">
      <c r="A2682" s="6">
        <f>IFERROR(__xludf.DUMMYFUNCTION("""COMPUTED_VALUE"""),45705.0)</f>
        <v>45705</v>
      </c>
      <c r="B2682" s="7" t="str">
        <f>IFERROR(__xludf.DUMMYFUNCTION("""COMPUTED_VALUE"""),"cee80cde-d8af-40c8-a84f-69825e419c6b")</f>
        <v>cee80cde-d8af-40c8-a84f-69825e419c6b</v>
      </c>
      <c r="C2682" s="7">
        <f>IFERROR(__xludf.DUMMYFUNCTION("""COMPUTED_VALUE"""),71.0)</f>
        <v>71</v>
      </c>
      <c r="D2682" s="6">
        <f>IFERROR(__xludf.DUMMYFUNCTION("""COMPUTED_VALUE"""),45634.0)</f>
        <v>45634</v>
      </c>
      <c r="E2682" s="7" t="str">
        <f>IFERROR(__xludf.DUMMYFUNCTION("""COMPUTED_VALUE"""),"FRANQUIA_D&amp;G_SP")</f>
        <v>FRANQUIA_D&amp;G_SP</v>
      </c>
      <c r="F2682" s="7" t="str">
        <f>IFERROR(__xludf.DUMMYFUNCTION("""COMPUTED_VALUE"""),"BICYCLE")</f>
        <v>BICYCLE</v>
      </c>
      <c r="G2682" s="7" t="str">
        <f>IFERROR(__xludf.DUMMYFUNCTION("""COMPUTED_VALUE"""),"SAO PAULO")</f>
        <v>SAO PAULO</v>
      </c>
    </row>
    <row r="2683">
      <c r="A2683" s="6">
        <f>IFERROR(__xludf.DUMMYFUNCTION("""COMPUTED_VALUE"""),45705.0)</f>
        <v>45705</v>
      </c>
      <c r="B2683" s="7" t="str">
        <f>IFERROR(__xludf.DUMMYFUNCTION("""COMPUTED_VALUE"""),"5b09c4e3-7c5e-42e8-994d-f87b289bb1af")</f>
        <v>5b09c4e3-7c5e-42e8-994d-f87b289bb1af</v>
      </c>
      <c r="C2683" s="7">
        <f>IFERROR(__xludf.DUMMYFUNCTION("""COMPUTED_VALUE"""),0.0)</f>
        <v>0</v>
      </c>
      <c r="D2683" s="6">
        <f>IFERROR(__xludf.DUMMYFUNCTION("""COMPUTED_VALUE"""),45705.0)</f>
        <v>45705</v>
      </c>
      <c r="E2683" s="7" t="str">
        <f>IFERROR(__xludf.DUMMYFUNCTION("""COMPUTED_VALUE"""),"FRANQUIA_D&amp;G_SP")</f>
        <v>FRANQUIA_D&amp;G_SP</v>
      </c>
      <c r="F2683" s="7" t="str">
        <f>IFERROR(__xludf.DUMMYFUNCTION("""COMPUTED_VALUE"""),"MOTORCYCLE")</f>
        <v>MOTORCYCLE</v>
      </c>
      <c r="G2683" s="7" t="str">
        <f>IFERROR(__xludf.DUMMYFUNCTION("""COMPUTED_VALUE"""),"SAO PAULO")</f>
        <v>SAO PAULO</v>
      </c>
    </row>
    <row r="2684">
      <c r="A2684" s="6">
        <f>IFERROR(__xludf.DUMMYFUNCTION("""COMPUTED_VALUE"""),45705.0)</f>
        <v>45705</v>
      </c>
      <c r="B2684" s="7" t="str">
        <f>IFERROR(__xludf.DUMMYFUNCTION("""COMPUTED_VALUE"""),"4e721792-7ecf-401b-9a62-3c26a76ca055")</f>
        <v>4e721792-7ecf-401b-9a62-3c26a76ca055</v>
      </c>
      <c r="C2684" s="7">
        <f>IFERROR(__xludf.DUMMYFUNCTION("""COMPUTED_VALUE"""),10.0)</f>
        <v>10</v>
      </c>
      <c r="D2684" s="6">
        <f>IFERROR(__xludf.DUMMYFUNCTION("""COMPUTED_VALUE"""),45695.0)</f>
        <v>45695</v>
      </c>
      <c r="E2684" s="7" t="str">
        <f>IFERROR(__xludf.DUMMYFUNCTION("""COMPUTED_VALUE"""),"FRANQUIA_D&amp;G_SP")</f>
        <v>FRANQUIA_D&amp;G_SP</v>
      </c>
      <c r="F2684" s="7" t="str">
        <f>IFERROR(__xludf.DUMMYFUNCTION("""COMPUTED_VALUE"""),"MOTORCYCLE")</f>
        <v>MOTORCYCLE</v>
      </c>
      <c r="G2684" s="7" t="str">
        <f>IFERROR(__xludf.DUMMYFUNCTION("""COMPUTED_VALUE"""),"SAO PAULO")</f>
        <v>SAO PAULO</v>
      </c>
    </row>
    <row r="2685">
      <c r="A2685" s="6">
        <f>IFERROR(__xludf.DUMMYFUNCTION("""COMPUTED_VALUE"""),45705.0)</f>
        <v>45705</v>
      </c>
      <c r="B2685" s="7" t="str">
        <f>IFERROR(__xludf.DUMMYFUNCTION("""COMPUTED_VALUE"""),"6c54ded3-9676-4620-ad94-385a458d4720")</f>
        <v>6c54ded3-9676-4620-ad94-385a458d4720</v>
      </c>
      <c r="C2685" s="7">
        <f>IFERROR(__xludf.DUMMYFUNCTION("""COMPUTED_VALUE"""),344.0)</f>
        <v>344</v>
      </c>
      <c r="D2685" s="6">
        <f>IFERROR(__xludf.DUMMYFUNCTION("""COMPUTED_VALUE"""),45361.0)</f>
        <v>45361</v>
      </c>
      <c r="E2685" s="7" t="str">
        <f>IFERROR(__xludf.DUMMYFUNCTION("""COMPUTED_VALUE"""),"FRANQUIA_D&amp;G_SP")</f>
        <v>FRANQUIA_D&amp;G_SP</v>
      </c>
      <c r="F2685" s="7" t="str">
        <f>IFERROR(__xludf.DUMMYFUNCTION("""COMPUTED_VALUE"""),"MOTORCYCLE")</f>
        <v>MOTORCYCLE</v>
      </c>
      <c r="G2685" s="7" t="str">
        <f>IFERROR(__xludf.DUMMYFUNCTION("""COMPUTED_VALUE"""),"SAO PAULO")</f>
        <v>SAO PAULO</v>
      </c>
    </row>
    <row r="2686">
      <c r="A2686" s="6">
        <f>IFERROR(__xludf.DUMMYFUNCTION("""COMPUTED_VALUE"""),45705.0)</f>
        <v>45705</v>
      </c>
      <c r="B2686" s="7" t="str">
        <f>IFERROR(__xludf.DUMMYFUNCTION("""COMPUTED_VALUE"""),"483a9416-77b8-4f7f-bb3a-b036f8653918")</f>
        <v>483a9416-77b8-4f7f-bb3a-b036f8653918</v>
      </c>
      <c r="C2686" s="7">
        <f>IFERROR(__xludf.DUMMYFUNCTION("""COMPUTED_VALUE"""),0.0)</f>
        <v>0</v>
      </c>
      <c r="D2686" s="6">
        <f>IFERROR(__xludf.DUMMYFUNCTION("""COMPUTED_VALUE"""),45705.0)</f>
        <v>45705</v>
      </c>
      <c r="E2686" s="7" t="str">
        <f>IFERROR(__xludf.DUMMYFUNCTION("""COMPUTED_VALUE"""),"FRANQUIA_D&amp;G_SP")</f>
        <v>FRANQUIA_D&amp;G_SP</v>
      </c>
      <c r="F2686" s="7" t="str">
        <f>IFERROR(__xludf.DUMMYFUNCTION("""COMPUTED_VALUE"""),"EMOTORCYCLE")</f>
        <v>EMOTORCYCLE</v>
      </c>
      <c r="G2686" s="7" t="str">
        <f>IFERROR(__xludf.DUMMYFUNCTION("""COMPUTED_VALUE"""),"SAO PAULO")</f>
        <v>SAO PAULO</v>
      </c>
    </row>
    <row r="2687">
      <c r="A2687" s="6">
        <f>IFERROR(__xludf.DUMMYFUNCTION("""COMPUTED_VALUE"""),45705.0)</f>
        <v>45705</v>
      </c>
      <c r="B2687" s="7" t="str">
        <f>IFERROR(__xludf.DUMMYFUNCTION("""COMPUTED_VALUE"""),"0f78d3a2-a262-435d-97be-4a0c527bb8b9")</f>
        <v>0f78d3a2-a262-435d-97be-4a0c527bb8b9</v>
      </c>
      <c r="C2687" s="7">
        <f>IFERROR(__xludf.DUMMYFUNCTION("""COMPUTED_VALUE"""),0.0)</f>
        <v>0</v>
      </c>
      <c r="D2687" s="6">
        <f>IFERROR(__xludf.DUMMYFUNCTION("""COMPUTED_VALUE"""),45705.0)</f>
        <v>45705</v>
      </c>
      <c r="E2687" s="7" t="str">
        <f>IFERROR(__xludf.DUMMYFUNCTION("""COMPUTED_VALUE"""),"FRANQUIA_D&amp;G_SP")</f>
        <v>FRANQUIA_D&amp;G_SP</v>
      </c>
      <c r="F2687" s="7" t="str">
        <f>IFERROR(__xludf.DUMMYFUNCTION("""COMPUTED_VALUE"""),"MOTORCYCLE")</f>
        <v>MOTORCYCLE</v>
      </c>
      <c r="G2687" s="7" t="str">
        <f>IFERROR(__xludf.DUMMYFUNCTION("""COMPUTED_VALUE"""),"SAO PAULO")</f>
        <v>SAO PAULO</v>
      </c>
    </row>
    <row r="2688">
      <c r="A2688" s="6">
        <f>IFERROR(__xludf.DUMMYFUNCTION("""COMPUTED_VALUE"""),45705.0)</f>
        <v>45705</v>
      </c>
      <c r="B2688" s="7" t="str">
        <f>IFERROR(__xludf.DUMMYFUNCTION("""COMPUTED_VALUE"""),"effea650-dee8-4a00-ae57-a7c15f681b68")</f>
        <v>effea650-dee8-4a00-ae57-a7c15f681b68</v>
      </c>
      <c r="C2688" s="7">
        <f>IFERROR(__xludf.DUMMYFUNCTION("""COMPUTED_VALUE"""),0.0)</f>
        <v>0</v>
      </c>
      <c r="D2688" s="6">
        <f>IFERROR(__xludf.DUMMYFUNCTION("""COMPUTED_VALUE"""),45705.0)</f>
        <v>45705</v>
      </c>
      <c r="E2688" s="7" t="str">
        <f>IFERROR(__xludf.DUMMYFUNCTION("""COMPUTED_VALUE"""),"FRANQUIA_D&amp;G_SP")</f>
        <v>FRANQUIA_D&amp;G_SP</v>
      </c>
      <c r="F2688" s="7" t="str">
        <f>IFERROR(__xludf.DUMMYFUNCTION("""COMPUTED_VALUE"""),"BICYCLE")</f>
        <v>BICYCLE</v>
      </c>
      <c r="G2688" s="7" t="str">
        <f>IFERROR(__xludf.DUMMYFUNCTION("""COMPUTED_VALUE"""),"SAO PAULO")</f>
        <v>SAO PAULO</v>
      </c>
    </row>
    <row r="2689">
      <c r="A2689" s="6">
        <f>IFERROR(__xludf.DUMMYFUNCTION("""COMPUTED_VALUE"""),45705.0)</f>
        <v>45705</v>
      </c>
      <c r="B2689" s="7" t="str">
        <f>IFERROR(__xludf.DUMMYFUNCTION("""COMPUTED_VALUE"""),"75ceef45-ee7a-4934-b3b2-fb13b25ef9f0")</f>
        <v>75ceef45-ee7a-4934-b3b2-fb13b25ef9f0</v>
      </c>
      <c r="C2689" s="7">
        <f>IFERROR(__xludf.DUMMYFUNCTION("""COMPUTED_VALUE"""),0.0)</f>
        <v>0</v>
      </c>
      <c r="D2689" s="6">
        <f>IFERROR(__xludf.DUMMYFUNCTION("""COMPUTED_VALUE"""),0.0)</f>
        <v>0</v>
      </c>
      <c r="E2689" s="7" t="str">
        <f>IFERROR(__xludf.DUMMYFUNCTION("""COMPUTED_VALUE"""),"FRANQUIA_D&amp;G_SP")</f>
        <v>FRANQUIA_D&amp;G_SP</v>
      </c>
      <c r="F2689" s="7" t="str">
        <f>IFERROR(__xludf.DUMMYFUNCTION("""COMPUTED_VALUE"""),"BICYCLE")</f>
        <v>BICYCLE</v>
      </c>
      <c r="G2689" s="7" t="str">
        <f>IFERROR(__xludf.DUMMYFUNCTION("""COMPUTED_VALUE"""),"0")</f>
        <v>0</v>
      </c>
    </row>
    <row r="2690">
      <c r="A2690" s="6">
        <f>IFERROR(__xludf.DUMMYFUNCTION("""COMPUTED_VALUE"""),45705.0)</f>
        <v>45705</v>
      </c>
      <c r="B2690" s="7" t="str">
        <f>IFERROR(__xludf.DUMMYFUNCTION("""COMPUTED_VALUE"""),"a77802f4-4777-471e-b768-69e804a06b6f")</f>
        <v>a77802f4-4777-471e-b768-69e804a06b6f</v>
      </c>
      <c r="C2690" s="7">
        <f>IFERROR(__xludf.DUMMYFUNCTION("""COMPUTED_VALUE"""),0.0)</f>
        <v>0</v>
      </c>
      <c r="D2690" s="6">
        <f>IFERROR(__xludf.DUMMYFUNCTION("""COMPUTED_VALUE"""),45705.0)</f>
        <v>45705</v>
      </c>
      <c r="E2690" s="7" t="str">
        <f>IFERROR(__xludf.DUMMYFUNCTION("""COMPUTED_VALUE"""),"FRANQUIA_D&amp;G_SP")</f>
        <v>FRANQUIA_D&amp;G_SP</v>
      </c>
      <c r="F2690" s="7" t="str">
        <f>IFERROR(__xludf.DUMMYFUNCTION("""COMPUTED_VALUE"""),"BICYCLE")</f>
        <v>BICYCLE</v>
      </c>
      <c r="G2690" s="7" t="str">
        <f>IFERROR(__xludf.DUMMYFUNCTION("""COMPUTED_VALUE"""),"SAO PAULO")</f>
        <v>SAO PAULO</v>
      </c>
    </row>
    <row r="2691">
      <c r="A2691" s="6">
        <f>IFERROR(__xludf.DUMMYFUNCTION("""COMPUTED_VALUE"""),45705.0)</f>
        <v>45705</v>
      </c>
      <c r="B2691" s="7" t="str">
        <f>IFERROR(__xludf.DUMMYFUNCTION("""COMPUTED_VALUE"""),"4ded6a58-125d-48fb-bf9d-338a482ed3fb")</f>
        <v>4ded6a58-125d-48fb-bf9d-338a482ed3fb</v>
      </c>
      <c r="C2691" s="7">
        <f>IFERROR(__xludf.DUMMYFUNCTION("""COMPUTED_VALUE"""),0.0)</f>
        <v>0</v>
      </c>
      <c r="D2691" s="6">
        <f>IFERROR(__xludf.DUMMYFUNCTION("""COMPUTED_VALUE"""),45705.0)</f>
        <v>45705</v>
      </c>
      <c r="E2691" s="7" t="str">
        <f>IFERROR(__xludf.DUMMYFUNCTION("""COMPUTED_VALUE"""),"FRANQUIA_D&amp;G_SP")</f>
        <v>FRANQUIA_D&amp;G_SP</v>
      </c>
      <c r="F2691" s="7" t="str">
        <f>IFERROR(__xludf.DUMMYFUNCTION("""COMPUTED_VALUE"""),"MOTORCYCLE")</f>
        <v>MOTORCYCLE</v>
      </c>
      <c r="G2691" s="7" t="str">
        <f>IFERROR(__xludf.DUMMYFUNCTION("""COMPUTED_VALUE"""),"SAO PAULO")</f>
        <v>SAO PAULO</v>
      </c>
    </row>
    <row r="2692">
      <c r="A2692" s="6">
        <f>IFERROR(__xludf.DUMMYFUNCTION("""COMPUTED_VALUE"""),45705.0)</f>
        <v>45705</v>
      </c>
      <c r="B2692" s="7" t="str">
        <f>IFERROR(__xludf.DUMMYFUNCTION("""COMPUTED_VALUE"""),"8fe6bf50-b6c5-47a1-82be-04a70c762158")</f>
        <v>8fe6bf50-b6c5-47a1-82be-04a70c762158</v>
      </c>
      <c r="C2692" s="7">
        <f>IFERROR(__xludf.DUMMYFUNCTION("""COMPUTED_VALUE"""),0.0)</f>
        <v>0</v>
      </c>
      <c r="D2692" s="6">
        <f>IFERROR(__xludf.DUMMYFUNCTION("""COMPUTED_VALUE"""),45705.0)</f>
        <v>45705</v>
      </c>
      <c r="E2692" s="7" t="str">
        <f>IFERROR(__xludf.DUMMYFUNCTION("""COMPUTED_VALUE"""),"FRANQUIA_D&amp;G_SP")</f>
        <v>FRANQUIA_D&amp;G_SP</v>
      </c>
      <c r="F2692" s="7" t="str">
        <f>IFERROR(__xludf.DUMMYFUNCTION("""COMPUTED_VALUE"""),"BICYCLE")</f>
        <v>BICYCLE</v>
      </c>
      <c r="G2692" s="7" t="str">
        <f>IFERROR(__xludf.DUMMYFUNCTION("""COMPUTED_VALUE"""),"SAO PAULO")</f>
        <v>SAO PAULO</v>
      </c>
    </row>
    <row r="2693">
      <c r="A2693" s="6">
        <f>IFERROR(__xludf.DUMMYFUNCTION("""COMPUTED_VALUE"""),45705.0)</f>
        <v>45705</v>
      </c>
      <c r="B2693" s="7" t="str">
        <f>IFERROR(__xludf.DUMMYFUNCTION("""COMPUTED_VALUE"""),"994595d0-8db3-4009-a576-5bd6db435a0e")</f>
        <v>994595d0-8db3-4009-a576-5bd6db435a0e</v>
      </c>
      <c r="C2693" s="7">
        <f>IFERROR(__xludf.DUMMYFUNCTION("""COMPUTED_VALUE"""),160.0)</f>
        <v>160</v>
      </c>
      <c r="D2693" s="6">
        <f>IFERROR(__xludf.DUMMYFUNCTION("""COMPUTED_VALUE"""),45545.0)</f>
        <v>45545</v>
      </c>
      <c r="E2693" s="7" t="str">
        <f>IFERROR(__xludf.DUMMYFUNCTION("""COMPUTED_VALUE"""),"FRANQUIA_D&amp;G_SP")</f>
        <v>FRANQUIA_D&amp;G_SP</v>
      </c>
      <c r="F2693" s="7" t="str">
        <f>IFERROR(__xludf.DUMMYFUNCTION("""COMPUTED_VALUE"""),"MOTORCYCLE")</f>
        <v>MOTORCYCLE</v>
      </c>
      <c r="G2693" s="7" t="str">
        <f>IFERROR(__xludf.DUMMYFUNCTION("""COMPUTED_VALUE"""),"SAO PAULO")</f>
        <v>SAO PAULO</v>
      </c>
    </row>
    <row r="2694">
      <c r="A2694" s="6">
        <f>IFERROR(__xludf.DUMMYFUNCTION("""COMPUTED_VALUE"""),45705.0)</f>
        <v>45705</v>
      </c>
      <c r="B2694" s="7" t="str">
        <f>IFERROR(__xludf.DUMMYFUNCTION("""COMPUTED_VALUE"""),"95807703-31f0-4699-b8ea-5bd8abaaa37f")</f>
        <v>95807703-31f0-4699-b8ea-5bd8abaaa37f</v>
      </c>
      <c r="C2694" s="7">
        <f>IFERROR(__xludf.DUMMYFUNCTION("""COMPUTED_VALUE"""),51.0)</f>
        <v>51</v>
      </c>
      <c r="D2694" s="6">
        <f>IFERROR(__xludf.DUMMYFUNCTION("""COMPUTED_VALUE"""),45654.0)</f>
        <v>45654</v>
      </c>
      <c r="E2694" s="7" t="str">
        <f>IFERROR(__xludf.DUMMYFUNCTION("""COMPUTED_VALUE"""),"FRANQUIA_D&amp;G_SP")</f>
        <v>FRANQUIA_D&amp;G_SP</v>
      </c>
      <c r="F2694" s="7" t="str">
        <f>IFERROR(__xludf.DUMMYFUNCTION("""COMPUTED_VALUE"""),"BICYCLE")</f>
        <v>BICYCLE</v>
      </c>
      <c r="G2694" s="7" t="str">
        <f>IFERROR(__xludf.DUMMYFUNCTION("""COMPUTED_VALUE"""),"SAO PAULO")</f>
        <v>SAO PAULO</v>
      </c>
    </row>
    <row r="2695">
      <c r="A2695" s="6">
        <f>IFERROR(__xludf.DUMMYFUNCTION("""COMPUTED_VALUE"""),45705.0)</f>
        <v>45705</v>
      </c>
      <c r="B2695" s="7" t="str">
        <f>IFERROR(__xludf.DUMMYFUNCTION("""COMPUTED_VALUE"""),"b2bbdbec-cccd-4a8e-8a98-250d7b58f8ab")</f>
        <v>b2bbdbec-cccd-4a8e-8a98-250d7b58f8ab</v>
      </c>
      <c r="C2695" s="7">
        <f>IFERROR(__xludf.DUMMYFUNCTION("""COMPUTED_VALUE"""),28.0)</f>
        <v>28</v>
      </c>
      <c r="D2695" s="6">
        <f>IFERROR(__xludf.DUMMYFUNCTION("""COMPUTED_VALUE"""),45677.0)</f>
        <v>45677</v>
      </c>
      <c r="E2695" s="7" t="str">
        <f>IFERROR(__xludf.DUMMYFUNCTION("""COMPUTED_VALUE"""),"FRANQUIA_D&amp;G_SP")</f>
        <v>FRANQUIA_D&amp;G_SP</v>
      </c>
      <c r="F2695" s="7" t="str">
        <f>IFERROR(__xludf.DUMMYFUNCTION("""COMPUTED_VALUE"""),"MOTORCYCLE")</f>
        <v>MOTORCYCLE</v>
      </c>
      <c r="G2695" s="7" t="str">
        <f>IFERROR(__xludf.DUMMYFUNCTION("""COMPUTED_VALUE"""),"SAO PAULO")</f>
        <v>SAO PAULO</v>
      </c>
    </row>
    <row r="2696">
      <c r="A2696" s="6">
        <f>IFERROR(__xludf.DUMMYFUNCTION("""COMPUTED_VALUE"""),45705.0)</f>
        <v>45705</v>
      </c>
      <c r="B2696" s="7" t="str">
        <f>IFERROR(__xludf.DUMMYFUNCTION("""COMPUTED_VALUE"""),"c27a8284-6d6a-4e79-b63d-73fb475cdba9")</f>
        <v>c27a8284-6d6a-4e79-b63d-73fb475cdba9</v>
      </c>
      <c r="C2696" s="7">
        <f>IFERROR(__xludf.DUMMYFUNCTION("""COMPUTED_VALUE"""),42.0)</f>
        <v>42</v>
      </c>
      <c r="D2696" s="6">
        <f>IFERROR(__xludf.DUMMYFUNCTION("""COMPUTED_VALUE"""),45663.0)</f>
        <v>45663</v>
      </c>
      <c r="E2696" s="7" t="str">
        <f>IFERROR(__xludf.DUMMYFUNCTION("""COMPUTED_VALUE"""),"FRANQUIA_D&amp;G_SP")</f>
        <v>FRANQUIA_D&amp;G_SP</v>
      </c>
      <c r="F2696" s="7" t="str">
        <f>IFERROR(__xludf.DUMMYFUNCTION("""COMPUTED_VALUE"""),"BICYCLE")</f>
        <v>BICYCLE</v>
      </c>
      <c r="G2696" s="7" t="str">
        <f>IFERROR(__xludf.DUMMYFUNCTION("""COMPUTED_VALUE"""),"SAO PAULO")</f>
        <v>SAO PAULO</v>
      </c>
    </row>
    <row r="2697">
      <c r="A2697" s="6">
        <f>IFERROR(__xludf.DUMMYFUNCTION("""COMPUTED_VALUE"""),45705.0)</f>
        <v>45705</v>
      </c>
      <c r="B2697" s="7" t="str">
        <f>IFERROR(__xludf.DUMMYFUNCTION("""COMPUTED_VALUE"""),"4723da70-5126-4483-b63f-06d78fdf6053")</f>
        <v>4723da70-5126-4483-b63f-06d78fdf6053</v>
      </c>
      <c r="C2697" s="7">
        <f>IFERROR(__xludf.DUMMYFUNCTION("""COMPUTED_VALUE"""),5.0)</f>
        <v>5</v>
      </c>
      <c r="D2697" s="6">
        <f>IFERROR(__xludf.DUMMYFUNCTION("""COMPUTED_VALUE"""),45700.0)</f>
        <v>45700</v>
      </c>
      <c r="E2697" s="7" t="str">
        <f>IFERROR(__xludf.DUMMYFUNCTION("""COMPUTED_VALUE"""),"FRANQUIA_D&amp;G_SP")</f>
        <v>FRANQUIA_D&amp;G_SP</v>
      </c>
      <c r="F2697" s="7" t="str">
        <f>IFERROR(__xludf.DUMMYFUNCTION("""COMPUTED_VALUE"""),"MOTORCYCLE")</f>
        <v>MOTORCYCLE</v>
      </c>
      <c r="G2697" s="7" t="str">
        <f>IFERROR(__xludf.DUMMYFUNCTION("""COMPUTED_VALUE"""),"SAO PAULO")</f>
        <v>SAO PAULO</v>
      </c>
    </row>
    <row r="2698">
      <c r="A2698" s="6">
        <f>IFERROR(__xludf.DUMMYFUNCTION("""COMPUTED_VALUE"""),45705.0)</f>
        <v>45705</v>
      </c>
      <c r="B2698" s="7" t="str">
        <f>IFERROR(__xludf.DUMMYFUNCTION("""COMPUTED_VALUE"""),"fe06f26d-2ed9-42a9-8563-4b5f00f1fc4b")</f>
        <v>fe06f26d-2ed9-42a9-8563-4b5f00f1fc4b</v>
      </c>
      <c r="C2698" s="7">
        <f>IFERROR(__xludf.DUMMYFUNCTION("""COMPUTED_VALUE"""),0.0)</f>
        <v>0</v>
      </c>
      <c r="D2698" s="6">
        <f>IFERROR(__xludf.DUMMYFUNCTION("""COMPUTED_VALUE"""),45705.0)</f>
        <v>45705</v>
      </c>
      <c r="E2698" s="7" t="str">
        <f>IFERROR(__xludf.DUMMYFUNCTION("""COMPUTED_VALUE"""),"FRANQUIA_D&amp;G_SP")</f>
        <v>FRANQUIA_D&amp;G_SP</v>
      </c>
      <c r="F2698" s="7" t="str">
        <f>IFERROR(__xludf.DUMMYFUNCTION("""COMPUTED_VALUE"""),"MOTORCYCLE")</f>
        <v>MOTORCYCLE</v>
      </c>
      <c r="G2698" s="7" t="str">
        <f>IFERROR(__xludf.DUMMYFUNCTION("""COMPUTED_VALUE"""),"SAO PAULO")</f>
        <v>SAO PAULO</v>
      </c>
    </row>
    <row r="2699">
      <c r="A2699" s="6">
        <f>IFERROR(__xludf.DUMMYFUNCTION("""COMPUTED_VALUE"""),45705.0)</f>
        <v>45705</v>
      </c>
      <c r="B2699" s="7" t="str">
        <f>IFERROR(__xludf.DUMMYFUNCTION("""COMPUTED_VALUE"""),"d241bdf8-c11b-4c86-8d49-fdfea656fe7a")</f>
        <v>d241bdf8-c11b-4c86-8d49-fdfea656fe7a</v>
      </c>
      <c r="C2699" s="7">
        <f>IFERROR(__xludf.DUMMYFUNCTION("""COMPUTED_VALUE"""),0.0)</f>
        <v>0</v>
      </c>
      <c r="D2699" s="6">
        <f>IFERROR(__xludf.DUMMYFUNCTION("""COMPUTED_VALUE"""),45705.0)</f>
        <v>45705</v>
      </c>
      <c r="E2699" s="7" t="str">
        <f>IFERROR(__xludf.DUMMYFUNCTION("""COMPUTED_VALUE"""),"FRANQUIA_D&amp;G_SP")</f>
        <v>FRANQUIA_D&amp;G_SP</v>
      </c>
      <c r="F2699" s="7" t="str">
        <f>IFERROR(__xludf.DUMMYFUNCTION("""COMPUTED_VALUE"""),"MOTORCYCLE")</f>
        <v>MOTORCYCLE</v>
      </c>
      <c r="G2699" s="7" t="str">
        <f>IFERROR(__xludf.DUMMYFUNCTION("""COMPUTED_VALUE"""),"SAO PAULO")</f>
        <v>SAO PAULO</v>
      </c>
    </row>
    <row r="2700">
      <c r="A2700" s="6">
        <f>IFERROR(__xludf.DUMMYFUNCTION("""COMPUTED_VALUE"""),45705.0)</f>
        <v>45705</v>
      </c>
      <c r="B2700" s="7" t="str">
        <f>IFERROR(__xludf.DUMMYFUNCTION("""COMPUTED_VALUE"""),"5f8a2ac7-f41e-41fd-831d-1c48c24f2cc0")</f>
        <v>5f8a2ac7-f41e-41fd-831d-1c48c24f2cc0</v>
      </c>
      <c r="C2700" s="7">
        <f>IFERROR(__xludf.DUMMYFUNCTION("""COMPUTED_VALUE"""),0.0)</f>
        <v>0</v>
      </c>
      <c r="D2700" s="6">
        <f>IFERROR(__xludf.DUMMYFUNCTION("""COMPUTED_VALUE"""),45705.0)</f>
        <v>45705</v>
      </c>
      <c r="E2700" s="7" t="str">
        <f>IFERROR(__xludf.DUMMYFUNCTION("""COMPUTED_VALUE"""),"FRANQUIA_D&amp;G_SP")</f>
        <v>FRANQUIA_D&amp;G_SP</v>
      </c>
      <c r="F2700" s="7" t="str">
        <f>IFERROR(__xludf.DUMMYFUNCTION("""COMPUTED_VALUE"""),"MOTORCYCLE")</f>
        <v>MOTORCYCLE</v>
      </c>
      <c r="G2700" s="7" t="str">
        <f>IFERROR(__xludf.DUMMYFUNCTION("""COMPUTED_VALUE"""),"SAO PAULO")</f>
        <v>SAO PAULO</v>
      </c>
    </row>
    <row r="2701">
      <c r="A2701" s="6">
        <f>IFERROR(__xludf.DUMMYFUNCTION("""COMPUTED_VALUE"""),45705.0)</f>
        <v>45705</v>
      </c>
      <c r="B2701" s="7" t="str">
        <f>IFERROR(__xludf.DUMMYFUNCTION("""COMPUTED_VALUE"""),"7505d150-f51d-4caf-ac41-c27d8abdcf7c")</f>
        <v>7505d150-f51d-4caf-ac41-c27d8abdcf7c</v>
      </c>
      <c r="C2701" s="7">
        <f>IFERROR(__xludf.DUMMYFUNCTION("""COMPUTED_VALUE"""),0.0)</f>
        <v>0</v>
      </c>
      <c r="D2701" s="6">
        <f>IFERROR(__xludf.DUMMYFUNCTION("""COMPUTED_VALUE"""),45705.0)</f>
        <v>45705</v>
      </c>
      <c r="E2701" s="7" t="str">
        <f>IFERROR(__xludf.DUMMYFUNCTION("""COMPUTED_VALUE"""),"FRANQUIA_D&amp;G_SP")</f>
        <v>FRANQUIA_D&amp;G_SP</v>
      </c>
      <c r="F2701" s="7" t="str">
        <f>IFERROR(__xludf.DUMMYFUNCTION("""COMPUTED_VALUE"""),"MOTORCYCLE")</f>
        <v>MOTORCYCLE</v>
      </c>
      <c r="G2701" s="7" t="str">
        <f>IFERROR(__xludf.DUMMYFUNCTION("""COMPUTED_VALUE"""),"SAO PAULO")</f>
        <v>SAO PAULO</v>
      </c>
    </row>
    <row r="2702">
      <c r="A2702" s="6">
        <f>IFERROR(__xludf.DUMMYFUNCTION("""COMPUTED_VALUE"""),45705.0)</f>
        <v>45705</v>
      </c>
      <c r="B2702" s="7" t="str">
        <f>IFERROR(__xludf.DUMMYFUNCTION("""COMPUTED_VALUE"""),"66a6fc61-5b68-48e3-8b7b-534ae78058ee")</f>
        <v>66a6fc61-5b68-48e3-8b7b-534ae78058ee</v>
      </c>
      <c r="C2702" s="7">
        <f>IFERROR(__xludf.DUMMYFUNCTION("""COMPUTED_VALUE"""),1.0)</f>
        <v>1</v>
      </c>
      <c r="D2702" s="6">
        <f>IFERROR(__xludf.DUMMYFUNCTION("""COMPUTED_VALUE"""),45704.0)</f>
        <v>45704</v>
      </c>
      <c r="E2702" s="7" t="str">
        <f>IFERROR(__xludf.DUMMYFUNCTION("""COMPUTED_VALUE"""),"FRANQUIA_D&amp;G_SP")</f>
        <v>FRANQUIA_D&amp;G_SP</v>
      </c>
      <c r="F2702" s="7" t="str">
        <f>IFERROR(__xludf.DUMMYFUNCTION("""COMPUTED_VALUE"""),"MOTORCYCLE")</f>
        <v>MOTORCYCLE</v>
      </c>
      <c r="G2702" s="7" t="str">
        <f>IFERROR(__xludf.DUMMYFUNCTION("""COMPUTED_VALUE"""),"SAO PAULO")</f>
        <v>SAO PAULO</v>
      </c>
    </row>
    <row r="2703">
      <c r="A2703" s="6">
        <f>IFERROR(__xludf.DUMMYFUNCTION("""COMPUTED_VALUE"""),45705.0)</f>
        <v>45705</v>
      </c>
      <c r="B2703" s="7" t="str">
        <f>IFERROR(__xludf.DUMMYFUNCTION("""COMPUTED_VALUE"""),"f7ec1c53-a83e-4c29-b943-4940dd2b7665")</f>
        <v>f7ec1c53-a83e-4c29-b943-4940dd2b7665</v>
      </c>
      <c r="C2703" s="7">
        <f>IFERROR(__xludf.DUMMYFUNCTION("""COMPUTED_VALUE"""),145.0)</f>
        <v>145</v>
      </c>
      <c r="D2703" s="6">
        <f>IFERROR(__xludf.DUMMYFUNCTION("""COMPUTED_VALUE"""),45560.0)</f>
        <v>45560</v>
      </c>
      <c r="E2703" s="7" t="str">
        <f>IFERROR(__xludf.DUMMYFUNCTION("""COMPUTED_VALUE"""),"FRANQUIA_D&amp;G_SP")</f>
        <v>FRANQUIA_D&amp;G_SP</v>
      </c>
      <c r="F2703" s="7" t="str">
        <f>IFERROR(__xludf.DUMMYFUNCTION("""COMPUTED_VALUE"""),"BICYCLE")</f>
        <v>BICYCLE</v>
      </c>
      <c r="G2703" s="7" t="str">
        <f>IFERROR(__xludf.DUMMYFUNCTION("""COMPUTED_VALUE"""),"SAO PAULO")</f>
        <v>SAO PAULO</v>
      </c>
    </row>
    <row r="2704">
      <c r="A2704" s="6">
        <f>IFERROR(__xludf.DUMMYFUNCTION("""COMPUTED_VALUE"""),45705.0)</f>
        <v>45705</v>
      </c>
      <c r="B2704" s="7" t="str">
        <f>IFERROR(__xludf.DUMMYFUNCTION("""COMPUTED_VALUE"""),"530a25c0-c8fa-4cb1-8e88-13a6a93dac17")</f>
        <v>530a25c0-c8fa-4cb1-8e88-13a6a93dac17</v>
      </c>
      <c r="C2704" s="7">
        <f>IFERROR(__xludf.DUMMYFUNCTION("""COMPUTED_VALUE"""),20.0)</f>
        <v>20</v>
      </c>
      <c r="D2704" s="6">
        <f>IFERROR(__xludf.DUMMYFUNCTION("""COMPUTED_VALUE"""),45685.0)</f>
        <v>45685</v>
      </c>
      <c r="E2704" s="7" t="str">
        <f>IFERROR(__xludf.DUMMYFUNCTION("""COMPUTED_VALUE"""),"FRANQUIA_D&amp;G_SP")</f>
        <v>FRANQUIA_D&amp;G_SP</v>
      </c>
      <c r="F2704" s="7" t="str">
        <f>IFERROR(__xludf.DUMMYFUNCTION("""COMPUTED_VALUE"""),"MOTORCYCLE")</f>
        <v>MOTORCYCLE</v>
      </c>
      <c r="G2704" s="7" t="str">
        <f>IFERROR(__xludf.DUMMYFUNCTION("""COMPUTED_VALUE"""),"SAO PAULO")</f>
        <v>SAO PAULO</v>
      </c>
    </row>
    <row r="2705">
      <c r="A2705" s="6">
        <f>IFERROR(__xludf.DUMMYFUNCTION("""COMPUTED_VALUE"""),45705.0)</f>
        <v>45705</v>
      </c>
      <c r="B2705" s="7" t="str">
        <f>IFERROR(__xludf.DUMMYFUNCTION("""COMPUTED_VALUE"""),"eedd9f82-2b40-401a-9335-45df62e6f4ea")</f>
        <v>eedd9f82-2b40-401a-9335-45df62e6f4ea</v>
      </c>
      <c r="C2705" s="7">
        <f>IFERROR(__xludf.DUMMYFUNCTION("""COMPUTED_VALUE"""),3.0)</f>
        <v>3</v>
      </c>
      <c r="D2705" s="6">
        <f>IFERROR(__xludf.DUMMYFUNCTION("""COMPUTED_VALUE"""),45702.0)</f>
        <v>45702</v>
      </c>
      <c r="E2705" s="7" t="str">
        <f>IFERROR(__xludf.DUMMYFUNCTION("""COMPUTED_VALUE"""),"FRANQUIA_D&amp;G_SP")</f>
        <v>FRANQUIA_D&amp;G_SP</v>
      </c>
      <c r="F2705" s="7" t="str">
        <f>IFERROR(__xludf.DUMMYFUNCTION("""COMPUTED_VALUE"""),"MOTORCYCLE")</f>
        <v>MOTORCYCLE</v>
      </c>
      <c r="G2705" s="7" t="str">
        <f>IFERROR(__xludf.DUMMYFUNCTION("""COMPUTED_VALUE"""),"SAO PAULO")</f>
        <v>SAO PAULO</v>
      </c>
    </row>
    <row r="2706">
      <c r="A2706" s="6">
        <f>IFERROR(__xludf.DUMMYFUNCTION("""COMPUTED_VALUE"""),45705.0)</f>
        <v>45705</v>
      </c>
      <c r="B2706" s="7" t="str">
        <f>IFERROR(__xludf.DUMMYFUNCTION("""COMPUTED_VALUE"""),"96229d66-4d8f-45da-86ad-fbba01bac68f")</f>
        <v>96229d66-4d8f-45da-86ad-fbba01bac68f</v>
      </c>
      <c r="C2706" s="7">
        <f>IFERROR(__xludf.DUMMYFUNCTION("""COMPUTED_VALUE"""),0.0)</f>
        <v>0</v>
      </c>
      <c r="D2706" s="6">
        <f>IFERROR(__xludf.DUMMYFUNCTION("""COMPUTED_VALUE"""),45705.0)</f>
        <v>45705</v>
      </c>
      <c r="E2706" s="7" t="str">
        <f>IFERROR(__xludf.DUMMYFUNCTION("""COMPUTED_VALUE"""),"FRANQUIA_D&amp;G_SP")</f>
        <v>FRANQUIA_D&amp;G_SP</v>
      </c>
      <c r="F2706" s="7" t="str">
        <f>IFERROR(__xludf.DUMMYFUNCTION("""COMPUTED_VALUE"""),"MOTORCYCLE")</f>
        <v>MOTORCYCLE</v>
      </c>
      <c r="G2706" s="7" t="str">
        <f>IFERROR(__xludf.DUMMYFUNCTION("""COMPUTED_VALUE"""),"SAO PAULO")</f>
        <v>SAO PAULO</v>
      </c>
    </row>
    <row r="2707">
      <c r="A2707" s="6">
        <f>IFERROR(__xludf.DUMMYFUNCTION("""COMPUTED_VALUE"""),45705.0)</f>
        <v>45705</v>
      </c>
      <c r="B2707" s="7" t="str">
        <f>IFERROR(__xludf.DUMMYFUNCTION("""COMPUTED_VALUE"""),"752c6415-17be-4627-8c66-13333882d45f")</f>
        <v>752c6415-17be-4627-8c66-13333882d45f</v>
      </c>
      <c r="C2707" s="7">
        <f>IFERROR(__xludf.DUMMYFUNCTION("""COMPUTED_VALUE"""),1.0)</f>
        <v>1</v>
      </c>
      <c r="D2707" s="6">
        <f>IFERROR(__xludf.DUMMYFUNCTION("""COMPUTED_VALUE"""),45704.0)</f>
        <v>45704</v>
      </c>
      <c r="E2707" s="7" t="str">
        <f>IFERROR(__xludf.DUMMYFUNCTION("""COMPUTED_VALUE"""),"FRANQUIA_D&amp;G_SP")</f>
        <v>FRANQUIA_D&amp;G_SP</v>
      </c>
      <c r="F2707" s="7" t="str">
        <f>IFERROR(__xludf.DUMMYFUNCTION("""COMPUTED_VALUE"""),"MOTORCYCLE")</f>
        <v>MOTORCYCLE</v>
      </c>
      <c r="G2707" s="7" t="str">
        <f>IFERROR(__xludf.DUMMYFUNCTION("""COMPUTED_VALUE"""),"SAO PAULO")</f>
        <v>SAO PAULO</v>
      </c>
    </row>
    <row r="2708">
      <c r="A2708" s="6">
        <f>IFERROR(__xludf.DUMMYFUNCTION("""COMPUTED_VALUE"""),45705.0)</f>
        <v>45705</v>
      </c>
      <c r="B2708" s="7" t="str">
        <f>IFERROR(__xludf.DUMMYFUNCTION("""COMPUTED_VALUE"""),"4f8e9077-03c2-4d88-9ce6-561808224831")</f>
        <v>4f8e9077-03c2-4d88-9ce6-561808224831</v>
      </c>
      <c r="C2708" s="7">
        <f>IFERROR(__xludf.DUMMYFUNCTION("""COMPUTED_VALUE"""),0.0)</f>
        <v>0</v>
      </c>
      <c r="D2708" s="6">
        <f>IFERROR(__xludf.DUMMYFUNCTION("""COMPUTED_VALUE"""),45705.0)</f>
        <v>45705</v>
      </c>
      <c r="E2708" s="7" t="str">
        <f>IFERROR(__xludf.DUMMYFUNCTION("""COMPUTED_VALUE"""),"FRANQUIA_D&amp;G_SP")</f>
        <v>FRANQUIA_D&amp;G_SP</v>
      </c>
      <c r="F2708" s="7" t="str">
        <f>IFERROR(__xludf.DUMMYFUNCTION("""COMPUTED_VALUE"""),"MOTORCYCLE")</f>
        <v>MOTORCYCLE</v>
      </c>
      <c r="G2708" s="7" t="str">
        <f>IFERROR(__xludf.DUMMYFUNCTION("""COMPUTED_VALUE"""),"SAO PAULO")</f>
        <v>SAO PAULO</v>
      </c>
    </row>
    <row r="2709">
      <c r="A2709" s="6">
        <f>IFERROR(__xludf.DUMMYFUNCTION("""COMPUTED_VALUE"""),45705.0)</f>
        <v>45705</v>
      </c>
      <c r="B2709" s="7" t="str">
        <f>IFERROR(__xludf.DUMMYFUNCTION("""COMPUTED_VALUE"""),"3874f996-45f5-480b-a8fe-a980bb006a58")</f>
        <v>3874f996-45f5-480b-a8fe-a980bb006a58</v>
      </c>
      <c r="C2709" s="7">
        <f>IFERROR(__xludf.DUMMYFUNCTION("""COMPUTED_VALUE"""),521.0)</f>
        <v>521</v>
      </c>
      <c r="D2709" s="6">
        <f>IFERROR(__xludf.DUMMYFUNCTION("""COMPUTED_VALUE"""),45184.0)</f>
        <v>45184</v>
      </c>
      <c r="E2709" s="7" t="str">
        <f>IFERROR(__xludf.DUMMYFUNCTION("""COMPUTED_VALUE"""),"FRANQUIA_D&amp;G_SP")</f>
        <v>FRANQUIA_D&amp;G_SP</v>
      </c>
      <c r="F2709" s="7" t="str">
        <f>IFERROR(__xludf.DUMMYFUNCTION("""COMPUTED_VALUE"""),"BICYCLE")</f>
        <v>BICYCLE</v>
      </c>
      <c r="G2709" s="7" t="str">
        <f>IFERROR(__xludf.DUMMYFUNCTION("""COMPUTED_VALUE"""),"SAO PAULO")</f>
        <v>SAO PAULO</v>
      </c>
    </row>
    <row r="2710">
      <c r="A2710" s="6">
        <f>IFERROR(__xludf.DUMMYFUNCTION("""COMPUTED_VALUE"""),45705.0)</f>
        <v>45705</v>
      </c>
      <c r="B2710" s="7" t="str">
        <f>IFERROR(__xludf.DUMMYFUNCTION("""COMPUTED_VALUE"""),"5602973f-97cc-4ef1-b3c0-342e6827ee4a")</f>
        <v>5602973f-97cc-4ef1-b3c0-342e6827ee4a</v>
      </c>
      <c r="C2710" s="7">
        <f>IFERROR(__xludf.DUMMYFUNCTION("""COMPUTED_VALUE"""),0.0)</f>
        <v>0</v>
      </c>
      <c r="D2710" s="6">
        <f>IFERROR(__xludf.DUMMYFUNCTION("""COMPUTED_VALUE"""),45705.0)</f>
        <v>45705</v>
      </c>
      <c r="E2710" s="7" t="str">
        <f>IFERROR(__xludf.DUMMYFUNCTION("""COMPUTED_VALUE"""),"FRANQUIA_D&amp;G_SP")</f>
        <v>FRANQUIA_D&amp;G_SP</v>
      </c>
      <c r="F2710" s="7" t="str">
        <f>IFERROR(__xludf.DUMMYFUNCTION("""COMPUTED_VALUE"""),"MOTORCYCLE")</f>
        <v>MOTORCYCLE</v>
      </c>
      <c r="G2710" s="7" t="str">
        <f>IFERROR(__xludf.DUMMYFUNCTION("""COMPUTED_VALUE"""),"SAO PAULO")</f>
        <v>SAO PAULO</v>
      </c>
    </row>
    <row r="2711">
      <c r="A2711" s="6">
        <f>IFERROR(__xludf.DUMMYFUNCTION("""COMPUTED_VALUE"""),45705.0)</f>
        <v>45705</v>
      </c>
      <c r="B2711" s="7" t="str">
        <f>IFERROR(__xludf.DUMMYFUNCTION("""COMPUTED_VALUE"""),"98bc7954-0f28-4f83-aba2-47fa3138f9b9")</f>
        <v>98bc7954-0f28-4f83-aba2-47fa3138f9b9</v>
      </c>
      <c r="C2711" s="7">
        <f>IFERROR(__xludf.DUMMYFUNCTION("""COMPUTED_VALUE"""),1.0)</f>
        <v>1</v>
      </c>
      <c r="D2711" s="6">
        <f>IFERROR(__xludf.DUMMYFUNCTION("""COMPUTED_VALUE"""),45704.0)</f>
        <v>45704</v>
      </c>
      <c r="E2711" s="7" t="str">
        <f>IFERROR(__xludf.DUMMYFUNCTION("""COMPUTED_VALUE"""),"FRANQUIA_D&amp;G_SP")</f>
        <v>FRANQUIA_D&amp;G_SP</v>
      </c>
      <c r="F2711" s="7" t="str">
        <f>IFERROR(__xludf.DUMMYFUNCTION("""COMPUTED_VALUE"""),"MOTORCYCLE")</f>
        <v>MOTORCYCLE</v>
      </c>
      <c r="G2711" s="7" t="str">
        <f>IFERROR(__xludf.DUMMYFUNCTION("""COMPUTED_VALUE"""),"SAO PAULO")</f>
        <v>SAO PAULO</v>
      </c>
    </row>
    <row r="2712">
      <c r="A2712" s="6">
        <f>IFERROR(__xludf.DUMMYFUNCTION("""COMPUTED_VALUE"""),45705.0)</f>
        <v>45705</v>
      </c>
      <c r="B2712" s="7" t="str">
        <f>IFERROR(__xludf.DUMMYFUNCTION("""COMPUTED_VALUE"""),"1a3d6f32-c0ed-46a8-bc11-98bd7c0624e3")</f>
        <v>1a3d6f32-c0ed-46a8-bc11-98bd7c0624e3</v>
      </c>
      <c r="C2712" s="7">
        <f>IFERROR(__xludf.DUMMYFUNCTION("""COMPUTED_VALUE"""),0.0)</f>
        <v>0</v>
      </c>
      <c r="D2712" s="6">
        <f>IFERROR(__xludf.DUMMYFUNCTION("""COMPUTED_VALUE"""),45705.0)</f>
        <v>45705</v>
      </c>
      <c r="E2712" s="7" t="str">
        <f>IFERROR(__xludf.DUMMYFUNCTION("""COMPUTED_VALUE"""),"FRANQUIA_D&amp;G_SP")</f>
        <v>FRANQUIA_D&amp;G_SP</v>
      </c>
      <c r="F2712" s="7" t="str">
        <f>IFERROR(__xludf.DUMMYFUNCTION("""COMPUTED_VALUE"""),"BICYCLE")</f>
        <v>BICYCLE</v>
      </c>
      <c r="G2712" s="7" t="str">
        <f>IFERROR(__xludf.DUMMYFUNCTION("""COMPUTED_VALUE"""),"OSASCO")</f>
        <v>OSASCO</v>
      </c>
    </row>
    <row r="2713">
      <c r="A2713" s="6">
        <f>IFERROR(__xludf.DUMMYFUNCTION("""COMPUTED_VALUE"""),45705.0)</f>
        <v>45705</v>
      </c>
      <c r="B2713" s="7" t="str">
        <f>IFERROR(__xludf.DUMMYFUNCTION("""COMPUTED_VALUE"""),"2efe510d-a36b-40bd-8d41-bc0beb858ed1")</f>
        <v>2efe510d-a36b-40bd-8d41-bc0beb858ed1</v>
      </c>
      <c r="C2713" s="7">
        <f>IFERROR(__xludf.DUMMYFUNCTION("""COMPUTED_VALUE"""),0.0)</f>
        <v>0</v>
      </c>
      <c r="D2713" s="6">
        <f>IFERROR(__xludf.DUMMYFUNCTION("""COMPUTED_VALUE"""),45705.0)</f>
        <v>45705</v>
      </c>
      <c r="E2713" s="7" t="str">
        <f>IFERROR(__xludf.DUMMYFUNCTION("""COMPUTED_VALUE"""),"FRANQUIA_D&amp;G_SP")</f>
        <v>FRANQUIA_D&amp;G_SP</v>
      </c>
      <c r="F2713" s="7" t="str">
        <f>IFERROR(__xludf.DUMMYFUNCTION("""COMPUTED_VALUE"""),"MOTORCYCLE")</f>
        <v>MOTORCYCLE</v>
      </c>
      <c r="G2713" s="7" t="str">
        <f>IFERROR(__xludf.DUMMYFUNCTION("""COMPUTED_VALUE"""),"SAO PAULO")</f>
        <v>SAO PAULO</v>
      </c>
    </row>
    <row r="2714">
      <c r="A2714" s="6">
        <f>IFERROR(__xludf.DUMMYFUNCTION("""COMPUTED_VALUE"""),45705.0)</f>
        <v>45705</v>
      </c>
      <c r="B2714" s="7" t="str">
        <f>IFERROR(__xludf.DUMMYFUNCTION("""COMPUTED_VALUE"""),"3973d53d-a911-4af2-9157-62b40a469622")</f>
        <v>3973d53d-a911-4af2-9157-62b40a469622</v>
      </c>
      <c r="C2714" s="7">
        <f>IFERROR(__xludf.DUMMYFUNCTION("""COMPUTED_VALUE"""),98.0)</f>
        <v>98</v>
      </c>
      <c r="D2714" s="6">
        <f>IFERROR(__xludf.DUMMYFUNCTION("""COMPUTED_VALUE"""),45607.0)</f>
        <v>45607</v>
      </c>
      <c r="E2714" s="7" t="str">
        <f>IFERROR(__xludf.DUMMYFUNCTION("""COMPUTED_VALUE"""),"FRANQUIA_D&amp;G_SP")</f>
        <v>FRANQUIA_D&amp;G_SP</v>
      </c>
      <c r="F2714" s="7" t="str">
        <f>IFERROR(__xludf.DUMMYFUNCTION("""COMPUTED_VALUE"""),"BICYCLE")</f>
        <v>BICYCLE</v>
      </c>
      <c r="G2714" s="7" t="str">
        <f>IFERROR(__xludf.DUMMYFUNCTION("""COMPUTED_VALUE"""),"SAO PAULO")</f>
        <v>SAO PAULO</v>
      </c>
    </row>
    <row r="2715">
      <c r="A2715" s="6">
        <f>IFERROR(__xludf.DUMMYFUNCTION("""COMPUTED_VALUE"""),45705.0)</f>
        <v>45705</v>
      </c>
      <c r="B2715" s="7" t="str">
        <f>IFERROR(__xludf.DUMMYFUNCTION("""COMPUTED_VALUE"""),"06b11fe7-b809-4af0-9ebd-341dd034d9e4")</f>
        <v>06b11fe7-b809-4af0-9ebd-341dd034d9e4</v>
      </c>
      <c r="C2715" s="7">
        <f>IFERROR(__xludf.DUMMYFUNCTION("""COMPUTED_VALUE"""),12.0)</f>
        <v>12</v>
      </c>
      <c r="D2715" s="6">
        <f>IFERROR(__xludf.DUMMYFUNCTION("""COMPUTED_VALUE"""),45693.0)</f>
        <v>45693</v>
      </c>
      <c r="E2715" s="7" t="str">
        <f>IFERROR(__xludf.DUMMYFUNCTION("""COMPUTED_VALUE"""),"FRANQUIA_D&amp;G_SP")</f>
        <v>FRANQUIA_D&amp;G_SP</v>
      </c>
      <c r="F2715" s="7" t="str">
        <f>IFERROR(__xludf.DUMMYFUNCTION("""COMPUTED_VALUE"""),"MOTORCYCLE")</f>
        <v>MOTORCYCLE</v>
      </c>
      <c r="G2715" s="7" t="str">
        <f>IFERROR(__xludf.DUMMYFUNCTION("""COMPUTED_VALUE"""),"SUZANO")</f>
        <v>SUZANO</v>
      </c>
    </row>
    <row r="2716">
      <c r="A2716" s="6">
        <f>IFERROR(__xludf.DUMMYFUNCTION("""COMPUTED_VALUE"""),45705.0)</f>
        <v>45705</v>
      </c>
      <c r="B2716" s="7" t="str">
        <f>IFERROR(__xludf.DUMMYFUNCTION("""COMPUTED_VALUE"""),"7501f998-5606-4f80-8019-f7f9b2e14278")</f>
        <v>7501f998-5606-4f80-8019-f7f9b2e14278</v>
      </c>
      <c r="C2716" s="7">
        <f>IFERROR(__xludf.DUMMYFUNCTION("""COMPUTED_VALUE"""),55.0)</f>
        <v>55</v>
      </c>
      <c r="D2716" s="6">
        <f>IFERROR(__xludf.DUMMYFUNCTION("""COMPUTED_VALUE"""),45650.0)</f>
        <v>45650</v>
      </c>
      <c r="E2716" s="7" t="str">
        <f>IFERROR(__xludf.DUMMYFUNCTION("""COMPUTED_VALUE"""),"FRANQUIA_D&amp;G_SP")</f>
        <v>FRANQUIA_D&amp;G_SP</v>
      </c>
      <c r="F2716" s="7" t="str">
        <f>IFERROR(__xludf.DUMMYFUNCTION("""COMPUTED_VALUE"""),"BICYCLE")</f>
        <v>BICYCLE</v>
      </c>
      <c r="G2716" s="7" t="str">
        <f>IFERROR(__xludf.DUMMYFUNCTION("""COMPUTED_VALUE"""),"SAO PAULO")</f>
        <v>SAO PAULO</v>
      </c>
    </row>
    <row r="2717">
      <c r="A2717" s="6">
        <f>IFERROR(__xludf.DUMMYFUNCTION("""COMPUTED_VALUE"""),45705.0)</f>
        <v>45705</v>
      </c>
      <c r="B2717" s="7" t="str">
        <f>IFERROR(__xludf.DUMMYFUNCTION("""COMPUTED_VALUE"""),"0529c894-da2a-49b0-9e59-328930b93231")</f>
        <v>0529c894-da2a-49b0-9e59-328930b93231</v>
      </c>
      <c r="C2717" s="7">
        <f>IFERROR(__xludf.DUMMYFUNCTION("""COMPUTED_VALUE"""),1.0)</f>
        <v>1</v>
      </c>
      <c r="D2717" s="6">
        <f>IFERROR(__xludf.DUMMYFUNCTION("""COMPUTED_VALUE"""),45704.0)</f>
        <v>45704</v>
      </c>
      <c r="E2717" s="7" t="str">
        <f>IFERROR(__xludf.DUMMYFUNCTION("""COMPUTED_VALUE"""),"FRANQUIA_D&amp;G_SP")</f>
        <v>FRANQUIA_D&amp;G_SP</v>
      </c>
      <c r="F2717" s="7" t="str">
        <f>IFERROR(__xludf.DUMMYFUNCTION("""COMPUTED_VALUE"""),"EBIKE")</f>
        <v>EBIKE</v>
      </c>
      <c r="G2717" s="7" t="str">
        <f>IFERROR(__xludf.DUMMYFUNCTION("""COMPUTED_VALUE"""),"SAO PAULO")</f>
        <v>SAO PAULO</v>
      </c>
    </row>
    <row r="2718">
      <c r="A2718" s="6">
        <f>IFERROR(__xludf.DUMMYFUNCTION("""COMPUTED_VALUE"""),45705.0)</f>
        <v>45705</v>
      </c>
      <c r="B2718" s="7" t="str">
        <f>IFERROR(__xludf.DUMMYFUNCTION("""COMPUTED_VALUE"""),"851457fe-0633-4569-9fec-bf5c81f2582f")</f>
        <v>851457fe-0633-4569-9fec-bf5c81f2582f</v>
      </c>
      <c r="C2718" s="7">
        <f>IFERROR(__xludf.DUMMYFUNCTION("""COMPUTED_VALUE"""),14.0)</f>
        <v>14</v>
      </c>
      <c r="D2718" s="6">
        <f>IFERROR(__xludf.DUMMYFUNCTION("""COMPUTED_VALUE"""),45691.0)</f>
        <v>45691</v>
      </c>
      <c r="E2718" s="7" t="str">
        <f>IFERROR(__xludf.DUMMYFUNCTION("""COMPUTED_VALUE"""),"FRANQUIA_D&amp;G_SP")</f>
        <v>FRANQUIA_D&amp;G_SP</v>
      </c>
      <c r="F2718" s="7" t="str">
        <f>IFERROR(__xludf.DUMMYFUNCTION("""COMPUTED_VALUE"""),"BICYCLE")</f>
        <v>BICYCLE</v>
      </c>
      <c r="G2718" s="7" t="str">
        <f>IFERROR(__xludf.DUMMYFUNCTION("""COMPUTED_VALUE"""),"SAO PAULO")</f>
        <v>SAO PAULO</v>
      </c>
    </row>
    <row r="2719">
      <c r="A2719" s="6">
        <f>IFERROR(__xludf.DUMMYFUNCTION("""COMPUTED_VALUE"""),45705.0)</f>
        <v>45705</v>
      </c>
      <c r="B2719" s="7" t="str">
        <f>IFERROR(__xludf.DUMMYFUNCTION("""COMPUTED_VALUE"""),"753e5173-8367-4e26-9b4c-4910bb2061a4")</f>
        <v>753e5173-8367-4e26-9b4c-4910bb2061a4</v>
      </c>
      <c r="C2719" s="7">
        <f>IFERROR(__xludf.DUMMYFUNCTION("""COMPUTED_VALUE"""),80.0)</f>
        <v>80</v>
      </c>
      <c r="D2719" s="6">
        <f>IFERROR(__xludf.DUMMYFUNCTION("""COMPUTED_VALUE"""),45625.0)</f>
        <v>45625</v>
      </c>
      <c r="E2719" s="7" t="str">
        <f>IFERROR(__xludf.DUMMYFUNCTION("""COMPUTED_VALUE"""),"FRANQUIA_D&amp;G_SP")</f>
        <v>FRANQUIA_D&amp;G_SP</v>
      </c>
      <c r="F2719" s="7" t="str">
        <f>IFERROR(__xludf.DUMMYFUNCTION("""COMPUTED_VALUE"""),"MOTORCYCLE")</f>
        <v>MOTORCYCLE</v>
      </c>
      <c r="G2719" s="7" t="str">
        <f>IFERROR(__xludf.DUMMYFUNCTION("""COMPUTED_VALUE"""),"SAO PAULO")</f>
        <v>SAO PAULO</v>
      </c>
    </row>
    <row r="2720">
      <c r="A2720" s="6">
        <f>IFERROR(__xludf.DUMMYFUNCTION("""COMPUTED_VALUE"""),45705.0)</f>
        <v>45705</v>
      </c>
      <c r="B2720" s="7" t="str">
        <f>IFERROR(__xludf.DUMMYFUNCTION("""COMPUTED_VALUE"""),"1410b688-8261-4185-a5b5-2a7511ee1dec")</f>
        <v>1410b688-8261-4185-a5b5-2a7511ee1dec</v>
      </c>
      <c r="C2720" s="7">
        <f>IFERROR(__xludf.DUMMYFUNCTION("""COMPUTED_VALUE"""),0.0)</f>
        <v>0</v>
      </c>
      <c r="D2720" s="6">
        <f>IFERROR(__xludf.DUMMYFUNCTION("""COMPUTED_VALUE"""),45705.0)</f>
        <v>45705</v>
      </c>
      <c r="E2720" s="7" t="str">
        <f>IFERROR(__xludf.DUMMYFUNCTION("""COMPUTED_VALUE"""),"FRANQUIA_D&amp;G_SP")</f>
        <v>FRANQUIA_D&amp;G_SP</v>
      </c>
      <c r="F2720" s="7" t="str">
        <f>IFERROR(__xludf.DUMMYFUNCTION("""COMPUTED_VALUE"""),"MOTORCYCLE")</f>
        <v>MOTORCYCLE</v>
      </c>
      <c r="G2720" s="7" t="str">
        <f>IFERROR(__xludf.DUMMYFUNCTION("""COMPUTED_VALUE"""),"SAO PAULO")</f>
        <v>SAO PAULO</v>
      </c>
    </row>
    <row r="2721">
      <c r="A2721" s="6">
        <f>IFERROR(__xludf.DUMMYFUNCTION("""COMPUTED_VALUE"""),45705.0)</f>
        <v>45705</v>
      </c>
      <c r="B2721" s="7" t="str">
        <f>IFERROR(__xludf.DUMMYFUNCTION("""COMPUTED_VALUE"""),"f419e2ec-a936-4de2-9fdc-5ab69efb8ebf")</f>
        <v>f419e2ec-a936-4de2-9fdc-5ab69efb8ebf</v>
      </c>
      <c r="C2721" s="7">
        <f>IFERROR(__xludf.DUMMYFUNCTION("""COMPUTED_VALUE"""),5.0)</f>
        <v>5</v>
      </c>
      <c r="D2721" s="6">
        <f>IFERROR(__xludf.DUMMYFUNCTION("""COMPUTED_VALUE"""),45700.0)</f>
        <v>45700</v>
      </c>
      <c r="E2721" s="7" t="str">
        <f>IFERROR(__xludf.DUMMYFUNCTION("""COMPUTED_VALUE"""),"FRANQUIA_D&amp;G_SP")</f>
        <v>FRANQUIA_D&amp;G_SP</v>
      </c>
      <c r="F2721" s="7" t="str">
        <f>IFERROR(__xludf.DUMMYFUNCTION("""COMPUTED_VALUE"""),"MOTORCYCLE")</f>
        <v>MOTORCYCLE</v>
      </c>
      <c r="G2721" s="7" t="str">
        <f>IFERROR(__xludf.DUMMYFUNCTION("""COMPUTED_VALUE"""),"SAO PAULO")</f>
        <v>SAO PAULO</v>
      </c>
    </row>
    <row r="2722">
      <c r="A2722" s="6">
        <f>IFERROR(__xludf.DUMMYFUNCTION("""COMPUTED_VALUE"""),45705.0)</f>
        <v>45705</v>
      </c>
      <c r="B2722" s="7" t="str">
        <f>IFERROR(__xludf.DUMMYFUNCTION("""COMPUTED_VALUE"""),"2de2d16c-9f85-4cb5-8fae-fcba047d031d")</f>
        <v>2de2d16c-9f85-4cb5-8fae-fcba047d031d</v>
      </c>
      <c r="C2722" s="7">
        <f>IFERROR(__xludf.DUMMYFUNCTION("""COMPUTED_VALUE"""),278.0)</f>
        <v>278</v>
      </c>
      <c r="D2722" s="6">
        <f>IFERROR(__xludf.DUMMYFUNCTION("""COMPUTED_VALUE"""),45427.0)</f>
        <v>45427</v>
      </c>
      <c r="E2722" s="7" t="str">
        <f>IFERROR(__xludf.DUMMYFUNCTION("""COMPUTED_VALUE"""),"FRANQUIA_D&amp;G_SP")</f>
        <v>FRANQUIA_D&amp;G_SP</v>
      </c>
      <c r="F2722" s="7" t="str">
        <f>IFERROR(__xludf.DUMMYFUNCTION("""COMPUTED_VALUE"""),"BICYCLE")</f>
        <v>BICYCLE</v>
      </c>
      <c r="G2722" s="7" t="str">
        <f>IFERROR(__xludf.DUMMYFUNCTION("""COMPUTED_VALUE"""),"SAO PAULO")</f>
        <v>SAO PAULO</v>
      </c>
    </row>
    <row r="2723">
      <c r="A2723" s="6">
        <f>IFERROR(__xludf.DUMMYFUNCTION("""COMPUTED_VALUE"""),45705.0)</f>
        <v>45705</v>
      </c>
      <c r="B2723" s="7" t="str">
        <f>IFERROR(__xludf.DUMMYFUNCTION("""COMPUTED_VALUE"""),"886b7767-d3e2-4931-be21-388ec6c417cf")</f>
        <v>886b7767-d3e2-4931-be21-388ec6c417cf</v>
      </c>
      <c r="C2723" s="7">
        <f>IFERROR(__xludf.DUMMYFUNCTION("""COMPUTED_VALUE"""),2.0)</f>
        <v>2</v>
      </c>
      <c r="D2723" s="6">
        <f>IFERROR(__xludf.DUMMYFUNCTION("""COMPUTED_VALUE"""),45703.0)</f>
        <v>45703</v>
      </c>
      <c r="E2723" s="7" t="str">
        <f>IFERROR(__xludf.DUMMYFUNCTION("""COMPUTED_VALUE"""),"FRANQUIA_D&amp;G_SP")</f>
        <v>FRANQUIA_D&amp;G_SP</v>
      </c>
      <c r="F2723" s="7" t="str">
        <f>IFERROR(__xludf.DUMMYFUNCTION("""COMPUTED_VALUE"""),"BICYCLE")</f>
        <v>BICYCLE</v>
      </c>
      <c r="G2723" s="7" t="str">
        <f>IFERROR(__xludf.DUMMYFUNCTION("""COMPUTED_VALUE"""),"SAO PAULO")</f>
        <v>SAO PAULO</v>
      </c>
    </row>
    <row r="2724">
      <c r="A2724" s="6">
        <f>IFERROR(__xludf.DUMMYFUNCTION("""COMPUTED_VALUE"""),45705.0)</f>
        <v>45705</v>
      </c>
      <c r="B2724" s="7" t="str">
        <f>IFERROR(__xludf.DUMMYFUNCTION("""COMPUTED_VALUE"""),"32f40a80-5676-43cd-821e-5b58b428a88f")</f>
        <v>32f40a80-5676-43cd-821e-5b58b428a88f</v>
      </c>
      <c r="C2724" s="7">
        <f>IFERROR(__xludf.DUMMYFUNCTION("""COMPUTED_VALUE"""),1.0)</f>
        <v>1</v>
      </c>
      <c r="D2724" s="6">
        <f>IFERROR(__xludf.DUMMYFUNCTION("""COMPUTED_VALUE"""),45704.0)</f>
        <v>45704</v>
      </c>
      <c r="E2724" s="7" t="str">
        <f>IFERROR(__xludf.DUMMYFUNCTION("""COMPUTED_VALUE"""),"FRANQUIA_D&amp;G_SP")</f>
        <v>FRANQUIA_D&amp;G_SP</v>
      </c>
      <c r="F2724" s="7" t="str">
        <f>IFERROR(__xludf.DUMMYFUNCTION("""COMPUTED_VALUE"""),"MOTORCYCLE")</f>
        <v>MOTORCYCLE</v>
      </c>
      <c r="G2724" s="7" t="str">
        <f>IFERROR(__xludf.DUMMYFUNCTION("""COMPUTED_VALUE"""),"SAO PAULO")</f>
        <v>SAO PAULO</v>
      </c>
    </row>
    <row r="2725">
      <c r="A2725" s="6">
        <f>IFERROR(__xludf.DUMMYFUNCTION("""COMPUTED_VALUE"""),45705.0)</f>
        <v>45705</v>
      </c>
      <c r="B2725" s="7" t="str">
        <f>IFERROR(__xludf.DUMMYFUNCTION("""COMPUTED_VALUE"""),"747f8601-e1a6-4f3c-962c-3878130485b6")</f>
        <v>747f8601-e1a6-4f3c-962c-3878130485b6</v>
      </c>
      <c r="C2725" s="7">
        <f>IFERROR(__xludf.DUMMYFUNCTION("""COMPUTED_VALUE"""),7.0)</f>
        <v>7</v>
      </c>
      <c r="D2725" s="6">
        <f>IFERROR(__xludf.DUMMYFUNCTION("""COMPUTED_VALUE"""),45698.0)</f>
        <v>45698</v>
      </c>
      <c r="E2725" s="7" t="str">
        <f>IFERROR(__xludf.DUMMYFUNCTION("""COMPUTED_VALUE"""),"FRANQUIA_D&amp;G_SP")</f>
        <v>FRANQUIA_D&amp;G_SP</v>
      </c>
      <c r="F2725" s="7" t="str">
        <f>IFERROR(__xludf.DUMMYFUNCTION("""COMPUTED_VALUE"""),"MOTORCYCLE")</f>
        <v>MOTORCYCLE</v>
      </c>
      <c r="G2725" s="7" t="str">
        <f>IFERROR(__xludf.DUMMYFUNCTION("""COMPUTED_VALUE"""),"SAO PAULO")</f>
        <v>SAO PAULO</v>
      </c>
    </row>
    <row r="2726">
      <c r="A2726" s="6">
        <f>IFERROR(__xludf.DUMMYFUNCTION("""COMPUTED_VALUE"""),45705.0)</f>
        <v>45705</v>
      </c>
      <c r="B2726" s="7" t="str">
        <f>IFERROR(__xludf.DUMMYFUNCTION("""COMPUTED_VALUE"""),"a67901fe-da9a-4ad9-aa12-d35a4948be9a")</f>
        <v>a67901fe-da9a-4ad9-aa12-d35a4948be9a</v>
      </c>
      <c r="C2726" s="7">
        <f>IFERROR(__xludf.DUMMYFUNCTION("""COMPUTED_VALUE"""),0.0)</f>
        <v>0</v>
      </c>
      <c r="D2726" s="6">
        <f>IFERROR(__xludf.DUMMYFUNCTION("""COMPUTED_VALUE"""),45705.0)</f>
        <v>45705</v>
      </c>
      <c r="E2726" s="7" t="str">
        <f>IFERROR(__xludf.DUMMYFUNCTION("""COMPUTED_VALUE"""),"FRANQUIA_D&amp;G_SP")</f>
        <v>FRANQUIA_D&amp;G_SP</v>
      </c>
      <c r="F2726" s="7" t="str">
        <f>IFERROR(__xludf.DUMMYFUNCTION("""COMPUTED_VALUE"""),"MOTORCYCLE")</f>
        <v>MOTORCYCLE</v>
      </c>
      <c r="G2726" s="7" t="str">
        <f>IFERROR(__xludf.DUMMYFUNCTION("""COMPUTED_VALUE"""),"SAO PAULO")</f>
        <v>SAO PAULO</v>
      </c>
    </row>
    <row r="2727">
      <c r="A2727" s="6">
        <f>IFERROR(__xludf.DUMMYFUNCTION("""COMPUTED_VALUE"""),45705.0)</f>
        <v>45705</v>
      </c>
      <c r="B2727" s="7" t="str">
        <f>IFERROR(__xludf.DUMMYFUNCTION("""COMPUTED_VALUE"""),"949592bb-6265-4c31-9ee1-e02e0d2a075e")</f>
        <v>949592bb-6265-4c31-9ee1-e02e0d2a075e</v>
      </c>
      <c r="C2727" s="7">
        <f>IFERROR(__xludf.DUMMYFUNCTION("""COMPUTED_VALUE"""),0.0)</f>
        <v>0</v>
      </c>
      <c r="D2727" s="6">
        <f>IFERROR(__xludf.DUMMYFUNCTION("""COMPUTED_VALUE"""),45705.0)</f>
        <v>45705</v>
      </c>
      <c r="E2727" s="7" t="str">
        <f>IFERROR(__xludf.DUMMYFUNCTION("""COMPUTED_VALUE"""),"FRANQUIA_D&amp;G_SP")</f>
        <v>FRANQUIA_D&amp;G_SP</v>
      </c>
      <c r="F2727" s="7" t="str">
        <f>IFERROR(__xludf.DUMMYFUNCTION("""COMPUTED_VALUE"""),"MOTORCYCLE")</f>
        <v>MOTORCYCLE</v>
      </c>
      <c r="G2727" s="7" t="str">
        <f>IFERROR(__xludf.DUMMYFUNCTION("""COMPUTED_VALUE"""),"SAO PAULO")</f>
        <v>SAO PAULO</v>
      </c>
    </row>
    <row r="2728">
      <c r="A2728" s="6">
        <f>IFERROR(__xludf.DUMMYFUNCTION("""COMPUTED_VALUE"""),45705.0)</f>
        <v>45705</v>
      </c>
      <c r="B2728" s="7" t="str">
        <f>IFERROR(__xludf.DUMMYFUNCTION("""COMPUTED_VALUE"""),"7db198b5-62db-4a32-accb-91399391afac")</f>
        <v>7db198b5-62db-4a32-accb-91399391afac</v>
      </c>
      <c r="C2728" s="7">
        <f>IFERROR(__xludf.DUMMYFUNCTION("""COMPUTED_VALUE"""),0.0)</f>
        <v>0</v>
      </c>
      <c r="D2728" s="6">
        <f>IFERROR(__xludf.DUMMYFUNCTION("""COMPUTED_VALUE"""),45705.0)</f>
        <v>45705</v>
      </c>
      <c r="E2728" s="7" t="str">
        <f>IFERROR(__xludf.DUMMYFUNCTION("""COMPUTED_VALUE"""),"FRANQUIA_D&amp;G_SP")</f>
        <v>FRANQUIA_D&amp;G_SP</v>
      </c>
      <c r="F2728" s="7" t="str">
        <f>IFERROR(__xludf.DUMMYFUNCTION("""COMPUTED_VALUE"""),"MOTORCYCLE")</f>
        <v>MOTORCYCLE</v>
      </c>
      <c r="G2728" s="7" t="str">
        <f>IFERROR(__xludf.DUMMYFUNCTION("""COMPUTED_VALUE"""),"SAO PAULO")</f>
        <v>SAO PAULO</v>
      </c>
    </row>
    <row r="2729">
      <c r="A2729" s="6">
        <f>IFERROR(__xludf.DUMMYFUNCTION("""COMPUTED_VALUE"""),45705.0)</f>
        <v>45705</v>
      </c>
      <c r="B2729" s="7" t="str">
        <f>IFERROR(__xludf.DUMMYFUNCTION("""COMPUTED_VALUE"""),"1c6724c3-dc39-4387-8231-60f2f55a3961")</f>
        <v>1c6724c3-dc39-4387-8231-60f2f55a3961</v>
      </c>
      <c r="C2729" s="7">
        <f>IFERROR(__xludf.DUMMYFUNCTION("""COMPUTED_VALUE"""),0.0)</f>
        <v>0</v>
      </c>
      <c r="D2729" s="6">
        <f>IFERROR(__xludf.DUMMYFUNCTION("""COMPUTED_VALUE"""),45705.0)</f>
        <v>45705</v>
      </c>
      <c r="E2729" s="7" t="str">
        <f>IFERROR(__xludf.DUMMYFUNCTION("""COMPUTED_VALUE"""),"FRANQUIA_D&amp;G_SP")</f>
        <v>FRANQUIA_D&amp;G_SP</v>
      </c>
      <c r="F2729" s="7" t="str">
        <f>IFERROR(__xludf.DUMMYFUNCTION("""COMPUTED_VALUE"""),"MOTORCYCLE")</f>
        <v>MOTORCYCLE</v>
      </c>
      <c r="G2729" s="7" t="str">
        <f>IFERROR(__xludf.DUMMYFUNCTION("""COMPUTED_VALUE"""),"SAO PAULO")</f>
        <v>SAO PAULO</v>
      </c>
    </row>
    <row r="2730">
      <c r="A2730" s="6">
        <f>IFERROR(__xludf.DUMMYFUNCTION("""COMPUTED_VALUE"""),45705.0)</f>
        <v>45705</v>
      </c>
      <c r="B2730" s="7" t="str">
        <f>IFERROR(__xludf.DUMMYFUNCTION("""COMPUTED_VALUE"""),"1e157c46-d32e-4368-b75d-9515a3f293cb")</f>
        <v>1e157c46-d32e-4368-b75d-9515a3f293cb</v>
      </c>
      <c r="C2730" s="7">
        <f>IFERROR(__xludf.DUMMYFUNCTION("""COMPUTED_VALUE"""),0.0)</f>
        <v>0</v>
      </c>
      <c r="D2730" s="6">
        <f>IFERROR(__xludf.DUMMYFUNCTION("""COMPUTED_VALUE"""),45705.0)</f>
        <v>45705</v>
      </c>
      <c r="E2730" s="7" t="str">
        <f>IFERROR(__xludf.DUMMYFUNCTION("""COMPUTED_VALUE"""),"FRANQUIA_D&amp;G_SP")</f>
        <v>FRANQUIA_D&amp;G_SP</v>
      </c>
      <c r="F2730" s="7" t="str">
        <f>IFERROR(__xludf.DUMMYFUNCTION("""COMPUTED_VALUE"""),"BICYCLE")</f>
        <v>BICYCLE</v>
      </c>
      <c r="G2730" s="7" t="str">
        <f>IFERROR(__xludf.DUMMYFUNCTION("""COMPUTED_VALUE"""),"SAO PAULO")</f>
        <v>SAO PAULO</v>
      </c>
    </row>
    <row r="2731">
      <c r="A2731" s="6">
        <f>IFERROR(__xludf.DUMMYFUNCTION("""COMPUTED_VALUE"""),45705.0)</f>
        <v>45705</v>
      </c>
      <c r="B2731" s="7" t="str">
        <f>IFERROR(__xludf.DUMMYFUNCTION("""COMPUTED_VALUE"""),"8974ed16-2c77-44a9-b6bf-78ce3411c27a")</f>
        <v>8974ed16-2c77-44a9-b6bf-78ce3411c27a</v>
      </c>
      <c r="C2731" s="7">
        <f>IFERROR(__xludf.DUMMYFUNCTION("""COMPUTED_VALUE"""),0.0)</f>
        <v>0</v>
      </c>
      <c r="D2731" s="6">
        <f>IFERROR(__xludf.DUMMYFUNCTION("""COMPUTED_VALUE"""),45705.0)</f>
        <v>45705</v>
      </c>
      <c r="E2731" s="7" t="str">
        <f>IFERROR(__xludf.DUMMYFUNCTION("""COMPUTED_VALUE"""),"FRANQUIA_D&amp;G_SP")</f>
        <v>FRANQUIA_D&amp;G_SP</v>
      </c>
      <c r="F2731" s="7" t="str">
        <f>IFERROR(__xludf.DUMMYFUNCTION("""COMPUTED_VALUE"""),"MOTORCYCLE")</f>
        <v>MOTORCYCLE</v>
      </c>
      <c r="G2731" s="7" t="str">
        <f>IFERROR(__xludf.DUMMYFUNCTION("""COMPUTED_VALUE"""),"SAO PAULO")</f>
        <v>SAO PAULO</v>
      </c>
    </row>
    <row r="2732">
      <c r="A2732" s="6">
        <f>IFERROR(__xludf.DUMMYFUNCTION("""COMPUTED_VALUE"""),45705.0)</f>
        <v>45705</v>
      </c>
      <c r="B2732" s="7" t="str">
        <f>IFERROR(__xludf.DUMMYFUNCTION("""COMPUTED_VALUE"""),"5f05ff96-9783-4d5b-b16b-8d3f572d81aa")</f>
        <v>5f05ff96-9783-4d5b-b16b-8d3f572d81aa</v>
      </c>
      <c r="C2732" s="7">
        <f>IFERROR(__xludf.DUMMYFUNCTION("""COMPUTED_VALUE"""),86.0)</f>
        <v>86</v>
      </c>
      <c r="D2732" s="6">
        <f>IFERROR(__xludf.DUMMYFUNCTION("""COMPUTED_VALUE"""),45619.0)</f>
        <v>45619</v>
      </c>
      <c r="E2732" s="7" t="str">
        <f>IFERROR(__xludf.DUMMYFUNCTION("""COMPUTED_VALUE"""),"FRANQUIA_D&amp;G_SP")</f>
        <v>FRANQUIA_D&amp;G_SP</v>
      </c>
      <c r="F2732" s="7" t="str">
        <f>IFERROR(__xludf.DUMMYFUNCTION("""COMPUTED_VALUE"""),"MOTORCYCLE")</f>
        <v>MOTORCYCLE</v>
      </c>
      <c r="G2732" s="7" t="str">
        <f>IFERROR(__xludf.DUMMYFUNCTION("""COMPUTED_VALUE"""),"SAO PAULO")</f>
        <v>SAO PAULO</v>
      </c>
    </row>
    <row r="2733">
      <c r="A2733" s="6">
        <f>IFERROR(__xludf.DUMMYFUNCTION("""COMPUTED_VALUE"""),45705.0)</f>
        <v>45705</v>
      </c>
      <c r="B2733" s="7" t="str">
        <f>IFERROR(__xludf.DUMMYFUNCTION("""COMPUTED_VALUE"""),"15a05fb1-bc4a-4982-ac88-9f4af613c9c1")</f>
        <v>15a05fb1-bc4a-4982-ac88-9f4af613c9c1</v>
      </c>
      <c r="C2733" s="7">
        <f>IFERROR(__xludf.DUMMYFUNCTION("""COMPUTED_VALUE"""),1368.0)</f>
        <v>1368</v>
      </c>
      <c r="D2733" s="6">
        <f>IFERROR(__xludf.DUMMYFUNCTION("""COMPUTED_VALUE"""),44337.0)</f>
        <v>44337</v>
      </c>
      <c r="E2733" s="7" t="str">
        <f>IFERROR(__xludf.DUMMYFUNCTION("""COMPUTED_VALUE"""),"FRANQUIA_D&amp;G_SP")</f>
        <v>FRANQUIA_D&amp;G_SP</v>
      </c>
      <c r="F2733" s="7" t="str">
        <f>IFERROR(__xludf.DUMMYFUNCTION("""COMPUTED_VALUE"""),"MOTORCYCLE")</f>
        <v>MOTORCYCLE</v>
      </c>
      <c r="G2733" s="7" t="str">
        <f>IFERROR(__xludf.DUMMYFUNCTION("""COMPUTED_VALUE"""),"SAO PAULO")</f>
        <v>SAO PAULO</v>
      </c>
    </row>
    <row r="2734">
      <c r="A2734" s="6">
        <f>IFERROR(__xludf.DUMMYFUNCTION("""COMPUTED_VALUE"""),45705.0)</f>
        <v>45705</v>
      </c>
      <c r="B2734" s="7" t="str">
        <f>IFERROR(__xludf.DUMMYFUNCTION("""COMPUTED_VALUE"""),"c8f2d187-6fa0-4d9a-b1c3-0e30bf73e06d")</f>
        <v>c8f2d187-6fa0-4d9a-b1c3-0e30bf73e06d</v>
      </c>
      <c r="C2734" s="7">
        <f>IFERROR(__xludf.DUMMYFUNCTION("""COMPUTED_VALUE"""),1.0)</f>
        <v>1</v>
      </c>
      <c r="D2734" s="6">
        <f>IFERROR(__xludf.DUMMYFUNCTION("""COMPUTED_VALUE"""),45704.0)</f>
        <v>45704</v>
      </c>
      <c r="E2734" s="7" t="str">
        <f>IFERROR(__xludf.DUMMYFUNCTION("""COMPUTED_VALUE"""),"FRANQUIA_D&amp;G_SP")</f>
        <v>FRANQUIA_D&amp;G_SP</v>
      </c>
      <c r="F2734" s="7" t="str">
        <f>IFERROR(__xludf.DUMMYFUNCTION("""COMPUTED_VALUE"""),"MOTORCYCLE")</f>
        <v>MOTORCYCLE</v>
      </c>
      <c r="G2734" s="7" t="str">
        <f>IFERROR(__xludf.DUMMYFUNCTION("""COMPUTED_VALUE"""),"SAO PAULO")</f>
        <v>SAO PAULO</v>
      </c>
    </row>
    <row r="2735">
      <c r="A2735" s="6">
        <f>IFERROR(__xludf.DUMMYFUNCTION("""COMPUTED_VALUE"""),45705.0)</f>
        <v>45705</v>
      </c>
      <c r="B2735" s="7" t="str">
        <f>IFERROR(__xludf.DUMMYFUNCTION("""COMPUTED_VALUE"""),"ca60eaef-3614-4df4-bc74-9bd58f2c4ba3")</f>
        <v>ca60eaef-3614-4df4-bc74-9bd58f2c4ba3</v>
      </c>
      <c r="C2735" s="7">
        <f>IFERROR(__xludf.DUMMYFUNCTION("""COMPUTED_VALUE"""),2.0)</f>
        <v>2</v>
      </c>
      <c r="D2735" s="6">
        <f>IFERROR(__xludf.DUMMYFUNCTION("""COMPUTED_VALUE"""),45703.0)</f>
        <v>45703</v>
      </c>
      <c r="E2735" s="7" t="str">
        <f>IFERROR(__xludf.DUMMYFUNCTION("""COMPUTED_VALUE"""),"FRANQUIA_D&amp;G_SP")</f>
        <v>FRANQUIA_D&amp;G_SP</v>
      </c>
      <c r="F2735" s="7" t="str">
        <f>IFERROR(__xludf.DUMMYFUNCTION("""COMPUTED_VALUE"""),"BICYCLE")</f>
        <v>BICYCLE</v>
      </c>
      <c r="G2735" s="7" t="str">
        <f>IFERROR(__xludf.DUMMYFUNCTION("""COMPUTED_VALUE"""),"SAO PAULO")</f>
        <v>SAO PAULO</v>
      </c>
    </row>
    <row r="2736">
      <c r="A2736" s="6">
        <f>IFERROR(__xludf.DUMMYFUNCTION("""COMPUTED_VALUE"""),45705.0)</f>
        <v>45705</v>
      </c>
      <c r="B2736" s="7" t="str">
        <f>IFERROR(__xludf.DUMMYFUNCTION("""COMPUTED_VALUE"""),"2095f362-8556-4016-b2ab-d98571faa887")</f>
        <v>2095f362-8556-4016-b2ab-d98571faa887</v>
      </c>
      <c r="C2736" s="7">
        <f>IFERROR(__xludf.DUMMYFUNCTION("""COMPUTED_VALUE"""),9.0)</f>
        <v>9</v>
      </c>
      <c r="D2736" s="6">
        <f>IFERROR(__xludf.DUMMYFUNCTION("""COMPUTED_VALUE"""),45696.0)</f>
        <v>45696</v>
      </c>
      <c r="E2736" s="7" t="str">
        <f>IFERROR(__xludf.DUMMYFUNCTION("""COMPUTED_VALUE"""),"FRANQUIA_D&amp;G_SP")</f>
        <v>FRANQUIA_D&amp;G_SP</v>
      </c>
      <c r="F2736" s="7" t="str">
        <f>IFERROR(__xludf.DUMMYFUNCTION("""COMPUTED_VALUE"""),"MOTORCYCLE")</f>
        <v>MOTORCYCLE</v>
      </c>
      <c r="G2736" s="7" t="str">
        <f>IFERROR(__xludf.DUMMYFUNCTION("""COMPUTED_VALUE"""),"SAO PAULO")</f>
        <v>SAO PAULO</v>
      </c>
    </row>
    <row r="2737">
      <c r="A2737" s="6">
        <f>IFERROR(__xludf.DUMMYFUNCTION("""COMPUTED_VALUE"""),45705.0)</f>
        <v>45705</v>
      </c>
      <c r="B2737" s="7" t="str">
        <f>IFERROR(__xludf.DUMMYFUNCTION("""COMPUTED_VALUE"""),"744b74e7-11c9-4dc2-b801-3092f8b6f781")</f>
        <v>744b74e7-11c9-4dc2-b801-3092f8b6f781</v>
      </c>
      <c r="C2737" s="7">
        <f>IFERROR(__xludf.DUMMYFUNCTION("""COMPUTED_VALUE"""),0.0)</f>
        <v>0</v>
      </c>
      <c r="D2737" s="6">
        <f>IFERROR(__xludf.DUMMYFUNCTION("""COMPUTED_VALUE"""),45705.0)</f>
        <v>45705</v>
      </c>
      <c r="E2737" s="7" t="str">
        <f>IFERROR(__xludf.DUMMYFUNCTION("""COMPUTED_VALUE"""),"FRANQUIA_D&amp;G_SP")</f>
        <v>FRANQUIA_D&amp;G_SP</v>
      </c>
      <c r="F2737" s="7" t="str">
        <f>IFERROR(__xludf.DUMMYFUNCTION("""COMPUTED_VALUE"""),"MOTORCYCLE")</f>
        <v>MOTORCYCLE</v>
      </c>
      <c r="G2737" s="7" t="str">
        <f>IFERROR(__xludf.DUMMYFUNCTION("""COMPUTED_VALUE"""),"SAO PAULO")</f>
        <v>SAO PAULO</v>
      </c>
    </row>
    <row r="2738">
      <c r="A2738" s="6">
        <f>IFERROR(__xludf.DUMMYFUNCTION("""COMPUTED_VALUE"""),45705.0)</f>
        <v>45705</v>
      </c>
      <c r="B2738" s="7" t="str">
        <f>IFERROR(__xludf.DUMMYFUNCTION("""COMPUTED_VALUE"""),"d26896ea-b2a0-40f1-b84f-5089de9ca152")</f>
        <v>d26896ea-b2a0-40f1-b84f-5089de9ca152</v>
      </c>
      <c r="C2738" s="7">
        <f>IFERROR(__xludf.DUMMYFUNCTION("""COMPUTED_VALUE"""),5.0)</f>
        <v>5</v>
      </c>
      <c r="D2738" s="6">
        <f>IFERROR(__xludf.DUMMYFUNCTION("""COMPUTED_VALUE"""),45700.0)</f>
        <v>45700</v>
      </c>
      <c r="E2738" s="7" t="str">
        <f>IFERROR(__xludf.DUMMYFUNCTION("""COMPUTED_VALUE"""),"FRANQUIA_D&amp;G_SP")</f>
        <v>FRANQUIA_D&amp;G_SP</v>
      </c>
      <c r="F2738" s="7" t="str">
        <f>IFERROR(__xludf.DUMMYFUNCTION("""COMPUTED_VALUE"""),"MOTORCYCLE")</f>
        <v>MOTORCYCLE</v>
      </c>
      <c r="G2738" s="7" t="str">
        <f>IFERROR(__xludf.DUMMYFUNCTION("""COMPUTED_VALUE"""),"SAO PAULO")</f>
        <v>SAO PAULO</v>
      </c>
    </row>
    <row r="2739">
      <c r="A2739" s="6">
        <f>IFERROR(__xludf.DUMMYFUNCTION("""COMPUTED_VALUE"""),45705.0)</f>
        <v>45705</v>
      </c>
      <c r="B2739" s="7" t="str">
        <f>IFERROR(__xludf.DUMMYFUNCTION("""COMPUTED_VALUE"""),"195ff3d6-acee-4754-a323-0467b7ec93d6")</f>
        <v>195ff3d6-acee-4754-a323-0467b7ec93d6</v>
      </c>
      <c r="C2739" s="7">
        <f>IFERROR(__xludf.DUMMYFUNCTION("""COMPUTED_VALUE"""),113.0)</f>
        <v>113</v>
      </c>
      <c r="D2739" s="6">
        <f>IFERROR(__xludf.DUMMYFUNCTION("""COMPUTED_VALUE"""),45592.0)</f>
        <v>45592</v>
      </c>
      <c r="E2739" s="7" t="str">
        <f>IFERROR(__xludf.DUMMYFUNCTION("""COMPUTED_VALUE"""),"FRANQUIA_D&amp;G_SP")</f>
        <v>FRANQUIA_D&amp;G_SP</v>
      </c>
      <c r="F2739" s="7" t="str">
        <f>IFERROR(__xludf.DUMMYFUNCTION("""COMPUTED_VALUE"""),"MOTORCYCLE")</f>
        <v>MOTORCYCLE</v>
      </c>
      <c r="G2739" s="7" t="str">
        <f>IFERROR(__xludf.DUMMYFUNCTION("""COMPUTED_VALUE"""),"SAO PAULO")</f>
        <v>SAO PAULO</v>
      </c>
    </row>
    <row r="2740">
      <c r="A2740" s="6">
        <f>IFERROR(__xludf.DUMMYFUNCTION("""COMPUTED_VALUE"""),45705.0)</f>
        <v>45705</v>
      </c>
      <c r="B2740" s="7" t="str">
        <f>IFERROR(__xludf.DUMMYFUNCTION("""COMPUTED_VALUE"""),"cb920dfc-03a8-45cd-ba0d-e5d82112f17e")</f>
        <v>cb920dfc-03a8-45cd-ba0d-e5d82112f17e</v>
      </c>
      <c r="C2740" s="7">
        <f>IFERROR(__xludf.DUMMYFUNCTION("""COMPUTED_VALUE"""),59.0)</f>
        <v>59</v>
      </c>
      <c r="D2740" s="6">
        <f>IFERROR(__xludf.DUMMYFUNCTION("""COMPUTED_VALUE"""),45646.0)</f>
        <v>45646</v>
      </c>
      <c r="E2740" s="7" t="str">
        <f>IFERROR(__xludf.DUMMYFUNCTION("""COMPUTED_VALUE"""),"FRANQUIA_D&amp;G_SP")</f>
        <v>FRANQUIA_D&amp;G_SP</v>
      </c>
      <c r="F2740" s="7" t="str">
        <f>IFERROR(__xludf.DUMMYFUNCTION("""COMPUTED_VALUE"""),"MOTORCYCLE")</f>
        <v>MOTORCYCLE</v>
      </c>
      <c r="G2740" s="7" t="str">
        <f>IFERROR(__xludf.DUMMYFUNCTION("""COMPUTED_VALUE"""),"SAO PAULO")</f>
        <v>SAO PAULO</v>
      </c>
    </row>
    <row r="2741">
      <c r="A2741" s="6">
        <f>IFERROR(__xludf.DUMMYFUNCTION("""COMPUTED_VALUE"""),45705.0)</f>
        <v>45705</v>
      </c>
      <c r="B2741" s="7" t="str">
        <f>IFERROR(__xludf.DUMMYFUNCTION("""COMPUTED_VALUE"""),"7cc46b20-c726-4b01-a83b-35e855bf3f4e")</f>
        <v>7cc46b20-c726-4b01-a83b-35e855bf3f4e</v>
      </c>
      <c r="C2741" s="7">
        <f>IFERROR(__xludf.DUMMYFUNCTION("""COMPUTED_VALUE"""),0.0)</f>
        <v>0</v>
      </c>
      <c r="D2741" s="6">
        <f>IFERROR(__xludf.DUMMYFUNCTION("""COMPUTED_VALUE"""),45705.0)</f>
        <v>45705</v>
      </c>
      <c r="E2741" s="7" t="str">
        <f>IFERROR(__xludf.DUMMYFUNCTION("""COMPUTED_VALUE"""),"FRANQUIA_D&amp;G_SP")</f>
        <v>FRANQUIA_D&amp;G_SP</v>
      </c>
      <c r="F2741" s="7" t="str">
        <f>IFERROR(__xludf.DUMMYFUNCTION("""COMPUTED_VALUE"""),"MOTORCYCLE")</f>
        <v>MOTORCYCLE</v>
      </c>
      <c r="G2741" s="7" t="str">
        <f>IFERROR(__xludf.DUMMYFUNCTION("""COMPUTED_VALUE"""),"SAO PAULO")</f>
        <v>SAO PAULO</v>
      </c>
    </row>
    <row r="2742">
      <c r="A2742" s="6">
        <f>IFERROR(__xludf.DUMMYFUNCTION("""COMPUTED_VALUE"""),45705.0)</f>
        <v>45705</v>
      </c>
      <c r="B2742" s="7" t="str">
        <f>IFERROR(__xludf.DUMMYFUNCTION("""COMPUTED_VALUE"""),"dcd1f237-c3c7-4de5-a01c-3b65666ebbdf")</f>
        <v>dcd1f237-c3c7-4de5-a01c-3b65666ebbdf</v>
      </c>
      <c r="C2742" s="7">
        <f>IFERROR(__xludf.DUMMYFUNCTION("""COMPUTED_VALUE"""),1.0)</f>
        <v>1</v>
      </c>
      <c r="D2742" s="6">
        <f>IFERROR(__xludf.DUMMYFUNCTION("""COMPUTED_VALUE"""),45704.0)</f>
        <v>45704</v>
      </c>
      <c r="E2742" s="7" t="str">
        <f>IFERROR(__xludf.DUMMYFUNCTION("""COMPUTED_VALUE"""),"FRANQUIA_D&amp;G_SP")</f>
        <v>FRANQUIA_D&amp;G_SP</v>
      </c>
      <c r="F2742" s="7" t="str">
        <f>IFERROR(__xludf.DUMMYFUNCTION("""COMPUTED_VALUE"""),"BICYCLE")</f>
        <v>BICYCLE</v>
      </c>
      <c r="G2742" s="7" t="str">
        <f>IFERROR(__xludf.DUMMYFUNCTION("""COMPUTED_VALUE"""),"SAO PAULO")</f>
        <v>SAO PAULO</v>
      </c>
    </row>
    <row r="2743">
      <c r="A2743" s="6">
        <f>IFERROR(__xludf.DUMMYFUNCTION("""COMPUTED_VALUE"""),45705.0)</f>
        <v>45705</v>
      </c>
      <c r="B2743" s="7" t="str">
        <f>IFERROR(__xludf.DUMMYFUNCTION("""COMPUTED_VALUE"""),"495bfbf5-30f6-4a8d-930c-ec69ba43898d")</f>
        <v>495bfbf5-30f6-4a8d-930c-ec69ba43898d</v>
      </c>
      <c r="C2743" s="7">
        <f>IFERROR(__xludf.DUMMYFUNCTION("""COMPUTED_VALUE"""),309.0)</f>
        <v>309</v>
      </c>
      <c r="D2743" s="6">
        <f>IFERROR(__xludf.DUMMYFUNCTION("""COMPUTED_VALUE"""),45396.0)</f>
        <v>45396</v>
      </c>
      <c r="E2743" s="7" t="str">
        <f>IFERROR(__xludf.DUMMYFUNCTION("""COMPUTED_VALUE"""),"FRANQUIA_D&amp;G_SP")</f>
        <v>FRANQUIA_D&amp;G_SP</v>
      </c>
      <c r="F2743" s="7" t="str">
        <f>IFERROR(__xludf.DUMMYFUNCTION("""COMPUTED_VALUE"""),"BICYCLE")</f>
        <v>BICYCLE</v>
      </c>
      <c r="G2743" s="7" t="str">
        <f>IFERROR(__xludf.DUMMYFUNCTION("""COMPUTED_VALUE"""),"SAO PAULO")</f>
        <v>SAO PAULO</v>
      </c>
    </row>
    <row r="2744">
      <c r="A2744" s="6">
        <f>IFERROR(__xludf.DUMMYFUNCTION("""COMPUTED_VALUE"""),45705.0)</f>
        <v>45705</v>
      </c>
      <c r="B2744" s="7" t="str">
        <f>IFERROR(__xludf.DUMMYFUNCTION("""COMPUTED_VALUE"""),"a2ca67b7-f7b4-465a-856d-b1f1d94fb7a5")</f>
        <v>a2ca67b7-f7b4-465a-856d-b1f1d94fb7a5</v>
      </c>
      <c r="C2744" s="7">
        <f>IFERROR(__xludf.DUMMYFUNCTION("""COMPUTED_VALUE"""),0.0)</f>
        <v>0</v>
      </c>
      <c r="D2744" s="6">
        <f>IFERROR(__xludf.DUMMYFUNCTION("""COMPUTED_VALUE"""),0.0)</f>
        <v>0</v>
      </c>
      <c r="E2744" s="7" t="str">
        <f>IFERROR(__xludf.DUMMYFUNCTION("""COMPUTED_VALUE"""),"FRANQUIA_D&amp;G_SP")</f>
        <v>FRANQUIA_D&amp;G_SP</v>
      </c>
      <c r="F2744" s="7" t="str">
        <f>IFERROR(__xludf.DUMMYFUNCTION("""COMPUTED_VALUE"""),"MOTO_B")</f>
        <v>MOTO_B</v>
      </c>
      <c r="G2744" s="7" t="str">
        <f>IFERROR(__xludf.DUMMYFUNCTION("""COMPUTED_VALUE"""),"0")</f>
        <v>0</v>
      </c>
    </row>
    <row r="2745">
      <c r="A2745" s="6">
        <f>IFERROR(__xludf.DUMMYFUNCTION("""COMPUTED_VALUE"""),45705.0)</f>
        <v>45705</v>
      </c>
      <c r="B2745" s="7" t="str">
        <f>IFERROR(__xludf.DUMMYFUNCTION("""COMPUTED_VALUE"""),"51b58a82-eb9e-4162-a22d-c50abaef3d0a")</f>
        <v>51b58a82-eb9e-4162-a22d-c50abaef3d0a</v>
      </c>
      <c r="C2745" s="7">
        <f>IFERROR(__xludf.DUMMYFUNCTION("""COMPUTED_VALUE"""),0.0)</f>
        <v>0</v>
      </c>
      <c r="D2745" s="6">
        <f>IFERROR(__xludf.DUMMYFUNCTION("""COMPUTED_VALUE"""),45705.0)</f>
        <v>45705</v>
      </c>
      <c r="E2745" s="7" t="str">
        <f>IFERROR(__xludf.DUMMYFUNCTION("""COMPUTED_VALUE"""),"FRANQUIA_D&amp;G_SP")</f>
        <v>FRANQUIA_D&amp;G_SP</v>
      </c>
      <c r="F2745" s="7" t="str">
        <f>IFERROR(__xludf.DUMMYFUNCTION("""COMPUTED_VALUE"""),"BICYCLE")</f>
        <v>BICYCLE</v>
      </c>
      <c r="G2745" s="7" t="str">
        <f>IFERROR(__xludf.DUMMYFUNCTION("""COMPUTED_VALUE"""),"SAO PAULO")</f>
        <v>SAO PAULO</v>
      </c>
    </row>
    <row r="2746">
      <c r="A2746" s="6">
        <f>IFERROR(__xludf.DUMMYFUNCTION("""COMPUTED_VALUE"""),45705.0)</f>
        <v>45705</v>
      </c>
      <c r="B2746" s="7" t="str">
        <f>IFERROR(__xludf.DUMMYFUNCTION("""COMPUTED_VALUE"""),"66ce0d96-1940-43f1-a11a-1066d3b69f61")</f>
        <v>66ce0d96-1940-43f1-a11a-1066d3b69f61</v>
      </c>
      <c r="C2746" s="7">
        <f>IFERROR(__xludf.DUMMYFUNCTION("""COMPUTED_VALUE"""),3.0)</f>
        <v>3</v>
      </c>
      <c r="D2746" s="6">
        <f>IFERROR(__xludf.DUMMYFUNCTION("""COMPUTED_VALUE"""),45702.0)</f>
        <v>45702</v>
      </c>
      <c r="E2746" s="7" t="str">
        <f>IFERROR(__xludf.DUMMYFUNCTION("""COMPUTED_VALUE"""),"FRANQUIA_D&amp;G_SP")</f>
        <v>FRANQUIA_D&amp;G_SP</v>
      </c>
      <c r="F2746" s="7" t="str">
        <f>IFERROR(__xludf.DUMMYFUNCTION("""COMPUTED_VALUE"""),"MOTORCYCLE")</f>
        <v>MOTORCYCLE</v>
      </c>
      <c r="G2746" s="7" t="str">
        <f>IFERROR(__xludf.DUMMYFUNCTION("""COMPUTED_VALUE"""),"SAO PAULO")</f>
        <v>SAO PAULO</v>
      </c>
    </row>
    <row r="2747">
      <c r="A2747" s="6">
        <f>IFERROR(__xludf.DUMMYFUNCTION("""COMPUTED_VALUE"""),45705.0)</f>
        <v>45705</v>
      </c>
      <c r="B2747" s="7" t="str">
        <f>IFERROR(__xludf.DUMMYFUNCTION("""COMPUTED_VALUE"""),"372d4ca6-24ba-4cf1-b339-2775d35bb44c")</f>
        <v>372d4ca6-24ba-4cf1-b339-2775d35bb44c</v>
      </c>
      <c r="C2747" s="7">
        <f>IFERROR(__xludf.DUMMYFUNCTION("""COMPUTED_VALUE"""),0.0)</f>
        <v>0</v>
      </c>
      <c r="D2747" s="6">
        <f>IFERROR(__xludf.DUMMYFUNCTION("""COMPUTED_VALUE"""),45705.0)</f>
        <v>45705</v>
      </c>
      <c r="E2747" s="7" t="str">
        <f>IFERROR(__xludf.DUMMYFUNCTION("""COMPUTED_VALUE"""),"FRANQUIA_D&amp;G_SP")</f>
        <v>FRANQUIA_D&amp;G_SP</v>
      </c>
      <c r="F2747" s="7" t="str">
        <f>IFERROR(__xludf.DUMMYFUNCTION("""COMPUTED_VALUE"""),"MOTORCYCLE")</f>
        <v>MOTORCYCLE</v>
      </c>
      <c r="G2747" s="7" t="str">
        <f>IFERROR(__xludf.DUMMYFUNCTION("""COMPUTED_VALUE"""),"SAO PAULO")</f>
        <v>SAO PAULO</v>
      </c>
    </row>
    <row r="2748">
      <c r="A2748" s="6">
        <f>IFERROR(__xludf.DUMMYFUNCTION("""COMPUTED_VALUE"""),45705.0)</f>
        <v>45705</v>
      </c>
      <c r="B2748" s="7" t="str">
        <f>IFERROR(__xludf.DUMMYFUNCTION("""COMPUTED_VALUE"""),"f3e0ef53-763f-4a2a-899d-c88d45f5ace3")</f>
        <v>f3e0ef53-763f-4a2a-899d-c88d45f5ace3</v>
      </c>
      <c r="C2748" s="7">
        <f>IFERROR(__xludf.DUMMYFUNCTION("""COMPUTED_VALUE"""),205.0)</f>
        <v>205</v>
      </c>
      <c r="D2748" s="6">
        <f>IFERROR(__xludf.DUMMYFUNCTION("""COMPUTED_VALUE"""),45500.0)</f>
        <v>45500</v>
      </c>
      <c r="E2748" s="7" t="str">
        <f>IFERROR(__xludf.DUMMYFUNCTION("""COMPUTED_VALUE"""),"FRANQUIA_D&amp;G_SP")</f>
        <v>FRANQUIA_D&amp;G_SP</v>
      </c>
      <c r="F2748" s="7" t="str">
        <f>IFERROR(__xludf.DUMMYFUNCTION("""COMPUTED_VALUE"""),"BICYCLE")</f>
        <v>BICYCLE</v>
      </c>
      <c r="G2748" s="7" t="str">
        <f>IFERROR(__xludf.DUMMYFUNCTION("""COMPUTED_VALUE"""),"SAO PAULO")</f>
        <v>SAO PAULO</v>
      </c>
    </row>
    <row r="2749">
      <c r="A2749" s="6">
        <f>IFERROR(__xludf.DUMMYFUNCTION("""COMPUTED_VALUE"""),45705.0)</f>
        <v>45705</v>
      </c>
      <c r="B2749" s="7" t="str">
        <f>IFERROR(__xludf.DUMMYFUNCTION("""COMPUTED_VALUE"""),"526c9218-7ea8-47cb-aa84-afd641a1097d")</f>
        <v>526c9218-7ea8-47cb-aa84-afd641a1097d</v>
      </c>
      <c r="C2749" s="7">
        <f>IFERROR(__xludf.DUMMYFUNCTION("""COMPUTED_VALUE"""),0.0)</f>
        <v>0</v>
      </c>
      <c r="D2749" s="6">
        <f>IFERROR(__xludf.DUMMYFUNCTION("""COMPUTED_VALUE"""),45705.0)</f>
        <v>45705</v>
      </c>
      <c r="E2749" s="7" t="str">
        <f>IFERROR(__xludf.DUMMYFUNCTION("""COMPUTED_VALUE"""),"FRANQUIA_D&amp;G_SP")</f>
        <v>FRANQUIA_D&amp;G_SP</v>
      </c>
      <c r="F2749" s="7" t="str">
        <f>IFERROR(__xludf.DUMMYFUNCTION("""COMPUTED_VALUE"""),"MOTORCYCLE")</f>
        <v>MOTORCYCLE</v>
      </c>
      <c r="G2749" s="7" t="str">
        <f>IFERROR(__xludf.DUMMYFUNCTION("""COMPUTED_VALUE"""),"RECIFE")</f>
        <v>RECIFE</v>
      </c>
    </row>
    <row r="2750">
      <c r="A2750" s="6">
        <f>IFERROR(__xludf.DUMMYFUNCTION("""COMPUTED_VALUE"""),45705.0)</f>
        <v>45705</v>
      </c>
      <c r="B2750" s="7" t="str">
        <f>IFERROR(__xludf.DUMMYFUNCTION("""COMPUTED_VALUE"""),"24b480ca-b8dd-4ba7-b56e-b3e86e4ef93e")</f>
        <v>24b480ca-b8dd-4ba7-b56e-b3e86e4ef93e</v>
      </c>
      <c r="C2750" s="7">
        <f>IFERROR(__xludf.DUMMYFUNCTION("""COMPUTED_VALUE"""),773.0)</f>
        <v>773</v>
      </c>
      <c r="D2750" s="6">
        <f>IFERROR(__xludf.DUMMYFUNCTION("""COMPUTED_VALUE"""),44932.0)</f>
        <v>44932</v>
      </c>
      <c r="E2750" s="7" t="str">
        <f>IFERROR(__xludf.DUMMYFUNCTION("""COMPUTED_VALUE"""),"FRANQUIA_D&amp;G_SP")</f>
        <v>FRANQUIA_D&amp;G_SP</v>
      </c>
      <c r="F2750" s="7" t="str">
        <f>IFERROR(__xludf.DUMMYFUNCTION("""COMPUTED_VALUE"""),"MOTORCYCLE")</f>
        <v>MOTORCYCLE</v>
      </c>
      <c r="G2750" s="7" t="str">
        <f>IFERROR(__xludf.DUMMYFUNCTION("""COMPUTED_VALUE"""),"SAO PAULO")</f>
        <v>SAO PAULO</v>
      </c>
    </row>
    <row r="2751">
      <c r="A2751" s="6">
        <f>IFERROR(__xludf.DUMMYFUNCTION("""COMPUTED_VALUE"""),45705.0)</f>
        <v>45705</v>
      </c>
      <c r="B2751" s="7" t="str">
        <f>IFERROR(__xludf.DUMMYFUNCTION("""COMPUTED_VALUE"""),"1df3d375-cf58-4e34-a85a-777be0518b71")</f>
        <v>1df3d375-cf58-4e34-a85a-777be0518b71</v>
      </c>
      <c r="C2751" s="7">
        <f>IFERROR(__xludf.DUMMYFUNCTION("""COMPUTED_VALUE"""),0.0)</f>
        <v>0</v>
      </c>
      <c r="D2751" s="6">
        <f>IFERROR(__xludf.DUMMYFUNCTION("""COMPUTED_VALUE"""),45705.0)</f>
        <v>45705</v>
      </c>
      <c r="E2751" s="7" t="str">
        <f>IFERROR(__xludf.DUMMYFUNCTION("""COMPUTED_VALUE"""),"FRANQUIA_D&amp;G_SP")</f>
        <v>FRANQUIA_D&amp;G_SP</v>
      </c>
      <c r="F2751" s="7" t="str">
        <f>IFERROR(__xludf.DUMMYFUNCTION("""COMPUTED_VALUE"""),"MOTORCYCLE")</f>
        <v>MOTORCYCLE</v>
      </c>
      <c r="G2751" s="7" t="str">
        <f>IFERROR(__xludf.DUMMYFUNCTION("""COMPUTED_VALUE"""),"SAO PAULO")</f>
        <v>SAO PAULO</v>
      </c>
    </row>
    <row r="2752">
      <c r="A2752" s="6">
        <f>IFERROR(__xludf.DUMMYFUNCTION("""COMPUTED_VALUE"""),45705.0)</f>
        <v>45705</v>
      </c>
      <c r="B2752" s="7" t="str">
        <f>IFERROR(__xludf.DUMMYFUNCTION("""COMPUTED_VALUE"""),"d9a7b3af-0063-4e4d-85b6-41b7bea4662d")</f>
        <v>d9a7b3af-0063-4e4d-85b6-41b7bea4662d</v>
      </c>
      <c r="C2752" s="7">
        <f>IFERROR(__xludf.DUMMYFUNCTION("""COMPUTED_VALUE"""),2.0)</f>
        <v>2</v>
      </c>
      <c r="D2752" s="6">
        <f>IFERROR(__xludf.DUMMYFUNCTION("""COMPUTED_VALUE"""),45703.0)</f>
        <v>45703</v>
      </c>
      <c r="E2752" s="7" t="str">
        <f>IFERROR(__xludf.DUMMYFUNCTION("""COMPUTED_VALUE"""),"FRANQUIA_D&amp;G_SP")</f>
        <v>FRANQUIA_D&amp;G_SP</v>
      </c>
      <c r="F2752" s="7" t="str">
        <f>IFERROR(__xludf.DUMMYFUNCTION("""COMPUTED_VALUE"""),"MOTORCYCLE")</f>
        <v>MOTORCYCLE</v>
      </c>
      <c r="G2752" s="7" t="str">
        <f>IFERROR(__xludf.DUMMYFUNCTION("""COMPUTED_VALUE"""),"SAO PAULO")</f>
        <v>SAO PAULO</v>
      </c>
    </row>
    <row r="2753">
      <c r="A2753" s="6">
        <f>IFERROR(__xludf.DUMMYFUNCTION("""COMPUTED_VALUE"""),45705.0)</f>
        <v>45705</v>
      </c>
      <c r="B2753" s="7" t="str">
        <f>IFERROR(__xludf.DUMMYFUNCTION("""COMPUTED_VALUE"""),"306b7af3-49ec-4d34-8593-babead5c7654")</f>
        <v>306b7af3-49ec-4d34-8593-babead5c7654</v>
      </c>
      <c r="C2753" s="7">
        <f>IFERROR(__xludf.DUMMYFUNCTION("""COMPUTED_VALUE"""),0.0)</f>
        <v>0</v>
      </c>
      <c r="D2753" s="6">
        <f>IFERROR(__xludf.DUMMYFUNCTION("""COMPUTED_VALUE"""),0.0)</f>
        <v>0</v>
      </c>
      <c r="E2753" s="7" t="str">
        <f>IFERROR(__xludf.DUMMYFUNCTION("""COMPUTED_VALUE"""),"FRANQUIA_D&amp;G_SP")</f>
        <v>FRANQUIA_D&amp;G_SP</v>
      </c>
      <c r="F2753" s="7" t="str">
        <f>IFERROR(__xludf.DUMMYFUNCTION("""COMPUTED_VALUE"""),"MOTORCYCLE")</f>
        <v>MOTORCYCLE</v>
      </c>
      <c r="G2753" s="7" t="str">
        <f>IFERROR(__xludf.DUMMYFUNCTION("""COMPUTED_VALUE"""),"0")</f>
        <v>0</v>
      </c>
    </row>
    <row r="2754">
      <c r="A2754" s="6">
        <f>IFERROR(__xludf.DUMMYFUNCTION("""COMPUTED_VALUE"""),45705.0)</f>
        <v>45705</v>
      </c>
      <c r="B2754" s="7" t="str">
        <f>IFERROR(__xludf.DUMMYFUNCTION("""COMPUTED_VALUE"""),"a5c2d5cc-a3ec-49d7-ae49-90c56a9a5343")</f>
        <v>a5c2d5cc-a3ec-49d7-ae49-90c56a9a5343</v>
      </c>
      <c r="C2754" s="7">
        <f>IFERROR(__xludf.DUMMYFUNCTION("""COMPUTED_VALUE"""),540.0)</f>
        <v>540</v>
      </c>
      <c r="D2754" s="6">
        <f>IFERROR(__xludf.DUMMYFUNCTION("""COMPUTED_VALUE"""),45165.0)</f>
        <v>45165</v>
      </c>
      <c r="E2754" s="7" t="str">
        <f>IFERROR(__xludf.DUMMYFUNCTION("""COMPUTED_VALUE"""),"FRANQUIA_D&amp;G_SP")</f>
        <v>FRANQUIA_D&amp;G_SP</v>
      </c>
      <c r="F2754" s="7" t="str">
        <f>IFERROR(__xludf.DUMMYFUNCTION("""COMPUTED_VALUE"""),"MOTORCYCLE")</f>
        <v>MOTORCYCLE</v>
      </c>
      <c r="G2754" s="7" t="str">
        <f>IFERROR(__xludf.DUMMYFUNCTION("""COMPUTED_VALUE"""),"OSASCO")</f>
        <v>OSASCO</v>
      </c>
    </row>
    <row r="2755">
      <c r="A2755" s="6">
        <f>IFERROR(__xludf.DUMMYFUNCTION("""COMPUTED_VALUE"""),45705.0)</f>
        <v>45705</v>
      </c>
      <c r="B2755" s="7" t="str">
        <f>IFERROR(__xludf.DUMMYFUNCTION("""COMPUTED_VALUE"""),"d1b8205c-360c-47e9-b380-6594de107478")</f>
        <v>d1b8205c-360c-47e9-b380-6594de107478</v>
      </c>
      <c r="C2755" s="7">
        <f>IFERROR(__xludf.DUMMYFUNCTION("""COMPUTED_VALUE"""),0.0)</f>
        <v>0</v>
      </c>
      <c r="D2755" s="6">
        <f>IFERROR(__xludf.DUMMYFUNCTION("""COMPUTED_VALUE"""),45705.0)</f>
        <v>45705</v>
      </c>
      <c r="E2755" s="7" t="str">
        <f>IFERROR(__xludf.DUMMYFUNCTION("""COMPUTED_VALUE"""),"FRANQUIA_D&amp;G_SP")</f>
        <v>FRANQUIA_D&amp;G_SP</v>
      </c>
      <c r="F2755" s="7" t="str">
        <f>IFERROR(__xludf.DUMMYFUNCTION("""COMPUTED_VALUE"""),"MOTORCYCLE")</f>
        <v>MOTORCYCLE</v>
      </c>
      <c r="G2755" s="7" t="str">
        <f>IFERROR(__xludf.DUMMYFUNCTION("""COMPUTED_VALUE"""),"SAO PAULO")</f>
        <v>SAO PAULO</v>
      </c>
    </row>
    <row r="2756">
      <c r="A2756" s="6">
        <f>IFERROR(__xludf.DUMMYFUNCTION("""COMPUTED_VALUE"""),45705.0)</f>
        <v>45705</v>
      </c>
      <c r="B2756" s="7" t="str">
        <f>IFERROR(__xludf.DUMMYFUNCTION("""COMPUTED_VALUE"""),"58b273a2-936c-4ffc-8649-a48fa91df80d")</f>
        <v>58b273a2-936c-4ffc-8649-a48fa91df80d</v>
      </c>
      <c r="C2756" s="7">
        <f>IFERROR(__xludf.DUMMYFUNCTION("""COMPUTED_VALUE"""),20.0)</f>
        <v>20</v>
      </c>
      <c r="D2756" s="6">
        <f>IFERROR(__xludf.DUMMYFUNCTION("""COMPUTED_VALUE"""),45685.0)</f>
        <v>45685</v>
      </c>
      <c r="E2756" s="7" t="str">
        <f>IFERROR(__xludf.DUMMYFUNCTION("""COMPUTED_VALUE"""),"FRANQUIA_D&amp;G_SP")</f>
        <v>FRANQUIA_D&amp;G_SP</v>
      </c>
      <c r="F2756" s="7" t="str">
        <f>IFERROR(__xludf.DUMMYFUNCTION("""COMPUTED_VALUE"""),"MOTORCYCLE")</f>
        <v>MOTORCYCLE</v>
      </c>
      <c r="G2756" s="7" t="str">
        <f>IFERROR(__xludf.DUMMYFUNCTION("""COMPUTED_VALUE"""),"SAO PAULO")</f>
        <v>SAO PAULO</v>
      </c>
    </row>
    <row r="2757">
      <c r="A2757" s="6">
        <f>IFERROR(__xludf.DUMMYFUNCTION("""COMPUTED_VALUE"""),45705.0)</f>
        <v>45705</v>
      </c>
      <c r="B2757" s="7" t="str">
        <f>IFERROR(__xludf.DUMMYFUNCTION("""COMPUTED_VALUE"""),"1617e105-586f-4d43-bdbc-508e47d2c170")</f>
        <v>1617e105-586f-4d43-bdbc-508e47d2c170</v>
      </c>
      <c r="C2757" s="7">
        <f>IFERROR(__xludf.DUMMYFUNCTION("""COMPUTED_VALUE"""),5.0)</f>
        <v>5</v>
      </c>
      <c r="D2757" s="6">
        <f>IFERROR(__xludf.DUMMYFUNCTION("""COMPUTED_VALUE"""),45700.0)</f>
        <v>45700</v>
      </c>
      <c r="E2757" s="7" t="str">
        <f>IFERROR(__xludf.DUMMYFUNCTION("""COMPUTED_VALUE"""),"FRANQUIA_D&amp;G_SP")</f>
        <v>FRANQUIA_D&amp;G_SP</v>
      </c>
      <c r="F2757" s="7" t="str">
        <f>IFERROR(__xludf.DUMMYFUNCTION("""COMPUTED_VALUE"""),"BICYCLE")</f>
        <v>BICYCLE</v>
      </c>
      <c r="G2757" s="7" t="str">
        <f>IFERROR(__xludf.DUMMYFUNCTION("""COMPUTED_VALUE"""),"SAO PAULO")</f>
        <v>SAO PAULO</v>
      </c>
    </row>
    <row r="2758">
      <c r="A2758" s="6">
        <f>IFERROR(__xludf.DUMMYFUNCTION("""COMPUTED_VALUE"""),45705.0)</f>
        <v>45705</v>
      </c>
      <c r="B2758" s="7" t="str">
        <f>IFERROR(__xludf.DUMMYFUNCTION("""COMPUTED_VALUE"""),"b3d25c4f-37c9-4f1e-a385-64902a5c4f05")</f>
        <v>b3d25c4f-37c9-4f1e-a385-64902a5c4f05</v>
      </c>
      <c r="C2758" s="7">
        <f>IFERROR(__xludf.DUMMYFUNCTION("""COMPUTED_VALUE"""),10.0)</f>
        <v>10</v>
      </c>
      <c r="D2758" s="6">
        <f>IFERROR(__xludf.DUMMYFUNCTION("""COMPUTED_VALUE"""),45695.0)</f>
        <v>45695</v>
      </c>
      <c r="E2758" s="7" t="str">
        <f>IFERROR(__xludf.DUMMYFUNCTION("""COMPUTED_VALUE"""),"FRANQUIA_D&amp;G_SP")</f>
        <v>FRANQUIA_D&amp;G_SP</v>
      </c>
      <c r="F2758" s="7" t="str">
        <f>IFERROR(__xludf.DUMMYFUNCTION("""COMPUTED_VALUE"""),"MOTORCYCLE")</f>
        <v>MOTORCYCLE</v>
      </c>
      <c r="G2758" s="7" t="str">
        <f>IFERROR(__xludf.DUMMYFUNCTION("""COMPUTED_VALUE"""),"SAO PAULO")</f>
        <v>SAO PAULO</v>
      </c>
    </row>
    <row r="2759">
      <c r="A2759" s="6">
        <f>IFERROR(__xludf.DUMMYFUNCTION("""COMPUTED_VALUE"""),45705.0)</f>
        <v>45705</v>
      </c>
      <c r="B2759" s="7" t="str">
        <f>IFERROR(__xludf.DUMMYFUNCTION("""COMPUTED_VALUE"""),"c42f42aa-a90d-4877-ba0b-28e476f8319c")</f>
        <v>c42f42aa-a90d-4877-ba0b-28e476f8319c</v>
      </c>
      <c r="C2759" s="7">
        <f>IFERROR(__xludf.DUMMYFUNCTION("""COMPUTED_VALUE"""),0.0)</f>
        <v>0</v>
      </c>
      <c r="D2759" s="6">
        <f>IFERROR(__xludf.DUMMYFUNCTION("""COMPUTED_VALUE"""),0.0)</f>
        <v>0</v>
      </c>
      <c r="E2759" s="7" t="str">
        <f>IFERROR(__xludf.DUMMYFUNCTION("""COMPUTED_VALUE"""),"FRANQUIA_D&amp;G_SP")</f>
        <v>FRANQUIA_D&amp;G_SP</v>
      </c>
      <c r="F2759" s="7" t="str">
        <f>IFERROR(__xludf.DUMMYFUNCTION("""COMPUTED_VALUE"""),"BICYCLE")</f>
        <v>BICYCLE</v>
      </c>
      <c r="G2759" s="7" t="str">
        <f>IFERROR(__xludf.DUMMYFUNCTION("""COMPUTED_VALUE"""),"0")</f>
        <v>0</v>
      </c>
    </row>
    <row r="2760">
      <c r="A2760" s="6">
        <f>IFERROR(__xludf.DUMMYFUNCTION("""COMPUTED_VALUE"""),45705.0)</f>
        <v>45705</v>
      </c>
      <c r="B2760" s="7" t="str">
        <f>IFERROR(__xludf.DUMMYFUNCTION("""COMPUTED_VALUE"""),"01747126-0805-4f19-84c6-cce02322ef7d")</f>
        <v>01747126-0805-4f19-84c6-cce02322ef7d</v>
      </c>
      <c r="C2760" s="7">
        <f>IFERROR(__xludf.DUMMYFUNCTION("""COMPUTED_VALUE"""),0.0)</f>
        <v>0</v>
      </c>
      <c r="D2760" s="6">
        <f>IFERROR(__xludf.DUMMYFUNCTION("""COMPUTED_VALUE"""),45705.0)</f>
        <v>45705</v>
      </c>
      <c r="E2760" s="7" t="str">
        <f>IFERROR(__xludf.DUMMYFUNCTION("""COMPUTED_VALUE"""),"FRANQUIA_D&amp;G_SP")</f>
        <v>FRANQUIA_D&amp;G_SP</v>
      </c>
      <c r="F2760" s="7" t="str">
        <f>IFERROR(__xludf.DUMMYFUNCTION("""COMPUTED_VALUE"""),"BICYCLE")</f>
        <v>BICYCLE</v>
      </c>
      <c r="G2760" s="7" t="str">
        <f>IFERROR(__xludf.DUMMYFUNCTION("""COMPUTED_VALUE"""),"SAO PAULO")</f>
        <v>SAO PAULO</v>
      </c>
    </row>
    <row r="2761">
      <c r="A2761" s="6">
        <f>IFERROR(__xludf.DUMMYFUNCTION("""COMPUTED_VALUE"""),45705.0)</f>
        <v>45705</v>
      </c>
      <c r="B2761" s="7" t="str">
        <f>IFERROR(__xludf.DUMMYFUNCTION("""COMPUTED_VALUE"""),"0a643d93-b252-41d0-ae6c-674c0ba0190d")</f>
        <v>0a643d93-b252-41d0-ae6c-674c0ba0190d</v>
      </c>
      <c r="C2761" s="7">
        <f>IFERROR(__xludf.DUMMYFUNCTION("""COMPUTED_VALUE"""),42.0)</f>
        <v>42</v>
      </c>
      <c r="D2761" s="6">
        <f>IFERROR(__xludf.DUMMYFUNCTION("""COMPUTED_VALUE"""),45663.0)</f>
        <v>45663</v>
      </c>
      <c r="E2761" s="7" t="str">
        <f>IFERROR(__xludf.DUMMYFUNCTION("""COMPUTED_VALUE"""),"FRANQUIA_D&amp;G_SP")</f>
        <v>FRANQUIA_D&amp;G_SP</v>
      </c>
      <c r="F2761" s="7" t="str">
        <f>IFERROR(__xludf.DUMMYFUNCTION("""COMPUTED_VALUE"""),"BICYCLE")</f>
        <v>BICYCLE</v>
      </c>
      <c r="G2761" s="7" t="str">
        <f>IFERROR(__xludf.DUMMYFUNCTION("""COMPUTED_VALUE"""),"SAO PAULO")</f>
        <v>SAO PAULO</v>
      </c>
    </row>
    <row r="2762">
      <c r="A2762" s="6">
        <f>IFERROR(__xludf.DUMMYFUNCTION("""COMPUTED_VALUE"""),45705.0)</f>
        <v>45705</v>
      </c>
      <c r="B2762" s="7" t="str">
        <f>IFERROR(__xludf.DUMMYFUNCTION("""COMPUTED_VALUE"""),"b85a6300-5004-4ad7-870c-b9e84c60f279")</f>
        <v>b85a6300-5004-4ad7-870c-b9e84c60f279</v>
      </c>
      <c r="C2762" s="7">
        <f>IFERROR(__xludf.DUMMYFUNCTION("""COMPUTED_VALUE"""),284.0)</f>
        <v>284</v>
      </c>
      <c r="D2762" s="6">
        <f>IFERROR(__xludf.DUMMYFUNCTION("""COMPUTED_VALUE"""),45421.0)</f>
        <v>45421</v>
      </c>
      <c r="E2762" s="7" t="str">
        <f>IFERROR(__xludf.DUMMYFUNCTION("""COMPUTED_VALUE"""),"FRANQUIA_D&amp;G_SP")</f>
        <v>FRANQUIA_D&amp;G_SP</v>
      </c>
      <c r="F2762" s="7" t="str">
        <f>IFERROR(__xludf.DUMMYFUNCTION("""COMPUTED_VALUE"""),"BICYCLE")</f>
        <v>BICYCLE</v>
      </c>
      <c r="G2762" s="7" t="str">
        <f>IFERROR(__xludf.DUMMYFUNCTION("""COMPUTED_VALUE"""),"SAO PAULO")</f>
        <v>SAO PAULO</v>
      </c>
    </row>
    <row r="2763">
      <c r="A2763" s="6">
        <f>IFERROR(__xludf.DUMMYFUNCTION("""COMPUTED_VALUE"""),45705.0)</f>
        <v>45705</v>
      </c>
      <c r="B2763" s="7" t="str">
        <f>IFERROR(__xludf.DUMMYFUNCTION("""COMPUTED_VALUE"""),"5a1d0fe5-bf53-4187-bc03-c9bdf9519e97")</f>
        <v>5a1d0fe5-bf53-4187-bc03-c9bdf9519e97</v>
      </c>
      <c r="C2763" s="7">
        <f>IFERROR(__xludf.DUMMYFUNCTION("""COMPUTED_VALUE"""),10.0)</f>
        <v>10</v>
      </c>
      <c r="D2763" s="6">
        <f>IFERROR(__xludf.DUMMYFUNCTION("""COMPUTED_VALUE"""),45695.0)</f>
        <v>45695</v>
      </c>
      <c r="E2763" s="7" t="str">
        <f>IFERROR(__xludf.DUMMYFUNCTION("""COMPUTED_VALUE"""),"FRANQUIA_D&amp;G_SP")</f>
        <v>FRANQUIA_D&amp;G_SP</v>
      </c>
      <c r="F2763" s="7" t="str">
        <f>IFERROR(__xludf.DUMMYFUNCTION("""COMPUTED_VALUE"""),"BICYCLE")</f>
        <v>BICYCLE</v>
      </c>
      <c r="G2763" s="7" t="str">
        <f>IFERROR(__xludf.DUMMYFUNCTION("""COMPUTED_VALUE"""),"SAO PAULO")</f>
        <v>SAO PAULO</v>
      </c>
    </row>
    <row r="2764">
      <c r="A2764" s="6">
        <f>IFERROR(__xludf.DUMMYFUNCTION("""COMPUTED_VALUE"""),45705.0)</f>
        <v>45705</v>
      </c>
      <c r="B2764" s="7" t="str">
        <f>IFERROR(__xludf.DUMMYFUNCTION("""COMPUTED_VALUE"""),"21278379-989e-4bab-b425-d2c7595afe3a")</f>
        <v>21278379-989e-4bab-b425-d2c7595afe3a</v>
      </c>
      <c r="C2764" s="7">
        <f>IFERROR(__xludf.DUMMYFUNCTION("""COMPUTED_VALUE"""),53.0)</f>
        <v>53</v>
      </c>
      <c r="D2764" s="6">
        <f>IFERROR(__xludf.DUMMYFUNCTION("""COMPUTED_VALUE"""),45652.0)</f>
        <v>45652</v>
      </c>
      <c r="E2764" s="7" t="str">
        <f>IFERROR(__xludf.DUMMYFUNCTION("""COMPUTED_VALUE"""),"FRANQUIA_D&amp;G_SP")</f>
        <v>FRANQUIA_D&amp;G_SP</v>
      </c>
      <c r="F2764" s="7" t="str">
        <f>IFERROR(__xludf.DUMMYFUNCTION("""COMPUTED_VALUE"""),"MOTORCYCLE")</f>
        <v>MOTORCYCLE</v>
      </c>
      <c r="G2764" s="7" t="str">
        <f>IFERROR(__xludf.DUMMYFUNCTION("""COMPUTED_VALUE"""),"SAO PAULO")</f>
        <v>SAO PAULO</v>
      </c>
    </row>
    <row r="2765">
      <c r="A2765" s="6">
        <f>IFERROR(__xludf.DUMMYFUNCTION("""COMPUTED_VALUE"""),45705.0)</f>
        <v>45705</v>
      </c>
      <c r="B2765" s="7" t="str">
        <f>IFERROR(__xludf.DUMMYFUNCTION("""COMPUTED_VALUE"""),"dbb4b294-4523-4e3a-a942-d625a6282e27")</f>
        <v>dbb4b294-4523-4e3a-a942-d625a6282e27</v>
      </c>
      <c r="C2765" s="7">
        <f>IFERROR(__xludf.DUMMYFUNCTION("""COMPUTED_VALUE"""),2.0)</f>
        <v>2</v>
      </c>
      <c r="D2765" s="6">
        <f>IFERROR(__xludf.DUMMYFUNCTION("""COMPUTED_VALUE"""),45703.0)</f>
        <v>45703</v>
      </c>
      <c r="E2765" s="7" t="str">
        <f>IFERROR(__xludf.DUMMYFUNCTION("""COMPUTED_VALUE"""),"FRANQUIA_D&amp;G_SP")</f>
        <v>FRANQUIA_D&amp;G_SP</v>
      </c>
      <c r="F2765" s="7" t="str">
        <f>IFERROR(__xludf.DUMMYFUNCTION("""COMPUTED_VALUE"""),"BICYCLE")</f>
        <v>BICYCLE</v>
      </c>
      <c r="G2765" s="7" t="str">
        <f>IFERROR(__xludf.DUMMYFUNCTION("""COMPUTED_VALUE"""),"SAO PAULO")</f>
        <v>SAO PAULO</v>
      </c>
    </row>
    <row r="2766">
      <c r="A2766" s="6">
        <f>IFERROR(__xludf.DUMMYFUNCTION("""COMPUTED_VALUE"""),45705.0)</f>
        <v>45705</v>
      </c>
      <c r="B2766" s="7" t="str">
        <f>IFERROR(__xludf.DUMMYFUNCTION("""COMPUTED_VALUE"""),"54048549-5141-453b-a0eb-5e94afb44647")</f>
        <v>54048549-5141-453b-a0eb-5e94afb44647</v>
      </c>
      <c r="C2766" s="7">
        <f>IFERROR(__xludf.DUMMYFUNCTION("""COMPUTED_VALUE"""),0.0)</f>
        <v>0</v>
      </c>
      <c r="D2766" s="6">
        <f>IFERROR(__xludf.DUMMYFUNCTION("""COMPUTED_VALUE"""),0.0)</f>
        <v>0</v>
      </c>
      <c r="E2766" s="7" t="str">
        <f>IFERROR(__xludf.DUMMYFUNCTION("""COMPUTED_VALUE"""),"FRANQUIA_D&amp;G_SP")</f>
        <v>FRANQUIA_D&amp;G_SP</v>
      </c>
      <c r="F2766" s="7" t="str">
        <f>IFERROR(__xludf.DUMMYFUNCTION("""COMPUTED_VALUE"""),"BICYCLE")</f>
        <v>BICYCLE</v>
      </c>
      <c r="G2766" s="7" t="str">
        <f>IFERROR(__xludf.DUMMYFUNCTION("""COMPUTED_VALUE"""),"0")</f>
        <v>0</v>
      </c>
    </row>
    <row r="2767">
      <c r="A2767" s="6">
        <f>IFERROR(__xludf.DUMMYFUNCTION("""COMPUTED_VALUE"""),45705.0)</f>
        <v>45705</v>
      </c>
      <c r="B2767" s="7" t="str">
        <f>IFERROR(__xludf.DUMMYFUNCTION("""COMPUTED_VALUE"""),"1cbc5e7c-c7ed-4ee2-bb46-70282813820d")</f>
        <v>1cbc5e7c-c7ed-4ee2-bb46-70282813820d</v>
      </c>
      <c r="C2767" s="7">
        <f>IFERROR(__xludf.DUMMYFUNCTION("""COMPUTED_VALUE"""),107.0)</f>
        <v>107</v>
      </c>
      <c r="D2767" s="6">
        <f>IFERROR(__xludf.DUMMYFUNCTION("""COMPUTED_VALUE"""),45598.0)</f>
        <v>45598</v>
      </c>
      <c r="E2767" s="7" t="str">
        <f>IFERROR(__xludf.DUMMYFUNCTION("""COMPUTED_VALUE"""),"FRANQUIA_D&amp;G_SP")</f>
        <v>FRANQUIA_D&amp;G_SP</v>
      </c>
      <c r="F2767" s="7" t="str">
        <f>IFERROR(__xludf.DUMMYFUNCTION("""COMPUTED_VALUE"""),"BICYCLE")</f>
        <v>BICYCLE</v>
      </c>
      <c r="G2767" s="7" t="str">
        <f>IFERROR(__xludf.DUMMYFUNCTION("""COMPUTED_VALUE"""),"SAO PAULO")</f>
        <v>SAO PAULO</v>
      </c>
    </row>
    <row r="2768">
      <c r="A2768" s="6">
        <f>IFERROR(__xludf.DUMMYFUNCTION("""COMPUTED_VALUE"""),45705.0)</f>
        <v>45705</v>
      </c>
      <c r="B2768" s="7" t="str">
        <f>IFERROR(__xludf.DUMMYFUNCTION("""COMPUTED_VALUE"""),"8115fdea-756b-4b42-b943-3e3da35c4036")</f>
        <v>8115fdea-756b-4b42-b943-3e3da35c4036</v>
      </c>
      <c r="C2768" s="7">
        <f>IFERROR(__xludf.DUMMYFUNCTION("""COMPUTED_VALUE"""),0.0)</f>
        <v>0</v>
      </c>
      <c r="D2768" s="6">
        <f>IFERROR(__xludf.DUMMYFUNCTION("""COMPUTED_VALUE"""),45705.0)</f>
        <v>45705</v>
      </c>
      <c r="E2768" s="7" t="str">
        <f>IFERROR(__xludf.DUMMYFUNCTION("""COMPUTED_VALUE"""),"FRANQUIA_D&amp;G_SP")</f>
        <v>FRANQUIA_D&amp;G_SP</v>
      </c>
      <c r="F2768" s="7" t="str">
        <f>IFERROR(__xludf.DUMMYFUNCTION("""COMPUTED_VALUE"""),"MOTORCYCLE")</f>
        <v>MOTORCYCLE</v>
      </c>
      <c r="G2768" s="7" t="str">
        <f>IFERROR(__xludf.DUMMYFUNCTION("""COMPUTED_VALUE"""),"TABOAO DA SERRA")</f>
        <v>TABOAO DA SERRA</v>
      </c>
    </row>
    <row r="2769">
      <c r="A2769" s="6">
        <f>IFERROR(__xludf.DUMMYFUNCTION("""COMPUTED_VALUE"""),45705.0)</f>
        <v>45705</v>
      </c>
      <c r="B2769" s="7" t="str">
        <f>IFERROR(__xludf.DUMMYFUNCTION("""COMPUTED_VALUE"""),"774fea76-f44e-4b8b-a1ba-9913152c6c86")</f>
        <v>774fea76-f44e-4b8b-a1ba-9913152c6c86</v>
      </c>
      <c r="C2769" s="7">
        <f>IFERROR(__xludf.DUMMYFUNCTION("""COMPUTED_VALUE"""),0.0)</f>
        <v>0</v>
      </c>
      <c r="D2769" s="6">
        <f>IFERROR(__xludf.DUMMYFUNCTION("""COMPUTED_VALUE"""),45705.0)</f>
        <v>45705</v>
      </c>
      <c r="E2769" s="7" t="str">
        <f>IFERROR(__xludf.DUMMYFUNCTION("""COMPUTED_VALUE"""),"FRANQUIA_D&amp;G_SP")</f>
        <v>FRANQUIA_D&amp;G_SP</v>
      </c>
      <c r="F2769" s="7" t="str">
        <f>IFERROR(__xludf.DUMMYFUNCTION("""COMPUTED_VALUE"""),"MOTORCYCLE")</f>
        <v>MOTORCYCLE</v>
      </c>
      <c r="G2769" s="7" t="str">
        <f>IFERROR(__xludf.DUMMYFUNCTION("""COMPUTED_VALUE"""),"SAO PAULO")</f>
        <v>SAO PAULO</v>
      </c>
    </row>
    <row r="2770">
      <c r="A2770" s="6">
        <f>IFERROR(__xludf.DUMMYFUNCTION("""COMPUTED_VALUE"""),45705.0)</f>
        <v>45705</v>
      </c>
      <c r="B2770" s="7" t="str">
        <f>IFERROR(__xludf.DUMMYFUNCTION("""COMPUTED_VALUE"""),"b13bdeec-6e94-4781-8a74-b653d200bab8")</f>
        <v>b13bdeec-6e94-4781-8a74-b653d200bab8</v>
      </c>
      <c r="C2770" s="7">
        <f>IFERROR(__xludf.DUMMYFUNCTION("""COMPUTED_VALUE"""),3.0)</f>
        <v>3</v>
      </c>
      <c r="D2770" s="6">
        <f>IFERROR(__xludf.DUMMYFUNCTION("""COMPUTED_VALUE"""),45702.0)</f>
        <v>45702</v>
      </c>
      <c r="E2770" s="7" t="str">
        <f>IFERROR(__xludf.DUMMYFUNCTION("""COMPUTED_VALUE"""),"FRANQUIA_D&amp;G_SP")</f>
        <v>FRANQUIA_D&amp;G_SP</v>
      </c>
      <c r="F2770" s="7" t="str">
        <f>IFERROR(__xludf.DUMMYFUNCTION("""COMPUTED_VALUE"""),"MOTORCYCLE")</f>
        <v>MOTORCYCLE</v>
      </c>
      <c r="G2770" s="7" t="str">
        <f>IFERROR(__xludf.DUMMYFUNCTION("""COMPUTED_VALUE"""),"SAO PAULO")</f>
        <v>SAO PAULO</v>
      </c>
    </row>
    <row r="2771">
      <c r="A2771" s="6">
        <f>IFERROR(__xludf.DUMMYFUNCTION("""COMPUTED_VALUE"""),45705.0)</f>
        <v>45705</v>
      </c>
      <c r="B2771" s="7" t="str">
        <f>IFERROR(__xludf.DUMMYFUNCTION("""COMPUTED_VALUE"""),"3e63b5ab-0506-45d8-8d2c-88886af4a993")</f>
        <v>3e63b5ab-0506-45d8-8d2c-88886af4a993</v>
      </c>
      <c r="C2771" s="7">
        <f>IFERROR(__xludf.DUMMYFUNCTION("""COMPUTED_VALUE"""),342.0)</f>
        <v>342</v>
      </c>
      <c r="D2771" s="6">
        <f>IFERROR(__xludf.DUMMYFUNCTION("""COMPUTED_VALUE"""),45363.0)</f>
        <v>45363</v>
      </c>
      <c r="E2771" s="7" t="str">
        <f>IFERROR(__xludf.DUMMYFUNCTION("""COMPUTED_VALUE"""),"FRANQUIA_D&amp;G_SP")</f>
        <v>FRANQUIA_D&amp;G_SP</v>
      </c>
      <c r="F2771" s="7" t="str">
        <f>IFERROR(__xludf.DUMMYFUNCTION("""COMPUTED_VALUE"""),"MOTORCYCLE")</f>
        <v>MOTORCYCLE</v>
      </c>
      <c r="G2771" s="7" t="str">
        <f>IFERROR(__xludf.DUMMYFUNCTION("""COMPUTED_VALUE"""),"SAO PAULO")</f>
        <v>SAO PAULO</v>
      </c>
    </row>
    <row r="2772">
      <c r="A2772" s="6">
        <f>IFERROR(__xludf.DUMMYFUNCTION("""COMPUTED_VALUE"""),45705.0)</f>
        <v>45705</v>
      </c>
      <c r="B2772" s="7" t="str">
        <f>IFERROR(__xludf.DUMMYFUNCTION("""COMPUTED_VALUE"""),"231cd921-869e-4538-a191-13f2ed7c599e")</f>
        <v>231cd921-869e-4538-a191-13f2ed7c599e</v>
      </c>
      <c r="C2772" s="7">
        <f>IFERROR(__xludf.DUMMYFUNCTION("""COMPUTED_VALUE"""),0.0)</f>
        <v>0</v>
      </c>
      <c r="D2772" s="6">
        <f>IFERROR(__xludf.DUMMYFUNCTION("""COMPUTED_VALUE"""),0.0)</f>
        <v>0</v>
      </c>
      <c r="E2772" s="7" t="str">
        <f>IFERROR(__xludf.DUMMYFUNCTION("""COMPUTED_VALUE"""),"FRANQUIA_D&amp;G_SP")</f>
        <v>FRANQUIA_D&amp;G_SP</v>
      </c>
      <c r="F2772" s="7" t="str">
        <f>IFERROR(__xludf.DUMMYFUNCTION("""COMPUTED_VALUE"""),"EBIKE")</f>
        <v>EBIKE</v>
      </c>
      <c r="G2772" s="7" t="str">
        <f>IFERROR(__xludf.DUMMYFUNCTION("""COMPUTED_VALUE"""),"0")</f>
        <v>0</v>
      </c>
    </row>
    <row r="2773">
      <c r="A2773" s="6">
        <f>IFERROR(__xludf.DUMMYFUNCTION("""COMPUTED_VALUE"""),45705.0)</f>
        <v>45705</v>
      </c>
      <c r="B2773" s="7" t="str">
        <f>IFERROR(__xludf.DUMMYFUNCTION("""COMPUTED_VALUE"""),"d351fb2e-d573-4c19-9bfc-c28aece224c7")</f>
        <v>d351fb2e-d573-4c19-9bfc-c28aece224c7</v>
      </c>
      <c r="C2773" s="7">
        <f>IFERROR(__xludf.DUMMYFUNCTION("""COMPUTED_VALUE"""),0.0)</f>
        <v>0</v>
      </c>
      <c r="D2773" s="6">
        <f>IFERROR(__xludf.DUMMYFUNCTION("""COMPUTED_VALUE"""),45705.0)</f>
        <v>45705</v>
      </c>
      <c r="E2773" s="7" t="str">
        <f>IFERROR(__xludf.DUMMYFUNCTION("""COMPUTED_VALUE"""),"FRANQUIA_D&amp;G_SP")</f>
        <v>FRANQUIA_D&amp;G_SP</v>
      </c>
      <c r="F2773" s="7" t="str">
        <f>IFERROR(__xludf.DUMMYFUNCTION("""COMPUTED_VALUE"""),"BICYCLE")</f>
        <v>BICYCLE</v>
      </c>
      <c r="G2773" s="7" t="str">
        <f>IFERROR(__xludf.DUMMYFUNCTION("""COMPUTED_VALUE"""),"SAO PAULO")</f>
        <v>SAO PAULO</v>
      </c>
    </row>
    <row r="2774">
      <c r="A2774" s="6">
        <f>IFERROR(__xludf.DUMMYFUNCTION("""COMPUTED_VALUE"""),45705.0)</f>
        <v>45705</v>
      </c>
      <c r="B2774" s="7" t="str">
        <f>IFERROR(__xludf.DUMMYFUNCTION("""COMPUTED_VALUE"""),"de1e1895-33ec-4fb6-82a9-c8db296aee85")</f>
        <v>de1e1895-33ec-4fb6-82a9-c8db296aee85</v>
      </c>
      <c r="C2774" s="7">
        <f>IFERROR(__xludf.DUMMYFUNCTION("""COMPUTED_VALUE"""),0.0)</f>
        <v>0</v>
      </c>
      <c r="D2774" s="6">
        <f>IFERROR(__xludf.DUMMYFUNCTION("""COMPUTED_VALUE"""),45705.0)</f>
        <v>45705</v>
      </c>
      <c r="E2774" s="7" t="str">
        <f>IFERROR(__xludf.DUMMYFUNCTION("""COMPUTED_VALUE"""),"FRANQUIA_D&amp;G_SP")</f>
        <v>FRANQUIA_D&amp;G_SP</v>
      </c>
      <c r="F2774" s="7" t="str">
        <f>IFERROR(__xludf.DUMMYFUNCTION("""COMPUTED_VALUE"""),"MOTORCYCLE")</f>
        <v>MOTORCYCLE</v>
      </c>
      <c r="G2774" s="7" t="str">
        <f>IFERROR(__xludf.DUMMYFUNCTION("""COMPUTED_VALUE"""),"SAO PAULO")</f>
        <v>SAO PAULO</v>
      </c>
    </row>
    <row r="2775">
      <c r="A2775" s="6">
        <f>IFERROR(__xludf.DUMMYFUNCTION("""COMPUTED_VALUE"""),45705.0)</f>
        <v>45705</v>
      </c>
      <c r="B2775" s="7" t="str">
        <f>IFERROR(__xludf.DUMMYFUNCTION("""COMPUTED_VALUE"""),"8e3d8cd1-c553-49ab-b11c-cb690f1e6966")</f>
        <v>8e3d8cd1-c553-49ab-b11c-cb690f1e6966</v>
      </c>
      <c r="C2775" s="7">
        <f>IFERROR(__xludf.DUMMYFUNCTION("""COMPUTED_VALUE"""),0.0)</f>
        <v>0</v>
      </c>
      <c r="D2775" s="6">
        <f>IFERROR(__xludf.DUMMYFUNCTION("""COMPUTED_VALUE"""),45705.0)</f>
        <v>45705</v>
      </c>
      <c r="E2775" s="7" t="str">
        <f>IFERROR(__xludf.DUMMYFUNCTION("""COMPUTED_VALUE"""),"FRANQUIA_D&amp;G_SP")</f>
        <v>FRANQUIA_D&amp;G_SP</v>
      </c>
      <c r="F2775" s="7" t="str">
        <f>IFERROR(__xludf.DUMMYFUNCTION("""COMPUTED_VALUE"""),"MOTORCYCLE")</f>
        <v>MOTORCYCLE</v>
      </c>
      <c r="G2775" s="7" t="str">
        <f>IFERROR(__xludf.DUMMYFUNCTION("""COMPUTED_VALUE"""),"SAO PAULO")</f>
        <v>SAO PAULO</v>
      </c>
    </row>
    <row r="2776">
      <c r="A2776" s="6">
        <f>IFERROR(__xludf.DUMMYFUNCTION("""COMPUTED_VALUE"""),45705.0)</f>
        <v>45705</v>
      </c>
      <c r="B2776" s="7" t="str">
        <f>IFERROR(__xludf.DUMMYFUNCTION("""COMPUTED_VALUE"""),"f39d24df-150d-4061-ac55-726f9a15188d")</f>
        <v>f39d24df-150d-4061-ac55-726f9a15188d</v>
      </c>
      <c r="C2776" s="7">
        <f>IFERROR(__xludf.DUMMYFUNCTION("""COMPUTED_VALUE"""),215.0)</f>
        <v>215</v>
      </c>
      <c r="D2776" s="6">
        <f>IFERROR(__xludf.DUMMYFUNCTION("""COMPUTED_VALUE"""),45490.0)</f>
        <v>45490</v>
      </c>
      <c r="E2776" s="7" t="str">
        <f>IFERROR(__xludf.DUMMYFUNCTION("""COMPUTED_VALUE"""),"FRANQUIA_D&amp;G_SP")</f>
        <v>FRANQUIA_D&amp;G_SP</v>
      </c>
      <c r="F2776" s="7" t="str">
        <f>IFERROR(__xludf.DUMMYFUNCTION("""COMPUTED_VALUE"""),"MOTORCYCLE")</f>
        <v>MOTORCYCLE</v>
      </c>
      <c r="G2776" s="7" t="str">
        <f>IFERROR(__xludf.DUMMYFUNCTION("""COMPUTED_VALUE"""),"SAO PAULO")</f>
        <v>SAO PAULO</v>
      </c>
    </row>
    <row r="2777">
      <c r="A2777" s="6">
        <f>IFERROR(__xludf.DUMMYFUNCTION("""COMPUTED_VALUE"""),45705.0)</f>
        <v>45705</v>
      </c>
      <c r="B2777" s="7" t="str">
        <f>IFERROR(__xludf.DUMMYFUNCTION("""COMPUTED_VALUE"""),"870bfecc-c915-44a7-b424-c3e91ba916b7")</f>
        <v>870bfecc-c915-44a7-b424-c3e91ba916b7</v>
      </c>
      <c r="C2777" s="7">
        <f>IFERROR(__xludf.DUMMYFUNCTION("""COMPUTED_VALUE"""),2.0)</f>
        <v>2</v>
      </c>
      <c r="D2777" s="6">
        <f>IFERROR(__xludf.DUMMYFUNCTION("""COMPUTED_VALUE"""),45703.0)</f>
        <v>45703</v>
      </c>
      <c r="E2777" s="7" t="str">
        <f>IFERROR(__xludf.DUMMYFUNCTION("""COMPUTED_VALUE"""),"FRANQUIA_D&amp;G_SP")</f>
        <v>FRANQUIA_D&amp;G_SP</v>
      </c>
      <c r="F2777" s="7" t="str">
        <f>IFERROR(__xludf.DUMMYFUNCTION("""COMPUTED_VALUE"""),"MOTORCYCLE")</f>
        <v>MOTORCYCLE</v>
      </c>
      <c r="G2777" s="7" t="str">
        <f>IFERROR(__xludf.DUMMYFUNCTION("""COMPUTED_VALUE"""),"SAO PAULO")</f>
        <v>SAO PAULO</v>
      </c>
    </row>
    <row r="2778">
      <c r="A2778" s="6">
        <f>IFERROR(__xludf.DUMMYFUNCTION("""COMPUTED_VALUE"""),45705.0)</f>
        <v>45705</v>
      </c>
      <c r="B2778" s="7" t="str">
        <f>IFERROR(__xludf.DUMMYFUNCTION("""COMPUTED_VALUE"""),"afca4e0c-9af8-4c89-94cb-c5429ae374c2")</f>
        <v>afca4e0c-9af8-4c89-94cb-c5429ae374c2</v>
      </c>
      <c r="C2778" s="7">
        <f>IFERROR(__xludf.DUMMYFUNCTION("""COMPUTED_VALUE"""),382.0)</f>
        <v>382</v>
      </c>
      <c r="D2778" s="6">
        <f>IFERROR(__xludf.DUMMYFUNCTION("""COMPUTED_VALUE"""),45323.0)</f>
        <v>45323</v>
      </c>
      <c r="E2778" s="7" t="str">
        <f>IFERROR(__xludf.DUMMYFUNCTION("""COMPUTED_VALUE"""),"FRANQUIA_D&amp;G_SP")</f>
        <v>FRANQUIA_D&amp;G_SP</v>
      </c>
      <c r="F2778" s="7" t="str">
        <f>IFERROR(__xludf.DUMMYFUNCTION("""COMPUTED_VALUE"""),"MOTORCYCLE")</f>
        <v>MOTORCYCLE</v>
      </c>
      <c r="G2778" s="7" t="str">
        <f>IFERROR(__xludf.DUMMYFUNCTION("""COMPUTED_VALUE"""),"NATAL")</f>
        <v>NATAL</v>
      </c>
    </row>
    <row r="2779">
      <c r="A2779" s="6">
        <f>IFERROR(__xludf.DUMMYFUNCTION("""COMPUTED_VALUE"""),45705.0)</f>
        <v>45705</v>
      </c>
      <c r="B2779" s="7" t="str">
        <f>IFERROR(__xludf.DUMMYFUNCTION("""COMPUTED_VALUE"""),"a7d3c039-10cf-4be6-92bf-7791a0acb16f")</f>
        <v>a7d3c039-10cf-4be6-92bf-7791a0acb16f</v>
      </c>
      <c r="C2779" s="7">
        <f>IFERROR(__xludf.DUMMYFUNCTION("""COMPUTED_VALUE"""),503.0)</f>
        <v>503</v>
      </c>
      <c r="D2779" s="6">
        <f>IFERROR(__xludf.DUMMYFUNCTION("""COMPUTED_VALUE"""),45202.0)</f>
        <v>45202</v>
      </c>
      <c r="E2779" s="7" t="str">
        <f>IFERROR(__xludf.DUMMYFUNCTION("""COMPUTED_VALUE"""),"FRANQUIA_D&amp;G_SP")</f>
        <v>FRANQUIA_D&amp;G_SP</v>
      </c>
      <c r="F2779" s="7" t="str">
        <f>IFERROR(__xludf.DUMMYFUNCTION("""COMPUTED_VALUE"""),"MOTORCYCLE")</f>
        <v>MOTORCYCLE</v>
      </c>
      <c r="G2779" s="7" t="str">
        <f>IFERROR(__xludf.DUMMYFUNCTION("""COMPUTED_VALUE"""),"SAO PAULO")</f>
        <v>SAO PAULO</v>
      </c>
    </row>
    <row r="2780">
      <c r="A2780" s="6">
        <f>IFERROR(__xludf.DUMMYFUNCTION("""COMPUTED_VALUE"""),45705.0)</f>
        <v>45705</v>
      </c>
      <c r="B2780" s="7" t="str">
        <f>IFERROR(__xludf.DUMMYFUNCTION("""COMPUTED_VALUE"""),"29f262dd-579e-43f2-b66d-47b9715ee9a3")</f>
        <v>29f262dd-579e-43f2-b66d-47b9715ee9a3</v>
      </c>
      <c r="C2780" s="7">
        <f>IFERROR(__xludf.DUMMYFUNCTION("""COMPUTED_VALUE"""),16.0)</f>
        <v>16</v>
      </c>
      <c r="D2780" s="6">
        <f>IFERROR(__xludf.DUMMYFUNCTION("""COMPUTED_VALUE"""),45689.0)</f>
        <v>45689</v>
      </c>
      <c r="E2780" s="7" t="str">
        <f>IFERROR(__xludf.DUMMYFUNCTION("""COMPUTED_VALUE"""),"FRANQUIA_D&amp;G_SP")</f>
        <v>FRANQUIA_D&amp;G_SP</v>
      </c>
      <c r="F2780" s="7" t="str">
        <f>IFERROR(__xludf.DUMMYFUNCTION("""COMPUTED_VALUE"""),"MOTORCYCLE")</f>
        <v>MOTORCYCLE</v>
      </c>
      <c r="G2780" s="7" t="str">
        <f>IFERROR(__xludf.DUMMYFUNCTION("""COMPUTED_VALUE"""),"SAO PAULO")</f>
        <v>SAO PAULO</v>
      </c>
    </row>
    <row r="2781">
      <c r="A2781" s="6">
        <f>IFERROR(__xludf.DUMMYFUNCTION("""COMPUTED_VALUE"""),45705.0)</f>
        <v>45705</v>
      </c>
      <c r="B2781" s="7" t="str">
        <f>IFERROR(__xludf.DUMMYFUNCTION("""COMPUTED_VALUE"""),"fd599f03-42b8-4b03-904a-ceffd0402b83")</f>
        <v>fd599f03-42b8-4b03-904a-ceffd0402b83</v>
      </c>
      <c r="C2781" s="7">
        <f>IFERROR(__xludf.DUMMYFUNCTION("""COMPUTED_VALUE"""),22.0)</f>
        <v>22</v>
      </c>
      <c r="D2781" s="6">
        <f>IFERROR(__xludf.DUMMYFUNCTION("""COMPUTED_VALUE"""),45683.0)</f>
        <v>45683</v>
      </c>
      <c r="E2781" s="7" t="str">
        <f>IFERROR(__xludf.DUMMYFUNCTION("""COMPUTED_VALUE"""),"FRANQUIA_D&amp;G_SP")</f>
        <v>FRANQUIA_D&amp;G_SP</v>
      </c>
      <c r="F2781" s="7" t="str">
        <f>IFERROR(__xludf.DUMMYFUNCTION("""COMPUTED_VALUE"""),"MOTORCYCLE")</f>
        <v>MOTORCYCLE</v>
      </c>
      <c r="G2781" s="7" t="str">
        <f>IFERROR(__xludf.DUMMYFUNCTION("""COMPUTED_VALUE"""),"SAO PAULO")</f>
        <v>SAO PAULO</v>
      </c>
    </row>
    <row r="2782">
      <c r="A2782" s="6">
        <f>IFERROR(__xludf.DUMMYFUNCTION("""COMPUTED_VALUE"""),45705.0)</f>
        <v>45705</v>
      </c>
      <c r="B2782" s="7" t="str">
        <f>IFERROR(__xludf.DUMMYFUNCTION("""COMPUTED_VALUE"""),"fa641d91-dfaf-454c-8b4e-027dcfd090bf")</f>
        <v>fa641d91-dfaf-454c-8b4e-027dcfd090bf</v>
      </c>
      <c r="C2782" s="7">
        <f>IFERROR(__xludf.DUMMYFUNCTION("""COMPUTED_VALUE"""),0.0)</f>
        <v>0</v>
      </c>
      <c r="D2782" s="6">
        <f>IFERROR(__xludf.DUMMYFUNCTION("""COMPUTED_VALUE"""),45705.0)</f>
        <v>45705</v>
      </c>
      <c r="E2782" s="7" t="str">
        <f>IFERROR(__xludf.DUMMYFUNCTION("""COMPUTED_VALUE"""),"FRANQUIA_D&amp;G_SP")</f>
        <v>FRANQUIA_D&amp;G_SP</v>
      </c>
      <c r="F2782" s="7" t="str">
        <f>IFERROR(__xludf.DUMMYFUNCTION("""COMPUTED_VALUE"""),"BICYCLE")</f>
        <v>BICYCLE</v>
      </c>
      <c r="G2782" s="7" t="str">
        <f>IFERROR(__xludf.DUMMYFUNCTION("""COMPUTED_VALUE"""),"SAO PAULO")</f>
        <v>SAO PAULO</v>
      </c>
    </row>
    <row r="2783">
      <c r="A2783" s="6">
        <f>IFERROR(__xludf.DUMMYFUNCTION("""COMPUTED_VALUE"""),45705.0)</f>
        <v>45705</v>
      </c>
      <c r="B2783" s="7" t="str">
        <f>IFERROR(__xludf.DUMMYFUNCTION("""COMPUTED_VALUE"""),"218b966b-5fac-46b8-97cb-95262a39d406")</f>
        <v>218b966b-5fac-46b8-97cb-95262a39d406</v>
      </c>
      <c r="C2783" s="7">
        <f>IFERROR(__xludf.DUMMYFUNCTION("""COMPUTED_VALUE"""),0.0)</f>
        <v>0</v>
      </c>
      <c r="D2783" s="6">
        <f>IFERROR(__xludf.DUMMYFUNCTION("""COMPUTED_VALUE"""),45705.0)</f>
        <v>45705</v>
      </c>
      <c r="E2783" s="7" t="str">
        <f>IFERROR(__xludf.DUMMYFUNCTION("""COMPUTED_VALUE"""),"FRANQUIA_D&amp;G_SP")</f>
        <v>FRANQUIA_D&amp;G_SP</v>
      </c>
      <c r="F2783" s="7" t="str">
        <f>IFERROR(__xludf.DUMMYFUNCTION("""COMPUTED_VALUE"""),"MOTORCYCLE")</f>
        <v>MOTORCYCLE</v>
      </c>
      <c r="G2783" s="7" t="str">
        <f>IFERROR(__xludf.DUMMYFUNCTION("""COMPUTED_VALUE"""),"SAO PAULO")</f>
        <v>SAO PAULO</v>
      </c>
    </row>
    <row r="2784">
      <c r="A2784" s="6">
        <f>IFERROR(__xludf.DUMMYFUNCTION("""COMPUTED_VALUE"""),45705.0)</f>
        <v>45705</v>
      </c>
      <c r="B2784" s="7" t="str">
        <f>IFERROR(__xludf.DUMMYFUNCTION("""COMPUTED_VALUE"""),"9063bd78-77d7-48f2-af1b-73f2fe4af4c9")</f>
        <v>9063bd78-77d7-48f2-af1b-73f2fe4af4c9</v>
      </c>
      <c r="C2784" s="7">
        <f>IFERROR(__xludf.DUMMYFUNCTION("""COMPUTED_VALUE"""),2.0)</f>
        <v>2</v>
      </c>
      <c r="D2784" s="6">
        <f>IFERROR(__xludf.DUMMYFUNCTION("""COMPUTED_VALUE"""),45703.0)</f>
        <v>45703</v>
      </c>
      <c r="E2784" s="7" t="str">
        <f>IFERROR(__xludf.DUMMYFUNCTION("""COMPUTED_VALUE"""),"FRANQUIA_D&amp;G_SP")</f>
        <v>FRANQUIA_D&amp;G_SP</v>
      </c>
      <c r="F2784" s="7" t="str">
        <f>IFERROR(__xludf.DUMMYFUNCTION("""COMPUTED_VALUE"""),"BICYCLE")</f>
        <v>BICYCLE</v>
      </c>
      <c r="G2784" s="7" t="str">
        <f>IFERROR(__xludf.DUMMYFUNCTION("""COMPUTED_VALUE"""),"SAO PAULO")</f>
        <v>SAO PAULO</v>
      </c>
    </row>
    <row r="2785">
      <c r="A2785" s="6">
        <f>IFERROR(__xludf.DUMMYFUNCTION("""COMPUTED_VALUE"""),45705.0)</f>
        <v>45705</v>
      </c>
      <c r="B2785" s="7" t="str">
        <f>IFERROR(__xludf.DUMMYFUNCTION("""COMPUTED_VALUE"""),"23ea9fbb-c390-4689-aaff-83814e171f00")</f>
        <v>23ea9fbb-c390-4689-aaff-83814e171f00</v>
      </c>
      <c r="C2785" s="7">
        <f>IFERROR(__xludf.DUMMYFUNCTION("""COMPUTED_VALUE"""),75.0)</f>
        <v>75</v>
      </c>
      <c r="D2785" s="6">
        <f>IFERROR(__xludf.DUMMYFUNCTION("""COMPUTED_VALUE"""),45630.0)</f>
        <v>45630</v>
      </c>
      <c r="E2785" s="7" t="str">
        <f>IFERROR(__xludf.DUMMYFUNCTION("""COMPUTED_VALUE"""),"FRANQUIA_D&amp;G_SP")</f>
        <v>FRANQUIA_D&amp;G_SP</v>
      </c>
      <c r="F2785" s="7" t="str">
        <f>IFERROR(__xludf.DUMMYFUNCTION("""COMPUTED_VALUE"""),"BICYCLE")</f>
        <v>BICYCLE</v>
      </c>
      <c r="G2785" s="7" t="str">
        <f>IFERROR(__xludf.DUMMYFUNCTION("""COMPUTED_VALUE"""),"SAO PAULO")</f>
        <v>SAO PAULO</v>
      </c>
    </row>
    <row r="2786">
      <c r="A2786" s="6">
        <f>IFERROR(__xludf.DUMMYFUNCTION("""COMPUTED_VALUE"""),45705.0)</f>
        <v>45705</v>
      </c>
      <c r="B2786" s="7" t="str">
        <f>IFERROR(__xludf.DUMMYFUNCTION("""COMPUTED_VALUE"""),"aecdadec-44d7-4ecb-98e8-ba56c202ef8a")</f>
        <v>aecdadec-44d7-4ecb-98e8-ba56c202ef8a</v>
      </c>
      <c r="C2786" s="7">
        <f>IFERROR(__xludf.DUMMYFUNCTION("""COMPUTED_VALUE"""),262.0)</f>
        <v>262</v>
      </c>
      <c r="D2786" s="6">
        <f>IFERROR(__xludf.DUMMYFUNCTION("""COMPUTED_VALUE"""),45443.0)</f>
        <v>45443</v>
      </c>
      <c r="E2786" s="7" t="str">
        <f>IFERROR(__xludf.DUMMYFUNCTION("""COMPUTED_VALUE"""),"FRANQUIA_D&amp;G_SP")</f>
        <v>FRANQUIA_D&amp;G_SP</v>
      </c>
      <c r="F2786" s="7" t="str">
        <f>IFERROR(__xludf.DUMMYFUNCTION("""COMPUTED_VALUE"""),"BICYCLE")</f>
        <v>BICYCLE</v>
      </c>
      <c r="G2786" s="7" t="str">
        <f>IFERROR(__xludf.DUMMYFUNCTION("""COMPUTED_VALUE"""),"SAO PAULO")</f>
        <v>SAO PAULO</v>
      </c>
    </row>
    <row r="2787">
      <c r="A2787" s="6">
        <f>IFERROR(__xludf.DUMMYFUNCTION("""COMPUTED_VALUE"""),45705.0)</f>
        <v>45705</v>
      </c>
      <c r="B2787" s="7" t="str">
        <f>IFERROR(__xludf.DUMMYFUNCTION("""COMPUTED_VALUE"""),"9b5f62ae-7254-4813-8dd7-022c71ddfcae")</f>
        <v>9b5f62ae-7254-4813-8dd7-022c71ddfcae</v>
      </c>
      <c r="C2787" s="7">
        <f>IFERROR(__xludf.DUMMYFUNCTION("""COMPUTED_VALUE"""),0.0)</f>
        <v>0</v>
      </c>
      <c r="D2787" s="6">
        <f>IFERROR(__xludf.DUMMYFUNCTION("""COMPUTED_VALUE"""),45705.0)</f>
        <v>45705</v>
      </c>
      <c r="E2787" s="7" t="str">
        <f>IFERROR(__xludf.DUMMYFUNCTION("""COMPUTED_VALUE"""),"FRANQUIA_D&amp;G_SP")</f>
        <v>FRANQUIA_D&amp;G_SP</v>
      </c>
      <c r="F2787" s="7" t="str">
        <f>IFERROR(__xludf.DUMMYFUNCTION("""COMPUTED_VALUE"""),"EMOTORCYCLE")</f>
        <v>EMOTORCYCLE</v>
      </c>
      <c r="G2787" s="7" t="str">
        <f>IFERROR(__xludf.DUMMYFUNCTION("""COMPUTED_VALUE"""),"SAO PAULO")</f>
        <v>SAO PAULO</v>
      </c>
    </row>
    <row r="2788">
      <c r="A2788" s="6">
        <f>IFERROR(__xludf.DUMMYFUNCTION("""COMPUTED_VALUE"""),45705.0)</f>
        <v>45705</v>
      </c>
      <c r="B2788" s="7" t="str">
        <f>IFERROR(__xludf.DUMMYFUNCTION("""COMPUTED_VALUE"""),"dae18a41-e53d-4b6a-8f9c-c1401a1255cf")</f>
        <v>dae18a41-e53d-4b6a-8f9c-c1401a1255cf</v>
      </c>
      <c r="C2788" s="7">
        <f>IFERROR(__xludf.DUMMYFUNCTION("""COMPUTED_VALUE"""),70.0)</f>
        <v>70</v>
      </c>
      <c r="D2788" s="6">
        <f>IFERROR(__xludf.DUMMYFUNCTION("""COMPUTED_VALUE"""),45635.0)</f>
        <v>45635</v>
      </c>
      <c r="E2788" s="7" t="str">
        <f>IFERROR(__xludf.DUMMYFUNCTION("""COMPUTED_VALUE"""),"FRANQUIA_D&amp;G_SP")</f>
        <v>FRANQUIA_D&amp;G_SP</v>
      </c>
      <c r="F2788" s="7" t="str">
        <f>IFERROR(__xludf.DUMMYFUNCTION("""COMPUTED_VALUE"""),"BICYCLE")</f>
        <v>BICYCLE</v>
      </c>
      <c r="G2788" s="7" t="str">
        <f>IFERROR(__xludf.DUMMYFUNCTION("""COMPUTED_VALUE"""),"SAO PAULO")</f>
        <v>SAO PAULO</v>
      </c>
    </row>
    <row r="2789">
      <c r="A2789" s="6">
        <f>IFERROR(__xludf.DUMMYFUNCTION("""COMPUTED_VALUE"""),45705.0)</f>
        <v>45705</v>
      </c>
      <c r="B2789" s="7" t="str">
        <f>IFERROR(__xludf.DUMMYFUNCTION("""COMPUTED_VALUE"""),"e3cde4dc-04f3-4e9c-ba4b-b5f5a9998b23")</f>
        <v>e3cde4dc-04f3-4e9c-ba4b-b5f5a9998b23</v>
      </c>
      <c r="C2789" s="7">
        <f>IFERROR(__xludf.DUMMYFUNCTION("""COMPUTED_VALUE"""),8.0)</f>
        <v>8</v>
      </c>
      <c r="D2789" s="6">
        <f>IFERROR(__xludf.DUMMYFUNCTION("""COMPUTED_VALUE"""),45697.0)</f>
        <v>45697</v>
      </c>
      <c r="E2789" s="7" t="str">
        <f>IFERROR(__xludf.DUMMYFUNCTION("""COMPUTED_VALUE"""),"FRANQUIA_D&amp;G_SP")</f>
        <v>FRANQUIA_D&amp;G_SP</v>
      </c>
      <c r="F2789" s="7" t="str">
        <f>IFERROR(__xludf.DUMMYFUNCTION("""COMPUTED_VALUE"""),"MOTORCYCLE")</f>
        <v>MOTORCYCLE</v>
      </c>
      <c r="G2789" s="7" t="str">
        <f>IFERROR(__xludf.DUMMYFUNCTION("""COMPUTED_VALUE"""),"SAO PAULO")</f>
        <v>SAO PAULO</v>
      </c>
    </row>
    <row r="2790">
      <c r="A2790" s="6">
        <f>IFERROR(__xludf.DUMMYFUNCTION("""COMPUTED_VALUE"""),45705.0)</f>
        <v>45705</v>
      </c>
      <c r="B2790" s="7" t="str">
        <f>IFERROR(__xludf.DUMMYFUNCTION("""COMPUTED_VALUE"""),"105ac494-1409-42d6-989c-bb096eefb91e")</f>
        <v>105ac494-1409-42d6-989c-bb096eefb91e</v>
      </c>
      <c r="C2790" s="7">
        <f>IFERROR(__xludf.DUMMYFUNCTION("""COMPUTED_VALUE"""),2.0)</f>
        <v>2</v>
      </c>
      <c r="D2790" s="6">
        <f>IFERROR(__xludf.DUMMYFUNCTION("""COMPUTED_VALUE"""),45703.0)</f>
        <v>45703</v>
      </c>
      <c r="E2790" s="7" t="str">
        <f>IFERROR(__xludf.DUMMYFUNCTION("""COMPUTED_VALUE"""),"FRANQUIA_D&amp;G_SP")</f>
        <v>FRANQUIA_D&amp;G_SP</v>
      </c>
      <c r="F2790" s="7" t="str">
        <f>IFERROR(__xludf.DUMMYFUNCTION("""COMPUTED_VALUE"""),"MOTORCYCLE")</f>
        <v>MOTORCYCLE</v>
      </c>
      <c r="G2790" s="7" t="str">
        <f>IFERROR(__xludf.DUMMYFUNCTION("""COMPUTED_VALUE"""),"SAO PAULO")</f>
        <v>SAO PAULO</v>
      </c>
    </row>
    <row r="2791">
      <c r="A2791" s="6">
        <f>IFERROR(__xludf.DUMMYFUNCTION("""COMPUTED_VALUE"""),45705.0)</f>
        <v>45705</v>
      </c>
      <c r="B2791" s="7" t="str">
        <f>IFERROR(__xludf.DUMMYFUNCTION("""COMPUTED_VALUE"""),"0b57c4b0-8c1a-40e8-8c4c-6bb4ade964d2")</f>
        <v>0b57c4b0-8c1a-40e8-8c4c-6bb4ade964d2</v>
      </c>
      <c r="C2791" s="7">
        <f>IFERROR(__xludf.DUMMYFUNCTION("""COMPUTED_VALUE"""),2.0)</f>
        <v>2</v>
      </c>
      <c r="D2791" s="6">
        <f>IFERROR(__xludf.DUMMYFUNCTION("""COMPUTED_VALUE"""),45703.0)</f>
        <v>45703</v>
      </c>
      <c r="E2791" s="7" t="str">
        <f>IFERROR(__xludf.DUMMYFUNCTION("""COMPUTED_VALUE"""),"FRANQUIA_D&amp;G_SP")</f>
        <v>FRANQUIA_D&amp;G_SP</v>
      </c>
      <c r="F2791" s="7" t="str">
        <f>IFERROR(__xludf.DUMMYFUNCTION("""COMPUTED_VALUE"""),"MOTORCYCLE")</f>
        <v>MOTORCYCLE</v>
      </c>
      <c r="G2791" s="7" t="str">
        <f>IFERROR(__xludf.DUMMYFUNCTION("""COMPUTED_VALUE"""),"SAO PAULO")</f>
        <v>SAO PAULO</v>
      </c>
    </row>
    <row r="2792">
      <c r="A2792" s="6">
        <f>IFERROR(__xludf.DUMMYFUNCTION("""COMPUTED_VALUE"""),45705.0)</f>
        <v>45705</v>
      </c>
      <c r="B2792" s="7" t="str">
        <f>IFERROR(__xludf.DUMMYFUNCTION("""COMPUTED_VALUE"""),"a597b558-8c14-4856-be02-ec76b53b55df")</f>
        <v>a597b558-8c14-4856-be02-ec76b53b55df</v>
      </c>
      <c r="C2792" s="7">
        <f>IFERROR(__xludf.DUMMYFUNCTION("""COMPUTED_VALUE"""),625.0)</f>
        <v>625</v>
      </c>
      <c r="D2792" s="6">
        <f>IFERROR(__xludf.DUMMYFUNCTION("""COMPUTED_VALUE"""),45080.0)</f>
        <v>45080</v>
      </c>
      <c r="E2792" s="7" t="str">
        <f>IFERROR(__xludf.DUMMYFUNCTION("""COMPUTED_VALUE"""),"FRANQUIA_D&amp;G_SP")</f>
        <v>FRANQUIA_D&amp;G_SP</v>
      </c>
      <c r="F2792" s="7" t="str">
        <f>IFERROR(__xludf.DUMMYFUNCTION("""COMPUTED_VALUE"""),"MOTORCYCLE")</f>
        <v>MOTORCYCLE</v>
      </c>
      <c r="G2792" s="7" t="str">
        <f>IFERROR(__xludf.DUMMYFUNCTION("""COMPUTED_VALUE"""),"SAO PAULO")</f>
        <v>SAO PAULO</v>
      </c>
    </row>
    <row r="2793">
      <c r="A2793" s="6">
        <f>IFERROR(__xludf.DUMMYFUNCTION("""COMPUTED_VALUE"""),45705.0)</f>
        <v>45705</v>
      </c>
      <c r="B2793" s="7" t="str">
        <f>IFERROR(__xludf.DUMMYFUNCTION("""COMPUTED_VALUE"""),"01e8fc32-1cff-42b3-b2ed-fb19bf651a56")</f>
        <v>01e8fc32-1cff-42b3-b2ed-fb19bf651a56</v>
      </c>
      <c r="C2793" s="7">
        <f>IFERROR(__xludf.DUMMYFUNCTION("""COMPUTED_VALUE"""),0.0)</f>
        <v>0</v>
      </c>
      <c r="D2793" s="6">
        <f>IFERROR(__xludf.DUMMYFUNCTION("""COMPUTED_VALUE"""),45705.0)</f>
        <v>45705</v>
      </c>
      <c r="E2793" s="7" t="str">
        <f>IFERROR(__xludf.DUMMYFUNCTION("""COMPUTED_VALUE"""),"FRANQUIA_D&amp;G_SP")</f>
        <v>FRANQUIA_D&amp;G_SP</v>
      </c>
      <c r="F2793" s="7" t="str">
        <f>IFERROR(__xludf.DUMMYFUNCTION("""COMPUTED_VALUE"""),"BICYCLE")</f>
        <v>BICYCLE</v>
      </c>
      <c r="G2793" s="7" t="str">
        <f>IFERROR(__xludf.DUMMYFUNCTION("""COMPUTED_VALUE"""),"SAO PAULO")</f>
        <v>SAO PAULO</v>
      </c>
    </row>
    <row r="2794">
      <c r="A2794" s="6">
        <f>IFERROR(__xludf.DUMMYFUNCTION("""COMPUTED_VALUE"""),45705.0)</f>
        <v>45705</v>
      </c>
      <c r="B2794" s="7" t="str">
        <f>IFERROR(__xludf.DUMMYFUNCTION("""COMPUTED_VALUE"""),"9e0648ef-6112-43ca-b241-093d57c65c97")</f>
        <v>9e0648ef-6112-43ca-b241-093d57c65c97</v>
      </c>
      <c r="C2794" s="7">
        <f>IFERROR(__xludf.DUMMYFUNCTION("""COMPUTED_VALUE"""),3.0)</f>
        <v>3</v>
      </c>
      <c r="D2794" s="6">
        <f>IFERROR(__xludf.DUMMYFUNCTION("""COMPUTED_VALUE"""),45702.0)</f>
        <v>45702</v>
      </c>
      <c r="E2794" s="7" t="str">
        <f>IFERROR(__xludf.DUMMYFUNCTION("""COMPUTED_VALUE"""),"FRANQUIA_D&amp;G_SP")</f>
        <v>FRANQUIA_D&amp;G_SP</v>
      </c>
      <c r="F2794" s="7" t="str">
        <f>IFERROR(__xludf.DUMMYFUNCTION("""COMPUTED_VALUE"""),"MOTORCYCLE")</f>
        <v>MOTORCYCLE</v>
      </c>
      <c r="G2794" s="7" t="str">
        <f>IFERROR(__xludf.DUMMYFUNCTION("""COMPUTED_VALUE"""),"SAO PAULO")</f>
        <v>SAO PAULO</v>
      </c>
    </row>
    <row r="2795">
      <c r="A2795" s="6">
        <f>IFERROR(__xludf.DUMMYFUNCTION("""COMPUTED_VALUE"""),45705.0)</f>
        <v>45705</v>
      </c>
      <c r="B2795" s="7" t="str">
        <f>IFERROR(__xludf.DUMMYFUNCTION("""COMPUTED_VALUE"""),"954423b7-5ad8-4ca4-88d1-7840121eb65d")</f>
        <v>954423b7-5ad8-4ca4-88d1-7840121eb65d</v>
      </c>
      <c r="C2795" s="7">
        <f>IFERROR(__xludf.DUMMYFUNCTION("""COMPUTED_VALUE"""),7.0)</f>
        <v>7</v>
      </c>
      <c r="D2795" s="6">
        <f>IFERROR(__xludf.DUMMYFUNCTION("""COMPUTED_VALUE"""),45698.0)</f>
        <v>45698</v>
      </c>
      <c r="E2795" s="7" t="str">
        <f>IFERROR(__xludf.DUMMYFUNCTION("""COMPUTED_VALUE"""),"FRANQUIA_D&amp;G_SP")</f>
        <v>FRANQUIA_D&amp;G_SP</v>
      </c>
      <c r="F2795" s="7" t="str">
        <f>IFERROR(__xludf.DUMMYFUNCTION("""COMPUTED_VALUE"""),"BICYCLE")</f>
        <v>BICYCLE</v>
      </c>
      <c r="G2795" s="7" t="str">
        <f>IFERROR(__xludf.DUMMYFUNCTION("""COMPUTED_VALUE"""),"SAO PAULO")</f>
        <v>SAO PAULO</v>
      </c>
    </row>
    <row r="2796">
      <c r="A2796" s="6">
        <f>IFERROR(__xludf.DUMMYFUNCTION("""COMPUTED_VALUE"""),45705.0)</f>
        <v>45705</v>
      </c>
      <c r="B2796" s="7" t="str">
        <f>IFERROR(__xludf.DUMMYFUNCTION("""COMPUTED_VALUE"""),"41aa17f8-b053-4e1b-a8d4-d322e5fd0c4a")</f>
        <v>41aa17f8-b053-4e1b-a8d4-d322e5fd0c4a</v>
      </c>
      <c r="C2796" s="7">
        <f>IFERROR(__xludf.DUMMYFUNCTION("""COMPUTED_VALUE"""),5.0)</f>
        <v>5</v>
      </c>
      <c r="D2796" s="6">
        <f>IFERROR(__xludf.DUMMYFUNCTION("""COMPUTED_VALUE"""),45700.0)</f>
        <v>45700</v>
      </c>
      <c r="E2796" s="7" t="str">
        <f>IFERROR(__xludf.DUMMYFUNCTION("""COMPUTED_VALUE"""),"FRANQUIA_D&amp;G_SP")</f>
        <v>FRANQUIA_D&amp;G_SP</v>
      </c>
      <c r="F2796" s="7" t="str">
        <f>IFERROR(__xludf.DUMMYFUNCTION("""COMPUTED_VALUE"""),"BICYCLE")</f>
        <v>BICYCLE</v>
      </c>
      <c r="G2796" s="7" t="str">
        <f>IFERROR(__xludf.DUMMYFUNCTION("""COMPUTED_VALUE"""),"SAO PAULO")</f>
        <v>SAO PAULO</v>
      </c>
    </row>
    <row r="2797">
      <c r="A2797" s="6">
        <f>IFERROR(__xludf.DUMMYFUNCTION("""COMPUTED_VALUE"""),45705.0)</f>
        <v>45705</v>
      </c>
      <c r="B2797" s="7" t="str">
        <f>IFERROR(__xludf.DUMMYFUNCTION("""COMPUTED_VALUE"""),"39b07b1c-4013-4b52-9e9a-1f59e668726a")</f>
        <v>39b07b1c-4013-4b52-9e9a-1f59e668726a</v>
      </c>
      <c r="C2797" s="7">
        <f>IFERROR(__xludf.DUMMYFUNCTION("""COMPUTED_VALUE"""),96.0)</f>
        <v>96</v>
      </c>
      <c r="D2797" s="6">
        <f>IFERROR(__xludf.DUMMYFUNCTION("""COMPUTED_VALUE"""),45609.0)</f>
        <v>45609</v>
      </c>
      <c r="E2797" s="7" t="str">
        <f>IFERROR(__xludf.DUMMYFUNCTION("""COMPUTED_VALUE"""),"FRANQUIA_D&amp;G_SP")</f>
        <v>FRANQUIA_D&amp;G_SP</v>
      </c>
      <c r="F2797" s="7" t="str">
        <f>IFERROR(__xludf.DUMMYFUNCTION("""COMPUTED_VALUE"""),"BICYCLE")</f>
        <v>BICYCLE</v>
      </c>
      <c r="G2797" s="7" t="str">
        <f>IFERROR(__xludf.DUMMYFUNCTION("""COMPUTED_VALUE"""),"SAO PAULO")</f>
        <v>SAO PAULO</v>
      </c>
    </row>
    <row r="2798">
      <c r="A2798" s="6">
        <f>IFERROR(__xludf.DUMMYFUNCTION("""COMPUTED_VALUE"""),45705.0)</f>
        <v>45705</v>
      </c>
      <c r="B2798" s="7" t="str">
        <f>IFERROR(__xludf.DUMMYFUNCTION("""COMPUTED_VALUE"""),"e13b7bd1-25ed-44d6-b894-6bb835bfb91c")</f>
        <v>e13b7bd1-25ed-44d6-b894-6bb835bfb91c</v>
      </c>
      <c r="C2798" s="7">
        <f>IFERROR(__xludf.DUMMYFUNCTION("""COMPUTED_VALUE"""),3.0)</f>
        <v>3</v>
      </c>
      <c r="D2798" s="6">
        <f>IFERROR(__xludf.DUMMYFUNCTION("""COMPUTED_VALUE"""),45702.0)</f>
        <v>45702</v>
      </c>
      <c r="E2798" s="7" t="str">
        <f>IFERROR(__xludf.DUMMYFUNCTION("""COMPUTED_VALUE"""),"FRANQUIA_D&amp;G_SP")</f>
        <v>FRANQUIA_D&amp;G_SP</v>
      </c>
      <c r="F2798" s="7" t="str">
        <f>IFERROR(__xludf.DUMMYFUNCTION("""COMPUTED_VALUE"""),"BICYCLE")</f>
        <v>BICYCLE</v>
      </c>
      <c r="G2798" s="7" t="str">
        <f>IFERROR(__xludf.DUMMYFUNCTION("""COMPUTED_VALUE"""),"SAO PAULO")</f>
        <v>SAO PAULO</v>
      </c>
    </row>
    <row r="2799">
      <c r="A2799" s="6">
        <f>IFERROR(__xludf.DUMMYFUNCTION("""COMPUTED_VALUE"""),45705.0)</f>
        <v>45705</v>
      </c>
      <c r="B2799" s="7" t="str">
        <f>IFERROR(__xludf.DUMMYFUNCTION("""COMPUTED_VALUE"""),"a87f15ce-64c4-4374-b00e-a6d6188b35a9")</f>
        <v>a87f15ce-64c4-4374-b00e-a6d6188b35a9</v>
      </c>
      <c r="C2799" s="7">
        <f>IFERROR(__xludf.DUMMYFUNCTION("""COMPUTED_VALUE"""),185.0)</f>
        <v>185</v>
      </c>
      <c r="D2799" s="6">
        <f>IFERROR(__xludf.DUMMYFUNCTION("""COMPUTED_VALUE"""),45520.0)</f>
        <v>45520</v>
      </c>
      <c r="E2799" s="7" t="str">
        <f>IFERROR(__xludf.DUMMYFUNCTION("""COMPUTED_VALUE"""),"FRANQUIA_D&amp;G_SP")</f>
        <v>FRANQUIA_D&amp;G_SP</v>
      </c>
      <c r="F2799" s="7" t="str">
        <f>IFERROR(__xludf.DUMMYFUNCTION("""COMPUTED_VALUE"""),"BICYCLE")</f>
        <v>BICYCLE</v>
      </c>
      <c r="G2799" s="7" t="str">
        <f>IFERROR(__xludf.DUMMYFUNCTION("""COMPUTED_VALUE"""),"SAO PAULO")</f>
        <v>SAO PAULO</v>
      </c>
    </row>
    <row r="2800">
      <c r="A2800" s="6">
        <f>IFERROR(__xludf.DUMMYFUNCTION("""COMPUTED_VALUE"""),45705.0)</f>
        <v>45705</v>
      </c>
      <c r="B2800" s="7" t="str">
        <f>IFERROR(__xludf.DUMMYFUNCTION("""COMPUTED_VALUE"""),"ab6731d8-f780-4429-9437-f5ef400d9efb")</f>
        <v>ab6731d8-f780-4429-9437-f5ef400d9efb</v>
      </c>
      <c r="C2800" s="7">
        <f>IFERROR(__xludf.DUMMYFUNCTION("""COMPUTED_VALUE"""),114.0)</f>
        <v>114</v>
      </c>
      <c r="D2800" s="6">
        <f>IFERROR(__xludf.DUMMYFUNCTION("""COMPUTED_VALUE"""),45591.0)</f>
        <v>45591</v>
      </c>
      <c r="E2800" s="7" t="str">
        <f>IFERROR(__xludf.DUMMYFUNCTION("""COMPUTED_VALUE"""),"FRANQUIA_D&amp;G_SP")</f>
        <v>FRANQUIA_D&amp;G_SP</v>
      </c>
      <c r="F2800" s="7" t="str">
        <f>IFERROR(__xludf.DUMMYFUNCTION("""COMPUTED_VALUE"""),"BICYCLE")</f>
        <v>BICYCLE</v>
      </c>
      <c r="G2800" s="7" t="str">
        <f>IFERROR(__xludf.DUMMYFUNCTION("""COMPUTED_VALUE"""),"SAO PAULO")</f>
        <v>SAO PAULO</v>
      </c>
    </row>
    <row r="2801">
      <c r="A2801" s="6">
        <f>IFERROR(__xludf.DUMMYFUNCTION("""COMPUTED_VALUE"""),45705.0)</f>
        <v>45705</v>
      </c>
      <c r="B2801" s="7" t="str">
        <f>IFERROR(__xludf.DUMMYFUNCTION("""COMPUTED_VALUE"""),"2f42c57b-0d44-43e8-bbd0-9284befe4161")</f>
        <v>2f42c57b-0d44-43e8-bbd0-9284befe4161</v>
      </c>
      <c r="C2801" s="7">
        <f>IFERROR(__xludf.DUMMYFUNCTION("""COMPUTED_VALUE"""),0.0)</f>
        <v>0</v>
      </c>
      <c r="D2801" s="6">
        <f>IFERROR(__xludf.DUMMYFUNCTION("""COMPUTED_VALUE"""),45705.0)</f>
        <v>45705</v>
      </c>
      <c r="E2801" s="7" t="str">
        <f>IFERROR(__xludf.DUMMYFUNCTION("""COMPUTED_VALUE"""),"FRANQUIA_D&amp;G_SP")</f>
        <v>FRANQUIA_D&amp;G_SP</v>
      </c>
      <c r="F2801" s="7" t="str">
        <f>IFERROR(__xludf.DUMMYFUNCTION("""COMPUTED_VALUE"""),"MOTORCYCLE")</f>
        <v>MOTORCYCLE</v>
      </c>
      <c r="G2801" s="7" t="str">
        <f>IFERROR(__xludf.DUMMYFUNCTION("""COMPUTED_VALUE"""),"SAO PAULO")</f>
        <v>SAO PAULO</v>
      </c>
    </row>
    <row r="2802">
      <c r="A2802" s="6">
        <f>IFERROR(__xludf.DUMMYFUNCTION("""COMPUTED_VALUE"""),45705.0)</f>
        <v>45705</v>
      </c>
      <c r="B2802" s="7" t="str">
        <f>IFERROR(__xludf.DUMMYFUNCTION("""COMPUTED_VALUE"""),"bdf88ebb-5532-4ddf-b3df-4177a6bb5b89")</f>
        <v>bdf88ebb-5532-4ddf-b3df-4177a6bb5b89</v>
      </c>
      <c r="C2802" s="7">
        <f>IFERROR(__xludf.DUMMYFUNCTION("""COMPUTED_VALUE"""),0.0)</f>
        <v>0</v>
      </c>
      <c r="D2802" s="6">
        <f>IFERROR(__xludf.DUMMYFUNCTION("""COMPUTED_VALUE"""),45705.0)</f>
        <v>45705</v>
      </c>
      <c r="E2802" s="7" t="str">
        <f>IFERROR(__xludf.DUMMYFUNCTION("""COMPUTED_VALUE"""),"FRANQUIA_D&amp;G_SP")</f>
        <v>FRANQUIA_D&amp;G_SP</v>
      </c>
      <c r="F2802" s="7" t="str">
        <f>IFERROR(__xludf.DUMMYFUNCTION("""COMPUTED_VALUE"""),"MOTORCYCLE")</f>
        <v>MOTORCYCLE</v>
      </c>
      <c r="G2802" s="7" t="str">
        <f>IFERROR(__xludf.DUMMYFUNCTION("""COMPUTED_VALUE"""),"SAO PAULO")</f>
        <v>SAO PAULO</v>
      </c>
    </row>
    <row r="2803">
      <c r="A2803" s="6">
        <f>IFERROR(__xludf.DUMMYFUNCTION("""COMPUTED_VALUE"""),45705.0)</f>
        <v>45705</v>
      </c>
      <c r="B2803" s="7" t="str">
        <f>IFERROR(__xludf.DUMMYFUNCTION("""COMPUTED_VALUE"""),"be910e99-9166-4789-acb2-179845db103a")</f>
        <v>be910e99-9166-4789-acb2-179845db103a</v>
      </c>
      <c r="C2803" s="7">
        <f>IFERROR(__xludf.DUMMYFUNCTION("""COMPUTED_VALUE"""),13.0)</f>
        <v>13</v>
      </c>
      <c r="D2803" s="6">
        <f>IFERROR(__xludf.DUMMYFUNCTION("""COMPUTED_VALUE"""),45692.0)</f>
        <v>45692</v>
      </c>
      <c r="E2803" s="7" t="str">
        <f>IFERROR(__xludf.DUMMYFUNCTION("""COMPUTED_VALUE"""),"FRANQUIA_D&amp;G_SP")</f>
        <v>FRANQUIA_D&amp;G_SP</v>
      </c>
      <c r="F2803" s="7" t="str">
        <f>IFERROR(__xludf.DUMMYFUNCTION("""COMPUTED_VALUE"""),"BICYCLE")</f>
        <v>BICYCLE</v>
      </c>
      <c r="G2803" s="7" t="str">
        <f>IFERROR(__xludf.DUMMYFUNCTION("""COMPUTED_VALUE"""),"SAO PAULO")</f>
        <v>SAO PAULO</v>
      </c>
    </row>
    <row r="2804">
      <c r="A2804" s="6">
        <f>IFERROR(__xludf.DUMMYFUNCTION("""COMPUTED_VALUE"""),45705.0)</f>
        <v>45705</v>
      </c>
      <c r="B2804" s="7" t="str">
        <f>IFERROR(__xludf.DUMMYFUNCTION("""COMPUTED_VALUE"""),"cc2935da-a58e-4bb7-89bf-1f4a4f361552")</f>
        <v>cc2935da-a58e-4bb7-89bf-1f4a4f361552</v>
      </c>
      <c r="C2804" s="7">
        <f>IFERROR(__xludf.DUMMYFUNCTION("""COMPUTED_VALUE"""),4.0)</f>
        <v>4</v>
      </c>
      <c r="D2804" s="6">
        <f>IFERROR(__xludf.DUMMYFUNCTION("""COMPUTED_VALUE"""),45701.0)</f>
        <v>45701</v>
      </c>
      <c r="E2804" s="7" t="str">
        <f>IFERROR(__xludf.DUMMYFUNCTION("""COMPUTED_VALUE"""),"FRANQUIA_D&amp;G_SP")</f>
        <v>FRANQUIA_D&amp;G_SP</v>
      </c>
      <c r="F2804" s="7" t="str">
        <f>IFERROR(__xludf.DUMMYFUNCTION("""COMPUTED_VALUE"""),"BICYCLE")</f>
        <v>BICYCLE</v>
      </c>
      <c r="G2804" s="7" t="str">
        <f>IFERROR(__xludf.DUMMYFUNCTION("""COMPUTED_VALUE"""),"SAO PAULO")</f>
        <v>SAO PAULO</v>
      </c>
    </row>
    <row r="2805">
      <c r="A2805" s="6">
        <f>IFERROR(__xludf.DUMMYFUNCTION("""COMPUTED_VALUE"""),45705.0)</f>
        <v>45705</v>
      </c>
      <c r="B2805" s="7" t="str">
        <f>IFERROR(__xludf.DUMMYFUNCTION("""COMPUTED_VALUE"""),"43442736-25dd-477e-b833-ee7cb692ab69")</f>
        <v>43442736-25dd-477e-b833-ee7cb692ab69</v>
      </c>
      <c r="C2805" s="7">
        <f>IFERROR(__xludf.DUMMYFUNCTION("""COMPUTED_VALUE"""),0.0)</f>
        <v>0</v>
      </c>
      <c r="D2805" s="6">
        <f>IFERROR(__xludf.DUMMYFUNCTION("""COMPUTED_VALUE"""),45705.0)</f>
        <v>45705</v>
      </c>
      <c r="E2805" s="7" t="str">
        <f>IFERROR(__xludf.DUMMYFUNCTION("""COMPUTED_VALUE"""),"FRANQUIA_D&amp;G_SP")</f>
        <v>FRANQUIA_D&amp;G_SP</v>
      </c>
      <c r="F2805" s="7" t="str">
        <f>IFERROR(__xludf.DUMMYFUNCTION("""COMPUTED_VALUE"""),"EMOTORCYCLE")</f>
        <v>EMOTORCYCLE</v>
      </c>
      <c r="G2805" s="7" t="str">
        <f>IFERROR(__xludf.DUMMYFUNCTION("""COMPUTED_VALUE"""),"SAO PAULO")</f>
        <v>SAO PAULO</v>
      </c>
    </row>
    <row r="2806">
      <c r="A2806" s="6">
        <f>IFERROR(__xludf.DUMMYFUNCTION("""COMPUTED_VALUE"""),45705.0)</f>
        <v>45705</v>
      </c>
      <c r="B2806" s="7" t="str">
        <f>IFERROR(__xludf.DUMMYFUNCTION("""COMPUTED_VALUE"""),"76edb99b-9fcf-49be-ab46-d8ed5aca59ca")</f>
        <v>76edb99b-9fcf-49be-ab46-d8ed5aca59ca</v>
      </c>
      <c r="C2806" s="7">
        <f>IFERROR(__xludf.DUMMYFUNCTION("""COMPUTED_VALUE"""),0.0)</f>
        <v>0</v>
      </c>
      <c r="D2806" s="6">
        <f>IFERROR(__xludf.DUMMYFUNCTION("""COMPUTED_VALUE"""),45705.0)</f>
        <v>45705</v>
      </c>
      <c r="E2806" s="7" t="str">
        <f>IFERROR(__xludf.DUMMYFUNCTION("""COMPUTED_VALUE"""),"FRANQUIA_D&amp;G_SP")</f>
        <v>FRANQUIA_D&amp;G_SP</v>
      </c>
      <c r="F2806" s="7" t="str">
        <f>IFERROR(__xludf.DUMMYFUNCTION("""COMPUTED_VALUE"""),"BICYCLE")</f>
        <v>BICYCLE</v>
      </c>
      <c r="G2806" s="7" t="str">
        <f>IFERROR(__xludf.DUMMYFUNCTION("""COMPUTED_VALUE"""),"SAO PAULO")</f>
        <v>SAO PAULO</v>
      </c>
    </row>
    <row r="2807">
      <c r="A2807" s="6">
        <f>IFERROR(__xludf.DUMMYFUNCTION("""COMPUTED_VALUE"""),45705.0)</f>
        <v>45705</v>
      </c>
      <c r="B2807" s="7" t="str">
        <f>IFERROR(__xludf.DUMMYFUNCTION("""COMPUTED_VALUE"""),"26a6abd9-26f1-4333-8e0b-6adbf7647718")</f>
        <v>26a6abd9-26f1-4333-8e0b-6adbf7647718</v>
      </c>
      <c r="C2807" s="7">
        <f>IFERROR(__xludf.DUMMYFUNCTION("""COMPUTED_VALUE"""),2.0)</f>
        <v>2</v>
      </c>
      <c r="D2807" s="6">
        <f>IFERROR(__xludf.DUMMYFUNCTION("""COMPUTED_VALUE"""),45703.0)</f>
        <v>45703</v>
      </c>
      <c r="E2807" s="7" t="str">
        <f>IFERROR(__xludf.DUMMYFUNCTION("""COMPUTED_VALUE"""),"FRANQUIA_D&amp;G_SP")</f>
        <v>FRANQUIA_D&amp;G_SP</v>
      </c>
      <c r="F2807" s="7" t="str">
        <f>IFERROR(__xludf.DUMMYFUNCTION("""COMPUTED_VALUE"""),"BICYCLE")</f>
        <v>BICYCLE</v>
      </c>
      <c r="G2807" s="7" t="str">
        <f>IFERROR(__xludf.DUMMYFUNCTION("""COMPUTED_VALUE"""),"SAO PAULO")</f>
        <v>SAO PAULO</v>
      </c>
    </row>
    <row r="2808">
      <c r="A2808" s="6">
        <f>IFERROR(__xludf.DUMMYFUNCTION("""COMPUTED_VALUE"""),45705.0)</f>
        <v>45705</v>
      </c>
      <c r="B2808" s="7" t="str">
        <f>IFERROR(__xludf.DUMMYFUNCTION("""COMPUTED_VALUE"""),"770d649e-d25b-4881-ab5e-8413a8a8ed53")</f>
        <v>770d649e-d25b-4881-ab5e-8413a8a8ed53</v>
      </c>
      <c r="C2808" s="7">
        <f>IFERROR(__xludf.DUMMYFUNCTION("""COMPUTED_VALUE"""),3.0)</f>
        <v>3</v>
      </c>
      <c r="D2808" s="6">
        <f>IFERROR(__xludf.DUMMYFUNCTION("""COMPUTED_VALUE"""),45702.0)</f>
        <v>45702</v>
      </c>
      <c r="E2808" s="7" t="str">
        <f>IFERROR(__xludf.DUMMYFUNCTION("""COMPUTED_VALUE"""),"FRANQUIA_D&amp;G_SP")</f>
        <v>FRANQUIA_D&amp;G_SP</v>
      </c>
      <c r="F2808" s="7" t="str">
        <f>IFERROR(__xludf.DUMMYFUNCTION("""COMPUTED_VALUE"""),"MOTORCYCLE")</f>
        <v>MOTORCYCLE</v>
      </c>
      <c r="G2808" s="7" t="str">
        <f>IFERROR(__xludf.DUMMYFUNCTION("""COMPUTED_VALUE"""),"SAO PAULO")</f>
        <v>SAO PAULO</v>
      </c>
    </row>
    <row r="2809">
      <c r="A2809" s="6">
        <f>IFERROR(__xludf.DUMMYFUNCTION("""COMPUTED_VALUE"""),45705.0)</f>
        <v>45705</v>
      </c>
      <c r="B2809" s="7" t="str">
        <f>IFERROR(__xludf.DUMMYFUNCTION("""COMPUTED_VALUE"""),"11c120b4-e34d-47a9-a05f-5d596fd9edd9")</f>
        <v>11c120b4-e34d-47a9-a05f-5d596fd9edd9</v>
      </c>
      <c r="C2809" s="7">
        <f>IFERROR(__xludf.DUMMYFUNCTION("""COMPUTED_VALUE"""),0.0)</f>
        <v>0</v>
      </c>
      <c r="D2809" s="6">
        <f>IFERROR(__xludf.DUMMYFUNCTION("""COMPUTED_VALUE"""),45705.0)</f>
        <v>45705</v>
      </c>
      <c r="E2809" s="7" t="str">
        <f>IFERROR(__xludf.DUMMYFUNCTION("""COMPUTED_VALUE"""),"FRANQUIA_D&amp;G_SP")</f>
        <v>FRANQUIA_D&amp;G_SP</v>
      </c>
      <c r="F2809" s="7" t="str">
        <f>IFERROR(__xludf.DUMMYFUNCTION("""COMPUTED_VALUE"""),"EMOTORCYCLE")</f>
        <v>EMOTORCYCLE</v>
      </c>
      <c r="G2809" s="7" t="str">
        <f>IFERROR(__xludf.DUMMYFUNCTION("""COMPUTED_VALUE"""),"SAO PAULO")</f>
        <v>SAO PAULO</v>
      </c>
    </row>
    <row r="2810">
      <c r="A2810" s="6">
        <f>IFERROR(__xludf.DUMMYFUNCTION("""COMPUTED_VALUE"""),45705.0)</f>
        <v>45705</v>
      </c>
      <c r="B2810" s="7" t="str">
        <f>IFERROR(__xludf.DUMMYFUNCTION("""COMPUTED_VALUE"""),"d8e75ca1-68dc-454f-b43c-0f435cb6a805")</f>
        <v>d8e75ca1-68dc-454f-b43c-0f435cb6a805</v>
      </c>
      <c r="C2810" s="7">
        <f>IFERROR(__xludf.DUMMYFUNCTION("""COMPUTED_VALUE"""),573.0)</f>
        <v>573</v>
      </c>
      <c r="D2810" s="6">
        <f>IFERROR(__xludf.DUMMYFUNCTION("""COMPUTED_VALUE"""),45132.0)</f>
        <v>45132</v>
      </c>
      <c r="E2810" s="7" t="str">
        <f>IFERROR(__xludf.DUMMYFUNCTION("""COMPUTED_VALUE"""),"FRANQUIA_D&amp;G_SP")</f>
        <v>FRANQUIA_D&amp;G_SP</v>
      </c>
      <c r="F2810" s="7" t="str">
        <f>IFERROR(__xludf.DUMMYFUNCTION("""COMPUTED_VALUE"""),"MOTORCYCLE")</f>
        <v>MOTORCYCLE</v>
      </c>
      <c r="G2810" s="7" t="str">
        <f>IFERROR(__xludf.DUMMYFUNCTION("""COMPUTED_VALUE"""),"SAO PAULO")</f>
        <v>SAO PAULO</v>
      </c>
    </row>
    <row r="2811">
      <c r="A2811" s="6">
        <f>IFERROR(__xludf.DUMMYFUNCTION("""COMPUTED_VALUE"""),45705.0)</f>
        <v>45705</v>
      </c>
      <c r="B2811" s="7" t="str">
        <f>IFERROR(__xludf.DUMMYFUNCTION("""COMPUTED_VALUE"""),"8a5ee94d-8aa9-45bd-9c78-7d02e76009e3")</f>
        <v>8a5ee94d-8aa9-45bd-9c78-7d02e76009e3</v>
      </c>
      <c r="C2811" s="7">
        <f>IFERROR(__xludf.DUMMYFUNCTION("""COMPUTED_VALUE"""),501.0)</f>
        <v>501</v>
      </c>
      <c r="D2811" s="6">
        <f>IFERROR(__xludf.DUMMYFUNCTION("""COMPUTED_VALUE"""),45204.0)</f>
        <v>45204</v>
      </c>
      <c r="E2811" s="7" t="str">
        <f>IFERROR(__xludf.DUMMYFUNCTION("""COMPUTED_VALUE"""),"FRANQUIA_D&amp;G_SP")</f>
        <v>FRANQUIA_D&amp;G_SP</v>
      </c>
      <c r="F2811" s="7" t="str">
        <f>IFERROR(__xludf.DUMMYFUNCTION("""COMPUTED_VALUE"""),"BICYCLE")</f>
        <v>BICYCLE</v>
      </c>
      <c r="G2811" s="7" t="str">
        <f>IFERROR(__xludf.DUMMYFUNCTION("""COMPUTED_VALUE"""),"SAO PAULO")</f>
        <v>SAO PAULO</v>
      </c>
    </row>
    <row r="2812">
      <c r="A2812" s="6">
        <f>IFERROR(__xludf.DUMMYFUNCTION("""COMPUTED_VALUE"""),45705.0)</f>
        <v>45705</v>
      </c>
      <c r="B2812" s="7" t="str">
        <f>IFERROR(__xludf.DUMMYFUNCTION("""COMPUTED_VALUE"""),"8094119b-c47d-42dc-bacc-2a3c9ddbe17e")</f>
        <v>8094119b-c47d-42dc-bacc-2a3c9ddbe17e</v>
      </c>
      <c r="C2812" s="7">
        <f>IFERROR(__xludf.DUMMYFUNCTION("""COMPUTED_VALUE"""),0.0)</f>
        <v>0</v>
      </c>
      <c r="D2812" s="6">
        <f>IFERROR(__xludf.DUMMYFUNCTION("""COMPUTED_VALUE"""),45705.0)</f>
        <v>45705</v>
      </c>
      <c r="E2812" s="7" t="str">
        <f>IFERROR(__xludf.DUMMYFUNCTION("""COMPUTED_VALUE"""),"FRANQUIA_D&amp;G_SP")</f>
        <v>FRANQUIA_D&amp;G_SP</v>
      </c>
      <c r="F2812" s="7" t="str">
        <f>IFERROR(__xludf.DUMMYFUNCTION("""COMPUTED_VALUE"""),"MOTORCYCLE")</f>
        <v>MOTORCYCLE</v>
      </c>
      <c r="G2812" s="7" t="str">
        <f>IFERROR(__xludf.DUMMYFUNCTION("""COMPUTED_VALUE"""),"SAO PAULO")</f>
        <v>SAO PAULO</v>
      </c>
    </row>
    <row r="2813">
      <c r="A2813" s="6">
        <f>IFERROR(__xludf.DUMMYFUNCTION("""COMPUTED_VALUE"""),45705.0)</f>
        <v>45705</v>
      </c>
      <c r="B2813" s="7" t="str">
        <f>IFERROR(__xludf.DUMMYFUNCTION("""COMPUTED_VALUE"""),"83c22847-5634-40d2-a8b2-cba9426c6a96")</f>
        <v>83c22847-5634-40d2-a8b2-cba9426c6a96</v>
      </c>
      <c r="C2813" s="7">
        <f>IFERROR(__xludf.DUMMYFUNCTION("""COMPUTED_VALUE"""),55.0)</f>
        <v>55</v>
      </c>
      <c r="D2813" s="6">
        <f>IFERROR(__xludf.DUMMYFUNCTION("""COMPUTED_VALUE"""),45650.0)</f>
        <v>45650</v>
      </c>
      <c r="E2813" s="7" t="str">
        <f>IFERROR(__xludf.DUMMYFUNCTION("""COMPUTED_VALUE"""),"FRANQUIA_D&amp;G_SP")</f>
        <v>FRANQUIA_D&amp;G_SP</v>
      </c>
      <c r="F2813" s="7" t="str">
        <f>IFERROR(__xludf.DUMMYFUNCTION("""COMPUTED_VALUE"""),"MOTORCYCLE")</f>
        <v>MOTORCYCLE</v>
      </c>
      <c r="G2813" s="7" t="str">
        <f>IFERROR(__xludf.DUMMYFUNCTION("""COMPUTED_VALUE"""),"SAO PAULO")</f>
        <v>SAO PAULO</v>
      </c>
    </row>
    <row r="2814">
      <c r="A2814" s="6">
        <f>IFERROR(__xludf.DUMMYFUNCTION("""COMPUTED_VALUE"""),45705.0)</f>
        <v>45705</v>
      </c>
      <c r="B2814" s="7" t="str">
        <f>IFERROR(__xludf.DUMMYFUNCTION("""COMPUTED_VALUE"""),"1189ac27-2fdd-4d85-b9e8-a7547cf0ce64")</f>
        <v>1189ac27-2fdd-4d85-b9e8-a7547cf0ce64</v>
      </c>
      <c r="C2814" s="7">
        <f>IFERROR(__xludf.DUMMYFUNCTION("""COMPUTED_VALUE"""),2.0)</f>
        <v>2</v>
      </c>
      <c r="D2814" s="6">
        <f>IFERROR(__xludf.DUMMYFUNCTION("""COMPUTED_VALUE"""),45703.0)</f>
        <v>45703</v>
      </c>
      <c r="E2814" s="7" t="str">
        <f>IFERROR(__xludf.DUMMYFUNCTION("""COMPUTED_VALUE"""),"FRANQUIA_D&amp;G_SP")</f>
        <v>FRANQUIA_D&amp;G_SP</v>
      </c>
      <c r="F2814" s="7" t="str">
        <f>IFERROR(__xludf.DUMMYFUNCTION("""COMPUTED_VALUE"""),"MOTORCYCLE")</f>
        <v>MOTORCYCLE</v>
      </c>
      <c r="G2814" s="7" t="str">
        <f>IFERROR(__xludf.DUMMYFUNCTION("""COMPUTED_VALUE"""),"SAO PAULO")</f>
        <v>SAO PAULO</v>
      </c>
    </row>
    <row r="2815">
      <c r="A2815" s="6">
        <f>IFERROR(__xludf.DUMMYFUNCTION("""COMPUTED_VALUE"""),45705.0)</f>
        <v>45705</v>
      </c>
      <c r="B2815" s="7" t="str">
        <f>IFERROR(__xludf.DUMMYFUNCTION("""COMPUTED_VALUE"""),"26f58a90-b87a-4fd4-9f74-4845165dd117")</f>
        <v>26f58a90-b87a-4fd4-9f74-4845165dd117</v>
      </c>
      <c r="C2815" s="7">
        <f>IFERROR(__xludf.DUMMYFUNCTION("""COMPUTED_VALUE"""),35.0)</f>
        <v>35</v>
      </c>
      <c r="D2815" s="6">
        <f>IFERROR(__xludf.DUMMYFUNCTION("""COMPUTED_VALUE"""),45670.0)</f>
        <v>45670</v>
      </c>
      <c r="E2815" s="7" t="str">
        <f>IFERROR(__xludf.DUMMYFUNCTION("""COMPUTED_VALUE"""),"FRANQUIA_D&amp;G_SP")</f>
        <v>FRANQUIA_D&amp;G_SP</v>
      </c>
      <c r="F2815" s="7" t="str">
        <f>IFERROR(__xludf.DUMMYFUNCTION("""COMPUTED_VALUE"""),"MOTORCYCLE")</f>
        <v>MOTORCYCLE</v>
      </c>
      <c r="G2815" s="7" t="str">
        <f>IFERROR(__xludf.DUMMYFUNCTION("""COMPUTED_VALUE"""),"SAO PAULO")</f>
        <v>SAO PAULO</v>
      </c>
    </row>
    <row r="2816">
      <c r="A2816" s="6">
        <f>IFERROR(__xludf.DUMMYFUNCTION("""COMPUTED_VALUE"""),45705.0)</f>
        <v>45705</v>
      </c>
      <c r="B2816" s="7" t="str">
        <f>IFERROR(__xludf.DUMMYFUNCTION("""COMPUTED_VALUE"""),"a29d753a-0268-4b3f-a9d8-6f99f06fd8df")</f>
        <v>a29d753a-0268-4b3f-a9d8-6f99f06fd8df</v>
      </c>
      <c r="C2816" s="7">
        <f>IFERROR(__xludf.DUMMYFUNCTION("""COMPUTED_VALUE"""),3.0)</f>
        <v>3</v>
      </c>
      <c r="D2816" s="6">
        <f>IFERROR(__xludf.DUMMYFUNCTION("""COMPUTED_VALUE"""),45702.0)</f>
        <v>45702</v>
      </c>
      <c r="E2816" s="7" t="str">
        <f>IFERROR(__xludf.DUMMYFUNCTION("""COMPUTED_VALUE"""),"FRANQUIA_D&amp;G_SP")</f>
        <v>FRANQUIA_D&amp;G_SP</v>
      </c>
      <c r="F2816" s="7" t="str">
        <f>IFERROR(__xludf.DUMMYFUNCTION("""COMPUTED_VALUE"""),"MOTORCYCLE")</f>
        <v>MOTORCYCLE</v>
      </c>
      <c r="G2816" s="7" t="str">
        <f>IFERROR(__xludf.DUMMYFUNCTION("""COMPUTED_VALUE"""),"RESTAURANTE PARCEIRO")</f>
        <v>RESTAURANTE PARCEIRO</v>
      </c>
    </row>
    <row r="2817">
      <c r="A2817" s="6">
        <f>IFERROR(__xludf.DUMMYFUNCTION("""COMPUTED_VALUE"""),45705.0)</f>
        <v>45705</v>
      </c>
      <c r="B2817" s="7" t="str">
        <f>IFERROR(__xludf.DUMMYFUNCTION("""COMPUTED_VALUE"""),"d48c3676-0bb0-40ae-a793-4b6c6409d479")</f>
        <v>d48c3676-0bb0-40ae-a793-4b6c6409d479</v>
      </c>
      <c r="C2817" s="7">
        <f>IFERROR(__xludf.DUMMYFUNCTION("""COMPUTED_VALUE"""),4.0)</f>
        <v>4</v>
      </c>
      <c r="D2817" s="6">
        <f>IFERROR(__xludf.DUMMYFUNCTION("""COMPUTED_VALUE"""),45701.0)</f>
        <v>45701</v>
      </c>
      <c r="E2817" s="7" t="str">
        <f>IFERROR(__xludf.DUMMYFUNCTION("""COMPUTED_VALUE"""),"FRANQUIA_D&amp;G_SP")</f>
        <v>FRANQUIA_D&amp;G_SP</v>
      </c>
      <c r="F2817" s="7" t="str">
        <f>IFERROR(__xludf.DUMMYFUNCTION("""COMPUTED_VALUE"""),"BICYCLE")</f>
        <v>BICYCLE</v>
      </c>
      <c r="G2817" s="7" t="str">
        <f>IFERROR(__xludf.DUMMYFUNCTION("""COMPUTED_VALUE"""),"SAO PAULO")</f>
        <v>SAO PAULO</v>
      </c>
    </row>
    <row r="2818">
      <c r="A2818" s="6">
        <f>IFERROR(__xludf.DUMMYFUNCTION("""COMPUTED_VALUE"""),45705.0)</f>
        <v>45705</v>
      </c>
      <c r="B2818" s="7" t="str">
        <f>IFERROR(__xludf.DUMMYFUNCTION("""COMPUTED_VALUE"""),"bd2dda64-585b-4fb7-85f0-28194c33d46c")</f>
        <v>bd2dda64-585b-4fb7-85f0-28194c33d46c</v>
      </c>
      <c r="C2818" s="7">
        <f>IFERROR(__xludf.DUMMYFUNCTION("""COMPUTED_VALUE"""),0.0)</f>
        <v>0</v>
      </c>
      <c r="D2818" s="6">
        <f>IFERROR(__xludf.DUMMYFUNCTION("""COMPUTED_VALUE"""),45705.0)</f>
        <v>45705</v>
      </c>
      <c r="E2818" s="7" t="str">
        <f>IFERROR(__xludf.DUMMYFUNCTION("""COMPUTED_VALUE"""),"FRANQUIA_D&amp;G_SP")</f>
        <v>FRANQUIA_D&amp;G_SP</v>
      </c>
      <c r="F2818" s="7" t="str">
        <f>IFERROR(__xludf.DUMMYFUNCTION("""COMPUTED_VALUE"""),"MOTORCYCLE")</f>
        <v>MOTORCYCLE</v>
      </c>
      <c r="G2818" s="7" t="str">
        <f>IFERROR(__xludf.DUMMYFUNCTION("""COMPUTED_VALUE"""),"SAO PAULO")</f>
        <v>SAO PAULO</v>
      </c>
    </row>
    <row r="2819">
      <c r="A2819" s="6">
        <f>IFERROR(__xludf.DUMMYFUNCTION("""COMPUTED_VALUE"""),45705.0)</f>
        <v>45705</v>
      </c>
      <c r="B2819" s="7" t="str">
        <f>IFERROR(__xludf.DUMMYFUNCTION("""COMPUTED_VALUE"""),"88b94526-9963-46a8-ae5e-fda5f24169c7")</f>
        <v>88b94526-9963-46a8-ae5e-fda5f24169c7</v>
      </c>
      <c r="C2819" s="7">
        <f>IFERROR(__xludf.DUMMYFUNCTION("""COMPUTED_VALUE"""),0.0)</f>
        <v>0</v>
      </c>
      <c r="D2819" s="6">
        <f>IFERROR(__xludf.DUMMYFUNCTION("""COMPUTED_VALUE"""),45705.0)</f>
        <v>45705</v>
      </c>
      <c r="E2819" s="7" t="str">
        <f>IFERROR(__xludf.DUMMYFUNCTION("""COMPUTED_VALUE"""),"FRANQUIA_D&amp;G_SP")</f>
        <v>FRANQUIA_D&amp;G_SP</v>
      </c>
      <c r="F2819" s="7" t="str">
        <f>IFERROR(__xludf.DUMMYFUNCTION("""COMPUTED_VALUE"""),"MOTORCYCLE")</f>
        <v>MOTORCYCLE</v>
      </c>
      <c r="G2819" s="7" t="str">
        <f>IFERROR(__xludf.DUMMYFUNCTION("""COMPUTED_VALUE"""),"SAO PAULO")</f>
        <v>SAO PAULO</v>
      </c>
    </row>
    <row r="2820">
      <c r="A2820" s="6">
        <f>IFERROR(__xludf.DUMMYFUNCTION("""COMPUTED_VALUE"""),45705.0)</f>
        <v>45705</v>
      </c>
      <c r="B2820" s="7" t="str">
        <f>IFERROR(__xludf.DUMMYFUNCTION("""COMPUTED_VALUE"""),"28d09cc0-056c-4bcd-aeb1-e91007edd031")</f>
        <v>28d09cc0-056c-4bcd-aeb1-e91007edd031</v>
      </c>
      <c r="C2820" s="7">
        <f>IFERROR(__xludf.DUMMYFUNCTION("""COMPUTED_VALUE"""),1.0)</f>
        <v>1</v>
      </c>
      <c r="D2820" s="6">
        <f>IFERROR(__xludf.DUMMYFUNCTION("""COMPUTED_VALUE"""),45704.0)</f>
        <v>45704</v>
      </c>
      <c r="E2820" s="7" t="str">
        <f>IFERROR(__xludf.DUMMYFUNCTION("""COMPUTED_VALUE"""),"FRANQUIA_D&amp;G_SP")</f>
        <v>FRANQUIA_D&amp;G_SP</v>
      </c>
      <c r="F2820" s="7" t="str">
        <f>IFERROR(__xludf.DUMMYFUNCTION("""COMPUTED_VALUE"""),"MOTORCYCLE")</f>
        <v>MOTORCYCLE</v>
      </c>
      <c r="G2820" s="7" t="str">
        <f>IFERROR(__xludf.DUMMYFUNCTION("""COMPUTED_VALUE"""),"SAO PAULO")</f>
        <v>SAO PAULO</v>
      </c>
    </row>
    <row r="2821">
      <c r="A2821" s="6">
        <f>IFERROR(__xludf.DUMMYFUNCTION("""COMPUTED_VALUE"""),45705.0)</f>
        <v>45705</v>
      </c>
      <c r="B2821" s="7" t="str">
        <f>IFERROR(__xludf.DUMMYFUNCTION("""COMPUTED_VALUE"""),"56a2e2e5-e3ee-49ef-adb9-e714d9de15fa")</f>
        <v>56a2e2e5-e3ee-49ef-adb9-e714d9de15fa</v>
      </c>
      <c r="C2821" s="7">
        <f>IFERROR(__xludf.DUMMYFUNCTION("""COMPUTED_VALUE"""),9.0)</f>
        <v>9</v>
      </c>
      <c r="D2821" s="6">
        <f>IFERROR(__xludf.DUMMYFUNCTION("""COMPUTED_VALUE"""),45696.0)</f>
        <v>45696</v>
      </c>
      <c r="E2821" s="7" t="str">
        <f>IFERROR(__xludf.DUMMYFUNCTION("""COMPUTED_VALUE"""),"FRANQUIA_D&amp;G_SP")</f>
        <v>FRANQUIA_D&amp;G_SP</v>
      </c>
      <c r="F2821" s="7" t="str">
        <f>IFERROR(__xludf.DUMMYFUNCTION("""COMPUTED_VALUE"""),"BICYCLE")</f>
        <v>BICYCLE</v>
      </c>
      <c r="G2821" s="7" t="str">
        <f>IFERROR(__xludf.DUMMYFUNCTION("""COMPUTED_VALUE"""),"SAO PAULO")</f>
        <v>SAO PAULO</v>
      </c>
    </row>
    <row r="2822">
      <c r="A2822" s="6">
        <f>IFERROR(__xludf.DUMMYFUNCTION("""COMPUTED_VALUE"""),45705.0)</f>
        <v>45705</v>
      </c>
      <c r="B2822" s="7" t="str">
        <f>IFERROR(__xludf.DUMMYFUNCTION("""COMPUTED_VALUE"""),"fdbe76e7-cb3f-4b99-bda1-ee2121038ed5")</f>
        <v>fdbe76e7-cb3f-4b99-bda1-ee2121038ed5</v>
      </c>
      <c r="C2822" s="7">
        <f>IFERROR(__xludf.DUMMYFUNCTION("""COMPUTED_VALUE"""),44.0)</f>
        <v>44</v>
      </c>
      <c r="D2822" s="6">
        <f>IFERROR(__xludf.DUMMYFUNCTION("""COMPUTED_VALUE"""),45661.0)</f>
        <v>45661</v>
      </c>
      <c r="E2822" s="7" t="str">
        <f>IFERROR(__xludf.DUMMYFUNCTION("""COMPUTED_VALUE"""),"FRANQUIA_D&amp;G_SP")</f>
        <v>FRANQUIA_D&amp;G_SP</v>
      </c>
      <c r="F2822" s="7" t="str">
        <f>IFERROR(__xludf.DUMMYFUNCTION("""COMPUTED_VALUE"""),"MOTORCYCLE")</f>
        <v>MOTORCYCLE</v>
      </c>
      <c r="G2822" s="7" t="str">
        <f>IFERROR(__xludf.DUMMYFUNCTION("""COMPUTED_VALUE"""),"TABOAO DA SERRA")</f>
        <v>TABOAO DA SERRA</v>
      </c>
    </row>
    <row r="2823">
      <c r="A2823" s="6">
        <f>IFERROR(__xludf.DUMMYFUNCTION("""COMPUTED_VALUE"""),45705.0)</f>
        <v>45705</v>
      </c>
      <c r="B2823" s="7" t="str">
        <f>IFERROR(__xludf.DUMMYFUNCTION("""COMPUTED_VALUE"""),"7c869683-4ce6-4933-bed4-3d9b12fa25fb")</f>
        <v>7c869683-4ce6-4933-bed4-3d9b12fa25fb</v>
      </c>
      <c r="C2823" s="7">
        <f>IFERROR(__xludf.DUMMYFUNCTION("""COMPUTED_VALUE"""),3.0)</f>
        <v>3</v>
      </c>
      <c r="D2823" s="6">
        <f>IFERROR(__xludf.DUMMYFUNCTION("""COMPUTED_VALUE"""),45702.0)</f>
        <v>45702</v>
      </c>
      <c r="E2823" s="7" t="str">
        <f>IFERROR(__xludf.DUMMYFUNCTION("""COMPUTED_VALUE"""),"FRANQUIA_D&amp;G_SP")</f>
        <v>FRANQUIA_D&amp;G_SP</v>
      </c>
      <c r="F2823" s="7" t="str">
        <f>IFERROR(__xludf.DUMMYFUNCTION("""COMPUTED_VALUE"""),"MOTORCYCLE")</f>
        <v>MOTORCYCLE</v>
      </c>
      <c r="G2823" s="7" t="str">
        <f>IFERROR(__xludf.DUMMYFUNCTION("""COMPUTED_VALUE"""),"SAO PAULO")</f>
        <v>SAO PAULO</v>
      </c>
    </row>
    <row r="2824">
      <c r="A2824" s="6">
        <f>IFERROR(__xludf.DUMMYFUNCTION("""COMPUTED_VALUE"""),45705.0)</f>
        <v>45705</v>
      </c>
      <c r="B2824" s="7" t="str">
        <f>IFERROR(__xludf.DUMMYFUNCTION("""COMPUTED_VALUE"""),"e7d48d2a-419e-449e-9ba3-f411d7d3463b")</f>
        <v>e7d48d2a-419e-449e-9ba3-f411d7d3463b</v>
      </c>
      <c r="C2824" s="7">
        <f>IFERROR(__xludf.DUMMYFUNCTION("""COMPUTED_VALUE"""),0.0)</f>
        <v>0</v>
      </c>
      <c r="D2824" s="6">
        <f>IFERROR(__xludf.DUMMYFUNCTION("""COMPUTED_VALUE"""),45705.0)</f>
        <v>45705</v>
      </c>
      <c r="E2824" s="7" t="str">
        <f>IFERROR(__xludf.DUMMYFUNCTION("""COMPUTED_VALUE"""),"FRANQUIA_D&amp;G_SP")</f>
        <v>FRANQUIA_D&amp;G_SP</v>
      </c>
      <c r="F2824" s="7" t="str">
        <f>IFERROR(__xludf.DUMMYFUNCTION("""COMPUTED_VALUE"""),"BICYCLE")</f>
        <v>BICYCLE</v>
      </c>
      <c r="G2824" s="7" t="str">
        <f>IFERROR(__xludf.DUMMYFUNCTION("""COMPUTED_VALUE"""),"SAO PAULO")</f>
        <v>SAO PAULO</v>
      </c>
    </row>
    <row r="2825">
      <c r="A2825" s="6">
        <f>IFERROR(__xludf.DUMMYFUNCTION("""COMPUTED_VALUE"""),45705.0)</f>
        <v>45705</v>
      </c>
      <c r="B2825" s="7" t="str">
        <f>IFERROR(__xludf.DUMMYFUNCTION("""COMPUTED_VALUE"""),"5c7caa2b-c274-4c91-955e-5fa46fda7ccb")</f>
        <v>5c7caa2b-c274-4c91-955e-5fa46fda7ccb</v>
      </c>
      <c r="C2825" s="7">
        <f>IFERROR(__xludf.DUMMYFUNCTION("""COMPUTED_VALUE"""),0.0)</f>
        <v>0</v>
      </c>
      <c r="D2825" s="6">
        <f>IFERROR(__xludf.DUMMYFUNCTION("""COMPUTED_VALUE"""),45705.0)</f>
        <v>45705</v>
      </c>
      <c r="E2825" s="7" t="str">
        <f>IFERROR(__xludf.DUMMYFUNCTION("""COMPUTED_VALUE"""),"FRANQUIA_D&amp;G_SP")</f>
        <v>FRANQUIA_D&amp;G_SP</v>
      </c>
      <c r="F2825" s="7" t="str">
        <f>IFERROR(__xludf.DUMMYFUNCTION("""COMPUTED_VALUE"""),"EMOTORCYCLE")</f>
        <v>EMOTORCYCLE</v>
      </c>
      <c r="G2825" s="7" t="str">
        <f>IFERROR(__xludf.DUMMYFUNCTION("""COMPUTED_VALUE"""),"SAO PAULO")</f>
        <v>SAO PAULO</v>
      </c>
    </row>
    <row r="2826">
      <c r="A2826" s="6">
        <f>IFERROR(__xludf.DUMMYFUNCTION("""COMPUTED_VALUE"""),45705.0)</f>
        <v>45705</v>
      </c>
      <c r="B2826" s="7" t="str">
        <f>IFERROR(__xludf.DUMMYFUNCTION("""COMPUTED_VALUE"""),"6de4896f-4017-44a7-aef2-49d89f9f9457")</f>
        <v>6de4896f-4017-44a7-aef2-49d89f9f9457</v>
      </c>
      <c r="C2826" s="7">
        <f>IFERROR(__xludf.DUMMYFUNCTION("""COMPUTED_VALUE"""),0.0)</f>
        <v>0</v>
      </c>
      <c r="D2826" s="6">
        <f>IFERROR(__xludf.DUMMYFUNCTION("""COMPUTED_VALUE"""),45705.0)</f>
        <v>45705</v>
      </c>
      <c r="E2826" s="7" t="str">
        <f>IFERROR(__xludf.DUMMYFUNCTION("""COMPUTED_VALUE"""),"FRANQUIA_D&amp;G_SP")</f>
        <v>FRANQUIA_D&amp;G_SP</v>
      </c>
      <c r="F2826" s="7" t="str">
        <f>IFERROR(__xludf.DUMMYFUNCTION("""COMPUTED_VALUE"""),"EBIKE")</f>
        <v>EBIKE</v>
      </c>
      <c r="G2826" s="7" t="str">
        <f>IFERROR(__xludf.DUMMYFUNCTION("""COMPUTED_VALUE"""),"SAO PAULO")</f>
        <v>SAO PAULO</v>
      </c>
    </row>
    <row r="2827">
      <c r="A2827" s="6">
        <f>IFERROR(__xludf.DUMMYFUNCTION("""COMPUTED_VALUE"""),45705.0)</f>
        <v>45705</v>
      </c>
      <c r="B2827" s="7" t="str">
        <f>IFERROR(__xludf.DUMMYFUNCTION("""COMPUTED_VALUE"""),"9b6efcf0-9c85-41a6-bdc8-51c77c2f922a")</f>
        <v>9b6efcf0-9c85-41a6-bdc8-51c77c2f922a</v>
      </c>
      <c r="C2827" s="7">
        <f>IFERROR(__xludf.DUMMYFUNCTION("""COMPUTED_VALUE"""),65.0)</f>
        <v>65</v>
      </c>
      <c r="D2827" s="6">
        <f>IFERROR(__xludf.DUMMYFUNCTION("""COMPUTED_VALUE"""),45640.0)</f>
        <v>45640</v>
      </c>
      <c r="E2827" s="7" t="str">
        <f>IFERROR(__xludf.DUMMYFUNCTION("""COMPUTED_VALUE"""),"FRANQUIA_D&amp;G_SP")</f>
        <v>FRANQUIA_D&amp;G_SP</v>
      </c>
      <c r="F2827" s="7" t="str">
        <f>IFERROR(__xludf.DUMMYFUNCTION("""COMPUTED_VALUE"""),"MOTORCYCLE")</f>
        <v>MOTORCYCLE</v>
      </c>
      <c r="G2827" s="7" t="str">
        <f>IFERROR(__xludf.DUMMYFUNCTION("""COMPUTED_VALUE"""),"SAO PAULO")</f>
        <v>SAO PAULO</v>
      </c>
    </row>
    <row r="2828">
      <c r="A2828" s="6">
        <f>IFERROR(__xludf.DUMMYFUNCTION("""COMPUTED_VALUE"""),45705.0)</f>
        <v>45705</v>
      </c>
      <c r="B2828" s="7" t="str">
        <f>IFERROR(__xludf.DUMMYFUNCTION("""COMPUTED_VALUE"""),"ae9ed1c9-da74-4e2e-b5b2-7e4ebd8acae9")</f>
        <v>ae9ed1c9-da74-4e2e-b5b2-7e4ebd8acae9</v>
      </c>
      <c r="C2828" s="7">
        <f>IFERROR(__xludf.DUMMYFUNCTION("""COMPUTED_VALUE"""),14.0)</f>
        <v>14</v>
      </c>
      <c r="D2828" s="6">
        <f>IFERROR(__xludf.DUMMYFUNCTION("""COMPUTED_VALUE"""),45691.0)</f>
        <v>45691</v>
      </c>
      <c r="E2828" s="7" t="str">
        <f>IFERROR(__xludf.DUMMYFUNCTION("""COMPUTED_VALUE"""),"FRANQUIA_D&amp;G_SP")</f>
        <v>FRANQUIA_D&amp;G_SP</v>
      </c>
      <c r="F2828" s="7" t="str">
        <f>IFERROR(__xludf.DUMMYFUNCTION("""COMPUTED_VALUE"""),"BICYCLE")</f>
        <v>BICYCLE</v>
      </c>
      <c r="G2828" s="7" t="str">
        <f>IFERROR(__xludf.DUMMYFUNCTION("""COMPUTED_VALUE"""),"SAO PAULO")</f>
        <v>SAO PAULO</v>
      </c>
    </row>
    <row r="2829">
      <c r="A2829" s="6">
        <f>IFERROR(__xludf.DUMMYFUNCTION("""COMPUTED_VALUE"""),45705.0)</f>
        <v>45705</v>
      </c>
      <c r="B2829" s="7" t="str">
        <f>IFERROR(__xludf.DUMMYFUNCTION("""COMPUTED_VALUE"""),"ea4c18d0-4a94-4355-bdd9-c263f5ef3c71")</f>
        <v>ea4c18d0-4a94-4355-bdd9-c263f5ef3c71</v>
      </c>
      <c r="C2829" s="7">
        <f>IFERROR(__xludf.DUMMYFUNCTION("""COMPUTED_VALUE"""),0.0)</f>
        <v>0</v>
      </c>
      <c r="D2829" s="6">
        <f>IFERROR(__xludf.DUMMYFUNCTION("""COMPUTED_VALUE"""),0.0)</f>
        <v>0</v>
      </c>
      <c r="E2829" s="7" t="str">
        <f>IFERROR(__xludf.DUMMYFUNCTION("""COMPUTED_VALUE"""),"FRANQUIA_D&amp;G_SP")</f>
        <v>FRANQUIA_D&amp;G_SP</v>
      </c>
      <c r="F2829" s="7" t="str">
        <f>IFERROR(__xludf.DUMMYFUNCTION("""COMPUTED_VALUE"""),"BICYCLE")</f>
        <v>BICYCLE</v>
      </c>
      <c r="G2829" s="7" t="str">
        <f>IFERROR(__xludf.DUMMYFUNCTION("""COMPUTED_VALUE"""),"0")</f>
        <v>0</v>
      </c>
    </row>
    <row r="2830">
      <c r="A2830" s="6">
        <f>IFERROR(__xludf.DUMMYFUNCTION("""COMPUTED_VALUE"""),45705.0)</f>
        <v>45705</v>
      </c>
      <c r="B2830" s="7" t="str">
        <f>IFERROR(__xludf.DUMMYFUNCTION("""COMPUTED_VALUE"""),"2087648a-8854-4f36-9dea-6736709aa8f4")</f>
        <v>2087648a-8854-4f36-9dea-6736709aa8f4</v>
      </c>
      <c r="C2830" s="7">
        <f>IFERROR(__xludf.DUMMYFUNCTION("""COMPUTED_VALUE"""),200.0)</f>
        <v>200</v>
      </c>
      <c r="D2830" s="6">
        <f>IFERROR(__xludf.DUMMYFUNCTION("""COMPUTED_VALUE"""),45505.0)</f>
        <v>45505</v>
      </c>
      <c r="E2830" s="7" t="str">
        <f>IFERROR(__xludf.DUMMYFUNCTION("""COMPUTED_VALUE"""),"FRANQUIA_D&amp;G_SP")</f>
        <v>FRANQUIA_D&amp;G_SP</v>
      </c>
      <c r="F2830" s="7" t="str">
        <f>IFERROR(__xludf.DUMMYFUNCTION("""COMPUTED_VALUE"""),"BICYCLE")</f>
        <v>BICYCLE</v>
      </c>
      <c r="G2830" s="7" t="str">
        <f>IFERROR(__xludf.DUMMYFUNCTION("""COMPUTED_VALUE"""),"SAO PAULO")</f>
        <v>SAO PAULO</v>
      </c>
    </row>
    <row r="2831">
      <c r="A2831" s="6">
        <f>IFERROR(__xludf.DUMMYFUNCTION("""COMPUTED_VALUE"""),45705.0)</f>
        <v>45705</v>
      </c>
      <c r="B2831" s="7" t="str">
        <f>IFERROR(__xludf.DUMMYFUNCTION("""COMPUTED_VALUE"""),"8ad058b5-1e0e-43d8-a50d-0c5fe69406a7")</f>
        <v>8ad058b5-1e0e-43d8-a50d-0c5fe69406a7</v>
      </c>
      <c r="C2831" s="7">
        <f>IFERROR(__xludf.DUMMYFUNCTION("""COMPUTED_VALUE"""),1.0)</f>
        <v>1</v>
      </c>
      <c r="D2831" s="6">
        <f>IFERROR(__xludf.DUMMYFUNCTION("""COMPUTED_VALUE"""),45704.0)</f>
        <v>45704</v>
      </c>
      <c r="E2831" s="7" t="str">
        <f>IFERROR(__xludf.DUMMYFUNCTION("""COMPUTED_VALUE"""),"FRANQUIA_D&amp;G_SP")</f>
        <v>FRANQUIA_D&amp;G_SP</v>
      </c>
      <c r="F2831" s="7" t="str">
        <f>IFERROR(__xludf.DUMMYFUNCTION("""COMPUTED_VALUE"""),"BICYCLE")</f>
        <v>BICYCLE</v>
      </c>
      <c r="G2831" s="7" t="str">
        <f>IFERROR(__xludf.DUMMYFUNCTION("""COMPUTED_VALUE"""),"SAO PAULO")</f>
        <v>SAO PAULO</v>
      </c>
    </row>
    <row r="2832">
      <c r="A2832" s="6">
        <f>IFERROR(__xludf.DUMMYFUNCTION("""COMPUTED_VALUE"""),45705.0)</f>
        <v>45705</v>
      </c>
      <c r="B2832" s="7" t="str">
        <f>IFERROR(__xludf.DUMMYFUNCTION("""COMPUTED_VALUE"""),"171f900f-ef1d-4443-89b5-177f69c0038c")</f>
        <v>171f900f-ef1d-4443-89b5-177f69c0038c</v>
      </c>
      <c r="C2832" s="7">
        <f>IFERROR(__xludf.DUMMYFUNCTION("""COMPUTED_VALUE"""),1.0)</f>
        <v>1</v>
      </c>
      <c r="D2832" s="6">
        <f>IFERROR(__xludf.DUMMYFUNCTION("""COMPUTED_VALUE"""),45704.0)</f>
        <v>45704</v>
      </c>
      <c r="E2832" s="7" t="str">
        <f>IFERROR(__xludf.DUMMYFUNCTION("""COMPUTED_VALUE"""),"FRANQUIA_D&amp;G_SP")</f>
        <v>FRANQUIA_D&amp;G_SP</v>
      </c>
      <c r="F2832" s="7" t="str">
        <f>IFERROR(__xludf.DUMMYFUNCTION("""COMPUTED_VALUE"""),"EBIKE")</f>
        <v>EBIKE</v>
      </c>
      <c r="G2832" s="7" t="str">
        <f>IFERROR(__xludf.DUMMYFUNCTION("""COMPUTED_VALUE"""),"SAO PAULO")</f>
        <v>SAO PAULO</v>
      </c>
    </row>
    <row r="2833">
      <c r="A2833" s="6">
        <f>IFERROR(__xludf.DUMMYFUNCTION("""COMPUTED_VALUE"""),45705.0)</f>
        <v>45705</v>
      </c>
      <c r="B2833" s="7" t="str">
        <f>IFERROR(__xludf.DUMMYFUNCTION("""COMPUTED_VALUE"""),"8703b5ac-df5b-49fb-b315-592d7808764a")</f>
        <v>8703b5ac-df5b-49fb-b315-592d7808764a</v>
      </c>
      <c r="C2833" s="7">
        <f>IFERROR(__xludf.DUMMYFUNCTION("""COMPUTED_VALUE"""),0.0)</f>
        <v>0</v>
      </c>
      <c r="D2833" s="6">
        <f>IFERROR(__xludf.DUMMYFUNCTION("""COMPUTED_VALUE"""),45705.0)</f>
        <v>45705</v>
      </c>
      <c r="E2833" s="7" t="str">
        <f>IFERROR(__xludf.DUMMYFUNCTION("""COMPUTED_VALUE"""),"FRANQUIA_D&amp;G_SP")</f>
        <v>FRANQUIA_D&amp;G_SP</v>
      </c>
      <c r="F2833" s="7" t="str">
        <f>IFERROR(__xludf.DUMMYFUNCTION("""COMPUTED_VALUE"""),"MOTORCYCLE")</f>
        <v>MOTORCYCLE</v>
      </c>
      <c r="G2833" s="7" t="str">
        <f>IFERROR(__xludf.DUMMYFUNCTION("""COMPUTED_VALUE"""),"SAO PAULO")</f>
        <v>SAO PAULO</v>
      </c>
    </row>
    <row r="2834">
      <c r="A2834" s="6">
        <f>IFERROR(__xludf.DUMMYFUNCTION("""COMPUTED_VALUE"""),45705.0)</f>
        <v>45705</v>
      </c>
      <c r="B2834" s="7" t="str">
        <f>IFERROR(__xludf.DUMMYFUNCTION("""COMPUTED_VALUE"""),"d7f24100-7edd-47c0-a486-16a29f117738")</f>
        <v>d7f24100-7edd-47c0-a486-16a29f117738</v>
      </c>
      <c r="C2834" s="7">
        <f>IFERROR(__xludf.DUMMYFUNCTION("""COMPUTED_VALUE"""),0.0)</f>
        <v>0</v>
      </c>
      <c r="D2834" s="6">
        <f>IFERROR(__xludf.DUMMYFUNCTION("""COMPUTED_VALUE"""),45705.0)</f>
        <v>45705</v>
      </c>
      <c r="E2834" s="7" t="str">
        <f>IFERROR(__xludf.DUMMYFUNCTION("""COMPUTED_VALUE"""),"FRANQUIA_D&amp;G_SP")</f>
        <v>FRANQUIA_D&amp;G_SP</v>
      </c>
      <c r="F2834" s="7" t="str">
        <f>IFERROR(__xludf.DUMMYFUNCTION("""COMPUTED_VALUE"""),"BICYCLE")</f>
        <v>BICYCLE</v>
      </c>
      <c r="G2834" s="7" t="str">
        <f>IFERROR(__xludf.DUMMYFUNCTION("""COMPUTED_VALUE"""),"SAO PAULO")</f>
        <v>SAO PAULO</v>
      </c>
    </row>
    <row r="2835">
      <c r="A2835" s="6">
        <f>IFERROR(__xludf.DUMMYFUNCTION("""COMPUTED_VALUE"""),45705.0)</f>
        <v>45705</v>
      </c>
      <c r="B2835" s="7" t="str">
        <f>IFERROR(__xludf.DUMMYFUNCTION("""COMPUTED_VALUE"""),"676e3bb9-4399-4233-9f9f-d05d375c3911")</f>
        <v>676e3bb9-4399-4233-9f9f-d05d375c3911</v>
      </c>
      <c r="C2835" s="7">
        <f>IFERROR(__xludf.DUMMYFUNCTION("""COMPUTED_VALUE"""),0.0)</f>
        <v>0</v>
      </c>
      <c r="D2835" s="6">
        <f>IFERROR(__xludf.DUMMYFUNCTION("""COMPUTED_VALUE"""),45705.0)</f>
        <v>45705</v>
      </c>
      <c r="E2835" s="7" t="str">
        <f>IFERROR(__xludf.DUMMYFUNCTION("""COMPUTED_VALUE"""),"FRANQUIA_D&amp;G_SP")</f>
        <v>FRANQUIA_D&amp;G_SP</v>
      </c>
      <c r="F2835" s="7" t="str">
        <f>IFERROR(__xludf.DUMMYFUNCTION("""COMPUTED_VALUE"""),"EBIKE")</f>
        <v>EBIKE</v>
      </c>
      <c r="G2835" s="7" t="str">
        <f>IFERROR(__xludf.DUMMYFUNCTION("""COMPUTED_VALUE"""),"SAO PAULO")</f>
        <v>SAO PAULO</v>
      </c>
    </row>
    <row r="2836">
      <c r="A2836" s="6">
        <f>IFERROR(__xludf.DUMMYFUNCTION("""COMPUTED_VALUE"""),45705.0)</f>
        <v>45705</v>
      </c>
      <c r="B2836" s="7" t="str">
        <f>IFERROR(__xludf.DUMMYFUNCTION("""COMPUTED_VALUE"""),"e802841c-121d-407f-9562-fe969a18b553")</f>
        <v>e802841c-121d-407f-9562-fe969a18b553</v>
      </c>
      <c r="C2836" s="7">
        <f>IFERROR(__xludf.DUMMYFUNCTION("""COMPUTED_VALUE"""),58.0)</f>
        <v>58</v>
      </c>
      <c r="D2836" s="6">
        <f>IFERROR(__xludf.DUMMYFUNCTION("""COMPUTED_VALUE"""),45647.0)</f>
        <v>45647</v>
      </c>
      <c r="E2836" s="7" t="str">
        <f>IFERROR(__xludf.DUMMYFUNCTION("""COMPUTED_VALUE"""),"FRANQUIA_D&amp;G_SP")</f>
        <v>FRANQUIA_D&amp;G_SP</v>
      </c>
      <c r="F2836" s="7" t="str">
        <f>IFERROR(__xludf.DUMMYFUNCTION("""COMPUTED_VALUE"""),"BICYCLE")</f>
        <v>BICYCLE</v>
      </c>
      <c r="G2836" s="7" t="str">
        <f>IFERROR(__xludf.DUMMYFUNCTION("""COMPUTED_VALUE"""),"SAO PAULO")</f>
        <v>SAO PAULO</v>
      </c>
    </row>
    <row r="2837">
      <c r="A2837" s="6">
        <f>IFERROR(__xludf.DUMMYFUNCTION("""COMPUTED_VALUE"""),45705.0)</f>
        <v>45705</v>
      </c>
      <c r="B2837" s="7" t="str">
        <f>IFERROR(__xludf.DUMMYFUNCTION("""COMPUTED_VALUE"""),"eae7b99e-5667-4454-aaed-f50165e0ea9d")</f>
        <v>eae7b99e-5667-4454-aaed-f50165e0ea9d</v>
      </c>
      <c r="C2837" s="7">
        <f>IFERROR(__xludf.DUMMYFUNCTION("""COMPUTED_VALUE"""),2.0)</f>
        <v>2</v>
      </c>
      <c r="D2837" s="6">
        <f>IFERROR(__xludf.DUMMYFUNCTION("""COMPUTED_VALUE"""),45703.0)</f>
        <v>45703</v>
      </c>
      <c r="E2837" s="7" t="str">
        <f>IFERROR(__xludf.DUMMYFUNCTION("""COMPUTED_VALUE"""),"FRANQUIA_D&amp;G_SP")</f>
        <v>FRANQUIA_D&amp;G_SP</v>
      </c>
      <c r="F2837" s="7" t="str">
        <f>IFERROR(__xludf.DUMMYFUNCTION("""COMPUTED_VALUE"""),"BICYCLE")</f>
        <v>BICYCLE</v>
      </c>
      <c r="G2837" s="7" t="str">
        <f>IFERROR(__xludf.DUMMYFUNCTION("""COMPUTED_VALUE"""),"SAO PAULO")</f>
        <v>SAO PAULO</v>
      </c>
    </row>
    <row r="2838">
      <c r="A2838" s="6">
        <f>IFERROR(__xludf.DUMMYFUNCTION("""COMPUTED_VALUE"""),45705.0)</f>
        <v>45705</v>
      </c>
      <c r="B2838" s="7" t="str">
        <f>IFERROR(__xludf.DUMMYFUNCTION("""COMPUTED_VALUE"""),"33f4ee50-fa23-498e-972a-efcc4993f881")</f>
        <v>33f4ee50-fa23-498e-972a-efcc4993f881</v>
      </c>
      <c r="C2838" s="7">
        <f>IFERROR(__xludf.DUMMYFUNCTION("""COMPUTED_VALUE"""),2.0)</f>
        <v>2</v>
      </c>
      <c r="D2838" s="6">
        <f>IFERROR(__xludf.DUMMYFUNCTION("""COMPUTED_VALUE"""),45703.0)</f>
        <v>45703</v>
      </c>
      <c r="E2838" s="7" t="str">
        <f>IFERROR(__xludf.DUMMYFUNCTION("""COMPUTED_VALUE"""),"FRANQUIA_D&amp;G_SP")</f>
        <v>FRANQUIA_D&amp;G_SP</v>
      </c>
      <c r="F2838" s="7" t="str">
        <f>IFERROR(__xludf.DUMMYFUNCTION("""COMPUTED_VALUE"""),"MOTORCYCLE")</f>
        <v>MOTORCYCLE</v>
      </c>
      <c r="G2838" s="7" t="str">
        <f>IFERROR(__xludf.DUMMYFUNCTION("""COMPUTED_VALUE"""),"ABC")</f>
        <v>ABC</v>
      </c>
    </row>
    <row r="2839">
      <c r="A2839" s="6">
        <f>IFERROR(__xludf.DUMMYFUNCTION("""COMPUTED_VALUE"""),45705.0)</f>
        <v>45705</v>
      </c>
      <c r="B2839" s="7" t="str">
        <f>IFERROR(__xludf.DUMMYFUNCTION("""COMPUTED_VALUE"""),"c71c4971-22e1-42bf-a6c8-a0e9a0dcc488")</f>
        <v>c71c4971-22e1-42bf-a6c8-a0e9a0dcc488</v>
      </c>
      <c r="C2839" s="7">
        <f>IFERROR(__xludf.DUMMYFUNCTION("""COMPUTED_VALUE"""),0.0)</f>
        <v>0</v>
      </c>
      <c r="D2839" s="6">
        <f>IFERROR(__xludf.DUMMYFUNCTION("""COMPUTED_VALUE"""),45705.0)</f>
        <v>45705</v>
      </c>
      <c r="E2839" s="7" t="str">
        <f>IFERROR(__xludf.DUMMYFUNCTION("""COMPUTED_VALUE"""),"FRANQUIA_D&amp;G_SP")</f>
        <v>FRANQUIA_D&amp;G_SP</v>
      </c>
      <c r="F2839" s="7" t="str">
        <f>IFERROR(__xludf.DUMMYFUNCTION("""COMPUTED_VALUE"""),"MOTORCYCLE")</f>
        <v>MOTORCYCLE</v>
      </c>
      <c r="G2839" s="7" t="str">
        <f>IFERROR(__xludf.DUMMYFUNCTION("""COMPUTED_VALUE"""),"SAO PAULO")</f>
        <v>SAO PAULO</v>
      </c>
    </row>
    <row r="2840">
      <c r="A2840" s="6">
        <f>IFERROR(__xludf.DUMMYFUNCTION("""COMPUTED_VALUE"""),45705.0)</f>
        <v>45705</v>
      </c>
      <c r="B2840" s="7" t="str">
        <f>IFERROR(__xludf.DUMMYFUNCTION("""COMPUTED_VALUE"""),"25c27522-17f1-466b-a5d6-15e6dc830a63")</f>
        <v>25c27522-17f1-466b-a5d6-15e6dc830a63</v>
      </c>
      <c r="C2840" s="7">
        <f>IFERROR(__xludf.DUMMYFUNCTION("""COMPUTED_VALUE"""),0.0)</f>
        <v>0</v>
      </c>
      <c r="D2840" s="6">
        <f>IFERROR(__xludf.DUMMYFUNCTION("""COMPUTED_VALUE"""),45705.0)</f>
        <v>45705</v>
      </c>
      <c r="E2840" s="7" t="str">
        <f>IFERROR(__xludf.DUMMYFUNCTION("""COMPUTED_VALUE"""),"FRANQUIA_D&amp;G_SP")</f>
        <v>FRANQUIA_D&amp;G_SP</v>
      </c>
      <c r="F2840" s="7" t="str">
        <f>IFERROR(__xludf.DUMMYFUNCTION("""COMPUTED_VALUE"""),"MOTORCYCLE")</f>
        <v>MOTORCYCLE</v>
      </c>
      <c r="G2840" s="7" t="str">
        <f>IFERROR(__xludf.DUMMYFUNCTION("""COMPUTED_VALUE"""),"SAO PAULO")</f>
        <v>SAO PAULO</v>
      </c>
    </row>
    <row r="2841">
      <c r="A2841" s="6">
        <f>IFERROR(__xludf.DUMMYFUNCTION("""COMPUTED_VALUE"""),45705.0)</f>
        <v>45705</v>
      </c>
      <c r="B2841" s="7" t="str">
        <f>IFERROR(__xludf.DUMMYFUNCTION("""COMPUTED_VALUE"""),"6eecdf2a-28ee-4edc-902d-f82c98e55691")</f>
        <v>6eecdf2a-28ee-4edc-902d-f82c98e55691</v>
      </c>
      <c r="C2841" s="7">
        <f>IFERROR(__xludf.DUMMYFUNCTION("""COMPUTED_VALUE"""),0.0)</f>
        <v>0</v>
      </c>
      <c r="D2841" s="6">
        <f>IFERROR(__xludf.DUMMYFUNCTION("""COMPUTED_VALUE"""),45705.0)</f>
        <v>45705</v>
      </c>
      <c r="E2841" s="7" t="str">
        <f>IFERROR(__xludf.DUMMYFUNCTION("""COMPUTED_VALUE"""),"FRANQUIA_D&amp;G_SP")</f>
        <v>FRANQUIA_D&amp;G_SP</v>
      </c>
      <c r="F2841" s="7" t="str">
        <f>IFERROR(__xludf.DUMMYFUNCTION("""COMPUTED_VALUE"""),"MOTORCYCLE")</f>
        <v>MOTORCYCLE</v>
      </c>
      <c r="G2841" s="7" t="str">
        <f>IFERROR(__xludf.DUMMYFUNCTION("""COMPUTED_VALUE"""),"SAO PAULO")</f>
        <v>SAO PAULO</v>
      </c>
    </row>
    <row r="2842">
      <c r="A2842" s="6">
        <f>IFERROR(__xludf.DUMMYFUNCTION("""COMPUTED_VALUE"""),45705.0)</f>
        <v>45705</v>
      </c>
      <c r="B2842" s="7" t="str">
        <f>IFERROR(__xludf.DUMMYFUNCTION("""COMPUTED_VALUE"""),"008aceb3-ec1c-46bf-9c0e-1842f3bfab32")</f>
        <v>008aceb3-ec1c-46bf-9c0e-1842f3bfab32</v>
      </c>
      <c r="C2842" s="7">
        <f>IFERROR(__xludf.DUMMYFUNCTION("""COMPUTED_VALUE"""),0.0)</f>
        <v>0</v>
      </c>
      <c r="D2842" s="6">
        <f>IFERROR(__xludf.DUMMYFUNCTION("""COMPUTED_VALUE"""),45705.0)</f>
        <v>45705</v>
      </c>
      <c r="E2842" s="7" t="str">
        <f>IFERROR(__xludf.DUMMYFUNCTION("""COMPUTED_VALUE"""),"FRANQUIA_D&amp;G_SP")</f>
        <v>FRANQUIA_D&amp;G_SP</v>
      </c>
      <c r="F2842" s="7" t="str">
        <f>IFERROR(__xludf.DUMMYFUNCTION("""COMPUTED_VALUE"""),"MOTORCYCLE")</f>
        <v>MOTORCYCLE</v>
      </c>
      <c r="G2842" s="7" t="str">
        <f>IFERROR(__xludf.DUMMYFUNCTION("""COMPUTED_VALUE"""),"SAO PAULO")</f>
        <v>SAO PAULO</v>
      </c>
    </row>
    <row r="2843">
      <c r="A2843" s="6">
        <f>IFERROR(__xludf.DUMMYFUNCTION("""COMPUTED_VALUE"""),45705.0)</f>
        <v>45705</v>
      </c>
      <c r="B2843" s="7" t="str">
        <f>IFERROR(__xludf.DUMMYFUNCTION("""COMPUTED_VALUE"""),"abb311fb-b071-4085-b854-5b88313f642d")</f>
        <v>abb311fb-b071-4085-b854-5b88313f642d</v>
      </c>
      <c r="C2843" s="7">
        <f>IFERROR(__xludf.DUMMYFUNCTION("""COMPUTED_VALUE"""),0.0)</f>
        <v>0</v>
      </c>
      <c r="D2843" s="6">
        <f>IFERROR(__xludf.DUMMYFUNCTION("""COMPUTED_VALUE"""),0.0)</f>
        <v>0</v>
      </c>
      <c r="E2843" s="7" t="str">
        <f>IFERROR(__xludf.DUMMYFUNCTION("""COMPUTED_VALUE"""),"FRANQUIA_D&amp;G_SP")</f>
        <v>FRANQUIA_D&amp;G_SP</v>
      </c>
      <c r="F2843" s="7" t="str">
        <f>IFERROR(__xludf.DUMMYFUNCTION("""COMPUTED_VALUE"""),"MOTORCYCLE")</f>
        <v>MOTORCYCLE</v>
      </c>
      <c r="G2843" s="7" t="str">
        <f>IFERROR(__xludf.DUMMYFUNCTION("""COMPUTED_VALUE"""),"0")</f>
        <v>0</v>
      </c>
    </row>
    <row r="2844">
      <c r="A2844" s="6">
        <f>IFERROR(__xludf.DUMMYFUNCTION("""COMPUTED_VALUE"""),45705.0)</f>
        <v>45705</v>
      </c>
      <c r="B2844" s="7" t="str">
        <f>IFERROR(__xludf.DUMMYFUNCTION("""COMPUTED_VALUE"""),"f756b0e5-6e6d-483f-a564-c1d491b0aea7")</f>
        <v>f756b0e5-6e6d-483f-a564-c1d491b0aea7</v>
      </c>
      <c r="C2844" s="7">
        <f>IFERROR(__xludf.DUMMYFUNCTION("""COMPUTED_VALUE"""),0.0)</f>
        <v>0</v>
      </c>
      <c r="D2844" s="6">
        <f>IFERROR(__xludf.DUMMYFUNCTION("""COMPUTED_VALUE"""),45705.0)</f>
        <v>45705</v>
      </c>
      <c r="E2844" s="7" t="str">
        <f>IFERROR(__xludf.DUMMYFUNCTION("""COMPUTED_VALUE"""),"FRANQUIA_D&amp;G_SP")</f>
        <v>FRANQUIA_D&amp;G_SP</v>
      </c>
      <c r="F2844" s="7" t="str">
        <f>IFERROR(__xludf.DUMMYFUNCTION("""COMPUTED_VALUE"""),"MOTORCYCLE")</f>
        <v>MOTORCYCLE</v>
      </c>
      <c r="G2844" s="7" t="str">
        <f>IFERROR(__xludf.DUMMYFUNCTION("""COMPUTED_VALUE"""),"SAO PAULO")</f>
        <v>SAO PAULO</v>
      </c>
    </row>
    <row r="2845">
      <c r="A2845" s="6">
        <f>IFERROR(__xludf.DUMMYFUNCTION("""COMPUTED_VALUE"""),45705.0)</f>
        <v>45705</v>
      </c>
      <c r="B2845" s="7" t="str">
        <f>IFERROR(__xludf.DUMMYFUNCTION("""COMPUTED_VALUE"""),"929acced-76e0-4842-b305-d42bf8487218")</f>
        <v>929acced-76e0-4842-b305-d42bf8487218</v>
      </c>
      <c r="C2845" s="7">
        <f>IFERROR(__xludf.DUMMYFUNCTION("""COMPUTED_VALUE"""),1.0)</f>
        <v>1</v>
      </c>
      <c r="D2845" s="6">
        <f>IFERROR(__xludf.DUMMYFUNCTION("""COMPUTED_VALUE"""),45704.0)</f>
        <v>45704</v>
      </c>
      <c r="E2845" s="7" t="str">
        <f>IFERROR(__xludf.DUMMYFUNCTION("""COMPUTED_VALUE"""),"FRANQUIA_D&amp;G_SP")</f>
        <v>FRANQUIA_D&amp;G_SP</v>
      </c>
      <c r="F2845" s="7" t="str">
        <f>IFERROR(__xludf.DUMMYFUNCTION("""COMPUTED_VALUE"""),"BICYCLE")</f>
        <v>BICYCLE</v>
      </c>
      <c r="G2845" s="7" t="str">
        <f>IFERROR(__xludf.DUMMYFUNCTION("""COMPUTED_VALUE"""),"SAO PAULO")</f>
        <v>SAO PAULO</v>
      </c>
    </row>
    <row r="2846">
      <c r="A2846" s="6">
        <f>IFERROR(__xludf.DUMMYFUNCTION("""COMPUTED_VALUE"""),45705.0)</f>
        <v>45705</v>
      </c>
      <c r="B2846" s="7" t="str">
        <f>IFERROR(__xludf.DUMMYFUNCTION("""COMPUTED_VALUE"""),"87474d92-0404-4cca-9db1-c146aeecd688")</f>
        <v>87474d92-0404-4cca-9db1-c146aeecd688</v>
      </c>
      <c r="C2846" s="7">
        <f>IFERROR(__xludf.DUMMYFUNCTION("""COMPUTED_VALUE"""),0.0)</f>
        <v>0</v>
      </c>
      <c r="D2846" s="6">
        <f>IFERROR(__xludf.DUMMYFUNCTION("""COMPUTED_VALUE"""),45705.0)</f>
        <v>45705</v>
      </c>
      <c r="E2846" s="7" t="str">
        <f>IFERROR(__xludf.DUMMYFUNCTION("""COMPUTED_VALUE"""),"FRANQUIA_D&amp;G_SP")</f>
        <v>FRANQUIA_D&amp;G_SP</v>
      </c>
      <c r="F2846" s="7" t="str">
        <f>IFERROR(__xludf.DUMMYFUNCTION("""COMPUTED_VALUE"""),"MOTORCYCLE")</f>
        <v>MOTORCYCLE</v>
      </c>
      <c r="G2846" s="7" t="str">
        <f>IFERROR(__xludf.DUMMYFUNCTION("""COMPUTED_VALUE"""),"ABC")</f>
        <v>ABC</v>
      </c>
    </row>
    <row r="2847">
      <c r="A2847" s="6">
        <f>IFERROR(__xludf.DUMMYFUNCTION("""COMPUTED_VALUE"""),45705.0)</f>
        <v>45705</v>
      </c>
      <c r="B2847" s="7" t="str">
        <f>IFERROR(__xludf.DUMMYFUNCTION("""COMPUTED_VALUE"""),"11909ac4-4d9c-471f-80f6-5515159255e6")</f>
        <v>11909ac4-4d9c-471f-80f6-5515159255e6</v>
      </c>
      <c r="C2847" s="7">
        <f>IFERROR(__xludf.DUMMYFUNCTION("""COMPUTED_VALUE"""),64.0)</f>
        <v>64</v>
      </c>
      <c r="D2847" s="6">
        <f>IFERROR(__xludf.DUMMYFUNCTION("""COMPUTED_VALUE"""),45641.0)</f>
        <v>45641</v>
      </c>
      <c r="E2847" s="7" t="str">
        <f>IFERROR(__xludf.DUMMYFUNCTION("""COMPUTED_VALUE"""),"FRANQUIA_D&amp;G_SP")</f>
        <v>FRANQUIA_D&amp;G_SP</v>
      </c>
      <c r="F2847" s="7" t="str">
        <f>IFERROR(__xludf.DUMMYFUNCTION("""COMPUTED_VALUE"""),"MOTORCYCLE")</f>
        <v>MOTORCYCLE</v>
      </c>
      <c r="G2847" s="7" t="str">
        <f>IFERROR(__xludf.DUMMYFUNCTION("""COMPUTED_VALUE"""),"SAO PAULO")</f>
        <v>SAO PAULO</v>
      </c>
    </row>
    <row r="2848">
      <c r="A2848" s="6">
        <f>IFERROR(__xludf.DUMMYFUNCTION("""COMPUTED_VALUE"""),45705.0)</f>
        <v>45705</v>
      </c>
      <c r="B2848" s="7" t="str">
        <f>IFERROR(__xludf.DUMMYFUNCTION("""COMPUTED_VALUE"""),"d2a9f68b-d7ed-48d4-83fc-c3bdb7dd5d56")</f>
        <v>d2a9f68b-d7ed-48d4-83fc-c3bdb7dd5d56</v>
      </c>
      <c r="C2848" s="7">
        <f>IFERROR(__xludf.DUMMYFUNCTION("""COMPUTED_VALUE"""),2.0)</f>
        <v>2</v>
      </c>
      <c r="D2848" s="6">
        <f>IFERROR(__xludf.DUMMYFUNCTION("""COMPUTED_VALUE"""),45703.0)</f>
        <v>45703</v>
      </c>
      <c r="E2848" s="7" t="str">
        <f>IFERROR(__xludf.DUMMYFUNCTION("""COMPUTED_VALUE"""),"FRANQUIA_D&amp;G_SP")</f>
        <v>FRANQUIA_D&amp;G_SP</v>
      </c>
      <c r="F2848" s="7" t="str">
        <f>IFERROR(__xludf.DUMMYFUNCTION("""COMPUTED_VALUE"""),"BICYCLE")</f>
        <v>BICYCLE</v>
      </c>
      <c r="G2848" s="7" t="str">
        <f>IFERROR(__xludf.DUMMYFUNCTION("""COMPUTED_VALUE"""),"SAO PAULO")</f>
        <v>SAO PAULO</v>
      </c>
    </row>
    <row r="2849">
      <c r="A2849" s="6">
        <f>IFERROR(__xludf.DUMMYFUNCTION("""COMPUTED_VALUE"""),45705.0)</f>
        <v>45705</v>
      </c>
      <c r="B2849" s="7" t="str">
        <f>IFERROR(__xludf.DUMMYFUNCTION("""COMPUTED_VALUE"""),"a8a93c1d-d1c3-40c9-9ea8-c6f880f9e4ef")</f>
        <v>a8a93c1d-d1c3-40c9-9ea8-c6f880f9e4ef</v>
      </c>
      <c r="C2849" s="7">
        <f>IFERROR(__xludf.DUMMYFUNCTION("""COMPUTED_VALUE"""),9.0)</f>
        <v>9</v>
      </c>
      <c r="D2849" s="6">
        <f>IFERROR(__xludf.DUMMYFUNCTION("""COMPUTED_VALUE"""),45696.0)</f>
        <v>45696</v>
      </c>
      <c r="E2849" s="7" t="str">
        <f>IFERROR(__xludf.DUMMYFUNCTION("""COMPUTED_VALUE"""),"FRANQUIA_D&amp;G_SP")</f>
        <v>FRANQUIA_D&amp;G_SP</v>
      </c>
      <c r="F2849" s="7" t="str">
        <f>IFERROR(__xludf.DUMMYFUNCTION("""COMPUTED_VALUE"""),"MOTORCYCLE")</f>
        <v>MOTORCYCLE</v>
      </c>
      <c r="G2849" s="7" t="str">
        <f>IFERROR(__xludf.DUMMYFUNCTION("""COMPUTED_VALUE"""),"SAO PAULO")</f>
        <v>SAO PAULO</v>
      </c>
    </row>
    <row r="2850">
      <c r="A2850" s="6">
        <f>IFERROR(__xludf.DUMMYFUNCTION("""COMPUTED_VALUE"""),45705.0)</f>
        <v>45705</v>
      </c>
      <c r="B2850" s="7" t="str">
        <f>IFERROR(__xludf.DUMMYFUNCTION("""COMPUTED_VALUE"""),"7ef4d205-c274-4c5b-a477-fe55abb65678")</f>
        <v>7ef4d205-c274-4c5b-a477-fe55abb65678</v>
      </c>
      <c r="C2850" s="7">
        <f>IFERROR(__xludf.DUMMYFUNCTION("""COMPUTED_VALUE"""),0.0)</f>
        <v>0</v>
      </c>
      <c r="D2850" s="6">
        <f>IFERROR(__xludf.DUMMYFUNCTION("""COMPUTED_VALUE"""),45705.0)</f>
        <v>45705</v>
      </c>
      <c r="E2850" s="7" t="str">
        <f>IFERROR(__xludf.DUMMYFUNCTION("""COMPUTED_VALUE"""),"FRANQUIA_D&amp;G_SP")</f>
        <v>FRANQUIA_D&amp;G_SP</v>
      </c>
      <c r="F2850" s="7" t="str">
        <f>IFERROR(__xludf.DUMMYFUNCTION("""COMPUTED_VALUE"""),"BICYCLE")</f>
        <v>BICYCLE</v>
      </c>
      <c r="G2850" s="7" t="str">
        <f>IFERROR(__xludf.DUMMYFUNCTION("""COMPUTED_VALUE"""),"SAO PAULO")</f>
        <v>SAO PAULO</v>
      </c>
    </row>
    <row r="2851">
      <c r="A2851" s="6">
        <f>IFERROR(__xludf.DUMMYFUNCTION("""COMPUTED_VALUE"""),45705.0)</f>
        <v>45705</v>
      </c>
      <c r="B2851" s="7" t="str">
        <f>IFERROR(__xludf.DUMMYFUNCTION("""COMPUTED_VALUE"""),"3d8e4fd7-bfca-413f-b7a9-44b16c37e6e4")</f>
        <v>3d8e4fd7-bfca-413f-b7a9-44b16c37e6e4</v>
      </c>
      <c r="C2851" s="7">
        <f>IFERROR(__xludf.DUMMYFUNCTION("""COMPUTED_VALUE"""),0.0)</f>
        <v>0</v>
      </c>
      <c r="D2851" s="6">
        <f>IFERROR(__xludf.DUMMYFUNCTION("""COMPUTED_VALUE"""),45705.0)</f>
        <v>45705</v>
      </c>
      <c r="E2851" s="7" t="str">
        <f>IFERROR(__xludf.DUMMYFUNCTION("""COMPUTED_VALUE"""),"FRANQUIA_D&amp;G_SP")</f>
        <v>FRANQUIA_D&amp;G_SP</v>
      </c>
      <c r="F2851" s="7" t="str">
        <f>IFERROR(__xludf.DUMMYFUNCTION("""COMPUTED_VALUE"""),"MOTORCYCLE")</f>
        <v>MOTORCYCLE</v>
      </c>
      <c r="G2851" s="7" t="str">
        <f>IFERROR(__xludf.DUMMYFUNCTION("""COMPUTED_VALUE"""),"SAO PAULO")</f>
        <v>SAO PAULO</v>
      </c>
    </row>
    <row r="2852">
      <c r="A2852" s="6">
        <f>IFERROR(__xludf.DUMMYFUNCTION("""COMPUTED_VALUE"""),45705.0)</f>
        <v>45705</v>
      </c>
      <c r="B2852" s="7" t="str">
        <f>IFERROR(__xludf.DUMMYFUNCTION("""COMPUTED_VALUE"""),"f0a45884-692d-42a1-ad5c-14414854ce51")</f>
        <v>f0a45884-692d-42a1-ad5c-14414854ce51</v>
      </c>
      <c r="C2852" s="7">
        <f>IFERROR(__xludf.DUMMYFUNCTION("""COMPUTED_VALUE"""),0.0)</f>
        <v>0</v>
      </c>
      <c r="D2852" s="6">
        <f>IFERROR(__xludf.DUMMYFUNCTION("""COMPUTED_VALUE"""),45705.0)</f>
        <v>45705</v>
      </c>
      <c r="E2852" s="7" t="str">
        <f>IFERROR(__xludf.DUMMYFUNCTION("""COMPUTED_VALUE"""),"FRANQUIA_D&amp;G_SP")</f>
        <v>FRANQUIA_D&amp;G_SP</v>
      </c>
      <c r="F2852" s="7" t="str">
        <f>IFERROR(__xludf.DUMMYFUNCTION("""COMPUTED_VALUE"""),"MOTORCYCLE")</f>
        <v>MOTORCYCLE</v>
      </c>
      <c r="G2852" s="7" t="str">
        <f>IFERROR(__xludf.DUMMYFUNCTION("""COMPUTED_VALUE"""),"SAO PAULO")</f>
        <v>SAO PAULO</v>
      </c>
    </row>
    <row r="2853">
      <c r="A2853" s="6">
        <f>IFERROR(__xludf.DUMMYFUNCTION("""COMPUTED_VALUE"""),45705.0)</f>
        <v>45705</v>
      </c>
      <c r="B2853" s="7" t="str">
        <f>IFERROR(__xludf.DUMMYFUNCTION("""COMPUTED_VALUE"""),"51406a19-b508-489f-983a-67c5e99b57f5")</f>
        <v>51406a19-b508-489f-983a-67c5e99b57f5</v>
      </c>
      <c r="C2853" s="7">
        <f>IFERROR(__xludf.DUMMYFUNCTION("""COMPUTED_VALUE"""),0.0)</f>
        <v>0</v>
      </c>
      <c r="D2853" s="6">
        <f>IFERROR(__xludf.DUMMYFUNCTION("""COMPUTED_VALUE"""),0.0)</f>
        <v>0</v>
      </c>
      <c r="E2853" s="7" t="str">
        <f>IFERROR(__xludf.DUMMYFUNCTION("""COMPUTED_VALUE"""),"FRANQUIA_D&amp;G_SP")</f>
        <v>FRANQUIA_D&amp;G_SP</v>
      </c>
      <c r="F2853" s="7" t="str">
        <f>IFERROR(__xludf.DUMMYFUNCTION("""COMPUTED_VALUE"""),"BICYCLE")</f>
        <v>BICYCLE</v>
      </c>
      <c r="G2853" s="7" t="str">
        <f>IFERROR(__xludf.DUMMYFUNCTION("""COMPUTED_VALUE"""),"0")</f>
        <v>0</v>
      </c>
    </row>
    <row r="2854">
      <c r="A2854" s="6">
        <f>IFERROR(__xludf.DUMMYFUNCTION("""COMPUTED_VALUE"""),45705.0)</f>
        <v>45705</v>
      </c>
      <c r="B2854" s="7" t="str">
        <f>IFERROR(__xludf.DUMMYFUNCTION("""COMPUTED_VALUE"""),"72877a90-6d48-4f4f-9073-aae5bb8dc910")</f>
        <v>72877a90-6d48-4f4f-9073-aae5bb8dc910</v>
      </c>
      <c r="C2854" s="7">
        <f>IFERROR(__xludf.DUMMYFUNCTION("""COMPUTED_VALUE"""),179.0)</f>
        <v>179</v>
      </c>
      <c r="D2854" s="6">
        <f>IFERROR(__xludf.DUMMYFUNCTION("""COMPUTED_VALUE"""),45526.0)</f>
        <v>45526</v>
      </c>
      <c r="E2854" s="7" t="str">
        <f>IFERROR(__xludf.DUMMYFUNCTION("""COMPUTED_VALUE"""),"FRANQUIA_D&amp;G_SP")</f>
        <v>FRANQUIA_D&amp;G_SP</v>
      </c>
      <c r="F2854" s="7" t="str">
        <f>IFERROR(__xludf.DUMMYFUNCTION("""COMPUTED_VALUE"""),"BICYCLE")</f>
        <v>BICYCLE</v>
      </c>
      <c r="G2854" s="7" t="str">
        <f>IFERROR(__xludf.DUMMYFUNCTION("""COMPUTED_VALUE"""),"SAO PAULO")</f>
        <v>SAO PAULO</v>
      </c>
    </row>
    <row r="2855">
      <c r="A2855" s="6">
        <f>IFERROR(__xludf.DUMMYFUNCTION("""COMPUTED_VALUE"""),45705.0)</f>
        <v>45705</v>
      </c>
      <c r="B2855" s="7" t="str">
        <f>IFERROR(__xludf.DUMMYFUNCTION("""COMPUTED_VALUE"""),"e4859dda-9b94-4f50-8d56-1004cbc601e1")</f>
        <v>e4859dda-9b94-4f50-8d56-1004cbc601e1</v>
      </c>
      <c r="C2855" s="7">
        <f>IFERROR(__xludf.DUMMYFUNCTION("""COMPUTED_VALUE"""),0.0)</f>
        <v>0</v>
      </c>
      <c r="D2855" s="6">
        <f>IFERROR(__xludf.DUMMYFUNCTION("""COMPUTED_VALUE"""),45705.0)</f>
        <v>45705</v>
      </c>
      <c r="E2855" s="7" t="str">
        <f>IFERROR(__xludf.DUMMYFUNCTION("""COMPUTED_VALUE"""),"FRANQUIA_D&amp;G_SP")</f>
        <v>FRANQUIA_D&amp;G_SP</v>
      </c>
      <c r="F2855" s="7" t="str">
        <f>IFERROR(__xludf.DUMMYFUNCTION("""COMPUTED_VALUE"""),"MOTORCYCLE")</f>
        <v>MOTORCYCLE</v>
      </c>
      <c r="G2855" s="7" t="str">
        <f>IFERROR(__xludf.DUMMYFUNCTION("""COMPUTED_VALUE"""),"SAO PAULO")</f>
        <v>SAO PAULO</v>
      </c>
    </row>
    <row r="2856">
      <c r="A2856" s="6">
        <f>IFERROR(__xludf.DUMMYFUNCTION("""COMPUTED_VALUE"""),45705.0)</f>
        <v>45705</v>
      </c>
      <c r="B2856" s="7" t="str">
        <f>IFERROR(__xludf.DUMMYFUNCTION("""COMPUTED_VALUE"""),"139ee2dc-103f-4202-9981-27f26bd50810")</f>
        <v>139ee2dc-103f-4202-9981-27f26bd50810</v>
      </c>
      <c r="C2856" s="7">
        <f>IFERROR(__xludf.DUMMYFUNCTION("""COMPUTED_VALUE"""),0.0)</f>
        <v>0</v>
      </c>
      <c r="D2856" s="6">
        <f>IFERROR(__xludf.DUMMYFUNCTION("""COMPUTED_VALUE"""),45705.0)</f>
        <v>45705</v>
      </c>
      <c r="E2856" s="7" t="str">
        <f>IFERROR(__xludf.DUMMYFUNCTION("""COMPUTED_VALUE"""),"FRANQUIA_D&amp;G_SP")</f>
        <v>FRANQUIA_D&amp;G_SP</v>
      </c>
      <c r="F2856" s="7" t="str">
        <f>IFERROR(__xludf.DUMMYFUNCTION("""COMPUTED_VALUE"""),"BICYCLE")</f>
        <v>BICYCLE</v>
      </c>
      <c r="G2856" s="7" t="str">
        <f>IFERROR(__xludf.DUMMYFUNCTION("""COMPUTED_VALUE"""),"SAO PAULO")</f>
        <v>SAO PAULO</v>
      </c>
    </row>
    <row r="2857">
      <c r="A2857" s="6">
        <f>IFERROR(__xludf.DUMMYFUNCTION("""COMPUTED_VALUE"""),45705.0)</f>
        <v>45705</v>
      </c>
      <c r="B2857" s="7" t="str">
        <f>IFERROR(__xludf.DUMMYFUNCTION("""COMPUTED_VALUE"""),"597a5b22-88a5-4a13-afb0-1c34c0842e48")</f>
        <v>597a5b22-88a5-4a13-afb0-1c34c0842e48</v>
      </c>
      <c r="C2857" s="7">
        <f>IFERROR(__xludf.DUMMYFUNCTION("""COMPUTED_VALUE"""),0.0)</f>
        <v>0</v>
      </c>
      <c r="D2857" s="6">
        <f>IFERROR(__xludf.DUMMYFUNCTION("""COMPUTED_VALUE"""),45705.0)</f>
        <v>45705</v>
      </c>
      <c r="E2857" s="7" t="str">
        <f>IFERROR(__xludf.DUMMYFUNCTION("""COMPUTED_VALUE"""),"FRANQUIA_D&amp;G_SP")</f>
        <v>FRANQUIA_D&amp;G_SP</v>
      </c>
      <c r="F2857" s="7" t="str">
        <f>IFERROR(__xludf.DUMMYFUNCTION("""COMPUTED_VALUE"""),"MOTORCYCLE")</f>
        <v>MOTORCYCLE</v>
      </c>
      <c r="G2857" s="7" t="str">
        <f>IFERROR(__xludf.DUMMYFUNCTION("""COMPUTED_VALUE"""),"SAO PAULO")</f>
        <v>SAO PAULO</v>
      </c>
    </row>
    <row r="2858">
      <c r="A2858" s="6">
        <f>IFERROR(__xludf.DUMMYFUNCTION("""COMPUTED_VALUE"""),45705.0)</f>
        <v>45705</v>
      </c>
      <c r="B2858" s="7" t="str">
        <f>IFERROR(__xludf.DUMMYFUNCTION("""COMPUTED_VALUE"""),"eb40865b-b337-4462-9c79-a38c69feb025")</f>
        <v>eb40865b-b337-4462-9c79-a38c69feb025</v>
      </c>
      <c r="C2858" s="7">
        <f>IFERROR(__xludf.DUMMYFUNCTION("""COMPUTED_VALUE"""),1.0)</f>
        <v>1</v>
      </c>
      <c r="D2858" s="6">
        <f>IFERROR(__xludf.DUMMYFUNCTION("""COMPUTED_VALUE"""),45704.0)</f>
        <v>45704</v>
      </c>
      <c r="E2858" s="7" t="str">
        <f>IFERROR(__xludf.DUMMYFUNCTION("""COMPUTED_VALUE"""),"FRANQUIA_D&amp;G_SP")</f>
        <v>FRANQUIA_D&amp;G_SP</v>
      </c>
      <c r="F2858" s="7" t="str">
        <f>IFERROR(__xludf.DUMMYFUNCTION("""COMPUTED_VALUE"""),"MOTORCYCLE")</f>
        <v>MOTORCYCLE</v>
      </c>
      <c r="G2858" s="7" t="str">
        <f>IFERROR(__xludf.DUMMYFUNCTION("""COMPUTED_VALUE"""),"SAO PAULO")</f>
        <v>SAO PAULO</v>
      </c>
    </row>
    <row r="2859">
      <c r="A2859" s="6">
        <f>IFERROR(__xludf.DUMMYFUNCTION("""COMPUTED_VALUE"""),45705.0)</f>
        <v>45705</v>
      </c>
      <c r="B2859" s="7" t="str">
        <f>IFERROR(__xludf.DUMMYFUNCTION("""COMPUTED_VALUE"""),"f284c6e1-62d3-4fb3-be47-4e773501ea27")</f>
        <v>f284c6e1-62d3-4fb3-be47-4e773501ea27</v>
      </c>
      <c r="C2859" s="7">
        <f>IFERROR(__xludf.DUMMYFUNCTION("""COMPUTED_VALUE"""),0.0)</f>
        <v>0</v>
      </c>
      <c r="D2859" s="6">
        <f>IFERROR(__xludf.DUMMYFUNCTION("""COMPUTED_VALUE"""),45705.0)</f>
        <v>45705</v>
      </c>
      <c r="E2859" s="7" t="str">
        <f>IFERROR(__xludf.DUMMYFUNCTION("""COMPUTED_VALUE"""),"FRANQUIA_D&amp;G_SP")</f>
        <v>FRANQUIA_D&amp;G_SP</v>
      </c>
      <c r="F2859" s="7" t="str">
        <f>IFERROR(__xludf.DUMMYFUNCTION("""COMPUTED_VALUE"""),"MOTORCYCLE")</f>
        <v>MOTORCYCLE</v>
      </c>
      <c r="G2859" s="7" t="str">
        <f>IFERROR(__xludf.DUMMYFUNCTION("""COMPUTED_VALUE"""),"SAO PAULO")</f>
        <v>SAO PAULO</v>
      </c>
    </row>
    <row r="2860">
      <c r="A2860" s="6">
        <f>IFERROR(__xludf.DUMMYFUNCTION("""COMPUTED_VALUE"""),45705.0)</f>
        <v>45705</v>
      </c>
      <c r="B2860" s="7" t="str">
        <f>IFERROR(__xludf.DUMMYFUNCTION("""COMPUTED_VALUE"""),"2470f888-fa0e-41c6-bd01-6a806f8b963f")</f>
        <v>2470f888-fa0e-41c6-bd01-6a806f8b963f</v>
      </c>
      <c r="C2860" s="7">
        <f>IFERROR(__xludf.DUMMYFUNCTION("""COMPUTED_VALUE"""),0.0)</f>
        <v>0</v>
      </c>
      <c r="D2860" s="6">
        <f>IFERROR(__xludf.DUMMYFUNCTION("""COMPUTED_VALUE"""),45705.0)</f>
        <v>45705</v>
      </c>
      <c r="E2860" s="7" t="str">
        <f>IFERROR(__xludf.DUMMYFUNCTION("""COMPUTED_VALUE"""),"FRANQUIA_D&amp;G_SP")</f>
        <v>FRANQUIA_D&amp;G_SP</v>
      </c>
      <c r="F2860" s="7" t="str">
        <f>IFERROR(__xludf.DUMMYFUNCTION("""COMPUTED_VALUE"""),"MOTORCYCLE")</f>
        <v>MOTORCYCLE</v>
      </c>
      <c r="G2860" s="7" t="str">
        <f>IFERROR(__xludf.DUMMYFUNCTION("""COMPUTED_VALUE"""),"SAO PAULO")</f>
        <v>SAO PAULO</v>
      </c>
    </row>
    <row r="2861">
      <c r="A2861" s="6">
        <f>IFERROR(__xludf.DUMMYFUNCTION("""COMPUTED_VALUE"""),45705.0)</f>
        <v>45705</v>
      </c>
      <c r="B2861" s="7" t="str">
        <f>IFERROR(__xludf.DUMMYFUNCTION("""COMPUTED_VALUE"""),"48385631-5321-4f57-a07e-51fadd8bc74e")</f>
        <v>48385631-5321-4f57-a07e-51fadd8bc74e</v>
      </c>
      <c r="C2861" s="7">
        <f>IFERROR(__xludf.DUMMYFUNCTION("""COMPUTED_VALUE"""),98.0)</f>
        <v>98</v>
      </c>
      <c r="D2861" s="6">
        <f>IFERROR(__xludf.DUMMYFUNCTION("""COMPUTED_VALUE"""),45607.0)</f>
        <v>45607</v>
      </c>
      <c r="E2861" s="7" t="str">
        <f>IFERROR(__xludf.DUMMYFUNCTION("""COMPUTED_VALUE"""),"FRANQUIA_D&amp;G_SP")</f>
        <v>FRANQUIA_D&amp;G_SP</v>
      </c>
      <c r="F2861" s="7" t="str">
        <f>IFERROR(__xludf.DUMMYFUNCTION("""COMPUTED_VALUE"""),"BICYCLE")</f>
        <v>BICYCLE</v>
      </c>
      <c r="G2861" s="7" t="str">
        <f>IFERROR(__xludf.DUMMYFUNCTION("""COMPUTED_VALUE"""),"SAO PAULO")</f>
        <v>SAO PAULO</v>
      </c>
    </row>
    <row r="2862">
      <c r="A2862" s="6">
        <f>IFERROR(__xludf.DUMMYFUNCTION("""COMPUTED_VALUE"""),45705.0)</f>
        <v>45705</v>
      </c>
      <c r="B2862" s="7" t="str">
        <f>IFERROR(__xludf.DUMMYFUNCTION("""COMPUTED_VALUE"""),"9855b52c-c3f1-4057-b64a-c4142e9b2288")</f>
        <v>9855b52c-c3f1-4057-b64a-c4142e9b2288</v>
      </c>
      <c r="C2862" s="7">
        <f>IFERROR(__xludf.DUMMYFUNCTION("""COMPUTED_VALUE"""),154.0)</f>
        <v>154</v>
      </c>
      <c r="D2862" s="6">
        <f>IFERROR(__xludf.DUMMYFUNCTION("""COMPUTED_VALUE"""),45551.0)</f>
        <v>45551</v>
      </c>
      <c r="E2862" s="7" t="str">
        <f>IFERROR(__xludf.DUMMYFUNCTION("""COMPUTED_VALUE"""),"FRANQUIA_D&amp;G_SP")</f>
        <v>FRANQUIA_D&amp;G_SP</v>
      </c>
      <c r="F2862" s="7" t="str">
        <f>IFERROR(__xludf.DUMMYFUNCTION("""COMPUTED_VALUE"""),"BICYCLE")</f>
        <v>BICYCLE</v>
      </c>
      <c r="G2862" s="7" t="str">
        <f>IFERROR(__xludf.DUMMYFUNCTION("""COMPUTED_VALUE"""),"SAO PAULO")</f>
        <v>SAO PAULO</v>
      </c>
    </row>
    <row r="2863">
      <c r="A2863" s="6">
        <f>IFERROR(__xludf.DUMMYFUNCTION("""COMPUTED_VALUE"""),45705.0)</f>
        <v>45705</v>
      </c>
      <c r="B2863" s="7" t="str">
        <f>IFERROR(__xludf.DUMMYFUNCTION("""COMPUTED_VALUE"""),"0fcf7f00-88b4-498d-b9a8-abe385d397d5")</f>
        <v>0fcf7f00-88b4-498d-b9a8-abe385d397d5</v>
      </c>
      <c r="C2863" s="7">
        <f>IFERROR(__xludf.DUMMYFUNCTION("""COMPUTED_VALUE"""),0.0)</f>
        <v>0</v>
      </c>
      <c r="D2863" s="6">
        <f>IFERROR(__xludf.DUMMYFUNCTION("""COMPUTED_VALUE"""),0.0)</f>
        <v>0</v>
      </c>
      <c r="E2863" s="7" t="str">
        <f>IFERROR(__xludf.DUMMYFUNCTION("""COMPUTED_VALUE"""),"FRANQUIA_D&amp;G_SP")</f>
        <v>FRANQUIA_D&amp;G_SP</v>
      </c>
      <c r="F2863" s="7" t="str">
        <f>IFERROR(__xludf.DUMMYFUNCTION("""COMPUTED_VALUE"""),"BICYCLE")</f>
        <v>BICYCLE</v>
      </c>
      <c r="G2863" s="7" t="str">
        <f>IFERROR(__xludf.DUMMYFUNCTION("""COMPUTED_VALUE"""),"0")</f>
        <v>0</v>
      </c>
    </row>
    <row r="2864">
      <c r="A2864" s="6">
        <f>IFERROR(__xludf.DUMMYFUNCTION("""COMPUTED_VALUE"""),45705.0)</f>
        <v>45705</v>
      </c>
      <c r="B2864" s="7" t="str">
        <f>IFERROR(__xludf.DUMMYFUNCTION("""COMPUTED_VALUE"""),"1b425e04-f655-432e-bea6-458c956d4ade")</f>
        <v>1b425e04-f655-432e-bea6-458c956d4ade</v>
      </c>
      <c r="C2864" s="7">
        <f>IFERROR(__xludf.DUMMYFUNCTION("""COMPUTED_VALUE"""),0.0)</f>
        <v>0</v>
      </c>
      <c r="D2864" s="6">
        <f>IFERROR(__xludf.DUMMYFUNCTION("""COMPUTED_VALUE"""),45705.0)</f>
        <v>45705</v>
      </c>
      <c r="E2864" s="7" t="str">
        <f>IFERROR(__xludf.DUMMYFUNCTION("""COMPUTED_VALUE"""),"FRANQUIA_D&amp;G_SP")</f>
        <v>FRANQUIA_D&amp;G_SP</v>
      </c>
      <c r="F2864" s="7" t="str">
        <f>IFERROR(__xludf.DUMMYFUNCTION("""COMPUTED_VALUE"""),"MOTORCYCLE")</f>
        <v>MOTORCYCLE</v>
      </c>
      <c r="G2864" s="7" t="str">
        <f>IFERROR(__xludf.DUMMYFUNCTION("""COMPUTED_VALUE"""),"GUARULHOS")</f>
        <v>GUARULHOS</v>
      </c>
    </row>
    <row r="2865">
      <c r="A2865" s="6">
        <f>IFERROR(__xludf.DUMMYFUNCTION("""COMPUTED_VALUE"""),45705.0)</f>
        <v>45705</v>
      </c>
      <c r="B2865" s="7" t="str">
        <f>IFERROR(__xludf.DUMMYFUNCTION("""COMPUTED_VALUE"""),"da78176c-7a1c-4255-b555-0ae0254cbd11")</f>
        <v>da78176c-7a1c-4255-b555-0ae0254cbd11</v>
      </c>
      <c r="C2865" s="7">
        <f>IFERROR(__xludf.DUMMYFUNCTION("""COMPUTED_VALUE"""),0.0)</f>
        <v>0</v>
      </c>
      <c r="D2865" s="6">
        <f>IFERROR(__xludf.DUMMYFUNCTION("""COMPUTED_VALUE"""),45705.0)</f>
        <v>45705</v>
      </c>
      <c r="E2865" s="7" t="str">
        <f>IFERROR(__xludf.DUMMYFUNCTION("""COMPUTED_VALUE"""),"FRANQUIA_D&amp;G_SP")</f>
        <v>FRANQUIA_D&amp;G_SP</v>
      </c>
      <c r="F2865" s="7" t="str">
        <f>IFERROR(__xludf.DUMMYFUNCTION("""COMPUTED_VALUE"""),"BICYCLE")</f>
        <v>BICYCLE</v>
      </c>
      <c r="G2865" s="7" t="str">
        <f>IFERROR(__xludf.DUMMYFUNCTION("""COMPUTED_VALUE"""),"SAO PAULO")</f>
        <v>SAO PAULO</v>
      </c>
    </row>
    <row r="2866">
      <c r="A2866" s="6">
        <f>IFERROR(__xludf.DUMMYFUNCTION("""COMPUTED_VALUE"""),45705.0)</f>
        <v>45705</v>
      </c>
      <c r="B2866" s="7" t="str">
        <f>IFERROR(__xludf.DUMMYFUNCTION("""COMPUTED_VALUE"""),"a5fe0f9f-650e-4274-86ab-8e4540676b6c")</f>
        <v>a5fe0f9f-650e-4274-86ab-8e4540676b6c</v>
      </c>
      <c r="C2866" s="7">
        <f>IFERROR(__xludf.DUMMYFUNCTION("""COMPUTED_VALUE"""),34.0)</f>
        <v>34</v>
      </c>
      <c r="D2866" s="6">
        <f>IFERROR(__xludf.DUMMYFUNCTION("""COMPUTED_VALUE"""),45671.0)</f>
        <v>45671</v>
      </c>
      <c r="E2866" s="7" t="str">
        <f>IFERROR(__xludf.DUMMYFUNCTION("""COMPUTED_VALUE"""),"FRANQUIA_D&amp;G_SP")</f>
        <v>FRANQUIA_D&amp;G_SP</v>
      </c>
      <c r="F2866" s="7" t="str">
        <f>IFERROR(__xludf.DUMMYFUNCTION("""COMPUTED_VALUE"""),"MOTORCYCLE")</f>
        <v>MOTORCYCLE</v>
      </c>
      <c r="G2866" s="7" t="str">
        <f>IFERROR(__xludf.DUMMYFUNCTION("""COMPUTED_VALUE"""),"SAO PAULO")</f>
        <v>SAO PAULO</v>
      </c>
    </row>
    <row r="2867">
      <c r="A2867" s="6">
        <f>IFERROR(__xludf.DUMMYFUNCTION("""COMPUTED_VALUE"""),45705.0)</f>
        <v>45705</v>
      </c>
      <c r="B2867" s="7" t="str">
        <f>IFERROR(__xludf.DUMMYFUNCTION("""COMPUTED_VALUE"""),"1569f05d-6506-45fc-9763-b1b490ebd504")</f>
        <v>1569f05d-6506-45fc-9763-b1b490ebd504</v>
      </c>
      <c r="C2867" s="7">
        <f>IFERROR(__xludf.DUMMYFUNCTION("""COMPUTED_VALUE"""),0.0)</f>
        <v>0</v>
      </c>
      <c r="D2867" s="6">
        <f>IFERROR(__xludf.DUMMYFUNCTION("""COMPUTED_VALUE"""),45705.0)</f>
        <v>45705</v>
      </c>
      <c r="E2867" s="7" t="str">
        <f>IFERROR(__xludf.DUMMYFUNCTION("""COMPUTED_VALUE"""),"FRANQUIA_D&amp;G_SP")</f>
        <v>FRANQUIA_D&amp;G_SP</v>
      </c>
      <c r="F2867" s="7" t="str">
        <f>IFERROR(__xludf.DUMMYFUNCTION("""COMPUTED_VALUE"""),"EMOTORCYCLE")</f>
        <v>EMOTORCYCLE</v>
      </c>
      <c r="G2867" s="7" t="str">
        <f>IFERROR(__xludf.DUMMYFUNCTION("""COMPUTED_VALUE"""),"SAO PAULO")</f>
        <v>SAO PAULO</v>
      </c>
    </row>
    <row r="2868">
      <c r="A2868" s="6">
        <f>IFERROR(__xludf.DUMMYFUNCTION("""COMPUTED_VALUE"""),45705.0)</f>
        <v>45705</v>
      </c>
      <c r="B2868" s="7" t="str">
        <f>IFERROR(__xludf.DUMMYFUNCTION("""COMPUTED_VALUE"""),"53d732f4-4251-40a8-be59-6689b8fe9052")</f>
        <v>53d732f4-4251-40a8-be59-6689b8fe9052</v>
      </c>
      <c r="C2868" s="7">
        <f>IFERROR(__xludf.DUMMYFUNCTION("""COMPUTED_VALUE"""),21.0)</f>
        <v>21</v>
      </c>
      <c r="D2868" s="6">
        <f>IFERROR(__xludf.DUMMYFUNCTION("""COMPUTED_VALUE"""),45684.0)</f>
        <v>45684</v>
      </c>
      <c r="E2868" s="7" t="str">
        <f>IFERROR(__xludf.DUMMYFUNCTION("""COMPUTED_VALUE"""),"FRANQUIA_D&amp;G_SP")</f>
        <v>FRANQUIA_D&amp;G_SP</v>
      </c>
      <c r="F2868" s="7" t="str">
        <f>IFERROR(__xludf.DUMMYFUNCTION("""COMPUTED_VALUE"""),"MOTORCYCLE")</f>
        <v>MOTORCYCLE</v>
      </c>
      <c r="G2868" s="7" t="str">
        <f>IFERROR(__xludf.DUMMYFUNCTION("""COMPUTED_VALUE"""),"SAO PAULO")</f>
        <v>SAO PAULO</v>
      </c>
    </row>
    <row r="2869">
      <c r="A2869" s="6">
        <f>IFERROR(__xludf.DUMMYFUNCTION("""COMPUTED_VALUE"""),45705.0)</f>
        <v>45705</v>
      </c>
      <c r="B2869" s="7" t="str">
        <f>IFERROR(__xludf.DUMMYFUNCTION("""COMPUTED_VALUE"""),"d3cab893-6baa-40cc-a145-cd558e641233")</f>
        <v>d3cab893-6baa-40cc-a145-cd558e641233</v>
      </c>
      <c r="C2869" s="7">
        <f>IFERROR(__xludf.DUMMYFUNCTION("""COMPUTED_VALUE"""),0.0)</f>
        <v>0</v>
      </c>
      <c r="D2869" s="6">
        <f>IFERROR(__xludf.DUMMYFUNCTION("""COMPUTED_VALUE"""),45705.0)</f>
        <v>45705</v>
      </c>
      <c r="E2869" s="7" t="str">
        <f>IFERROR(__xludf.DUMMYFUNCTION("""COMPUTED_VALUE"""),"FRANQUIA_D&amp;G_SP")</f>
        <v>FRANQUIA_D&amp;G_SP</v>
      </c>
      <c r="F2869" s="7" t="str">
        <f>IFERROR(__xludf.DUMMYFUNCTION("""COMPUTED_VALUE"""),"BICYCLE")</f>
        <v>BICYCLE</v>
      </c>
      <c r="G2869" s="7" t="str">
        <f>IFERROR(__xludf.DUMMYFUNCTION("""COMPUTED_VALUE"""),"SAO PAULO")</f>
        <v>SAO PAULO</v>
      </c>
    </row>
    <row r="2870">
      <c r="A2870" s="6">
        <f>IFERROR(__xludf.DUMMYFUNCTION("""COMPUTED_VALUE"""),45705.0)</f>
        <v>45705</v>
      </c>
      <c r="B2870" s="7" t="str">
        <f>IFERROR(__xludf.DUMMYFUNCTION("""COMPUTED_VALUE"""),"d7a71c7c-d9d5-4694-8e01-562d17295b7e")</f>
        <v>d7a71c7c-d9d5-4694-8e01-562d17295b7e</v>
      </c>
      <c r="C2870" s="7">
        <f>IFERROR(__xludf.DUMMYFUNCTION("""COMPUTED_VALUE"""),41.0)</f>
        <v>41</v>
      </c>
      <c r="D2870" s="6">
        <f>IFERROR(__xludf.DUMMYFUNCTION("""COMPUTED_VALUE"""),45664.0)</f>
        <v>45664</v>
      </c>
      <c r="E2870" s="7" t="str">
        <f>IFERROR(__xludf.DUMMYFUNCTION("""COMPUTED_VALUE"""),"FRANQUIA_D&amp;G_SP")</f>
        <v>FRANQUIA_D&amp;G_SP</v>
      </c>
      <c r="F2870" s="7" t="str">
        <f>IFERROR(__xludf.DUMMYFUNCTION("""COMPUTED_VALUE"""),"MOTORCYCLE")</f>
        <v>MOTORCYCLE</v>
      </c>
      <c r="G2870" s="7" t="str">
        <f>IFERROR(__xludf.DUMMYFUNCTION("""COMPUTED_VALUE"""),"SAO PAULO")</f>
        <v>SAO PAULO</v>
      </c>
    </row>
    <row r="2871">
      <c r="A2871" s="6">
        <f>IFERROR(__xludf.DUMMYFUNCTION("""COMPUTED_VALUE"""),45705.0)</f>
        <v>45705</v>
      </c>
      <c r="B2871" s="7" t="str">
        <f>IFERROR(__xludf.DUMMYFUNCTION("""COMPUTED_VALUE"""),"1e50176d-e7ef-40c1-ac05-cfde3eeb90e3")</f>
        <v>1e50176d-e7ef-40c1-ac05-cfde3eeb90e3</v>
      </c>
      <c r="C2871" s="7">
        <f>IFERROR(__xludf.DUMMYFUNCTION("""COMPUTED_VALUE"""),0.0)</f>
        <v>0</v>
      </c>
      <c r="D2871" s="6">
        <f>IFERROR(__xludf.DUMMYFUNCTION("""COMPUTED_VALUE"""),45705.0)</f>
        <v>45705</v>
      </c>
      <c r="E2871" s="7" t="str">
        <f>IFERROR(__xludf.DUMMYFUNCTION("""COMPUTED_VALUE"""),"FRANQUIA_D&amp;G_SP")</f>
        <v>FRANQUIA_D&amp;G_SP</v>
      </c>
      <c r="F2871" s="7" t="str">
        <f>IFERROR(__xludf.DUMMYFUNCTION("""COMPUTED_VALUE"""),"BICYCLE")</f>
        <v>BICYCLE</v>
      </c>
      <c r="G2871" s="7" t="str">
        <f>IFERROR(__xludf.DUMMYFUNCTION("""COMPUTED_VALUE"""),"SAO PAULO")</f>
        <v>SAO PAULO</v>
      </c>
    </row>
    <row r="2872">
      <c r="A2872" s="6">
        <f>IFERROR(__xludf.DUMMYFUNCTION("""COMPUTED_VALUE"""),45705.0)</f>
        <v>45705</v>
      </c>
      <c r="B2872" s="7" t="str">
        <f>IFERROR(__xludf.DUMMYFUNCTION("""COMPUTED_VALUE"""),"1b05e586-e9e6-4faf-a2e4-3a53d78233c0")</f>
        <v>1b05e586-e9e6-4faf-a2e4-3a53d78233c0</v>
      </c>
      <c r="C2872" s="7">
        <f>IFERROR(__xludf.DUMMYFUNCTION("""COMPUTED_VALUE"""),41.0)</f>
        <v>41</v>
      </c>
      <c r="D2872" s="6">
        <f>IFERROR(__xludf.DUMMYFUNCTION("""COMPUTED_VALUE"""),45664.0)</f>
        <v>45664</v>
      </c>
      <c r="E2872" s="7" t="str">
        <f>IFERROR(__xludf.DUMMYFUNCTION("""COMPUTED_VALUE"""),"FRANQUIA_D&amp;G_SP")</f>
        <v>FRANQUIA_D&amp;G_SP</v>
      </c>
      <c r="F2872" s="7" t="str">
        <f>IFERROR(__xludf.DUMMYFUNCTION("""COMPUTED_VALUE"""),"BICYCLE - GRCS")</f>
        <v>BICYCLE - GRCS</v>
      </c>
      <c r="G2872" s="7" t="str">
        <f>IFERROR(__xludf.DUMMYFUNCTION("""COMPUTED_VALUE"""),"SAO PAULO")</f>
        <v>SAO PAULO</v>
      </c>
    </row>
    <row r="2873">
      <c r="A2873" s="6">
        <f>IFERROR(__xludf.DUMMYFUNCTION("""COMPUTED_VALUE"""),45705.0)</f>
        <v>45705</v>
      </c>
      <c r="B2873" s="7" t="str">
        <f>IFERROR(__xludf.DUMMYFUNCTION("""COMPUTED_VALUE"""),"411c53e7-b624-4612-a6bb-bf632501a8e9")</f>
        <v>411c53e7-b624-4612-a6bb-bf632501a8e9</v>
      </c>
      <c r="C2873" s="7">
        <f>IFERROR(__xludf.DUMMYFUNCTION("""COMPUTED_VALUE"""),0.0)</f>
        <v>0</v>
      </c>
      <c r="D2873" s="6">
        <f>IFERROR(__xludf.DUMMYFUNCTION("""COMPUTED_VALUE"""),45705.0)</f>
        <v>45705</v>
      </c>
      <c r="E2873" s="7" t="str">
        <f>IFERROR(__xludf.DUMMYFUNCTION("""COMPUTED_VALUE"""),"FRANQUIA_D&amp;G_SP")</f>
        <v>FRANQUIA_D&amp;G_SP</v>
      </c>
      <c r="F2873" s="7" t="str">
        <f>IFERROR(__xludf.DUMMYFUNCTION("""COMPUTED_VALUE"""),"MOTORCYCLE")</f>
        <v>MOTORCYCLE</v>
      </c>
      <c r="G2873" s="7" t="str">
        <f>IFERROR(__xludf.DUMMYFUNCTION("""COMPUTED_VALUE"""),"SAO PAULO")</f>
        <v>SAO PAULO</v>
      </c>
    </row>
    <row r="2874">
      <c r="A2874" s="6">
        <f>IFERROR(__xludf.DUMMYFUNCTION("""COMPUTED_VALUE"""),45705.0)</f>
        <v>45705</v>
      </c>
      <c r="B2874" s="7" t="str">
        <f>IFERROR(__xludf.DUMMYFUNCTION("""COMPUTED_VALUE"""),"a38c09e6-83a2-41f2-8757-8ff837811ca4")</f>
        <v>a38c09e6-83a2-41f2-8757-8ff837811ca4</v>
      </c>
      <c r="C2874" s="7">
        <f>IFERROR(__xludf.DUMMYFUNCTION("""COMPUTED_VALUE"""),0.0)</f>
        <v>0</v>
      </c>
      <c r="D2874" s="6">
        <f>IFERROR(__xludf.DUMMYFUNCTION("""COMPUTED_VALUE"""),45705.0)</f>
        <v>45705</v>
      </c>
      <c r="E2874" s="7" t="str">
        <f>IFERROR(__xludf.DUMMYFUNCTION("""COMPUTED_VALUE"""),"FRANQUIA_D&amp;G_SP")</f>
        <v>FRANQUIA_D&amp;G_SP</v>
      </c>
      <c r="F2874" s="7" t="str">
        <f>IFERROR(__xludf.DUMMYFUNCTION("""COMPUTED_VALUE"""),"MOTORCYCLE")</f>
        <v>MOTORCYCLE</v>
      </c>
      <c r="G2874" s="7" t="str">
        <f>IFERROR(__xludf.DUMMYFUNCTION("""COMPUTED_VALUE"""),"SAO PAULO")</f>
        <v>SAO PAULO</v>
      </c>
    </row>
    <row r="2875">
      <c r="A2875" s="6">
        <f>IFERROR(__xludf.DUMMYFUNCTION("""COMPUTED_VALUE"""),45705.0)</f>
        <v>45705</v>
      </c>
      <c r="B2875" s="7" t="str">
        <f>IFERROR(__xludf.DUMMYFUNCTION("""COMPUTED_VALUE"""),"6e63ec6b-c0bc-4d3e-a590-99c5ea888500")</f>
        <v>6e63ec6b-c0bc-4d3e-a590-99c5ea888500</v>
      </c>
      <c r="C2875" s="7">
        <f>IFERROR(__xludf.DUMMYFUNCTION("""COMPUTED_VALUE"""),0.0)</f>
        <v>0</v>
      </c>
      <c r="D2875" s="6">
        <f>IFERROR(__xludf.DUMMYFUNCTION("""COMPUTED_VALUE"""),45705.0)</f>
        <v>45705</v>
      </c>
      <c r="E2875" s="7" t="str">
        <f>IFERROR(__xludf.DUMMYFUNCTION("""COMPUTED_VALUE"""),"FRANQUIA_D&amp;G_SP")</f>
        <v>FRANQUIA_D&amp;G_SP</v>
      </c>
      <c r="F2875" s="7" t="str">
        <f>IFERROR(__xludf.DUMMYFUNCTION("""COMPUTED_VALUE"""),"MOTORCYCLE")</f>
        <v>MOTORCYCLE</v>
      </c>
      <c r="G2875" s="7" t="str">
        <f>IFERROR(__xludf.DUMMYFUNCTION("""COMPUTED_VALUE"""),"SAO PAULO")</f>
        <v>SAO PAULO</v>
      </c>
    </row>
    <row r="2876">
      <c r="A2876" s="6">
        <f>IFERROR(__xludf.DUMMYFUNCTION("""COMPUTED_VALUE"""),45705.0)</f>
        <v>45705</v>
      </c>
      <c r="B2876" s="7" t="str">
        <f>IFERROR(__xludf.DUMMYFUNCTION("""COMPUTED_VALUE"""),"e94b118a-00c1-41f7-9671-d293b15db06f")</f>
        <v>e94b118a-00c1-41f7-9671-d293b15db06f</v>
      </c>
      <c r="C2876" s="7">
        <f>IFERROR(__xludf.DUMMYFUNCTION("""COMPUTED_VALUE"""),2.0)</f>
        <v>2</v>
      </c>
      <c r="D2876" s="6">
        <f>IFERROR(__xludf.DUMMYFUNCTION("""COMPUTED_VALUE"""),45703.0)</f>
        <v>45703</v>
      </c>
      <c r="E2876" s="7" t="str">
        <f>IFERROR(__xludf.DUMMYFUNCTION("""COMPUTED_VALUE"""),"FRANQUIA_D&amp;G_SP")</f>
        <v>FRANQUIA_D&amp;G_SP</v>
      </c>
      <c r="F2876" s="7" t="str">
        <f>IFERROR(__xludf.DUMMYFUNCTION("""COMPUTED_VALUE"""),"MOTORCYCLE")</f>
        <v>MOTORCYCLE</v>
      </c>
      <c r="G2876" s="7" t="str">
        <f>IFERROR(__xludf.DUMMYFUNCTION("""COMPUTED_VALUE"""),"SAO PAULO")</f>
        <v>SAO PAULO</v>
      </c>
    </row>
    <row r="2877">
      <c r="A2877" s="6">
        <f>IFERROR(__xludf.DUMMYFUNCTION("""COMPUTED_VALUE"""),45705.0)</f>
        <v>45705</v>
      </c>
      <c r="B2877" s="7" t="str">
        <f>IFERROR(__xludf.DUMMYFUNCTION("""COMPUTED_VALUE"""),"4b21b736-10f4-4ce8-b9fc-387f18e6c57b")</f>
        <v>4b21b736-10f4-4ce8-b9fc-387f18e6c57b</v>
      </c>
      <c r="C2877" s="7">
        <f>IFERROR(__xludf.DUMMYFUNCTION("""COMPUTED_VALUE"""),5.0)</f>
        <v>5</v>
      </c>
      <c r="D2877" s="6">
        <f>IFERROR(__xludf.DUMMYFUNCTION("""COMPUTED_VALUE"""),45700.0)</f>
        <v>45700</v>
      </c>
      <c r="E2877" s="7" t="str">
        <f>IFERROR(__xludf.DUMMYFUNCTION("""COMPUTED_VALUE"""),"FRANQUIA_D&amp;G_SP")</f>
        <v>FRANQUIA_D&amp;G_SP</v>
      </c>
      <c r="F2877" s="7" t="str">
        <f>IFERROR(__xludf.DUMMYFUNCTION("""COMPUTED_VALUE"""),"MOTORCYCLE")</f>
        <v>MOTORCYCLE</v>
      </c>
      <c r="G2877" s="7" t="str">
        <f>IFERROR(__xludf.DUMMYFUNCTION("""COMPUTED_VALUE"""),"SAO PAULO")</f>
        <v>SAO PAULO</v>
      </c>
    </row>
    <row r="2878">
      <c r="A2878" s="6">
        <f>IFERROR(__xludf.DUMMYFUNCTION("""COMPUTED_VALUE"""),45705.0)</f>
        <v>45705</v>
      </c>
      <c r="B2878" s="7" t="str">
        <f>IFERROR(__xludf.DUMMYFUNCTION("""COMPUTED_VALUE"""),"e18c872b-f623-4f89-bc40-79ff1ef9882e")</f>
        <v>e18c872b-f623-4f89-bc40-79ff1ef9882e</v>
      </c>
      <c r="C2878" s="7">
        <f>IFERROR(__xludf.DUMMYFUNCTION("""COMPUTED_VALUE"""),12.0)</f>
        <v>12</v>
      </c>
      <c r="D2878" s="6">
        <f>IFERROR(__xludf.DUMMYFUNCTION("""COMPUTED_VALUE"""),45693.0)</f>
        <v>45693</v>
      </c>
      <c r="E2878" s="7" t="str">
        <f>IFERROR(__xludf.DUMMYFUNCTION("""COMPUTED_VALUE"""),"FRANQUIA_D&amp;G_SP")</f>
        <v>FRANQUIA_D&amp;G_SP</v>
      </c>
      <c r="F2878" s="7" t="str">
        <f>IFERROR(__xludf.DUMMYFUNCTION("""COMPUTED_VALUE"""),"MOTORCYCLE")</f>
        <v>MOTORCYCLE</v>
      </c>
      <c r="G2878" s="7" t="str">
        <f>IFERROR(__xludf.DUMMYFUNCTION("""COMPUTED_VALUE"""),"SAO PAULO")</f>
        <v>SAO PAULO</v>
      </c>
    </row>
    <row r="2879">
      <c r="A2879" s="6">
        <f>IFERROR(__xludf.DUMMYFUNCTION("""COMPUTED_VALUE"""),45705.0)</f>
        <v>45705</v>
      </c>
      <c r="B2879" s="7" t="str">
        <f>IFERROR(__xludf.DUMMYFUNCTION("""COMPUTED_VALUE"""),"10719ec3-9ad9-4b66-8c36-9a5536e598b2")</f>
        <v>10719ec3-9ad9-4b66-8c36-9a5536e598b2</v>
      </c>
      <c r="C2879" s="7">
        <f>IFERROR(__xludf.DUMMYFUNCTION("""COMPUTED_VALUE"""),64.0)</f>
        <v>64</v>
      </c>
      <c r="D2879" s="6">
        <f>IFERROR(__xludf.DUMMYFUNCTION("""COMPUTED_VALUE"""),45641.0)</f>
        <v>45641</v>
      </c>
      <c r="E2879" s="7" t="str">
        <f>IFERROR(__xludf.DUMMYFUNCTION("""COMPUTED_VALUE"""),"FRANQUIA_D&amp;G_SP")</f>
        <v>FRANQUIA_D&amp;G_SP</v>
      </c>
      <c r="F2879" s="7" t="str">
        <f>IFERROR(__xludf.DUMMYFUNCTION("""COMPUTED_VALUE"""),"MOTORCYCLE")</f>
        <v>MOTORCYCLE</v>
      </c>
      <c r="G2879" s="7" t="str">
        <f>IFERROR(__xludf.DUMMYFUNCTION("""COMPUTED_VALUE"""),"SAO PAULO")</f>
        <v>SAO PAULO</v>
      </c>
    </row>
    <row r="2880">
      <c r="A2880" s="6">
        <f>IFERROR(__xludf.DUMMYFUNCTION("""COMPUTED_VALUE"""),45705.0)</f>
        <v>45705</v>
      </c>
      <c r="B2880" s="7" t="str">
        <f>IFERROR(__xludf.DUMMYFUNCTION("""COMPUTED_VALUE"""),"c4527ebf-a8f8-4345-9f27-0ed18a9f2ba2")</f>
        <v>c4527ebf-a8f8-4345-9f27-0ed18a9f2ba2</v>
      </c>
      <c r="C2880" s="7">
        <f>IFERROR(__xludf.DUMMYFUNCTION("""COMPUTED_VALUE"""),0.0)</f>
        <v>0</v>
      </c>
      <c r="D2880" s="6">
        <f>IFERROR(__xludf.DUMMYFUNCTION("""COMPUTED_VALUE"""),45705.0)</f>
        <v>45705</v>
      </c>
      <c r="E2880" s="7" t="str">
        <f>IFERROR(__xludf.DUMMYFUNCTION("""COMPUTED_VALUE"""),"FRANQUIA_D&amp;G_SP")</f>
        <v>FRANQUIA_D&amp;G_SP</v>
      </c>
      <c r="F2880" s="7" t="str">
        <f>IFERROR(__xludf.DUMMYFUNCTION("""COMPUTED_VALUE"""),"MOTORCYCLE")</f>
        <v>MOTORCYCLE</v>
      </c>
      <c r="G2880" s="7" t="str">
        <f>IFERROR(__xludf.DUMMYFUNCTION("""COMPUTED_VALUE"""),"SAO PAULO")</f>
        <v>SAO PAULO</v>
      </c>
    </row>
    <row r="2881">
      <c r="A2881" s="6">
        <f>IFERROR(__xludf.DUMMYFUNCTION("""COMPUTED_VALUE"""),45705.0)</f>
        <v>45705</v>
      </c>
      <c r="B2881" s="7" t="str">
        <f>IFERROR(__xludf.DUMMYFUNCTION("""COMPUTED_VALUE"""),"ca2a81be-4d89-48d7-b420-06922f5b1873")</f>
        <v>ca2a81be-4d89-48d7-b420-06922f5b1873</v>
      </c>
      <c r="C2881" s="7">
        <f>IFERROR(__xludf.DUMMYFUNCTION("""COMPUTED_VALUE"""),7.0)</f>
        <v>7</v>
      </c>
      <c r="D2881" s="6">
        <f>IFERROR(__xludf.DUMMYFUNCTION("""COMPUTED_VALUE"""),45698.0)</f>
        <v>45698</v>
      </c>
      <c r="E2881" s="7" t="str">
        <f>IFERROR(__xludf.DUMMYFUNCTION("""COMPUTED_VALUE"""),"FRANQUIA_D&amp;G_SP")</f>
        <v>FRANQUIA_D&amp;G_SP</v>
      </c>
      <c r="F2881" s="7" t="str">
        <f>IFERROR(__xludf.DUMMYFUNCTION("""COMPUTED_VALUE"""),"BICYCLE")</f>
        <v>BICYCLE</v>
      </c>
      <c r="G2881" s="7" t="str">
        <f>IFERROR(__xludf.DUMMYFUNCTION("""COMPUTED_VALUE"""),"SAO PAULO")</f>
        <v>SAO PAULO</v>
      </c>
    </row>
    <row r="2882">
      <c r="A2882" s="6">
        <f>IFERROR(__xludf.DUMMYFUNCTION("""COMPUTED_VALUE"""),45705.0)</f>
        <v>45705</v>
      </c>
      <c r="B2882" s="7" t="str">
        <f>IFERROR(__xludf.DUMMYFUNCTION("""COMPUTED_VALUE"""),"d72c805d-3ce6-438e-b9c2-1612c0026aac")</f>
        <v>d72c805d-3ce6-438e-b9c2-1612c0026aac</v>
      </c>
      <c r="C2882" s="7">
        <f>IFERROR(__xludf.DUMMYFUNCTION("""COMPUTED_VALUE"""),0.0)</f>
        <v>0</v>
      </c>
      <c r="D2882" s="6">
        <f>IFERROR(__xludf.DUMMYFUNCTION("""COMPUTED_VALUE"""),45705.0)</f>
        <v>45705</v>
      </c>
      <c r="E2882" s="7" t="str">
        <f>IFERROR(__xludf.DUMMYFUNCTION("""COMPUTED_VALUE"""),"FRANQUIA_D&amp;G_SP")</f>
        <v>FRANQUIA_D&amp;G_SP</v>
      </c>
      <c r="F2882" s="7" t="str">
        <f>IFERROR(__xludf.DUMMYFUNCTION("""COMPUTED_VALUE"""),"BICYCLE")</f>
        <v>BICYCLE</v>
      </c>
      <c r="G2882" s="7" t="str">
        <f>IFERROR(__xludf.DUMMYFUNCTION("""COMPUTED_VALUE"""),"SAO PAULO")</f>
        <v>SAO PAULO</v>
      </c>
    </row>
    <row r="2883">
      <c r="A2883" s="6">
        <f>IFERROR(__xludf.DUMMYFUNCTION("""COMPUTED_VALUE"""),45705.0)</f>
        <v>45705</v>
      </c>
      <c r="B2883" s="7" t="str">
        <f>IFERROR(__xludf.DUMMYFUNCTION("""COMPUTED_VALUE"""),"e421e954-c95a-4083-a3b4-213e261c2033")</f>
        <v>e421e954-c95a-4083-a3b4-213e261c2033</v>
      </c>
      <c r="C2883" s="7">
        <f>IFERROR(__xludf.DUMMYFUNCTION("""COMPUTED_VALUE"""),0.0)</f>
        <v>0</v>
      </c>
      <c r="D2883" s="6">
        <f>IFERROR(__xludf.DUMMYFUNCTION("""COMPUTED_VALUE"""),45705.0)</f>
        <v>45705</v>
      </c>
      <c r="E2883" s="7" t="str">
        <f>IFERROR(__xludf.DUMMYFUNCTION("""COMPUTED_VALUE"""),"FRANQUIA_D&amp;G_SP")</f>
        <v>FRANQUIA_D&amp;G_SP</v>
      </c>
      <c r="F2883" s="7" t="str">
        <f>IFERROR(__xludf.DUMMYFUNCTION("""COMPUTED_VALUE"""),"MOTORCYCLE")</f>
        <v>MOTORCYCLE</v>
      </c>
      <c r="G2883" s="7" t="str">
        <f>IFERROR(__xludf.DUMMYFUNCTION("""COMPUTED_VALUE"""),"SAO PAULO")</f>
        <v>SAO PAULO</v>
      </c>
    </row>
    <row r="2884">
      <c r="A2884" s="6">
        <f>IFERROR(__xludf.DUMMYFUNCTION("""COMPUTED_VALUE"""),45705.0)</f>
        <v>45705</v>
      </c>
      <c r="B2884" s="7" t="str">
        <f>IFERROR(__xludf.DUMMYFUNCTION("""COMPUTED_VALUE"""),"ab2088a0-5311-4bed-8cb4-58087fa9d84a")</f>
        <v>ab2088a0-5311-4bed-8cb4-58087fa9d84a</v>
      </c>
      <c r="C2884" s="7">
        <f>IFERROR(__xludf.DUMMYFUNCTION("""COMPUTED_VALUE"""),2084.0)</f>
        <v>2084</v>
      </c>
      <c r="D2884" s="6">
        <f>IFERROR(__xludf.DUMMYFUNCTION("""COMPUTED_VALUE"""),43621.0)</f>
        <v>43621</v>
      </c>
      <c r="E2884" s="7" t="str">
        <f>IFERROR(__xludf.DUMMYFUNCTION("""COMPUTED_VALUE"""),"FRANQUIA_D&amp;G_SP")</f>
        <v>FRANQUIA_D&amp;G_SP</v>
      </c>
      <c r="F2884" s="7" t="str">
        <f>IFERROR(__xludf.DUMMYFUNCTION("""COMPUTED_VALUE"""),"MOTORCYCLE")</f>
        <v>MOTORCYCLE</v>
      </c>
      <c r="G2884" s="7" t="str">
        <f>IFERROR(__xludf.DUMMYFUNCTION("""COMPUTED_VALUE"""),"SAO PAULO")</f>
        <v>SAO PAULO</v>
      </c>
    </row>
    <row r="2885">
      <c r="A2885" s="6">
        <f>IFERROR(__xludf.DUMMYFUNCTION("""COMPUTED_VALUE"""),45705.0)</f>
        <v>45705</v>
      </c>
      <c r="B2885" s="7" t="str">
        <f>IFERROR(__xludf.DUMMYFUNCTION("""COMPUTED_VALUE"""),"ba09dbb5-1904-48c2-a7f9-d58846f6cffd")</f>
        <v>ba09dbb5-1904-48c2-a7f9-d58846f6cffd</v>
      </c>
      <c r="C2885" s="7">
        <f>IFERROR(__xludf.DUMMYFUNCTION("""COMPUTED_VALUE"""),25.0)</f>
        <v>25</v>
      </c>
      <c r="D2885" s="6">
        <f>IFERROR(__xludf.DUMMYFUNCTION("""COMPUTED_VALUE"""),45680.0)</f>
        <v>45680</v>
      </c>
      <c r="E2885" s="7" t="str">
        <f>IFERROR(__xludf.DUMMYFUNCTION("""COMPUTED_VALUE"""),"FRANQUIA_D&amp;G_SP")</f>
        <v>FRANQUIA_D&amp;G_SP</v>
      </c>
      <c r="F2885" s="7" t="str">
        <f>IFERROR(__xludf.DUMMYFUNCTION("""COMPUTED_VALUE"""),"MOTORCYCLE")</f>
        <v>MOTORCYCLE</v>
      </c>
      <c r="G2885" s="7" t="str">
        <f>IFERROR(__xludf.DUMMYFUNCTION("""COMPUTED_VALUE"""),"SAO PAULO")</f>
        <v>SAO PAULO</v>
      </c>
    </row>
    <row r="2886">
      <c r="A2886" s="6">
        <f>IFERROR(__xludf.DUMMYFUNCTION("""COMPUTED_VALUE"""),45705.0)</f>
        <v>45705</v>
      </c>
      <c r="B2886" s="7" t="str">
        <f>IFERROR(__xludf.DUMMYFUNCTION("""COMPUTED_VALUE"""),"3b5bfaa4-3149-4f70-93b4-c0fddcfbded6")</f>
        <v>3b5bfaa4-3149-4f70-93b4-c0fddcfbded6</v>
      </c>
      <c r="C2886" s="7">
        <f>IFERROR(__xludf.DUMMYFUNCTION("""COMPUTED_VALUE"""),1.0)</f>
        <v>1</v>
      </c>
      <c r="D2886" s="6">
        <f>IFERROR(__xludf.DUMMYFUNCTION("""COMPUTED_VALUE"""),45704.0)</f>
        <v>45704</v>
      </c>
      <c r="E2886" s="7" t="str">
        <f>IFERROR(__xludf.DUMMYFUNCTION("""COMPUTED_VALUE"""),"FRANQUIA_D&amp;G_SP")</f>
        <v>FRANQUIA_D&amp;G_SP</v>
      </c>
      <c r="F2886" s="7" t="str">
        <f>IFERROR(__xludf.DUMMYFUNCTION("""COMPUTED_VALUE"""),"MOTORCYCLE")</f>
        <v>MOTORCYCLE</v>
      </c>
      <c r="G2886" s="7" t="str">
        <f>IFERROR(__xludf.DUMMYFUNCTION("""COMPUTED_VALUE"""),"SAO PAULO")</f>
        <v>SAO PAULO</v>
      </c>
    </row>
    <row r="2887">
      <c r="A2887" s="6">
        <f>IFERROR(__xludf.DUMMYFUNCTION("""COMPUTED_VALUE"""),45705.0)</f>
        <v>45705</v>
      </c>
      <c r="B2887" s="7" t="str">
        <f>IFERROR(__xludf.DUMMYFUNCTION("""COMPUTED_VALUE"""),"be62bc20-df9a-4a02-bca8-e220351026e3")</f>
        <v>be62bc20-df9a-4a02-bca8-e220351026e3</v>
      </c>
      <c r="C2887" s="7">
        <f>IFERROR(__xludf.DUMMYFUNCTION("""COMPUTED_VALUE"""),0.0)</f>
        <v>0</v>
      </c>
      <c r="D2887" s="6">
        <f>IFERROR(__xludf.DUMMYFUNCTION("""COMPUTED_VALUE"""),45705.0)</f>
        <v>45705</v>
      </c>
      <c r="E2887" s="7" t="str">
        <f>IFERROR(__xludf.DUMMYFUNCTION("""COMPUTED_VALUE"""),"FRANQUIA_D&amp;G_SP")</f>
        <v>FRANQUIA_D&amp;G_SP</v>
      </c>
      <c r="F2887" s="7" t="str">
        <f>IFERROR(__xludf.DUMMYFUNCTION("""COMPUTED_VALUE"""),"MOTORCYCLE")</f>
        <v>MOTORCYCLE</v>
      </c>
      <c r="G2887" s="7" t="str">
        <f>IFERROR(__xludf.DUMMYFUNCTION("""COMPUTED_VALUE"""),"SAO PAULO")</f>
        <v>SAO PAULO</v>
      </c>
    </row>
    <row r="2888">
      <c r="A2888" s="6">
        <f>IFERROR(__xludf.DUMMYFUNCTION("""COMPUTED_VALUE"""),45705.0)</f>
        <v>45705</v>
      </c>
      <c r="B2888" s="7" t="str">
        <f>IFERROR(__xludf.DUMMYFUNCTION("""COMPUTED_VALUE"""),"4d10d3dc-c1a5-4458-b8f6-e82bd558d8f8")</f>
        <v>4d10d3dc-c1a5-4458-b8f6-e82bd558d8f8</v>
      </c>
      <c r="C2888" s="7">
        <f>IFERROR(__xludf.DUMMYFUNCTION("""COMPUTED_VALUE"""),519.0)</f>
        <v>519</v>
      </c>
      <c r="D2888" s="6">
        <f>IFERROR(__xludf.DUMMYFUNCTION("""COMPUTED_VALUE"""),45186.0)</f>
        <v>45186</v>
      </c>
      <c r="E2888" s="7" t="str">
        <f>IFERROR(__xludf.DUMMYFUNCTION("""COMPUTED_VALUE"""),"FRANQUIA_D&amp;G_SP")</f>
        <v>FRANQUIA_D&amp;G_SP</v>
      </c>
      <c r="F2888" s="7" t="str">
        <f>IFERROR(__xludf.DUMMYFUNCTION("""COMPUTED_VALUE"""),"BICYCLE")</f>
        <v>BICYCLE</v>
      </c>
      <c r="G2888" s="7" t="str">
        <f>IFERROR(__xludf.DUMMYFUNCTION("""COMPUTED_VALUE"""),"SAO PAULO")</f>
        <v>SAO PAULO</v>
      </c>
    </row>
    <row r="2889">
      <c r="A2889" s="6">
        <f>IFERROR(__xludf.DUMMYFUNCTION("""COMPUTED_VALUE"""),45705.0)</f>
        <v>45705</v>
      </c>
      <c r="B2889" s="7" t="str">
        <f>IFERROR(__xludf.DUMMYFUNCTION("""COMPUTED_VALUE"""),"05c417eb-cfe4-4bd1-bb45-00af517685fe")</f>
        <v>05c417eb-cfe4-4bd1-bb45-00af517685fe</v>
      </c>
      <c r="C2889" s="7">
        <f>IFERROR(__xludf.DUMMYFUNCTION("""COMPUTED_VALUE"""),0.0)</f>
        <v>0</v>
      </c>
      <c r="D2889" s="6">
        <f>IFERROR(__xludf.DUMMYFUNCTION("""COMPUTED_VALUE"""),45705.0)</f>
        <v>45705</v>
      </c>
      <c r="E2889" s="7" t="str">
        <f>IFERROR(__xludf.DUMMYFUNCTION("""COMPUTED_VALUE"""),"FRANQUIA_D&amp;G_SP")</f>
        <v>FRANQUIA_D&amp;G_SP</v>
      </c>
      <c r="F2889" s="7" t="str">
        <f>IFERROR(__xludf.DUMMYFUNCTION("""COMPUTED_VALUE"""),"MOTORCYCLE")</f>
        <v>MOTORCYCLE</v>
      </c>
      <c r="G2889" s="7" t="str">
        <f>IFERROR(__xludf.DUMMYFUNCTION("""COMPUTED_VALUE"""),"SAO PAULO")</f>
        <v>SAO PAULO</v>
      </c>
    </row>
    <row r="2890">
      <c r="A2890" s="6">
        <f>IFERROR(__xludf.DUMMYFUNCTION("""COMPUTED_VALUE"""),45705.0)</f>
        <v>45705</v>
      </c>
      <c r="B2890" s="7" t="str">
        <f>IFERROR(__xludf.DUMMYFUNCTION("""COMPUTED_VALUE"""),"9356c831-354e-4738-ac32-55cfd5b284f9")</f>
        <v>9356c831-354e-4738-ac32-55cfd5b284f9</v>
      </c>
      <c r="C2890" s="7">
        <f>IFERROR(__xludf.DUMMYFUNCTION("""COMPUTED_VALUE"""),0.0)</f>
        <v>0</v>
      </c>
      <c r="D2890" s="6">
        <f>IFERROR(__xludf.DUMMYFUNCTION("""COMPUTED_VALUE"""),45705.0)</f>
        <v>45705</v>
      </c>
      <c r="E2890" s="7" t="str">
        <f>IFERROR(__xludf.DUMMYFUNCTION("""COMPUTED_VALUE"""),"FRANQUIA_D&amp;G_SP")</f>
        <v>FRANQUIA_D&amp;G_SP</v>
      </c>
      <c r="F2890" s="7" t="str">
        <f>IFERROR(__xludf.DUMMYFUNCTION("""COMPUTED_VALUE"""),"MOTORCYCLE")</f>
        <v>MOTORCYCLE</v>
      </c>
      <c r="G2890" s="7" t="str">
        <f>IFERROR(__xludf.DUMMYFUNCTION("""COMPUTED_VALUE"""),"RECIFE")</f>
        <v>RECIFE</v>
      </c>
    </row>
    <row r="2891">
      <c r="A2891" s="6">
        <f>IFERROR(__xludf.DUMMYFUNCTION("""COMPUTED_VALUE"""),45705.0)</f>
        <v>45705</v>
      </c>
      <c r="B2891" s="7" t="str">
        <f>IFERROR(__xludf.DUMMYFUNCTION("""COMPUTED_VALUE"""),"9fff3ba6-c5b3-4501-8105-5d2ec0d0883e")</f>
        <v>9fff3ba6-c5b3-4501-8105-5d2ec0d0883e</v>
      </c>
      <c r="C2891" s="7">
        <f>IFERROR(__xludf.DUMMYFUNCTION("""COMPUTED_VALUE"""),1.0)</f>
        <v>1</v>
      </c>
      <c r="D2891" s="6">
        <f>IFERROR(__xludf.DUMMYFUNCTION("""COMPUTED_VALUE"""),45704.0)</f>
        <v>45704</v>
      </c>
      <c r="E2891" s="7" t="str">
        <f>IFERROR(__xludf.DUMMYFUNCTION("""COMPUTED_VALUE"""),"FRANQUIA_D&amp;G_SP")</f>
        <v>FRANQUIA_D&amp;G_SP</v>
      </c>
      <c r="F2891" s="7" t="str">
        <f>IFERROR(__xludf.DUMMYFUNCTION("""COMPUTED_VALUE"""),"MOTORCYCLE")</f>
        <v>MOTORCYCLE</v>
      </c>
      <c r="G2891" s="7" t="str">
        <f>IFERROR(__xludf.DUMMYFUNCTION("""COMPUTED_VALUE"""),"SAO PAULO")</f>
        <v>SAO PAULO</v>
      </c>
    </row>
    <row r="2892">
      <c r="A2892" s="6">
        <f>IFERROR(__xludf.DUMMYFUNCTION("""COMPUTED_VALUE"""),45705.0)</f>
        <v>45705</v>
      </c>
      <c r="B2892" s="7" t="str">
        <f>IFERROR(__xludf.DUMMYFUNCTION("""COMPUTED_VALUE"""),"b0f5186c-c2ac-4fe8-9f74-c8de81929bdb")</f>
        <v>b0f5186c-c2ac-4fe8-9f74-c8de81929bdb</v>
      </c>
      <c r="C2892" s="7">
        <f>IFERROR(__xludf.DUMMYFUNCTION("""COMPUTED_VALUE"""),10.0)</f>
        <v>10</v>
      </c>
      <c r="D2892" s="6">
        <f>IFERROR(__xludf.DUMMYFUNCTION("""COMPUTED_VALUE"""),45695.0)</f>
        <v>45695</v>
      </c>
      <c r="E2892" s="7" t="str">
        <f>IFERROR(__xludf.DUMMYFUNCTION("""COMPUTED_VALUE"""),"FRANQUIA_D&amp;G_SP")</f>
        <v>FRANQUIA_D&amp;G_SP</v>
      </c>
      <c r="F2892" s="7" t="str">
        <f>IFERROR(__xludf.DUMMYFUNCTION("""COMPUTED_VALUE"""),"MOTORCYCLE")</f>
        <v>MOTORCYCLE</v>
      </c>
      <c r="G2892" s="7" t="str">
        <f>IFERROR(__xludf.DUMMYFUNCTION("""COMPUTED_VALUE"""),"SAO PAULO")</f>
        <v>SAO PAULO</v>
      </c>
    </row>
    <row r="2893">
      <c r="A2893" s="6">
        <f>IFERROR(__xludf.DUMMYFUNCTION("""COMPUTED_VALUE"""),45705.0)</f>
        <v>45705</v>
      </c>
      <c r="B2893" s="7" t="str">
        <f>IFERROR(__xludf.DUMMYFUNCTION("""COMPUTED_VALUE"""),"50998618-c9f1-409c-84f8-41aabcc0e8f9")</f>
        <v>50998618-c9f1-409c-84f8-41aabcc0e8f9</v>
      </c>
      <c r="C2893" s="7">
        <f>IFERROR(__xludf.DUMMYFUNCTION("""COMPUTED_VALUE"""),7.0)</f>
        <v>7</v>
      </c>
      <c r="D2893" s="6">
        <f>IFERROR(__xludf.DUMMYFUNCTION("""COMPUTED_VALUE"""),45698.0)</f>
        <v>45698</v>
      </c>
      <c r="E2893" s="7" t="str">
        <f>IFERROR(__xludf.DUMMYFUNCTION("""COMPUTED_VALUE"""),"FRANQUIA_D&amp;G_SP")</f>
        <v>FRANQUIA_D&amp;G_SP</v>
      </c>
      <c r="F2893" s="7" t="str">
        <f>IFERROR(__xludf.DUMMYFUNCTION("""COMPUTED_VALUE"""),"EMOTORCYCLE")</f>
        <v>EMOTORCYCLE</v>
      </c>
      <c r="G2893" s="7" t="str">
        <f>IFERROR(__xludf.DUMMYFUNCTION("""COMPUTED_VALUE"""),"RIO - ZONA SUL")</f>
        <v>RIO - ZONA SUL</v>
      </c>
    </row>
    <row r="2894">
      <c r="A2894" s="6">
        <f>IFERROR(__xludf.DUMMYFUNCTION("""COMPUTED_VALUE"""),45705.0)</f>
        <v>45705</v>
      </c>
      <c r="B2894" s="7" t="str">
        <f>IFERROR(__xludf.DUMMYFUNCTION("""COMPUTED_VALUE"""),"edf9a274-fc80-4716-b31b-899e527e938c")</f>
        <v>edf9a274-fc80-4716-b31b-899e527e938c</v>
      </c>
      <c r="C2894" s="7">
        <f>IFERROR(__xludf.DUMMYFUNCTION("""COMPUTED_VALUE"""),0.0)</f>
        <v>0</v>
      </c>
      <c r="D2894" s="6">
        <f>IFERROR(__xludf.DUMMYFUNCTION("""COMPUTED_VALUE"""),45705.0)</f>
        <v>45705</v>
      </c>
      <c r="E2894" s="7" t="str">
        <f>IFERROR(__xludf.DUMMYFUNCTION("""COMPUTED_VALUE"""),"FRANQUIA_D&amp;G_SP")</f>
        <v>FRANQUIA_D&amp;G_SP</v>
      </c>
      <c r="F2894" s="7" t="str">
        <f>IFERROR(__xludf.DUMMYFUNCTION("""COMPUTED_VALUE"""),"MOTORCYCLE")</f>
        <v>MOTORCYCLE</v>
      </c>
      <c r="G2894" s="7" t="str">
        <f>IFERROR(__xludf.DUMMYFUNCTION("""COMPUTED_VALUE"""),"SAO PAULO")</f>
        <v>SAO PAULO</v>
      </c>
    </row>
    <row r="2895">
      <c r="A2895" s="6">
        <f>IFERROR(__xludf.DUMMYFUNCTION("""COMPUTED_VALUE"""),45705.0)</f>
        <v>45705</v>
      </c>
      <c r="B2895" s="7" t="str">
        <f>IFERROR(__xludf.DUMMYFUNCTION("""COMPUTED_VALUE"""),"cd9aa3af-0c05-4f08-a75f-5f6d1f4d05b9")</f>
        <v>cd9aa3af-0c05-4f08-a75f-5f6d1f4d05b9</v>
      </c>
      <c r="C2895" s="7">
        <f>IFERROR(__xludf.DUMMYFUNCTION("""COMPUTED_VALUE"""),2.0)</f>
        <v>2</v>
      </c>
      <c r="D2895" s="6">
        <f>IFERROR(__xludf.DUMMYFUNCTION("""COMPUTED_VALUE"""),45703.0)</f>
        <v>45703</v>
      </c>
      <c r="E2895" s="7" t="str">
        <f>IFERROR(__xludf.DUMMYFUNCTION("""COMPUTED_VALUE"""),"FRANQUIA_D&amp;G_SP")</f>
        <v>FRANQUIA_D&amp;G_SP</v>
      </c>
      <c r="F2895" s="7" t="str">
        <f>IFERROR(__xludf.DUMMYFUNCTION("""COMPUTED_VALUE"""),"BICYCLE")</f>
        <v>BICYCLE</v>
      </c>
      <c r="G2895" s="7" t="str">
        <f>IFERROR(__xludf.DUMMYFUNCTION("""COMPUTED_VALUE"""),"SAO PAULO")</f>
        <v>SAO PAULO</v>
      </c>
    </row>
    <row r="2896">
      <c r="A2896" s="6">
        <f>IFERROR(__xludf.DUMMYFUNCTION("""COMPUTED_VALUE"""),45705.0)</f>
        <v>45705</v>
      </c>
      <c r="B2896" s="7" t="str">
        <f>IFERROR(__xludf.DUMMYFUNCTION("""COMPUTED_VALUE"""),"9f57483d-6d1a-439c-b4a7-d92513570056")</f>
        <v>9f57483d-6d1a-439c-b4a7-d92513570056</v>
      </c>
      <c r="C2896" s="7">
        <f>IFERROR(__xludf.DUMMYFUNCTION("""COMPUTED_VALUE"""),1.0)</f>
        <v>1</v>
      </c>
      <c r="D2896" s="6">
        <f>IFERROR(__xludf.DUMMYFUNCTION("""COMPUTED_VALUE"""),45704.0)</f>
        <v>45704</v>
      </c>
      <c r="E2896" s="7" t="str">
        <f>IFERROR(__xludf.DUMMYFUNCTION("""COMPUTED_VALUE"""),"FRANQUIA_D&amp;G_SP")</f>
        <v>FRANQUIA_D&amp;G_SP</v>
      </c>
      <c r="F2896" s="7" t="str">
        <f>IFERROR(__xludf.DUMMYFUNCTION("""COMPUTED_VALUE"""),"MOTORCYCLE")</f>
        <v>MOTORCYCLE</v>
      </c>
      <c r="G2896" s="7" t="str">
        <f>IFERROR(__xludf.DUMMYFUNCTION("""COMPUTED_VALUE"""),"SAO PAULO")</f>
        <v>SAO PAULO</v>
      </c>
    </row>
    <row r="2897">
      <c r="A2897" s="6">
        <f>IFERROR(__xludf.DUMMYFUNCTION("""COMPUTED_VALUE"""),45705.0)</f>
        <v>45705</v>
      </c>
      <c r="B2897" s="7" t="str">
        <f>IFERROR(__xludf.DUMMYFUNCTION("""COMPUTED_VALUE"""),"02d41351-841c-49f5-8752-d6d1a5b58562")</f>
        <v>02d41351-841c-49f5-8752-d6d1a5b58562</v>
      </c>
      <c r="C2897" s="7">
        <f>IFERROR(__xludf.DUMMYFUNCTION("""COMPUTED_VALUE"""),287.0)</f>
        <v>287</v>
      </c>
      <c r="D2897" s="6">
        <f>IFERROR(__xludf.DUMMYFUNCTION("""COMPUTED_VALUE"""),45418.0)</f>
        <v>45418</v>
      </c>
      <c r="E2897" s="7" t="str">
        <f>IFERROR(__xludf.DUMMYFUNCTION("""COMPUTED_VALUE"""),"FRANQUIA_D&amp;G_SP")</f>
        <v>FRANQUIA_D&amp;G_SP</v>
      </c>
      <c r="F2897" s="7" t="str">
        <f>IFERROR(__xludf.DUMMYFUNCTION("""COMPUTED_VALUE"""),"BICYCLE")</f>
        <v>BICYCLE</v>
      </c>
      <c r="G2897" s="7" t="str">
        <f>IFERROR(__xludf.DUMMYFUNCTION("""COMPUTED_VALUE"""),"SAO PAULO")</f>
        <v>SAO PAULO</v>
      </c>
    </row>
    <row r="2898">
      <c r="A2898" s="6">
        <f>IFERROR(__xludf.DUMMYFUNCTION("""COMPUTED_VALUE"""),45705.0)</f>
        <v>45705</v>
      </c>
      <c r="B2898" s="7" t="str">
        <f>IFERROR(__xludf.DUMMYFUNCTION("""COMPUTED_VALUE"""),"a9031703-2ebe-43d9-a5d2-1ad8191c8a92")</f>
        <v>a9031703-2ebe-43d9-a5d2-1ad8191c8a92</v>
      </c>
      <c r="C2898" s="7">
        <f>IFERROR(__xludf.DUMMYFUNCTION("""COMPUTED_VALUE"""),334.0)</f>
        <v>334</v>
      </c>
      <c r="D2898" s="6">
        <f>IFERROR(__xludf.DUMMYFUNCTION("""COMPUTED_VALUE"""),45371.0)</f>
        <v>45371</v>
      </c>
      <c r="E2898" s="7" t="str">
        <f>IFERROR(__xludf.DUMMYFUNCTION("""COMPUTED_VALUE"""),"FRANQUIA_D&amp;G_SP")</f>
        <v>FRANQUIA_D&amp;G_SP</v>
      </c>
      <c r="F2898" s="7" t="str">
        <f>IFERROR(__xludf.DUMMYFUNCTION("""COMPUTED_VALUE"""),"BICYCLE")</f>
        <v>BICYCLE</v>
      </c>
      <c r="G2898" s="7" t="str">
        <f>IFERROR(__xludf.DUMMYFUNCTION("""COMPUTED_VALUE"""),"SAO PAULO")</f>
        <v>SAO PAULO</v>
      </c>
    </row>
    <row r="2899">
      <c r="A2899" s="6">
        <f>IFERROR(__xludf.DUMMYFUNCTION("""COMPUTED_VALUE"""),45705.0)</f>
        <v>45705</v>
      </c>
      <c r="B2899" s="7" t="str">
        <f>IFERROR(__xludf.DUMMYFUNCTION("""COMPUTED_VALUE"""),"3cdb4d01-e449-435b-b4a1-c05c803f558f")</f>
        <v>3cdb4d01-e449-435b-b4a1-c05c803f558f</v>
      </c>
      <c r="C2899" s="7">
        <f>IFERROR(__xludf.DUMMYFUNCTION("""COMPUTED_VALUE"""),0.0)</f>
        <v>0</v>
      </c>
      <c r="D2899" s="6">
        <f>IFERROR(__xludf.DUMMYFUNCTION("""COMPUTED_VALUE"""),45705.0)</f>
        <v>45705</v>
      </c>
      <c r="E2899" s="7" t="str">
        <f>IFERROR(__xludf.DUMMYFUNCTION("""COMPUTED_VALUE"""),"FRANQUIA_D&amp;G_SP")</f>
        <v>FRANQUIA_D&amp;G_SP</v>
      </c>
      <c r="F2899" s="7" t="str">
        <f>IFERROR(__xludf.DUMMYFUNCTION("""COMPUTED_VALUE"""),"BICYCLE")</f>
        <v>BICYCLE</v>
      </c>
      <c r="G2899" s="7" t="str">
        <f>IFERROR(__xludf.DUMMYFUNCTION("""COMPUTED_VALUE"""),"SAO PAULO")</f>
        <v>SAO PAULO</v>
      </c>
    </row>
    <row r="2900">
      <c r="A2900" s="6">
        <f>IFERROR(__xludf.DUMMYFUNCTION("""COMPUTED_VALUE"""),45705.0)</f>
        <v>45705</v>
      </c>
      <c r="B2900" s="7" t="str">
        <f>IFERROR(__xludf.DUMMYFUNCTION("""COMPUTED_VALUE"""),"c1e4519a-77fe-4c72-86cb-71ac7623e1ee")</f>
        <v>c1e4519a-77fe-4c72-86cb-71ac7623e1ee</v>
      </c>
      <c r="C2900" s="7">
        <f>IFERROR(__xludf.DUMMYFUNCTION("""COMPUTED_VALUE"""),0.0)</f>
        <v>0</v>
      </c>
      <c r="D2900" s="6">
        <f>IFERROR(__xludf.DUMMYFUNCTION("""COMPUTED_VALUE"""),45705.0)</f>
        <v>45705</v>
      </c>
      <c r="E2900" s="7" t="str">
        <f>IFERROR(__xludf.DUMMYFUNCTION("""COMPUTED_VALUE"""),"FRANQUIA_D&amp;G_SP")</f>
        <v>FRANQUIA_D&amp;G_SP</v>
      </c>
      <c r="F2900" s="7" t="str">
        <f>IFERROR(__xludf.DUMMYFUNCTION("""COMPUTED_VALUE"""),"MOTORCYCLE")</f>
        <v>MOTORCYCLE</v>
      </c>
      <c r="G2900" s="7" t="str">
        <f>IFERROR(__xludf.DUMMYFUNCTION("""COMPUTED_VALUE"""),"SAO PAULO")</f>
        <v>SAO PAULO</v>
      </c>
    </row>
    <row r="2901">
      <c r="A2901" s="6">
        <f>IFERROR(__xludf.DUMMYFUNCTION("""COMPUTED_VALUE"""),45705.0)</f>
        <v>45705</v>
      </c>
      <c r="B2901" s="7" t="str">
        <f>IFERROR(__xludf.DUMMYFUNCTION("""COMPUTED_VALUE"""),"eae7f05b-b386-4358-9c96-464cae6d7143")</f>
        <v>eae7f05b-b386-4358-9c96-464cae6d7143</v>
      </c>
      <c r="C2901" s="7">
        <f>IFERROR(__xludf.DUMMYFUNCTION("""COMPUTED_VALUE"""),0.0)</f>
        <v>0</v>
      </c>
      <c r="D2901" s="6">
        <f>IFERROR(__xludf.DUMMYFUNCTION("""COMPUTED_VALUE"""),45705.0)</f>
        <v>45705</v>
      </c>
      <c r="E2901" s="7" t="str">
        <f>IFERROR(__xludf.DUMMYFUNCTION("""COMPUTED_VALUE"""),"FRANQUIA_D&amp;G_SP")</f>
        <v>FRANQUIA_D&amp;G_SP</v>
      </c>
      <c r="F2901" s="7" t="str">
        <f>IFERROR(__xludf.DUMMYFUNCTION("""COMPUTED_VALUE"""),"BICYCLE")</f>
        <v>BICYCLE</v>
      </c>
      <c r="G2901" s="7" t="str">
        <f>IFERROR(__xludf.DUMMYFUNCTION("""COMPUTED_VALUE"""),"SAO PAULO")</f>
        <v>SAO PAULO</v>
      </c>
    </row>
    <row r="2902">
      <c r="A2902" s="6">
        <f>IFERROR(__xludf.DUMMYFUNCTION("""COMPUTED_VALUE"""),45705.0)</f>
        <v>45705</v>
      </c>
      <c r="B2902" s="7" t="str">
        <f>IFERROR(__xludf.DUMMYFUNCTION("""COMPUTED_VALUE"""),"62fbcf3c-0f88-42cd-addf-add49d9d517e")</f>
        <v>62fbcf3c-0f88-42cd-addf-add49d9d517e</v>
      </c>
      <c r="C2902" s="7">
        <f>IFERROR(__xludf.DUMMYFUNCTION("""COMPUTED_VALUE"""),416.0)</f>
        <v>416</v>
      </c>
      <c r="D2902" s="6">
        <f>IFERROR(__xludf.DUMMYFUNCTION("""COMPUTED_VALUE"""),45289.0)</f>
        <v>45289</v>
      </c>
      <c r="E2902" s="7" t="str">
        <f>IFERROR(__xludf.DUMMYFUNCTION("""COMPUTED_VALUE"""),"FRANQUIA_D&amp;G_SP")</f>
        <v>FRANQUIA_D&amp;G_SP</v>
      </c>
      <c r="F2902" s="7" t="str">
        <f>IFERROR(__xludf.DUMMYFUNCTION("""COMPUTED_VALUE"""),"BICYCLE")</f>
        <v>BICYCLE</v>
      </c>
      <c r="G2902" s="7" t="str">
        <f>IFERROR(__xludf.DUMMYFUNCTION("""COMPUTED_VALUE"""),"SAO PAULO")</f>
        <v>SAO PAULO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2.88"/>
    <col customWidth="1" min="2" max="2" width="18.0"/>
    <col customWidth="1" min="3" max="3" width="17.25"/>
  </cols>
  <sheetData>
    <row r="1">
      <c r="A1" s="8" t="s">
        <v>7</v>
      </c>
    </row>
    <row r="2">
      <c r="A2" s="1" t="s">
        <v>8</v>
      </c>
      <c r="B2" s="2" t="s">
        <v>9</v>
      </c>
      <c r="C2" s="2" t="s">
        <v>10</v>
      </c>
    </row>
    <row r="3">
      <c r="A3" s="4" t="str">
        <f>IFERROR(__xludf.DUMMYFUNCTION("(query(IMPORTRANGE(""https://docs.google.com/spreadsheets/d/1lKv7bdRKk7ntXUE0aS8YlCPdi6ysq0vm5RUx0D7sXQc/edit?gid=39116828#gid=39116828"",""Saída_Nuvem!A2:d""),""select Col1, Col3, Col4 where Col4='FRANQUIA_D&amp;G_SP'""))"),"#N/A")</f>
        <v>#N/A</v>
      </c>
    </row>
  </sheetData>
  <mergeCells count="1">
    <mergeCell ref="A1:C1"/>
  </mergeCells>
  <drawing r:id="rId1"/>
</worksheet>
</file>